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295"/>
  </bookViews>
  <sheets>
    <sheet name="AUMTO-MINH-1011-06-06-19-4,5%" sheetId="1" r:id="rId1"/>
  </sheets>
  <externalReferences>
    <externalReference r:id="rId2"/>
    <externalReference r:id="rId3"/>
  </externalReferences>
  <definedNames>
    <definedName name="¿Quiénes_están_inscritos_dentro_del_sistema__incluye_desinscr___" localSheetId="0">#REF!</definedName>
    <definedName name="¿Quiénes_están_inscritos_dentro_del_sistema__incluye_desinscr___">#REF!</definedName>
    <definedName name="aa" localSheetId="0">#REF!</definedName>
    <definedName name="aa">#REF!</definedName>
    <definedName name="ActividadRE" localSheetId="0">#REF!</definedName>
    <definedName name="ActividadRE">#REF!</definedName>
    <definedName name="_xlnm.Print_Area" localSheetId="0">'AUMTO-MINH-1011-06-06-19-4,5%'!$A$1:$V$106</definedName>
    <definedName name="CuantostieneEdSuperior" localSheetId="0">#REF!</definedName>
    <definedName name="CuantostieneEdSuperior">#REF!</definedName>
    <definedName name="DeseanCapacitacionEn" localSheetId="0">#REF!</definedName>
    <definedName name="DeseanCapacitacionEn">#REF!</definedName>
    <definedName name="DESINSCRITOS" localSheetId="0">#REF!</definedName>
    <definedName name="DESINSCRITOS">#REF!</definedName>
    <definedName name="DISTRIBUCIONPORTIPOCONTRATO" localSheetId="0">#REF!</definedName>
    <definedName name="DISTRIBUCIONPORTIPOCONTRATO">#REF!</definedName>
    <definedName name="Ed_cons_empr_CodEntidad" localSheetId="0">#REF!</definedName>
    <definedName name="Ed_cons_empr_CodEntidad">#REF!</definedName>
    <definedName name="Ed_emp_codemp" localSheetId="0">#REF!</definedName>
    <definedName name="Ed_emp_codemp">#REF!</definedName>
    <definedName name="EdSuperior2" localSheetId="0">#REF!</definedName>
    <definedName name="EdSuperior2">#REF!</definedName>
    <definedName name="EdSuperior3" localSheetId="0">#REF!</definedName>
    <definedName name="EdSuperior3">#REF!</definedName>
    <definedName name="Empresa" localSheetId="0">#REF!</definedName>
    <definedName name="Empresa">#REF!</definedName>
    <definedName name="EstadoMadCabFamilia" localSheetId="0">#REF!</definedName>
    <definedName name="EstadoMadCabFamilia">#REF!</definedName>
    <definedName name="Funcionario" localSheetId="0">[1]frmFuncionario!#REF!</definedName>
    <definedName name="Funcionario">[1]frmFuncionario!#REF!</definedName>
    <definedName name="GruporUPS" localSheetId="0">#REF!</definedName>
    <definedName name="GruporUPS">#REF!</definedName>
    <definedName name="HFGHGFH3" localSheetId="0">[2]Planta_Super!#REF!</definedName>
    <definedName name="HFGHGFH3">[2]Planta_Super!#REF!</definedName>
    <definedName name="hrgc" localSheetId="0">#REF!</definedName>
    <definedName name="hrgc">#REF!</definedName>
    <definedName name="Incre" localSheetId="0">#REF!</definedName>
    <definedName name="Incre">#REF!</definedName>
    <definedName name="Indemnizacion" localSheetId="0">#REF!</definedName>
    <definedName name="Indemnizacion">#REF!</definedName>
    <definedName name="InfLaboral" localSheetId="0">#REF!</definedName>
    <definedName name="InfLaboral">#REF!</definedName>
    <definedName name="InfLabrl" localSheetId="0">#REF!</definedName>
    <definedName name="InfLabrl">#REF!</definedName>
    <definedName name="Ins" localSheetId="0">#REF!</definedName>
    <definedName name="Ins">#REF!</definedName>
    <definedName name="InsEnt" localSheetId="0">#REF!</definedName>
    <definedName name="InsEnt">#REF!</definedName>
    <definedName name="InsFisMag" localSheetId="0">#REF!</definedName>
    <definedName name="InsFisMag">#REF!</definedName>
    <definedName name="LimitacionAuditiva" localSheetId="0">#REF!</definedName>
    <definedName name="LimitacionAuditiva">#REF!</definedName>
    <definedName name="LimitacionFisicaOMental" localSheetId="0">#REF!</definedName>
    <definedName name="LimitacionFisicaOMental">#REF!</definedName>
    <definedName name="LimitacionVisual" localSheetId="0">#REF!</definedName>
    <definedName name="LimitacionVisual">#REF!</definedName>
    <definedName name="MadreCabezaFamilia" localSheetId="0">#REF!</definedName>
    <definedName name="MadreCabezaFamilia">#REF!</definedName>
    <definedName name="NivelEducacionBasica" localSheetId="0">#REF!</definedName>
    <definedName name="NivelEducacionBasica">#REF!</definedName>
    <definedName name="NIVELEDUCACIONSUP" localSheetId="0">#REF!</definedName>
    <definedName name="NIVELEDUCACIONSUP">#REF!</definedName>
    <definedName name="NivelEducacionSuperior" localSheetId="0">#REF!</definedName>
    <definedName name="NivelEducacionSuperior">#REF!</definedName>
    <definedName name="NoNOInscritos" localSheetId="0">#REF!</definedName>
    <definedName name="NoNOInscritos">#REF!</definedName>
    <definedName name="NUMERO" localSheetId="0">[2]Planta_Super!#REF!</definedName>
    <definedName name="NUMERO">[2]Planta_Super!#REF!</definedName>
    <definedName name="PagoRE" localSheetId="0">#REF!</definedName>
    <definedName name="PagoRE">#REF!</definedName>
    <definedName name="PMCL" localSheetId="0">#REF!</definedName>
    <definedName name="PMCL">#REF!</definedName>
    <definedName name="ProximoPension" localSheetId="0">#REF!</definedName>
    <definedName name="ProximoPension">#REF!</definedName>
    <definedName name="RECapacitacion" localSheetId="0">#REF!</definedName>
    <definedName name="RECapacitacion">#REF!</definedName>
    <definedName name="REContPrivada" localSheetId="0">#REF!</definedName>
    <definedName name="REContPrivada">#REF!</definedName>
    <definedName name="SalarioSuperora3SMLVMyProfesionalidad" localSheetId="0">#REF!</definedName>
    <definedName name="SalarioSuperora3SMLVMyProfesionalidad">#REF!</definedName>
    <definedName name="Seguimiento" localSheetId="0">#REF!</definedName>
    <definedName name="Seguimiento">#REF!</definedName>
    <definedName name="Sexo" localSheetId="0">#REF!</definedName>
    <definedName name="Sexo">#REF!</definedName>
    <definedName name="Sueldos" localSheetId="0">#REF!</definedName>
    <definedName name="Sueldos">#REF!</definedName>
    <definedName name="Telefono" localSheetId="0">#REF!</definedName>
    <definedName name="Telefono">#REF!</definedName>
    <definedName name="TIPOCONT" localSheetId="0">#REF!</definedName>
    <definedName name="TIPOCONT">#REF!</definedName>
    <definedName name="TipoEmpresa" localSheetId="0">#REF!</definedName>
    <definedName name="TipoEmpresa">#REF!</definedName>
    <definedName name="_xlnm.Print_Titles" localSheetId="0">'AUMTO-MINH-1011-06-06-19-4,5%'!$1:$10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5" i="1" l="1"/>
  <c r="G78" i="1" l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7" i="1"/>
  <c r="G26" i="1"/>
  <c r="G25" i="1"/>
  <c r="G24" i="1"/>
  <c r="G21" i="1"/>
  <c r="G20" i="1"/>
  <c r="G19" i="1"/>
  <c r="G18" i="1"/>
  <c r="G17" i="1"/>
  <c r="G16" i="1"/>
  <c r="G15" i="1"/>
  <c r="G14" i="1"/>
  <c r="G13" i="1"/>
  <c r="G12" i="1"/>
  <c r="J1" i="1" l="1"/>
  <c r="D54" i="1" l="1"/>
  <c r="D53" i="1"/>
  <c r="D49" i="1"/>
  <c r="D48" i="1"/>
  <c r="D46" i="1"/>
  <c r="D64" i="1"/>
  <c r="D43" i="1"/>
  <c r="R42" i="1"/>
  <c r="S42" i="1" s="1"/>
  <c r="K42" i="1"/>
  <c r="J42" i="1"/>
  <c r="D41" i="1"/>
  <c r="D40" i="1"/>
  <c r="D39" i="1"/>
  <c r="D38" i="1"/>
  <c r="D37" i="1"/>
  <c r="R36" i="1"/>
  <c r="S36" i="1" s="1"/>
  <c r="K36" i="1"/>
  <c r="J36" i="1"/>
  <c r="D35" i="1"/>
  <c r="D30" i="1"/>
  <c r="T42" i="1" l="1"/>
  <c r="U42" i="1" s="1"/>
  <c r="T36" i="1"/>
  <c r="U36" i="1" s="1"/>
  <c r="D104" i="1"/>
  <c r="R103" i="1"/>
  <c r="S103" i="1" s="1"/>
  <c r="S104" i="1" s="1"/>
  <c r="J103" i="1"/>
  <c r="J104" i="1" s="1"/>
  <c r="G103" i="1"/>
  <c r="D102" i="1"/>
  <c r="R101" i="1"/>
  <c r="S101" i="1" s="1"/>
  <c r="J101" i="1"/>
  <c r="G101" i="1"/>
  <c r="R100" i="1"/>
  <c r="S100" i="1" s="1"/>
  <c r="J100" i="1"/>
  <c r="G100" i="1"/>
  <c r="R99" i="1"/>
  <c r="S99" i="1" s="1"/>
  <c r="J99" i="1"/>
  <c r="G99" i="1"/>
  <c r="R98" i="1"/>
  <c r="S98" i="1" s="1"/>
  <c r="J98" i="1"/>
  <c r="G98" i="1"/>
  <c r="R97" i="1"/>
  <c r="S97" i="1" s="1"/>
  <c r="J97" i="1"/>
  <c r="G97" i="1"/>
  <c r="R95" i="1"/>
  <c r="S95" i="1" s="1"/>
  <c r="J95" i="1"/>
  <c r="G95" i="1"/>
  <c r="R94" i="1"/>
  <c r="S94" i="1" s="1"/>
  <c r="K94" i="1"/>
  <c r="J94" i="1"/>
  <c r="G94" i="1"/>
  <c r="R93" i="1"/>
  <c r="T93" i="1" s="1"/>
  <c r="G93" i="1"/>
  <c r="D93" i="1"/>
  <c r="J93" i="1" s="1"/>
  <c r="R92" i="1"/>
  <c r="T92" i="1" s="1"/>
  <c r="G92" i="1"/>
  <c r="D92" i="1"/>
  <c r="J92" i="1" s="1"/>
  <c r="R91" i="1"/>
  <c r="T91" i="1" s="1"/>
  <c r="U91" i="1" s="1"/>
  <c r="K91" i="1"/>
  <c r="J91" i="1"/>
  <c r="G91" i="1"/>
  <c r="R90" i="1"/>
  <c r="S90" i="1" s="1"/>
  <c r="K90" i="1"/>
  <c r="J90" i="1"/>
  <c r="G90" i="1"/>
  <c r="R89" i="1"/>
  <c r="T89" i="1" s="1"/>
  <c r="U89" i="1" s="1"/>
  <c r="K89" i="1"/>
  <c r="J89" i="1"/>
  <c r="G89" i="1"/>
  <c r="R88" i="1"/>
  <c r="S88" i="1" s="1"/>
  <c r="K88" i="1"/>
  <c r="J88" i="1"/>
  <c r="G88" i="1"/>
  <c r="R87" i="1"/>
  <c r="T87" i="1" s="1"/>
  <c r="U87" i="1" s="1"/>
  <c r="K87" i="1"/>
  <c r="J87" i="1"/>
  <c r="G87" i="1"/>
  <c r="R86" i="1"/>
  <c r="S86" i="1" s="1"/>
  <c r="K86" i="1"/>
  <c r="J86" i="1"/>
  <c r="G86" i="1"/>
  <c r="R78" i="1"/>
  <c r="D78" i="1"/>
  <c r="K78" i="1" s="1"/>
  <c r="R77" i="1"/>
  <c r="S77" i="1" s="1"/>
  <c r="K77" i="1"/>
  <c r="J77" i="1"/>
  <c r="R76" i="1"/>
  <c r="T76" i="1" s="1"/>
  <c r="D76" i="1"/>
  <c r="J76" i="1" s="1"/>
  <c r="R75" i="1"/>
  <c r="T75" i="1" s="1"/>
  <c r="D75" i="1"/>
  <c r="J75" i="1" s="1"/>
  <c r="R74" i="1"/>
  <c r="T74" i="1" s="1"/>
  <c r="U74" i="1" s="1"/>
  <c r="K74" i="1"/>
  <c r="J74" i="1"/>
  <c r="R73" i="1"/>
  <c r="S73" i="1" s="1"/>
  <c r="K73" i="1"/>
  <c r="J73" i="1"/>
  <c r="R72" i="1"/>
  <c r="T72" i="1" s="1"/>
  <c r="U72" i="1" s="1"/>
  <c r="K72" i="1"/>
  <c r="J72" i="1"/>
  <c r="R71" i="1"/>
  <c r="S71" i="1" s="1"/>
  <c r="K71" i="1"/>
  <c r="J71" i="1"/>
  <c r="R70" i="1"/>
  <c r="T70" i="1" s="1"/>
  <c r="U70" i="1" s="1"/>
  <c r="K70" i="1"/>
  <c r="J70" i="1"/>
  <c r="R69" i="1"/>
  <c r="S69" i="1" s="1"/>
  <c r="K69" i="1"/>
  <c r="J69" i="1"/>
  <c r="R68" i="1"/>
  <c r="T68" i="1" s="1"/>
  <c r="U68" i="1" s="1"/>
  <c r="K68" i="1"/>
  <c r="J68" i="1"/>
  <c r="R67" i="1"/>
  <c r="T67" i="1" s="1"/>
  <c r="D67" i="1"/>
  <c r="K67" i="1" s="1"/>
  <c r="R66" i="1"/>
  <c r="S66" i="1" s="1"/>
  <c r="K66" i="1"/>
  <c r="J66" i="1"/>
  <c r="R65" i="1"/>
  <c r="T65" i="1" s="1"/>
  <c r="U65" i="1" s="1"/>
  <c r="K65" i="1"/>
  <c r="J65" i="1"/>
  <c r="R64" i="1"/>
  <c r="S64" i="1" s="1"/>
  <c r="K64" i="1"/>
  <c r="J64" i="1"/>
  <c r="R63" i="1"/>
  <c r="T63" i="1" s="1"/>
  <c r="D63" i="1"/>
  <c r="J63" i="1" s="1"/>
  <c r="R62" i="1"/>
  <c r="T62" i="1" s="1"/>
  <c r="U62" i="1" s="1"/>
  <c r="D62" i="1"/>
  <c r="J62" i="1" s="1"/>
  <c r="R61" i="1"/>
  <c r="T61" i="1" s="1"/>
  <c r="D61" i="1"/>
  <c r="J61" i="1" s="1"/>
  <c r="R60" i="1"/>
  <c r="T60" i="1" s="1"/>
  <c r="U60" i="1" s="1"/>
  <c r="K60" i="1"/>
  <c r="J60" i="1"/>
  <c r="R59" i="1"/>
  <c r="T59" i="1" s="1"/>
  <c r="D59" i="1"/>
  <c r="J59" i="1" s="1"/>
  <c r="R58" i="1"/>
  <c r="T58" i="1" s="1"/>
  <c r="U58" i="1" s="1"/>
  <c r="K58" i="1"/>
  <c r="J58" i="1"/>
  <c r="R57" i="1"/>
  <c r="K57" i="1"/>
  <c r="J57" i="1"/>
  <c r="R56" i="1"/>
  <c r="R55" i="1"/>
  <c r="R54" i="1"/>
  <c r="S54" i="1" s="1"/>
  <c r="K54" i="1"/>
  <c r="J54" i="1"/>
  <c r="R53" i="1"/>
  <c r="T53" i="1" s="1"/>
  <c r="U53" i="1" s="1"/>
  <c r="K53" i="1"/>
  <c r="J53" i="1"/>
  <c r="R52" i="1"/>
  <c r="S52" i="1" s="1"/>
  <c r="K52" i="1"/>
  <c r="J52" i="1"/>
  <c r="R51" i="1"/>
  <c r="T51" i="1" s="1"/>
  <c r="U51" i="1" s="1"/>
  <c r="K51" i="1"/>
  <c r="J51" i="1"/>
  <c r="R50" i="1"/>
  <c r="S50" i="1" s="1"/>
  <c r="K50" i="1"/>
  <c r="J50" i="1"/>
  <c r="R49" i="1"/>
  <c r="T49" i="1" s="1"/>
  <c r="U49" i="1" s="1"/>
  <c r="K49" i="1"/>
  <c r="J49" i="1"/>
  <c r="R48" i="1"/>
  <c r="S48" i="1" s="1"/>
  <c r="K48" i="1"/>
  <c r="R47" i="1"/>
  <c r="D47" i="1"/>
  <c r="K47" i="1" s="1"/>
  <c r="R46" i="1"/>
  <c r="S46" i="1" s="1"/>
  <c r="K46" i="1"/>
  <c r="J46" i="1"/>
  <c r="R45" i="1"/>
  <c r="R44" i="1"/>
  <c r="R43" i="1"/>
  <c r="S43" i="1" s="1"/>
  <c r="K43" i="1"/>
  <c r="J43" i="1"/>
  <c r="R41" i="1"/>
  <c r="T41" i="1" s="1"/>
  <c r="U41" i="1" s="1"/>
  <c r="K41" i="1"/>
  <c r="R40" i="1"/>
  <c r="S40" i="1" s="1"/>
  <c r="K40" i="1"/>
  <c r="R39" i="1"/>
  <c r="T39" i="1" s="1"/>
  <c r="K39" i="1"/>
  <c r="R38" i="1"/>
  <c r="S38" i="1" s="1"/>
  <c r="K38" i="1"/>
  <c r="R37" i="1"/>
  <c r="T37" i="1" s="1"/>
  <c r="R35" i="1"/>
  <c r="S35" i="1" s="1"/>
  <c r="K35" i="1"/>
  <c r="J35" i="1"/>
  <c r="R34" i="1"/>
  <c r="T34" i="1" s="1"/>
  <c r="U34" i="1" s="1"/>
  <c r="D34" i="1"/>
  <c r="J34" i="1" s="1"/>
  <c r="R33" i="1"/>
  <c r="T33" i="1" s="1"/>
  <c r="D33" i="1"/>
  <c r="J33" i="1" s="1"/>
  <c r="R32" i="1"/>
  <c r="T32" i="1" s="1"/>
  <c r="D32" i="1"/>
  <c r="J32" i="1" s="1"/>
  <c r="R31" i="1"/>
  <c r="T31" i="1" s="1"/>
  <c r="U31" i="1" s="1"/>
  <c r="K31" i="1"/>
  <c r="J31" i="1"/>
  <c r="R30" i="1"/>
  <c r="S30" i="1" s="1"/>
  <c r="K30" i="1"/>
  <c r="J30" i="1"/>
  <c r="D28" i="1"/>
  <c r="R27" i="1"/>
  <c r="S27" i="1" s="1"/>
  <c r="K27" i="1"/>
  <c r="J27" i="1"/>
  <c r="H27" i="1"/>
  <c r="I27" i="1" s="1"/>
  <c r="R26" i="1"/>
  <c r="T26" i="1" s="1"/>
  <c r="U26" i="1" s="1"/>
  <c r="K26" i="1"/>
  <c r="J26" i="1"/>
  <c r="I26" i="1"/>
  <c r="R25" i="1"/>
  <c r="T25" i="1" s="1"/>
  <c r="U25" i="1" s="1"/>
  <c r="K25" i="1"/>
  <c r="J25" i="1"/>
  <c r="I25" i="1"/>
  <c r="R24" i="1"/>
  <c r="T24" i="1" s="1"/>
  <c r="U24" i="1" s="1"/>
  <c r="K24" i="1"/>
  <c r="J24" i="1"/>
  <c r="I24" i="1"/>
  <c r="D22" i="1"/>
  <c r="R21" i="1"/>
  <c r="S21" i="1" s="1"/>
  <c r="K21" i="1"/>
  <c r="J21" i="1"/>
  <c r="H21" i="1"/>
  <c r="I21" i="1" s="1"/>
  <c r="R20" i="1"/>
  <c r="T20" i="1" s="1"/>
  <c r="U20" i="1" s="1"/>
  <c r="K20" i="1"/>
  <c r="J20" i="1"/>
  <c r="H20" i="1"/>
  <c r="I20" i="1" s="1"/>
  <c r="R19" i="1"/>
  <c r="S19" i="1" s="1"/>
  <c r="K19" i="1"/>
  <c r="J19" i="1"/>
  <c r="H19" i="1"/>
  <c r="I19" i="1" s="1"/>
  <c r="R18" i="1"/>
  <c r="T18" i="1" s="1"/>
  <c r="U18" i="1" s="1"/>
  <c r="K18" i="1"/>
  <c r="J18" i="1"/>
  <c r="H18" i="1"/>
  <c r="I18" i="1" s="1"/>
  <c r="R17" i="1"/>
  <c r="S17" i="1" s="1"/>
  <c r="K17" i="1"/>
  <c r="J17" i="1"/>
  <c r="H17" i="1"/>
  <c r="I17" i="1" s="1"/>
  <c r="R16" i="1"/>
  <c r="T16" i="1" s="1"/>
  <c r="U16" i="1" s="1"/>
  <c r="K16" i="1"/>
  <c r="J16" i="1"/>
  <c r="H16" i="1"/>
  <c r="I16" i="1" s="1"/>
  <c r="R15" i="1"/>
  <c r="S15" i="1" s="1"/>
  <c r="K15" i="1"/>
  <c r="J15" i="1"/>
  <c r="H15" i="1"/>
  <c r="I15" i="1" s="1"/>
  <c r="R14" i="1"/>
  <c r="T14" i="1" s="1"/>
  <c r="U14" i="1" s="1"/>
  <c r="K14" i="1"/>
  <c r="J14" i="1"/>
  <c r="H14" i="1"/>
  <c r="I14" i="1" s="1"/>
  <c r="R13" i="1"/>
  <c r="S13" i="1" s="1"/>
  <c r="K13" i="1"/>
  <c r="J13" i="1"/>
  <c r="H13" i="1"/>
  <c r="I13" i="1" s="1"/>
  <c r="R12" i="1"/>
  <c r="K12" i="1"/>
  <c r="J12" i="1"/>
  <c r="H12" i="1"/>
  <c r="I12" i="1" s="1"/>
  <c r="T27" i="1" l="1"/>
  <c r="U27" i="1" s="1"/>
  <c r="U32" i="1"/>
  <c r="U59" i="1"/>
  <c r="S12" i="1"/>
  <c r="T12" i="1"/>
  <c r="U12" i="1" s="1"/>
  <c r="J28" i="1"/>
  <c r="N28" i="1" s="1"/>
  <c r="S18" i="1"/>
  <c r="S24" i="1"/>
  <c r="U28" i="1"/>
  <c r="V28" i="1" s="1"/>
  <c r="K22" i="1"/>
  <c r="U63" i="1"/>
  <c r="S20" i="1"/>
  <c r="S26" i="1"/>
  <c r="S31" i="1"/>
  <c r="S53" i="1"/>
  <c r="U61" i="1"/>
  <c r="S25" i="1"/>
  <c r="R79" i="1"/>
  <c r="S102" i="1"/>
  <c r="S14" i="1"/>
  <c r="S16" i="1"/>
  <c r="K28" i="1"/>
  <c r="K33" i="1"/>
  <c r="S33" i="1"/>
  <c r="S47" i="1"/>
  <c r="K75" i="1"/>
  <c r="K76" i="1"/>
  <c r="S78" i="1"/>
  <c r="K92" i="1"/>
  <c r="K93" i="1"/>
  <c r="K32" i="1"/>
  <c r="S32" i="1"/>
  <c r="U33" i="1"/>
  <c r="K34" i="1"/>
  <c r="S34" i="1"/>
  <c r="M35" i="1"/>
  <c r="K59" i="1"/>
  <c r="K61" i="1"/>
  <c r="K62" i="1"/>
  <c r="K63" i="1"/>
  <c r="S65" i="1"/>
  <c r="U75" i="1"/>
  <c r="U76" i="1"/>
  <c r="T90" i="1"/>
  <c r="U90" i="1" s="1"/>
  <c r="U92" i="1"/>
  <c r="U93" i="1"/>
  <c r="D96" i="1"/>
  <c r="D105" i="1" s="1"/>
  <c r="S87" i="1"/>
  <c r="S92" i="1"/>
  <c r="J102" i="1"/>
  <c r="T77" i="1"/>
  <c r="U77" i="1" s="1"/>
  <c r="T43" i="1"/>
  <c r="U43" i="1" s="1"/>
  <c r="S61" i="1"/>
  <c r="S72" i="1"/>
  <c r="T86" i="1"/>
  <c r="U86" i="1" s="1"/>
  <c r="S89" i="1"/>
  <c r="S91" i="1"/>
  <c r="S93" i="1"/>
  <c r="S49" i="1"/>
  <c r="S59" i="1"/>
  <c r="S63" i="1"/>
  <c r="S70" i="1"/>
  <c r="S75" i="1"/>
  <c r="K55" i="1"/>
  <c r="S51" i="1"/>
  <c r="S58" i="1"/>
  <c r="S60" i="1"/>
  <c r="S62" i="1"/>
  <c r="T64" i="1"/>
  <c r="U64" i="1" s="1"/>
  <c r="S68" i="1"/>
  <c r="T71" i="1"/>
  <c r="U71" i="1" s="1"/>
  <c r="S74" i="1"/>
  <c r="S76" i="1"/>
  <c r="L35" i="1"/>
  <c r="N35" i="1" s="1"/>
  <c r="M41" i="1"/>
  <c r="K37" i="1"/>
  <c r="J37" i="1"/>
  <c r="U37" i="1"/>
  <c r="J39" i="1"/>
  <c r="U39" i="1"/>
  <c r="J41" i="1"/>
  <c r="S41" i="1"/>
  <c r="J22" i="1"/>
  <c r="T13" i="1"/>
  <c r="U13" i="1" s="1"/>
  <c r="T15" i="1"/>
  <c r="U15" i="1" s="1"/>
  <c r="T17" i="1"/>
  <c r="U17" i="1" s="1"/>
  <c r="T19" i="1"/>
  <c r="U19" i="1" s="1"/>
  <c r="T21" i="1"/>
  <c r="U21" i="1" s="1"/>
  <c r="T30" i="1"/>
  <c r="U30" i="1" s="1"/>
  <c r="U35" i="1"/>
  <c r="S37" i="1"/>
  <c r="J38" i="1"/>
  <c r="T38" i="1"/>
  <c r="U38" i="1" s="1"/>
  <c r="S39" i="1"/>
  <c r="J40" i="1"/>
  <c r="T40" i="1"/>
  <c r="U40" i="1" s="1"/>
  <c r="D44" i="1"/>
  <c r="T46" i="1"/>
  <c r="U46" i="1" s="1"/>
  <c r="J47" i="1"/>
  <c r="T47" i="1"/>
  <c r="U47" i="1" s="1"/>
  <c r="J48" i="1"/>
  <c r="T48" i="1"/>
  <c r="U48" i="1" s="1"/>
  <c r="T50" i="1"/>
  <c r="U50" i="1" s="1"/>
  <c r="T52" i="1"/>
  <c r="U52" i="1" s="1"/>
  <c r="T54" i="1"/>
  <c r="U54" i="1" s="1"/>
  <c r="D55" i="1"/>
  <c r="M55" i="1" s="1"/>
  <c r="T57" i="1"/>
  <c r="U57" i="1" s="1"/>
  <c r="J67" i="1"/>
  <c r="U67" i="1"/>
  <c r="D79" i="1"/>
  <c r="M79" i="1" s="1"/>
  <c r="S57" i="1"/>
  <c r="T66" i="1"/>
  <c r="U66" i="1" s="1"/>
  <c r="S67" i="1"/>
  <c r="T69" i="1"/>
  <c r="U69" i="1" s="1"/>
  <c r="T73" i="1"/>
  <c r="U73" i="1" s="1"/>
  <c r="J78" i="1"/>
  <c r="T78" i="1"/>
  <c r="U78" i="1" s="1"/>
  <c r="J96" i="1"/>
  <c r="J105" i="1" s="1"/>
  <c r="T88" i="1"/>
  <c r="U88" i="1" s="1"/>
  <c r="T94" i="1"/>
  <c r="U94" i="1" s="1"/>
  <c r="T95" i="1"/>
  <c r="U95" i="1" s="1"/>
  <c r="T97" i="1"/>
  <c r="U97" i="1" s="1"/>
  <c r="T98" i="1"/>
  <c r="U98" i="1" s="1"/>
  <c r="T99" i="1"/>
  <c r="U99" i="1" s="1"/>
  <c r="T100" i="1"/>
  <c r="U100" i="1" s="1"/>
  <c r="T101" i="1"/>
  <c r="U101" i="1" s="1"/>
  <c r="T103" i="1"/>
  <c r="U103" i="1" s="1"/>
  <c r="U104" i="1" s="1"/>
  <c r="K79" i="1" l="1"/>
  <c r="K44" i="1"/>
  <c r="S28" i="1"/>
  <c r="S55" i="1"/>
  <c r="U22" i="1"/>
  <c r="V22" i="1" s="1"/>
  <c r="S22" i="1"/>
  <c r="S96" i="1"/>
  <c r="S105" i="1" s="1"/>
  <c r="U96" i="1"/>
  <c r="S44" i="1"/>
  <c r="J79" i="1"/>
  <c r="L79" i="1" s="1"/>
  <c r="D80" i="1"/>
  <c r="J55" i="1"/>
  <c r="N55" i="1" s="1"/>
  <c r="S79" i="1"/>
  <c r="U44" i="1"/>
  <c r="V44" i="1" s="1"/>
  <c r="N22" i="1"/>
  <c r="U102" i="1"/>
  <c r="U105" i="1" s="1"/>
  <c r="U79" i="1"/>
  <c r="V79" i="1" s="1"/>
  <c r="U55" i="1"/>
  <c r="V55" i="1" s="1"/>
  <c r="L41" i="1"/>
  <c r="N41" i="1" s="1"/>
  <c r="J44" i="1"/>
  <c r="L44" i="1" s="1"/>
  <c r="N79" i="1" l="1"/>
  <c r="K80" i="1"/>
  <c r="K81" i="1" s="1"/>
  <c r="L55" i="1"/>
  <c r="S80" i="1"/>
  <c r="M80" i="1"/>
  <c r="J80" i="1"/>
  <c r="U80" i="1"/>
  <c r="S83" i="1" l="1"/>
  <c r="V80" i="1"/>
  <c r="J81" i="1"/>
  <c r="J82" i="1" s="1"/>
  <c r="N80" i="1"/>
  <c r="L80" i="1"/>
</calcChain>
</file>

<file path=xl/sharedStrings.xml><?xml version="1.0" encoding="utf-8"?>
<sst xmlns="http://schemas.openxmlformats.org/spreadsheetml/2006/main" count="136" uniqueCount="66">
  <si>
    <t>REPÚBLICA DE COLOMBIA</t>
  </si>
  <si>
    <t>Salario Mínimo Legal</t>
  </si>
  <si>
    <t>DEPARTAMENTO ADMINISTRATIVO PARA LA PROSPERIDAD SOCIAL</t>
  </si>
  <si>
    <t>Base B.S.P.</t>
  </si>
  <si>
    <t>&lt; 50% Y &gt; 35%</t>
  </si>
  <si>
    <t>INSTITUTO COLOMBIANO DE BIENESTAR FAMILIAR</t>
  </si>
  <si>
    <t>Base de Alimentación</t>
  </si>
  <si>
    <t>DIRECCIÓN DE GESTIÓN HUMANA</t>
  </si>
  <si>
    <t>Subsidio de Ailimentación</t>
  </si>
  <si>
    <t>Auxilio de Transportes</t>
  </si>
  <si>
    <t>PLANTA DE PERSONAL DEL ICBF</t>
  </si>
  <si>
    <t>Incremento SMMLV</t>
  </si>
  <si>
    <t>Denominacón del Cargo</t>
  </si>
  <si>
    <t>Código</t>
  </si>
  <si>
    <t>Grado</t>
  </si>
  <si>
    <t>Total Empleos</t>
  </si>
  <si>
    <t>Gastos de Reepresentacion</t>
  </si>
  <si>
    <t>Prima Técnica Cargo</t>
  </si>
  <si>
    <t>Total Mensual</t>
  </si>
  <si>
    <t>Asignación Básica Mensual Planta</t>
  </si>
  <si>
    <t>SUELDOS AÑO</t>
  </si>
  <si>
    <t>SUELDOS  CON TRANSFERENCIAS</t>
  </si>
  <si>
    <t>FACTOR PRESTACIONAL</t>
  </si>
  <si>
    <t>AÑO</t>
  </si>
  <si>
    <t>PROMEDIO MES</t>
  </si>
  <si>
    <t>COSTO MES TOTAL CARGOS</t>
  </si>
  <si>
    <t>PROMEDIO MES NIVEL</t>
  </si>
  <si>
    <t>Nivel Directivo</t>
  </si>
  <si>
    <t>DIRECTOR GENERAL</t>
  </si>
  <si>
    <t>0015</t>
  </si>
  <si>
    <t xml:space="preserve">SECRETARIO GENERAL </t>
  </si>
  <si>
    <t>0037</t>
  </si>
  <si>
    <t>SUBDIRECTOR GENERAL</t>
  </si>
  <si>
    <t>0040</t>
  </si>
  <si>
    <t>DIRECTOR REGIONAL</t>
  </si>
  <si>
    <t>0042</t>
  </si>
  <si>
    <t>DIRECTOR TECNICO</t>
  </si>
  <si>
    <t>0100</t>
  </si>
  <si>
    <t>SUBDIRECTOR TECNICO</t>
  </si>
  <si>
    <t>0150</t>
  </si>
  <si>
    <t>JEFE DE OFICINA</t>
  </si>
  <si>
    <t>0137</t>
  </si>
  <si>
    <t>Subtotal</t>
  </si>
  <si>
    <t>Nivel Asesor</t>
  </si>
  <si>
    <t>ASESOR</t>
  </si>
  <si>
    <t>JEFE DE OFICINA ASESORA DE JURIDICA YDE COMUNICACIONES</t>
  </si>
  <si>
    <t>Nivel Profesional</t>
  </si>
  <si>
    <t>PROFESIONAL ESPECIALIZADO</t>
  </si>
  <si>
    <t>PROFESIONAL UNIVERSITARIO</t>
  </si>
  <si>
    <t>DEFENSOR DE FAMILIA</t>
  </si>
  <si>
    <t>Nivel Técnico</t>
  </si>
  <si>
    <t>TECNICO ADMINISTRATIVO</t>
  </si>
  <si>
    <t>Nivel Asistencial</t>
  </si>
  <si>
    <t>AUXILIAR ADMINISTRATIVO</t>
  </si>
  <si>
    <t>CONDUCTOR MECANICO</t>
  </si>
  <si>
    <t>SECRETARIO</t>
  </si>
  <si>
    <t>SECRETARIO EJECUTIVO</t>
  </si>
  <si>
    <t>Total</t>
  </si>
  <si>
    <t>GMF</t>
  </si>
  <si>
    <t>PLANTA TEMPORAL</t>
  </si>
  <si>
    <t>(Decreto 2138 del 22 de DIC de 2016)</t>
  </si>
  <si>
    <t>Total Planta Temporal</t>
  </si>
  <si>
    <t>(Dto 03265 del 2002; 1020 de 2003; 1359 2-05-2006; 1853 25-05-07; 423 14-05-2008; 4482 18-11-2009; 118 21-01-2010; 0988 14-05-2012 ; 1928 6-09-13; 1479 de 4-09-2017 y 2489 de 2006)</t>
  </si>
  <si>
    <t>Decreto No. 1011 de 06 de Junio de 2019</t>
  </si>
  <si>
    <t>Asignación Básica Mensual
Incremento 4,50%</t>
  </si>
  <si>
    <t>PPTO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</si>
</sst>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7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3" fontId="2" fillId="0" borderId="1" xfId="2" applyNumberFormat="1" applyFont="1" applyBorder="1"/>
    <xf numFmtId="0" fontId="2" fillId="0" borderId="0" xfId="2" applyFont="1" applyAlignment="1">
      <alignment horizontal="center"/>
    </xf>
    <xf numFmtId="0" fontId="1" fillId="0" borderId="0" xfId="2"/>
    <xf numFmtId="3" fontId="1" fillId="0" borderId="0" xfId="2" applyNumberFormat="1"/>
    <xf numFmtId="3" fontId="1" fillId="0" borderId="0" xfId="2" applyNumberFormat="1" applyAlignment="1">
      <alignment horizontal="left" indent="4"/>
    </xf>
    <xf numFmtId="3" fontId="2" fillId="0" borderId="1" xfId="2" applyNumberFormat="1" applyFont="1" applyBorder="1" applyAlignment="1">
      <alignment vertical="center"/>
    </xf>
    <xf numFmtId="3" fontId="2" fillId="0" borderId="1" xfId="2" applyNumberFormat="1" applyFont="1" applyBorder="1" applyAlignment="1">
      <alignment horizontal="center"/>
    </xf>
    <xf numFmtId="3" fontId="2" fillId="0" borderId="0" xfId="2" applyNumberFormat="1" applyFont="1"/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Border="1"/>
    <xf numFmtId="0" fontId="3" fillId="0" borderId="0" xfId="2" applyFont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0" fontId="1" fillId="0" borderId="0" xfId="2" applyFont="1" applyBorder="1" applyAlignment="1">
      <alignment vertical="center"/>
    </xf>
    <xf numFmtId="1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0" fontId="4" fillId="2" borderId="1" xfId="2" applyNumberFormat="1" applyFont="1" applyFill="1" applyBorder="1" applyAlignment="1">
      <alignment horizontal="center"/>
    </xf>
    <xf numFmtId="0" fontId="1" fillId="0" borderId="1" xfId="2" applyFont="1" applyBorder="1"/>
    <xf numFmtId="3" fontId="1" fillId="0" borderId="1" xfId="2" applyNumberFormat="1" applyBorder="1"/>
    <xf numFmtId="0" fontId="2" fillId="0" borderId="1" xfId="2" applyFont="1" applyBorder="1"/>
    <xf numFmtId="0" fontId="1" fillId="0" borderId="1" xfId="2" applyBorder="1"/>
    <xf numFmtId="1" fontId="2" fillId="0" borderId="1" xfId="2" applyNumberFormat="1" applyFont="1" applyBorder="1" applyAlignment="1"/>
    <xf numFmtId="3" fontId="2" fillId="0" borderId="1" xfId="2" applyNumberFormat="1" applyFont="1" applyBorder="1" applyAlignment="1"/>
    <xf numFmtId="3" fontId="2" fillId="0" borderId="2" xfId="2" applyNumberFormat="1" applyFont="1" applyBorder="1" applyAlignment="1"/>
    <xf numFmtId="4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 applyProtection="1">
      <alignment horizontal="left"/>
    </xf>
    <xf numFmtId="1" fontId="3" fillId="0" borderId="1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 applyProtection="1"/>
    <xf numFmtId="3" fontId="3" fillId="0" borderId="1" xfId="2" applyNumberFormat="1" applyFont="1" applyBorder="1"/>
    <xf numFmtId="3" fontId="4" fillId="0" borderId="1" xfId="2" applyNumberFormat="1" applyFont="1" applyBorder="1"/>
    <xf numFmtId="0" fontId="2" fillId="0" borderId="0" xfId="2" applyFont="1" applyAlignment="1"/>
    <xf numFmtId="3" fontId="2" fillId="0" borderId="0" xfId="2" applyNumberFormat="1" applyFont="1" applyAlignment="1">
      <alignment horizontal="center"/>
    </xf>
    <xf numFmtId="3" fontId="2" fillId="0" borderId="0" xfId="2" applyNumberFormat="1" applyFont="1" applyBorder="1" applyAlignment="1">
      <alignment horizontal="center"/>
    </xf>
    <xf numFmtId="3" fontId="2" fillId="0" borderId="0" xfId="2" applyNumberFormat="1" applyFont="1" applyAlignment="1"/>
    <xf numFmtId="3" fontId="3" fillId="0" borderId="0" xfId="2" applyNumberFormat="1" applyFont="1" applyBorder="1" applyAlignment="1">
      <alignment horizontal="center"/>
    </xf>
    <xf numFmtId="3" fontId="3" fillId="3" borderId="1" xfId="2" applyNumberFormat="1" applyFont="1" applyFill="1" applyBorder="1"/>
    <xf numFmtId="0" fontId="2" fillId="0" borderId="1" xfId="2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1" fillId="0" borderId="1" xfId="2" applyBorder="1" applyAlignment="1"/>
    <xf numFmtId="0" fontId="1" fillId="0" borderId="0" xfId="2" applyAlignment="1"/>
    <xf numFmtId="3" fontId="1" fillId="0" borderId="0" xfId="2" applyNumberFormat="1" applyAlignment="1">
      <alignment horizontal="center"/>
    </xf>
    <xf numFmtId="3" fontId="1" fillId="0" borderId="0" xfId="2" applyNumberFormat="1" applyAlignment="1"/>
    <xf numFmtId="3" fontId="1" fillId="0" borderId="1" xfId="2" applyNumberFormat="1" applyFont="1" applyBorder="1"/>
    <xf numFmtId="3" fontId="1" fillId="0" borderId="1" xfId="2" applyNumberFormat="1" applyFont="1" applyBorder="1" applyAlignment="1"/>
    <xf numFmtId="3" fontId="3" fillId="4" borderId="0" xfId="2" applyNumberFormat="1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right"/>
    </xf>
    <xf numFmtId="1" fontId="5" fillId="0" borderId="1" xfId="2" applyNumberFormat="1" applyFont="1" applyBorder="1" applyAlignment="1"/>
    <xf numFmtId="3" fontId="5" fillId="0" borderId="1" xfId="2" applyNumberFormat="1" applyFont="1" applyBorder="1" applyAlignment="1">
      <alignment horizontal="center"/>
    </xf>
    <xf numFmtId="1" fontId="6" fillId="0" borderId="1" xfId="2" applyNumberFormat="1" applyFont="1" applyBorder="1" applyAlignment="1"/>
    <xf numFmtId="3" fontId="6" fillId="0" borderId="1" xfId="2" applyNumberFormat="1" applyFont="1" applyBorder="1" applyAlignment="1">
      <alignment horizontal="center"/>
    </xf>
    <xf numFmtId="1" fontId="5" fillId="0" borderId="1" xfId="2" applyNumberFormat="1" applyFont="1" applyBorder="1" applyAlignment="1" applyProtection="1"/>
    <xf numFmtId="1" fontId="6" fillId="0" borderId="1" xfId="2" applyNumberFormat="1" applyFont="1" applyBorder="1" applyAlignment="1" applyProtection="1"/>
    <xf numFmtId="3" fontId="5" fillId="0" borderId="1" xfId="2" applyNumberFormat="1" applyFont="1" applyBorder="1" applyAlignment="1"/>
    <xf numFmtId="0" fontId="5" fillId="0" borderId="1" xfId="2" applyFont="1" applyBorder="1"/>
    <xf numFmtId="3" fontId="6" fillId="0" borderId="1" xfId="2" applyNumberFormat="1" applyFont="1" applyBorder="1"/>
    <xf numFmtId="3" fontId="3" fillId="0" borderId="3" xfId="2" applyNumberFormat="1" applyFont="1" applyBorder="1" applyAlignment="1">
      <alignment horizontal="center" vertical="center" wrapText="1"/>
    </xf>
    <xf numFmtId="3" fontId="3" fillId="0" borderId="3" xfId="2" applyNumberFormat="1" applyFont="1" applyBorder="1" applyAlignment="1">
      <alignment horizontal="center"/>
    </xf>
    <xf numFmtId="3" fontId="2" fillId="0" borderId="2" xfId="2" applyNumberFormat="1" applyFont="1" applyBorder="1"/>
    <xf numFmtId="0" fontId="2" fillId="0" borderId="1" xfId="2" applyFont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center" vertical="center" textRotation="90" wrapText="1"/>
    </xf>
    <xf numFmtId="0" fontId="1" fillId="0" borderId="0" xfId="2" applyFont="1"/>
    <xf numFmtId="4" fontId="1" fillId="0" borderId="1" xfId="2" applyNumberFormat="1" applyFont="1" applyBorder="1" applyAlignment="1">
      <alignment horizontal="center"/>
    </xf>
    <xf numFmtId="4" fontId="4" fillId="0" borderId="1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gbog90\d\DOCUME~1\J0ZAMB~1\CONFIG~1\Temp\P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ber.garcia/AppData/Roaming/Microsoft/Excel/PLANTA-2008/AMPLIACION%20PLANTA/DATOS_COSTOS-SUPERNUMERARIOS-401_CUPOS-19-08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mFuncionario"/>
      <sheetName val="ActividadRE"/>
      <sheetName val="DeseanCapacitacionEn"/>
      <sheetName val="Empresa"/>
      <sheetName val="EstadoMadCabFamilia"/>
      <sheetName val="Funcionario"/>
      <sheetName val="GruporUPS"/>
      <sheetName val="Indemnizacion"/>
      <sheetName val="InfLaboral"/>
      <sheetName val="LimitacionAuditiva"/>
      <sheetName val="LimitacionFisicaOMental"/>
      <sheetName val="LimitacionVisual"/>
      <sheetName val="MadreCabezaFamilia"/>
      <sheetName val="NivelEducacionBasica"/>
      <sheetName val="NivelEducacionSuperior"/>
      <sheetName val="PagoRE"/>
      <sheetName val="PMCL"/>
      <sheetName val="ProximoPension"/>
      <sheetName val="RECapacitacion"/>
      <sheetName val="REContPrivada"/>
      <sheetName val="Seguimiento"/>
      <sheetName val="TipoEmpres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_Super"/>
      <sheetName val="Planta_Super (2)"/>
      <sheetName val="Costo_401-Final-Año"/>
      <sheetName val="Costo_Final-14-10-09"/>
      <sheetName val="Resm-22-10-09"/>
      <sheetName val="Hoja17"/>
      <sheetName val="11-08-2009"/>
      <sheetName val="Costo_Final-Fase V"/>
      <sheetName val="Costo_Final-Fase VI"/>
      <sheetName val="Costo_Final-Asap_3-GRA-2 Y 5"/>
      <sheetName val="RESM_Costo-Supern-26-05-09"/>
      <sheetName val="RESM_Costo-Supern (4)"/>
      <sheetName val="RESM_Costo-Supern"/>
      <sheetName val="RESM_Costo-Supern (2)"/>
      <sheetName val="RESM_Costo-Supern (3)"/>
      <sheetName val="Costo_Final-Año-714"/>
      <sheetName val="Fase V_VI-Grad-15"/>
      <sheetName val="Fase V_VI-Grad-13-5"/>
      <sheetName val="Vlr_traslado-4-05-09"/>
      <sheetName val="DATOS-ESC-2-VAC-295_05-09"/>
      <sheetName val="RESM_COSTOS_ESC-1"/>
      <sheetName val="RESM_COSTOS_ESC-2"/>
      <sheetName val="COSTO_ASAP"/>
      <sheetName val="Incrementos_Salarial"/>
      <sheetName val="Historico-Supern"/>
      <sheetName val="Costo_Final-Seis Meses"/>
      <sheetName val="Costo_Final-Mes"/>
      <sheetName val="Costo_Final-Año"/>
      <sheetName val="Hoja6"/>
      <sheetName val="Hoja3"/>
      <sheetName val="Resm Cupo"/>
      <sheetName val="Resm Cupo (2)"/>
      <sheetName val="Hoja4"/>
      <sheetName val="Hoja2"/>
      <sheetName val="Equi-Psico-Costos-23-10-09"/>
      <sheetName val="Hoja7"/>
      <sheetName val="Hoja1"/>
      <sheetName val="Hoja8"/>
      <sheetName val="Hoja12"/>
      <sheetName val="Datos-seis M"/>
      <sheetName val="Hoja13"/>
      <sheetName val="20-01-2010"/>
      <sheetName val="Hoja11"/>
      <sheetName val="Hoja10"/>
      <sheetName val="Hoja14"/>
      <sheetName val="Hoja15"/>
      <sheetName val="Hoja9"/>
      <sheetName val="Resm_Dtos-Just-Vig_Fut-2010"/>
      <sheetName val="Hoja16 (2)"/>
      <sheetName val="Hoja7 (2)"/>
      <sheetName val="D_FAMILIA-244-30-DIAS"/>
      <sheetName val="Costo_Final-7-12-09"/>
      <sheetName val="Hoja16"/>
      <sheetName val="Hoja5"/>
      <sheetName val="Hoja18"/>
      <sheetName val="Hoja18 (2)"/>
      <sheetName val="Costo-Super-Proy140-23-03-2010"/>
      <sheetName val="Costo-Super-Sede Nal-23-03-10"/>
      <sheetName val="Resm-23-03-10"/>
      <sheetName val="Hoja22"/>
      <sheetName val="2-07-2010"/>
      <sheetName val="Costo_Nomina_30-06-10-Super"/>
      <sheetName val="Hoja23"/>
      <sheetName val="Hoja21"/>
      <sheetName val="Costo_Nomina_30-09-10-Super"/>
      <sheetName val="Hoja9 (2)"/>
      <sheetName val="Hoja9 (3)"/>
      <sheetName val="Traslados-Super-2010"/>
      <sheetName val="Hoja19"/>
      <sheetName val="Hoja20"/>
      <sheetName val="Hoja24"/>
      <sheetName val="Costo_Nomina_31-12-10-Super"/>
      <sheetName val="PROGRA-PAC-NOV-10"/>
      <sheetName val="Traslados-Super-2010-10-19"/>
      <sheetName val="2011"/>
      <sheetName val="Costos-325-2011"/>
      <sheetName val="Hoja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abSelected="1" zoomScaleNormal="100" workbookViewId="0">
      <selection activeCell="X15" sqref="X15"/>
    </sheetView>
  </sheetViews>
  <sheetFormatPr baseColWidth="10" defaultRowHeight="12.75" x14ac:dyDescent="0.2"/>
  <cols>
    <col min="1" max="1" width="19" style="51" customWidth="1"/>
    <col min="2" max="2" width="6.85546875" style="51" customWidth="1"/>
    <col min="3" max="3" width="6.140625" style="51" customWidth="1"/>
    <col min="4" max="4" width="7.85546875" style="53" bestFit="1" customWidth="1"/>
    <col min="5" max="5" width="10.28515625" style="5" customWidth="1"/>
    <col min="6" max="6" width="8.42578125" style="5" hidden="1" customWidth="1"/>
    <col min="7" max="7" width="8.7109375" style="5" hidden="1" customWidth="1"/>
    <col min="8" max="8" width="7.85546875" style="5" bestFit="1" customWidth="1"/>
    <col min="9" max="9" width="10.140625" style="5" bestFit="1" customWidth="1"/>
    <col min="10" max="10" width="13.42578125" style="5" customWidth="1"/>
    <col min="11" max="11" width="13.7109375" style="5" hidden="1" customWidth="1"/>
    <col min="12" max="12" width="12" style="1" hidden="1" customWidth="1"/>
    <col min="13" max="13" width="4.85546875" style="4" hidden="1" customWidth="1"/>
    <col min="14" max="14" width="7.85546875" style="1" hidden="1" customWidth="1"/>
    <col min="15" max="15" width="4.85546875" style="5" bestFit="1" customWidth="1"/>
    <col min="16" max="16" width="5.140625" style="5" bestFit="1" customWidth="1"/>
    <col min="17" max="17" width="5.42578125" style="72" customWidth="1"/>
    <col min="18" max="18" width="11.140625" style="6" hidden="1" customWidth="1"/>
    <col min="19" max="19" width="12.5703125" style="1" bestFit="1" customWidth="1"/>
    <col min="20" max="20" width="9" style="5" customWidth="1"/>
    <col min="21" max="21" width="11.7109375" style="5" hidden="1" customWidth="1"/>
    <col min="22" max="22" width="9.140625" style="5" hidden="1" customWidth="1"/>
    <col min="23" max="23" width="11.42578125" style="6" customWidth="1"/>
    <col min="24" max="30" width="11.42578125" style="5" customWidth="1"/>
    <col min="31" max="229" width="11.42578125" style="5"/>
    <col min="230" max="230" width="18" style="5" customWidth="1"/>
    <col min="231" max="231" width="6.85546875" style="5" customWidth="1"/>
    <col min="232" max="232" width="6.140625" style="5" customWidth="1"/>
    <col min="233" max="233" width="7.85546875" style="5" bestFit="1" customWidth="1"/>
    <col min="234" max="235" width="0" style="5" hidden="1" customWidth="1"/>
    <col min="236" max="236" width="10.5703125" style="5" customWidth="1"/>
    <col min="237" max="237" width="11.7109375" style="5" bestFit="1" customWidth="1"/>
    <col min="238" max="238" width="8.7109375" style="5" bestFit="1" customWidth="1"/>
    <col min="239" max="239" width="11.85546875" style="5" bestFit="1" customWidth="1"/>
    <col min="240" max="241" width="0" style="5" hidden="1" customWidth="1"/>
    <col min="242" max="242" width="5.7109375" style="5" customWidth="1"/>
    <col min="243" max="243" width="9" style="5" bestFit="1" customWidth="1"/>
    <col min="244" max="245" width="5.140625" style="5" bestFit="1" customWidth="1"/>
    <col min="246" max="246" width="5.140625" style="5" customWidth="1"/>
    <col min="247" max="248" width="0" style="5" hidden="1" customWidth="1"/>
    <col min="249" max="249" width="9" style="5" customWidth="1"/>
    <col min="250" max="260" width="0" style="5" hidden="1" customWidth="1"/>
    <col min="261" max="485" width="11.42578125" style="5"/>
    <col min="486" max="486" width="18" style="5" customWidth="1"/>
    <col min="487" max="487" width="6.85546875" style="5" customWidth="1"/>
    <col min="488" max="488" width="6.140625" style="5" customWidth="1"/>
    <col min="489" max="489" width="7.85546875" style="5" bestFit="1" customWidth="1"/>
    <col min="490" max="491" width="0" style="5" hidden="1" customWidth="1"/>
    <col min="492" max="492" width="10.5703125" style="5" customWidth="1"/>
    <col min="493" max="493" width="11.7109375" style="5" bestFit="1" customWidth="1"/>
    <col min="494" max="494" width="8.7109375" style="5" bestFit="1" customWidth="1"/>
    <col min="495" max="495" width="11.85546875" style="5" bestFit="1" customWidth="1"/>
    <col min="496" max="497" width="0" style="5" hidden="1" customWidth="1"/>
    <col min="498" max="498" width="5.7109375" style="5" customWidth="1"/>
    <col min="499" max="499" width="9" style="5" bestFit="1" customWidth="1"/>
    <col min="500" max="501" width="5.140625" style="5" bestFit="1" customWidth="1"/>
    <col min="502" max="502" width="5.140625" style="5" customWidth="1"/>
    <col min="503" max="504" width="0" style="5" hidden="1" customWidth="1"/>
    <col min="505" max="505" width="9" style="5" customWidth="1"/>
    <col min="506" max="516" width="0" style="5" hidden="1" customWidth="1"/>
    <col min="517" max="741" width="11.42578125" style="5"/>
    <col min="742" max="742" width="18" style="5" customWidth="1"/>
    <col min="743" max="743" width="6.85546875" style="5" customWidth="1"/>
    <col min="744" max="744" width="6.140625" style="5" customWidth="1"/>
    <col min="745" max="745" width="7.85546875" style="5" bestFit="1" customWidth="1"/>
    <col min="746" max="747" width="0" style="5" hidden="1" customWidth="1"/>
    <col min="748" max="748" width="10.5703125" style="5" customWidth="1"/>
    <col min="749" max="749" width="11.7109375" style="5" bestFit="1" customWidth="1"/>
    <col min="750" max="750" width="8.7109375" style="5" bestFit="1" customWidth="1"/>
    <col min="751" max="751" width="11.85546875" style="5" bestFit="1" customWidth="1"/>
    <col min="752" max="753" width="0" style="5" hidden="1" customWidth="1"/>
    <col min="754" max="754" width="5.7109375" style="5" customWidth="1"/>
    <col min="755" max="755" width="9" style="5" bestFit="1" customWidth="1"/>
    <col min="756" max="757" width="5.140625" style="5" bestFit="1" customWidth="1"/>
    <col min="758" max="758" width="5.140625" style="5" customWidth="1"/>
    <col min="759" max="760" width="0" style="5" hidden="1" customWidth="1"/>
    <col min="761" max="761" width="9" style="5" customWidth="1"/>
    <col min="762" max="772" width="0" style="5" hidden="1" customWidth="1"/>
    <col min="773" max="997" width="11.42578125" style="5"/>
    <col min="998" max="998" width="18" style="5" customWidth="1"/>
    <col min="999" max="999" width="6.85546875" style="5" customWidth="1"/>
    <col min="1000" max="1000" width="6.140625" style="5" customWidth="1"/>
    <col min="1001" max="1001" width="7.85546875" style="5" bestFit="1" customWidth="1"/>
    <col min="1002" max="1003" width="0" style="5" hidden="1" customWidth="1"/>
    <col min="1004" max="1004" width="10.5703125" style="5" customWidth="1"/>
    <col min="1005" max="1005" width="11.7109375" style="5" bestFit="1" customWidth="1"/>
    <col min="1006" max="1006" width="8.7109375" style="5" bestFit="1" customWidth="1"/>
    <col min="1007" max="1007" width="11.85546875" style="5" bestFit="1" customWidth="1"/>
    <col min="1008" max="1009" width="0" style="5" hidden="1" customWidth="1"/>
    <col min="1010" max="1010" width="5.7109375" style="5" customWidth="1"/>
    <col min="1011" max="1011" width="9" style="5" bestFit="1" customWidth="1"/>
    <col min="1012" max="1013" width="5.140625" style="5" bestFit="1" customWidth="1"/>
    <col min="1014" max="1014" width="5.140625" style="5" customWidth="1"/>
    <col min="1015" max="1016" width="0" style="5" hidden="1" customWidth="1"/>
    <col min="1017" max="1017" width="9" style="5" customWidth="1"/>
    <col min="1018" max="1028" width="0" style="5" hidden="1" customWidth="1"/>
    <col min="1029" max="1253" width="11.42578125" style="5"/>
    <col min="1254" max="1254" width="18" style="5" customWidth="1"/>
    <col min="1255" max="1255" width="6.85546875" style="5" customWidth="1"/>
    <col min="1256" max="1256" width="6.140625" style="5" customWidth="1"/>
    <col min="1257" max="1257" width="7.85546875" style="5" bestFit="1" customWidth="1"/>
    <col min="1258" max="1259" width="0" style="5" hidden="1" customWidth="1"/>
    <col min="1260" max="1260" width="10.5703125" style="5" customWidth="1"/>
    <col min="1261" max="1261" width="11.7109375" style="5" bestFit="1" customWidth="1"/>
    <col min="1262" max="1262" width="8.7109375" style="5" bestFit="1" customWidth="1"/>
    <col min="1263" max="1263" width="11.85546875" style="5" bestFit="1" customWidth="1"/>
    <col min="1264" max="1265" width="0" style="5" hidden="1" customWidth="1"/>
    <col min="1266" max="1266" width="5.7109375" style="5" customWidth="1"/>
    <col min="1267" max="1267" width="9" style="5" bestFit="1" customWidth="1"/>
    <col min="1268" max="1269" width="5.140625" style="5" bestFit="1" customWidth="1"/>
    <col min="1270" max="1270" width="5.140625" style="5" customWidth="1"/>
    <col min="1271" max="1272" width="0" style="5" hidden="1" customWidth="1"/>
    <col min="1273" max="1273" width="9" style="5" customWidth="1"/>
    <col min="1274" max="1284" width="0" style="5" hidden="1" customWidth="1"/>
    <col min="1285" max="1509" width="11.42578125" style="5"/>
    <col min="1510" max="1510" width="18" style="5" customWidth="1"/>
    <col min="1511" max="1511" width="6.85546875" style="5" customWidth="1"/>
    <col min="1512" max="1512" width="6.140625" style="5" customWidth="1"/>
    <col min="1513" max="1513" width="7.85546875" style="5" bestFit="1" customWidth="1"/>
    <col min="1514" max="1515" width="0" style="5" hidden="1" customWidth="1"/>
    <col min="1516" max="1516" width="10.5703125" style="5" customWidth="1"/>
    <col min="1517" max="1517" width="11.7109375" style="5" bestFit="1" customWidth="1"/>
    <col min="1518" max="1518" width="8.7109375" style="5" bestFit="1" customWidth="1"/>
    <col min="1519" max="1519" width="11.85546875" style="5" bestFit="1" customWidth="1"/>
    <col min="1520" max="1521" width="0" style="5" hidden="1" customWidth="1"/>
    <col min="1522" max="1522" width="5.7109375" style="5" customWidth="1"/>
    <col min="1523" max="1523" width="9" style="5" bestFit="1" customWidth="1"/>
    <col min="1524" max="1525" width="5.140625" style="5" bestFit="1" customWidth="1"/>
    <col min="1526" max="1526" width="5.140625" style="5" customWidth="1"/>
    <col min="1527" max="1528" width="0" style="5" hidden="1" customWidth="1"/>
    <col min="1529" max="1529" width="9" style="5" customWidth="1"/>
    <col min="1530" max="1540" width="0" style="5" hidden="1" customWidth="1"/>
    <col min="1541" max="1765" width="11.42578125" style="5"/>
    <col min="1766" max="1766" width="18" style="5" customWidth="1"/>
    <col min="1767" max="1767" width="6.85546875" style="5" customWidth="1"/>
    <col min="1768" max="1768" width="6.140625" style="5" customWidth="1"/>
    <col min="1769" max="1769" width="7.85546875" style="5" bestFit="1" customWidth="1"/>
    <col min="1770" max="1771" width="0" style="5" hidden="1" customWidth="1"/>
    <col min="1772" max="1772" width="10.5703125" style="5" customWidth="1"/>
    <col min="1773" max="1773" width="11.7109375" style="5" bestFit="1" customWidth="1"/>
    <col min="1774" max="1774" width="8.7109375" style="5" bestFit="1" customWidth="1"/>
    <col min="1775" max="1775" width="11.85546875" style="5" bestFit="1" customWidth="1"/>
    <col min="1776" max="1777" width="0" style="5" hidden="1" customWidth="1"/>
    <col min="1778" max="1778" width="5.7109375" style="5" customWidth="1"/>
    <col min="1779" max="1779" width="9" style="5" bestFit="1" customWidth="1"/>
    <col min="1780" max="1781" width="5.140625" style="5" bestFit="1" customWidth="1"/>
    <col min="1782" max="1782" width="5.140625" style="5" customWidth="1"/>
    <col min="1783" max="1784" width="0" style="5" hidden="1" customWidth="1"/>
    <col min="1785" max="1785" width="9" style="5" customWidth="1"/>
    <col min="1786" max="1796" width="0" style="5" hidden="1" customWidth="1"/>
    <col min="1797" max="2021" width="11.42578125" style="5"/>
    <col min="2022" max="2022" width="18" style="5" customWidth="1"/>
    <col min="2023" max="2023" width="6.85546875" style="5" customWidth="1"/>
    <col min="2024" max="2024" width="6.140625" style="5" customWidth="1"/>
    <col min="2025" max="2025" width="7.85546875" style="5" bestFit="1" customWidth="1"/>
    <col min="2026" max="2027" width="0" style="5" hidden="1" customWidth="1"/>
    <col min="2028" max="2028" width="10.5703125" style="5" customWidth="1"/>
    <col min="2029" max="2029" width="11.7109375" style="5" bestFit="1" customWidth="1"/>
    <col min="2030" max="2030" width="8.7109375" style="5" bestFit="1" customWidth="1"/>
    <col min="2031" max="2031" width="11.85546875" style="5" bestFit="1" customWidth="1"/>
    <col min="2032" max="2033" width="0" style="5" hidden="1" customWidth="1"/>
    <col min="2034" max="2034" width="5.7109375" style="5" customWidth="1"/>
    <col min="2035" max="2035" width="9" style="5" bestFit="1" customWidth="1"/>
    <col min="2036" max="2037" width="5.140625" style="5" bestFit="1" customWidth="1"/>
    <col min="2038" max="2038" width="5.140625" style="5" customWidth="1"/>
    <col min="2039" max="2040" width="0" style="5" hidden="1" customWidth="1"/>
    <col min="2041" max="2041" width="9" style="5" customWidth="1"/>
    <col min="2042" max="2052" width="0" style="5" hidden="1" customWidth="1"/>
    <col min="2053" max="2277" width="11.42578125" style="5"/>
    <col min="2278" max="2278" width="18" style="5" customWidth="1"/>
    <col min="2279" max="2279" width="6.85546875" style="5" customWidth="1"/>
    <col min="2280" max="2280" width="6.140625" style="5" customWidth="1"/>
    <col min="2281" max="2281" width="7.85546875" style="5" bestFit="1" customWidth="1"/>
    <col min="2282" max="2283" width="0" style="5" hidden="1" customWidth="1"/>
    <col min="2284" max="2284" width="10.5703125" style="5" customWidth="1"/>
    <col min="2285" max="2285" width="11.7109375" style="5" bestFit="1" customWidth="1"/>
    <col min="2286" max="2286" width="8.7109375" style="5" bestFit="1" customWidth="1"/>
    <col min="2287" max="2287" width="11.85546875" style="5" bestFit="1" customWidth="1"/>
    <col min="2288" max="2289" width="0" style="5" hidden="1" customWidth="1"/>
    <col min="2290" max="2290" width="5.7109375" style="5" customWidth="1"/>
    <col min="2291" max="2291" width="9" style="5" bestFit="1" customWidth="1"/>
    <col min="2292" max="2293" width="5.140625" style="5" bestFit="1" customWidth="1"/>
    <col min="2294" max="2294" width="5.140625" style="5" customWidth="1"/>
    <col min="2295" max="2296" width="0" style="5" hidden="1" customWidth="1"/>
    <col min="2297" max="2297" width="9" style="5" customWidth="1"/>
    <col min="2298" max="2308" width="0" style="5" hidden="1" customWidth="1"/>
    <col min="2309" max="2533" width="11.42578125" style="5"/>
    <col min="2534" max="2534" width="18" style="5" customWidth="1"/>
    <col min="2535" max="2535" width="6.85546875" style="5" customWidth="1"/>
    <col min="2536" max="2536" width="6.140625" style="5" customWidth="1"/>
    <col min="2537" max="2537" width="7.85546875" style="5" bestFit="1" customWidth="1"/>
    <col min="2538" max="2539" width="0" style="5" hidden="1" customWidth="1"/>
    <col min="2540" max="2540" width="10.5703125" style="5" customWidth="1"/>
    <col min="2541" max="2541" width="11.7109375" style="5" bestFit="1" customWidth="1"/>
    <col min="2542" max="2542" width="8.7109375" style="5" bestFit="1" customWidth="1"/>
    <col min="2543" max="2543" width="11.85546875" style="5" bestFit="1" customWidth="1"/>
    <col min="2544" max="2545" width="0" style="5" hidden="1" customWidth="1"/>
    <col min="2546" max="2546" width="5.7109375" style="5" customWidth="1"/>
    <col min="2547" max="2547" width="9" style="5" bestFit="1" customWidth="1"/>
    <col min="2548" max="2549" width="5.140625" style="5" bestFit="1" customWidth="1"/>
    <col min="2550" max="2550" width="5.140625" style="5" customWidth="1"/>
    <col min="2551" max="2552" width="0" style="5" hidden="1" customWidth="1"/>
    <col min="2553" max="2553" width="9" style="5" customWidth="1"/>
    <col min="2554" max="2564" width="0" style="5" hidden="1" customWidth="1"/>
    <col min="2565" max="2789" width="11.42578125" style="5"/>
    <col min="2790" max="2790" width="18" style="5" customWidth="1"/>
    <col min="2791" max="2791" width="6.85546875" style="5" customWidth="1"/>
    <col min="2792" max="2792" width="6.140625" style="5" customWidth="1"/>
    <col min="2793" max="2793" width="7.85546875" style="5" bestFit="1" customWidth="1"/>
    <col min="2794" max="2795" width="0" style="5" hidden="1" customWidth="1"/>
    <col min="2796" max="2796" width="10.5703125" style="5" customWidth="1"/>
    <col min="2797" max="2797" width="11.7109375" style="5" bestFit="1" customWidth="1"/>
    <col min="2798" max="2798" width="8.7109375" style="5" bestFit="1" customWidth="1"/>
    <col min="2799" max="2799" width="11.85546875" style="5" bestFit="1" customWidth="1"/>
    <col min="2800" max="2801" width="0" style="5" hidden="1" customWidth="1"/>
    <col min="2802" max="2802" width="5.7109375" style="5" customWidth="1"/>
    <col min="2803" max="2803" width="9" style="5" bestFit="1" customWidth="1"/>
    <col min="2804" max="2805" width="5.140625" style="5" bestFit="1" customWidth="1"/>
    <col min="2806" max="2806" width="5.140625" style="5" customWidth="1"/>
    <col min="2807" max="2808" width="0" style="5" hidden="1" customWidth="1"/>
    <col min="2809" max="2809" width="9" style="5" customWidth="1"/>
    <col min="2810" max="2820" width="0" style="5" hidden="1" customWidth="1"/>
    <col min="2821" max="3045" width="11.42578125" style="5"/>
    <col min="3046" max="3046" width="18" style="5" customWidth="1"/>
    <col min="3047" max="3047" width="6.85546875" style="5" customWidth="1"/>
    <col min="3048" max="3048" width="6.140625" style="5" customWidth="1"/>
    <col min="3049" max="3049" width="7.85546875" style="5" bestFit="1" customWidth="1"/>
    <col min="3050" max="3051" width="0" style="5" hidden="1" customWidth="1"/>
    <col min="3052" max="3052" width="10.5703125" style="5" customWidth="1"/>
    <col min="3053" max="3053" width="11.7109375" style="5" bestFit="1" customWidth="1"/>
    <col min="3054" max="3054" width="8.7109375" style="5" bestFit="1" customWidth="1"/>
    <col min="3055" max="3055" width="11.85546875" style="5" bestFit="1" customWidth="1"/>
    <col min="3056" max="3057" width="0" style="5" hidden="1" customWidth="1"/>
    <col min="3058" max="3058" width="5.7109375" style="5" customWidth="1"/>
    <col min="3059" max="3059" width="9" style="5" bestFit="1" customWidth="1"/>
    <col min="3060" max="3061" width="5.140625" style="5" bestFit="1" customWidth="1"/>
    <col min="3062" max="3062" width="5.140625" style="5" customWidth="1"/>
    <col min="3063" max="3064" width="0" style="5" hidden="1" customWidth="1"/>
    <col min="3065" max="3065" width="9" style="5" customWidth="1"/>
    <col min="3066" max="3076" width="0" style="5" hidden="1" customWidth="1"/>
    <col min="3077" max="3301" width="11.42578125" style="5"/>
    <col min="3302" max="3302" width="18" style="5" customWidth="1"/>
    <col min="3303" max="3303" width="6.85546875" style="5" customWidth="1"/>
    <col min="3304" max="3304" width="6.140625" style="5" customWidth="1"/>
    <col min="3305" max="3305" width="7.85546875" style="5" bestFit="1" customWidth="1"/>
    <col min="3306" max="3307" width="0" style="5" hidden="1" customWidth="1"/>
    <col min="3308" max="3308" width="10.5703125" style="5" customWidth="1"/>
    <col min="3309" max="3309" width="11.7109375" style="5" bestFit="1" customWidth="1"/>
    <col min="3310" max="3310" width="8.7109375" style="5" bestFit="1" customWidth="1"/>
    <col min="3311" max="3311" width="11.85546875" style="5" bestFit="1" customWidth="1"/>
    <col min="3312" max="3313" width="0" style="5" hidden="1" customWidth="1"/>
    <col min="3314" max="3314" width="5.7109375" style="5" customWidth="1"/>
    <col min="3315" max="3315" width="9" style="5" bestFit="1" customWidth="1"/>
    <col min="3316" max="3317" width="5.140625" style="5" bestFit="1" customWidth="1"/>
    <col min="3318" max="3318" width="5.140625" style="5" customWidth="1"/>
    <col min="3319" max="3320" width="0" style="5" hidden="1" customWidth="1"/>
    <col min="3321" max="3321" width="9" style="5" customWidth="1"/>
    <col min="3322" max="3332" width="0" style="5" hidden="1" customWidth="1"/>
    <col min="3333" max="3557" width="11.42578125" style="5"/>
    <col min="3558" max="3558" width="18" style="5" customWidth="1"/>
    <col min="3559" max="3559" width="6.85546875" style="5" customWidth="1"/>
    <col min="3560" max="3560" width="6.140625" style="5" customWidth="1"/>
    <col min="3561" max="3561" width="7.85546875" style="5" bestFit="1" customWidth="1"/>
    <col min="3562" max="3563" width="0" style="5" hidden="1" customWidth="1"/>
    <col min="3564" max="3564" width="10.5703125" style="5" customWidth="1"/>
    <col min="3565" max="3565" width="11.7109375" style="5" bestFit="1" customWidth="1"/>
    <col min="3566" max="3566" width="8.7109375" style="5" bestFit="1" customWidth="1"/>
    <col min="3567" max="3567" width="11.85546875" style="5" bestFit="1" customWidth="1"/>
    <col min="3568" max="3569" width="0" style="5" hidden="1" customWidth="1"/>
    <col min="3570" max="3570" width="5.7109375" style="5" customWidth="1"/>
    <col min="3571" max="3571" width="9" style="5" bestFit="1" customWidth="1"/>
    <col min="3572" max="3573" width="5.140625" style="5" bestFit="1" customWidth="1"/>
    <col min="3574" max="3574" width="5.140625" style="5" customWidth="1"/>
    <col min="3575" max="3576" width="0" style="5" hidden="1" customWidth="1"/>
    <col min="3577" max="3577" width="9" style="5" customWidth="1"/>
    <col min="3578" max="3588" width="0" style="5" hidden="1" customWidth="1"/>
    <col min="3589" max="3813" width="11.42578125" style="5"/>
    <col min="3814" max="3814" width="18" style="5" customWidth="1"/>
    <col min="3815" max="3815" width="6.85546875" style="5" customWidth="1"/>
    <col min="3816" max="3816" width="6.140625" style="5" customWidth="1"/>
    <col min="3817" max="3817" width="7.85546875" style="5" bestFit="1" customWidth="1"/>
    <col min="3818" max="3819" width="0" style="5" hidden="1" customWidth="1"/>
    <col min="3820" max="3820" width="10.5703125" style="5" customWidth="1"/>
    <col min="3821" max="3821" width="11.7109375" style="5" bestFit="1" customWidth="1"/>
    <col min="3822" max="3822" width="8.7109375" style="5" bestFit="1" customWidth="1"/>
    <col min="3823" max="3823" width="11.85546875" style="5" bestFit="1" customWidth="1"/>
    <col min="3824" max="3825" width="0" style="5" hidden="1" customWidth="1"/>
    <col min="3826" max="3826" width="5.7109375" style="5" customWidth="1"/>
    <col min="3827" max="3827" width="9" style="5" bestFit="1" customWidth="1"/>
    <col min="3828" max="3829" width="5.140625" style="5" bestFit="1" customWidth="1"/>
    <col min="3830" max="3830" width="5.140625" style="5" customWidth="1"/>
    <col min="3831" max="3832" width="0" style="5" hidden="1" customWidth="1"/>
    <col min="3833" max="3833" width="9" style="5" customWidth="1"/>
    <col min="3834" max="3844" width="0" style="5" hidden="1" customWidth="1"/>
    <col min="3845" max="4069" width="11.42578125" style="5"/>
    <col min="4070" max="4070" width="18" style="5" customWidth="1"/>
    <col min="4071" max="4071" width="6.85546875" style="5" customWidth="1"/>
    <col min="4072" max="4072" width="6.140625" style="5" customWidth="1"/>
    <col min="4073" max="4073" width="7.85546875" style="5" bestFit="1" customWidth="1"/>
    <col min="4074" max="4075" width="0" style="5" hidden="1" customWidth="1"/>
    <col min="4076" max="4076" width="10.5703125" style="5" customWidth="1"/>
    <col min="4077" max="4077" width="11.7109375" style="5" bestFit="1" customWidth="1"/>
    <col min="4078" max="4078" width="8.7109375" style="5" bestFit="1" customWidth="1"/>
    <col min="4079" max="4079" width="11.85546875" style="5" bestFit="1" customWidth="1"/>
    <col min="4080" max="4081" width="0" style="5" hidden="1" customWidth="1"/>
    <col min="4082" max="4082" width="5.7109375" style="5" customWidth="1"/>
    <col min="4083" max="4083" width="9" style="5" bestFit="1" customWidth="1"/>
    <col min="4084" max="4085" width="5.140625" style="5" bestFit="1" customWidth="1"/>
    <col min="4086" max="4086" width="5.140625" style="5" customWidth="1"/>
    <col min="4087" max="4088" width="0" style="5" hidden="1" customWidth="1"/>
    <col min="4089" max="4089" width="9" style="5" customWidth="1"/>
    <col min="4090" max="4100" width="0" style="5" hidden="1" customWidth="1"/>
    <col min="4101" max="4325" width="11.42578125" style="5"/>
    <col min="4326" max="4326" width="18" style="5" customWidth="1"/>
    <col min="4327" max="4327" width="6.85546875" style="5" customWidth="1"/>
    <col min="4328" max="4328" width="6.140625" style="5" customWidth="1"/>
    <col min="4329" max="4329" width="7.85546875" style="5" bestFit="1" customWidth="1"/>
    <col min="4330" max="4331" width="0" style="5" hidden="1" customWidth="1"/>
    <col min="4332" max="4332" width="10.5703125" style="5" customWidth="1"/>
    <col min="4333" max="4333" width="11.7109375" style="5" bestFit="1" customWidth="1"/>
    <col min="4334" max="4334" width="8.7109375" style="5" bestFit="1" customWidth="1"/>
    <col min="4335" max="4335" width="11.85546875" style="5" bestFit="1" customWidth="1"/>
    <col min="4336" max="4337" width="0" style="5" hidden="1" customWidth="1"/>
    <col min="4338" max="4338" width="5.7109375" style="5" customWidth="1"/>
    <col min="4339" max="4339" width="9" style="5" bestFit="1" customWidth="1"/>
    <col min="4340" max="4341" width="5.140625" style="5" bestFit="1" customWidth="1"/>
    <col min="4342" max="4342" width="5.140625" style="5" customWidth="1"/>
    <col min="4343" max="4344" width="0" style="5" hidden="1" customWidth="1"/>
    <col min="4345" max="4345" width="9" style="5" customWidth="1"/>
    <col min="4346" max="4356" width="0" style="5" hidden="1" customWidth="1"/>
    <col min="4357" max="4581" width="11.42578125" style="5"/>
    <col min="4582" max="4582" width="18" style="5" customWidth="1"/>
    <col min="4583" max="4583" width="6.85546875" style="5" customWidth="1"/>
    <col min="4584" max="4584" width="6.140625" style="5" customWidth="1"/>
    <col min="4585" max="4585" width="7.85546875" style="5" bestFit="1" customWidth="1"/>
    <col min="4586" max="4587" width="0" style="5" hidden="1" customWidth="1"/>
    <col min="4588" max="4588" width="10.5703125" style="5" customWidth="1"/>
    <col min="4589" max="4589" width="11.7109375" style="5" bestFit="1" customWidth="1"/>
    <col min="4590" max="4590" width="8.7109375" style="5" bestFit="1" customWidth="1"/>
    <col min="4591" max="4591" width="11.85546875" style="5" bestFit="1" customWidth="1"/>
    <col min="4592" max="4593" width="0" style="5" hidden="1" customWidth="1"/>
    <col min="4594" max="4594" width="5.7109375" style="5" customWidth="1"/>
    <col min="4595" max="4595" width="9" style="5" bestFit="1" customWidth="1"/>
    <col min="4596" max="4597" width="5.140625" style="5" bestFit="1" customWidth="1"/>
    <col min="4598" max="4598" width="5.140625" style="5" customWidth="1"/>
    <col min="4599" max="4600" width="0" style="5" hidden="1" customWidth="1"/>
    <col min="4601" max="4601" width="9" style="5" customWidth="1"/>
    <col min="4602" max="4612" width="0" style="5" hidden="1" customWidth="1"/>
    <col min="4613" max="4837" width="11.42578125" style="5"/>
    <col min="4838" max="4838" width="18" style="5" customWidth="1"/>
    <col min="4839" max="4839" width="6.85546875" style="5" customWidth="1"/>
    <col min="4840" max="4840" width="6.140625" style="5" customWidth="1"/>
    <col min="4841" max="4841" width="7.85546875" style="5" bestFit="1" customWidth="1"/>
    <col min="4842" max="4843" width="0" style="5" hidden="1" customWidth="1"/>
    <col min="4844" max="4844" width="10.5703125" style="5" customWidth="1"/>
    <col min="4845" max="4845" width="11.7109375" style="5" bestFit="1" customWidth="1"/>
    <col min="4846" max="4846" width="8.7109375" style="5" bestFit="1" customWidth="1"/>
    <col min="4847" max="4847" width="11.85546875" style="5" bestFit="1" customWidth="1"/>
    <col min="4848" max="4849" width="0" style="5" hidden="1" customWidth="1"/>
    <col min="4850" max="4850" width="5.7109375" style="5" customWidth="1"/>
    <col min="4851" max="4851" width="9" style="5" bestFit="1" customWidth="1"/>
    <col min="4852" max="4853" width="5.140625" style="5" bestFit="1" customWidth="1"/>
    <col min="4854" max="4854" width="5.140625" style="5" customWidth="1"/>
    <col min="4855" max="4856" width="0" style="5" hidden="1" customWidth="1"/>
    <col min="4857" max="4857" width="9" style="5" customWidth="1"/>
    <col min="4858" max="4868" width="0" style="5" hidden="1" customWidth="1"/>
    <col min="4869" max="5093" width="11.42578125" style="5"/>
    <col min="5094" max="5094" width="18" style="5" customWidth="1"/>
    <col min="5095" max="5095" width="6.85546875" style="5" customWidth="1"/>
    <col min="5096" max="5096" width="6.140625" style="5" customWidth="1"/>
    <col min="5097" max="5097" width="7.85546875" style="5" bestFit="1" customWidth="1"/>
    <col min="5098" max="5099" width="0" style="5" hidden="1" customWidth="1"/>
    <col min="5100" max="5100" width="10.5703125" style="5" customWidth="1"/>
    <col min="5101" max="5101" width="11.7109375" style="5" bestFit="1" customWidth="1"/>
    <col min="5102" max="5102" width="8.7109375" style="5" bestFit="1" customWidth="1"/>
    <col min="5103" max="5103" width="11.85546875" style="5" bestFit="1" customWidth="1"/>
    <col min="5104" max="5105" width="0" style="5" hidden="1" customWidth="1"/>
    <col min="5106" max="5106" width="5.7109375" style="5" customWidth="1"/>
    <col min="5107" max="5107" width="9" style="5" bestFit="1" customWidth="1"/>
    <col min="5108" max="5109" width="5.140625" style="5" bestFit="1" customWidth="1"/>
    <col min="5110" max="5110" width="5.140625" style="5" customWidth="1"/>
    <col min="5111" max="5112" width="0" style="5" hidden="1" customWidth="1"/>
    <col min="5113" max="5113" width="9" style="5" customWidth="1"/>
    <col min="5114" max="5124" width="0" style="5" hidden="1" customWidth="1"/>
    <col min="5125" max="5349" width="11.42578125" style="5"/>
    <col min="5350" max="5350" width="18" style="5" customWidth="1"/>
    <col min="5351" max="5351" width="6.85546875" style="5" customWidth="1"/>
    <col min="5352" max="5352" width="6.140625" style="5" customWidth="1"/>
    <col min="5353" max="5353" width="7.85546875" style="5" bestFit="1" customWidth="1"/>
    <col min="5354" max="5355" width="0" style="5" hidden="1" customWidth="1"/>
    <col min="5356" max="5356" width="10.5703125" style="5" customWidth="1"/>
    <col min="5357" max="5357" width="11.7109375" style="5" bestFit="1" customWidth="1"/>
    <col min="5358" max="5358" width="8.7109375" style="5" bestFit="1" customWidth="1"/>
    <col min="5359" max="5359" width="11.85546875" style="5" bestFit="1" customWidth="1"/>
    <col min="5360" max="5361" width="0" style="5" hidden="1" customWidth="1"/>
    <col min="5362" max="5362" width="5.7109375" style="5" customWidth="1"/>
    <col min="5363" max="5363" width="9" style="5" bestFit="1" customWidth="1"/>
    <col min="5364" max="5365" width="5.140625" style="5" bestFit="1" customWidth="1"/>
    <col min="5366" max="5366" width="5.140625" style="5" customWidth="1"/>
    <col min="5367" max="5368" width="0" style="5" hidden="1" customWidth="1"/>
    <col min="5369" max="5369" width="9" style="5" customWidth="1"/>
    <col min="5370" max="5380" width="0" style="5" hidden="1" customWidth="1"/>
    <col min="5381" max="5605" width="11.42578125" style="5"/>
    <col min="5606" max="5606" width="18" style="5" customWidth="1"/>
    <col min="5607" max="5607" width="6.85546875" style="5" customWidth="1"/>
    <col min="5608" max="5608" width="6.140625" style="5" customWidth="1"/>
    <col min="5609" max="5609" width="7.85546875" style="5" bestFit="1" customWidth="1"/>
    <col min="5610" max="5611" width="0" style="5" hidden="1" customWidth="1"/>
    <col min="5612" max="5612" width="10.5703125" style="5" customWidth="1"/>
    <col min="5613" max="5613" width="11.7109375" style="5" bestFit="1" customWidth="1"/>
    <col min="5614" max="5614" width="8.7109375" style="5" bestFit="1" customWidth="1"/>
    <col min="5615" max="5615" width="11.85546875" style="5" bestFit="1" customWidth="1"/>
    <col min="5616" max="5617" width="0" style="5" hidden="1" customWidth="1"/>
    <col min="5618" max="5618" width="5.7109375" style="5" customWidth="1"/>
    <col min="5619" max="5619" width="9" style="5" bestFit="1" customWidth="1"/>
    <col min="5620" max="5621" width="5.140625" style="5" bestFit="1" customWidth="1"/>
    <col min="5622" max="5622" width="5.140625" style="5" customWidth="1"/>
    <col min="5623" max="5624" width="0" style="5" hidden="1" customWidth="1"/>
    <col min="5625" max="5625" width="9" style="5" customWidth="1"/>
    <col min="5626" max="5636" width="0" style="5" hidden="1" customWidth="1"/>
    <col min="5637" max="5861" width="11.42578125" style="5"/>
    <col min="5862" max="5862" width="18" style="5" customWidth="1"/>
    <col min="5863" max="5863" width="6.85546875" style="5" customWidth="1"/>
    <col min="5864" max="5864" width="6.140625" style="5" customWidth="1"/>
    <col min="5865" max="5865" width="7.85546875" style="5" bestFit="1" customWidth="1"/>
    <col min="5866" max="5867" width="0" style="5" hidden="1" customWidth="1"/>
    <col min="5868" max="5868" width="10.5703125" style="5" customWidth="1"/>
    <col min="5869" max="5869" width="11.7109375" style="5" bestFit="1" customWidth="1"/>
    <col min="5870" max="5870" width="8.7109375" style="5" bestFit="1" customWidth="1"/>
    <col min="5871" max="5871" width="11.85546875" style="5" bestFit="1" customWidth="1"/>
    <col min="5872" max="5873" width="0" style="5" hidden="1" customWidth="1"/>
    <col min="5874" max="5874" width="5.7109375" style="5" customWidth="1"/>
    <col min="5875" max="5875" width="9" style="5" bestFit="1" customWidth="1"/>
    <col min="5876" max="5877" width="5.140625" style="5" bestFit="1" customWidth="1"/>
    <col min="5878" max="5878" width="5.140625" style="5" customWidth="1"/>
    <col min="5879" max="5880" width="0" style="5" hidden="1" customWidth="1"/>
    <col min="5881" max="5881" width="9" style="5" customWidth="1"/>
    <col min="5882" max="5892" width="0" style="5" hidden="1" customWidth="1"/>
    <col min="5893" max="6117" width="11.42578125" style="5"/>
    <col min="6118" max="6118" width="18" style="5" customWidth="1"/>
    <col min="6119" max="6119" width="6.85546875" style="5" customWidth="1"/>
    <col min="6120" max="6120" width="6.140625" style="5" customWidth="1"/>
    <col min="6121" max="6121" width="7.85546875" style="5" bestFit="1" customWidth="1"/>
    <col min="6122" max="6123" width="0" style="5" hidden="1" customWidth="1"/>
    <col min="6124" max="6124" width="10.5703125" style="5" customWidth="1"/>
    <col min="6125" max="6125" width="11.7109375" style="5" bestFit="1" customWidth="1"/>
    <col min="6126" max="6126" width="8.7109375" style="5" bestFit="1" customWidth="1"/>
    <col min="6127" max="6127" width="11.85546875" style="5" bestFit="1" customWidth="1"/>
    <col min="6128" max="6129" width="0" style="5" hidden="1" customWidth="1"/>
    <col min="6130" max="6130" width="5.7109375" style="5" customWidth="1"/>
    <col min="6131" max="6131" width="9" style="5" bestFit="1" customWidth="1"/>
    <col min="6132" max="6133" width="5.140625" style="5" bestFit="1" customWidth="1"/>
    <col min="6134" max="6134" width="5.140625" style="5" customWidth="1"/>
    <col min="6135" max="6136" width="0" style="5" hidden="1" customWidth="1"/>
    <col min="6137" max="6137" width="9" style="5" customWidth="1"/>
    <col min="6138" max="6148" width="0" style="5" hidden="1" customWidth="1"/>
    <col min="6149" max="6373" width="11.42578125" style="5"/>
    <col min="6374" max="6374" width="18" style="5" customWidth="1"/>
    <col min="6375" max="6375" width="6.85546875" style="5" customWidth="1"/>
    <col min="6376" max="6376" width="6.140625" style="5" customWidth="1"/>
    <col min="6377" max="6377" width="7.85546875" style="5" bestFit="1" customWidth="1"/>
    <col min="6378" max="6379" width="0" style="5" hidden="1" customWidth="1"/>
    <col min="6380" max="6380" width="10.5703125" style="5" customWidth="1"/>
    <col min="6381" max="6381" width="11.7109375" style="5" bestFit="1" customWidth="1"/>
    <col min="6382" max="6382" width="8.7109375" style="5" bestFit="1" customWidth="1"/>
    <col min="6383" max="6383" width="11.85546875" style="5" bestFit="1" customWidth="1"/>
    <col min="6384" max="6385" width="0" style="5" hidden="1" customWidth="1"/>
    <col min="6386" max="6386" width="5.7109375" style="5" customWidth="1"/>
    <col min="6387" max="6387" width="9" style="5" bestFit="1" customWidth="1"/>
    <col min="6388" max="6389" width="5.140625" style="5" bestFit="1" customWidth="1"/>
    <col min="6390" max="6390" width="5.140625" style="5" customWidth="1"/>
    <col min="6391" max="6392" width="0" style="5" hidden="1" customWidth="1"/>
    <col min="6393" max="6393" width="9" style="5" customWidth="1"/>
    <col min="6394" max="6404" width="0" style="5" hidden="1" customWidth="1"/>
    <col min="6405" max="6629" width="11.42578125" style="5"/>
    <col min="6630" max="6630" width="18" style="5" customWidth="1"/>
    <col min="6631" max="6631" width="6.85546875" style="5" customWidth="1"/>
    <col min="6632" max="6632" width="6.140625" style="5" customWidth="1"/>
    <col min="6633" max="6633" width="7.85546875" style="5" bestFit="1" customWidth="1"/>
    <col min="6634" max="6635" width="0" style="5" hidden="1" customWidth="1"/>
    <col min="6636" max="6636" width="10.5703125" style="5" customWidth="1"/>
    <col min="6637" max="6637" width="11.7109375" style="5" bestFit="1" customWidth="1"/>
    <col min="6638" max="6638" width="8.7109375" style="5" bestFit="1" customWidth="1"/>
    <col min="6639" max="6639" width="11.85546875" style="5" bestFit="1" customWidth="1"/>
    <col min="6640" max="6641" width="0" style="5" hidden="1" customWidth="1"/>
    <col min="6642" max="6642" width="5.7109375" style="5" customWidth="1"/>
    <col min="6643" max="6643" width="9" style="5" bestFit="1" customWidth="1"/>
    <col min="6644" max="6645" width="5.140625" style="5" bestFit="1" customWidth="1"/>
    <col min="6646" max="6646" width="5.140625" style="5" customWidth="1"/>
    <col min="6647" max="6648" width="0" style="5" hidden="1" customWidth="1"/>
    <col min="6649" max="6649" width="9" style="5" customWidth="1"/>
    <col min="6650" max="6660" width="0" style="5" hidden="1" customWidth="1"/>
    <col min="6661" max="6885" width="11.42578125" style="5"/>
    <col min="6886" max="6886" width="18" style="5" customWidth="1"/>
    <col min="6887" max="6887" width="6.85546875" style="5" customWidth="1"/>
    <col min="6888" max="6888" width="6.140625" style="5" customWidth="1"/>
    <col min="6889" max="6889" width="7.85546875" style="5" bestFit="1" customWidth="1"/>
    <col min="6890" max="6891" width="0" style="5" hidden="1" customWidth="1"/>
    <col min="6892" max="6892" width="10.5703125" style="5" customWidth="1"/>
    <col min="6893" max="6893" width="11.7109375" style="5" bestFit="1" customWidth="1"/>
    <col min="6894" max="6894" width="8.7109375" style="5" bestFit="1" customWidth="1"/>
    <col min="6895" max="6895" width="11.85546875" style="5" bestFit="1" customWidth="1"/>
    <col min="6896" max="6897" width="0" style="5" hidden="1" customWidth="1"/>
    <col min="6898" max="6898" width="5.7109375" style="5" customWidth="1"/>
    <col min="6899" max="6899" width="9" style="5" bestFit="1" customWidth="1"/>
    <col min="6900" max="6901" width="5.140625" style="5" bestFit="1" customWidth="1"/>
    <col min="6902" max="6902" width="5.140625" style="5" customWidth="1"/>
    <col min="6903" max="6904" width="0" style="5" hidden="1" customWidth="1"/>
    <col min="6905" max="6905" width="9" style="5" customWidth="1"/>
    <col min="6906" max="6916" width="0" style="5" hidden="1" customWidth="1"/>
    <col min="6917" max="7141" width="11.42578125" style="5"/>
    <col min="7142" max="7142" width="18" style="5" customWidth="1"/>
    <col min="7143" max="7143" width="6.85546875" style="5" customWidth="1"/>
    <col min="7144" max="7144" width="6.140625" style="5" customWidth="1"/>
    <col min="7145" max="7145" width="7.85546875" style="5" bestFit="1" customWidth="1"/>
    <col min="7146" max="7147" width="0" style="5" hidden="1" customWidth="1"/>
    <col min="7148" max="7148" width="10.5703125" style="5" customWidth="1"/>
    <col min="7149" max="7149" width="11.7109375" style="5" bestFit="1" customWidth="1"/>
    <col min="7150" max="7150" width="8.7109375" style="5" bestFit="1" customWidth="1"/>
    <col min="7151" max="7151" width="11.85546875" style="5" bestFit="1" customWidth="1"/>
    <col min="7152" max="7153" width="0" style="5" hidden="1" customWidth="1"/>
    <col min="7154" max="7154" width="5.7109375" style="5" customWidth="1"/>
    <col min="7155" max="7155" width="9" style="5" bestFit="1" customWidth="1"/>
    <col min="7156" max="7157" width="5.140625" style="5" bestFit="1" customWidth="1"/>
    <col min="7158" max="7158" width="5.140625" style="5" customWidth="1"/>
    <col min="7159" max="7160" width="0" style="5" hidden="1" customWidth="1"/>
    <col min="7161" max="7161" width="9" style="5" customWidth="1"/>
    <col min="7162" max="7172" width="0" style="5" hidden="1" customWidth="1"/>
    <col min="7173" max="7397" width="11.42578125" style="5"/>
    <col min="7398" max="7398" width="18" style="5" customWidth="1"/>
    <col min="7399" max="7399" width="6.85546875" style="5" customWidth="1"/>
    <col min="7400" max="7400" width="6.140625" style="5" customWidth="1"/>
    <col min="7401" max="7401" width="7.85546875" style="5" bestFit="1" customWidth="1"/>
    <col min="7402" max="7403" width="0" style="5" hidden="1" customWidth="1"/>
    <col min="7404" max="7404" width="10.5703125" style="5" customWidth="1"/>
    <col min="7405" max="7405" width="11.7109375" style="5" bestFit="1" customWidth="1"/>
    <col min="7406" max="7406" width="8.7109375" style="5" bestFit="1" customWidth="1"/>
    <col min="7407" max="7407" width="11.85546875" style="5" bestFit="1" customWidth="1"/>
    <col min="7408" max="7409" width="0" style="5" hidden="1" customWidth="1"/>
    <col min="7410" max="7410" width="5.7109375" style="5" customWidth="1"/>
    <col min="7411" max="7411" width="9" style="5" bestFit="1" customWidth="1"/>
    <col min="7412" max="7413" width="5.140625" style="5" bestFit="1" customWidth="1"/>
    <col min="7414" max="7414" width="5.140625" style="5" customWidth="1"/>
    <col min="7415" max="7416" width="0" style="5" hidden="1" customWidth="1"/>
    <col min="7417" max="7417" width="9" style="5" customWidth="1"/>
    <col min="7418" max="7428" width="0" style="5" hidden="1" customWidth="1"/>
    <col min="7429" max="7653" width="11.42578125" style="5"/>
    <col min="7654" max="7654" width="18" style="5" customWidth="1"/>
    <col min="7655" max="7655" width="6.85546875" style="5" customWidth="1"/>
    <col min="7656" max="7656" width="6.140625" style="5" customWidth="1"/>
    <col min="7657" max="7657" width="7.85546875" style="5" bestFit="1" customWidth="1"/>
    <col min="7658" max="7659" width="0" style="5" hidden="1" customWidth="1"/>
    <col min="7660" max="7660" width="10.5703125" style="5" customWidth="1"/>
    <col min="7661" max="7661" width="11.7109375" style="5" bestFit="1" customWidth="1"/>
    <col min="7662" max="7662" width="8.7109375" style="5" bestFit="1" customWidth="1"/>
    <col min="7663" max="7663" width="11.85546875" style="5" bestFit="1" customWidth="1"/>
    <col min="7664" max="7665" width="0" style="5" hidden="1" customWidth="1"/>
    <col min="7666" max="7666" width="5.7109375" style="5" customWidth="1"/>
    <col min="7667" max="7667" width="9" style="5" bestFit="1" customWidth="1"/>
    <col min="7668" max="7669" width="5.140625" style="5" bestFit="1" customWidth="1"/>
    <col min="7670" max="7670" width="5.140625" style="5" customWidth="1"/>
    <col min="7671" max="7672" width="0" style="5" hidden="1" customWidth="1"/>
    <col min="7673" max="7673" width="9" style="5" customWidth="1"/>
    <col min="7674" max="7684" width="0" style="5" hidden="1" customWidth="1"/>
    <col min="7685" max="7909" width="11.42578125" style="5"/>
    <col min="7910" max="7910" width="18" style="5" customWidth="1"/>
    <col min="7911" max="7911" width="6.85546875" style="5" customWidth="1"/>
    <col min="7912" max="7912" width="6.140625" style="5" customWidth="1"/>
    <col min="7913" max="7913" width="7.85546875" style="5" bestFit="1" customWidth="1"/>
    <col min="7914" max="7915" width="0" style="5" hidden="1" customWidth="1"/>
    <col min="7916" max="7916" width="10.5703125" style="5" customWidth="1"/>
    <col min="7917" max="7917" width="11.7109375" style="5" bestFit="1" customWidth="1"/>
    <col min="7918" max="7918" width="8.7109375" style="5" bestFit="1" customWidth="1"/>
    <col min="7919" max="7919" width="11.85546875" style="5" bestFit="1" customWidth="1"/>
    <col min="7920" max="7921" width="0" style="5" hidden="1" customWidth="1"/>
    <col min="7922" max="7922" width="5.7109375" style="5" customWidth="1"/>
    <col min="7923" max="7923" width="9" style="5" bestFit="1" customWidth="1"/>
    <col min="7924" max="7925" width="5.140625" style="5" bestFit="1" customWidth="1"/>
    <col min="7926" max="7926" width="5.140625" style="5" customWidth="1"/>
    <col min="7927" max="7928" width="0" style="5" hidden="1" customWidth="1"/>
    <col min="7929" max="7929" width="9" style="5" customWidth="1"/>
    <col min="7930" max="7940" width="0" style="5" hidden="1" customWidth="1"/>
    <col min="7941" max="8165" width="11.42578125" style="5"/>
    <col min="8166" max="8166" width="18" style="5" customWidth="1"/>
    <col min="8167" max="8167" width="6.85546875" style="5" customWidth="1"/>
    <col min="8168" max="8168" width="6.140625" style="5" customWidth="1"/>
    <col min="8169" max="8169" width="7.85546875" style="5" bestFit="1" customWidth="1"/>
    <col min="8170" max="8171" width="0" style="5" hidden="1" customWidth="1"/>
    <col min="8172" max="8172" width="10.5703125" style="5" customWidth="1"/>
    <col min="8173" max="8173" width="11.7109375" style="5" bestFit="1" customWidth="1"/>
    <col min="8174" max="8174" width="8.7109375" style="5" bestFit="1" customWidth="1"/>
    <col min="8175" max="8175" width="11.85546875" style="5" bestFit="1" customWidth="1"/>
    <col min="8176" max="8177" width="0" style="5" hidden="1" customWidth="1"/>
    <col min="8178" max="8178" width="5.7109375" style="5" customWidth="1"/>
    <col min="8179" max="8179" width="9" style="5" bestFit="1" customWidth="1"/>
    <col min="8180" max="8181" width="5.140625" style="5" bestFit="1" customWidth="1"/>
    <col min="8182" max="8182" width="5.140625" style="5" customWidth="1"/>
    <col min="8183" max="8184" width="0" style="5" hidden="1" customWidth="1"/>
    <col min="8185" max="8185" width="9" style="5" customWidth="1"/>
    <col min="8186" max="8196" width="0" style="5" hidden="1" customWidth="1"/>
    <col min="8197" max="8421" width="11.42578125" style="5"/>
    <col min="8422" max="8422" width="18" style="5" customWidth="1"/>
    <col min="8423" max="8423" width="6.85546875" style="5" customWidth="1"/>
    <col min="8424" max="8424" width="6.140625" style="5" customWidth="1"/>
    <col min="8425" max="8425" width="7.85546875" style="5" bestFit="1" customWidth="1"/>
    <col min="8426" max="8427" width="0" style="5" hidden="1" customWidth="1"/>
    <col min="8428" max="8428" width="10.5703125" style="5" customWidth="1"/>
    <col min="8429" max="8429" width="11.7109375" style="5" bestFit="1" customWidth="1"/>
    <col min="8430" max="8430" width="8.7109375" style="5" bestFit="1" customWidth="1"/>
    <col min="8431" max="8431" width="11.85546875" style="5" bestFit="1" customWidth="1"/>
    <col min="8432" max="8433" width="0" style="5" hidden="1" customWidth="1"/>
    <col min="8434" max="8434" width="5.7109375" style="5" customWidth="1"/>
    <col min="8435" max="8435" width="9" style="5" bestFit="1" customWidth="1"/>
    <col min="8436" max="8437" width="5.140625" style="5" bestFit="1" customWidth="1"/>
    <col min="8438" max="8438" width="5.140625" style="5" customWidth="1"/>
    <col min="8439" max="8440" width="0" style="5" hidden="1" customWidth="1"/>
    <col min="8441" max="8441" width="9" style="5" customWidth="1"/>
    <col min="8442" max="8452" width="0" style="5" hidden="1" customWidth="1"/>
    <col min="8453" max="8677" width="11.42578125" style="5"/>
    <col min="8678" max="8678" width="18" style="5" customWidth="1"/>
    <col min="8679" max="8679" width="6.85546875" style="5" customWidth="1"/>
    <col min="8680" max="8680" width="6.140625" style="5" customWidth="1"/>
    <col min="8681" max="8681" width="7.85546875" style="5" bestFit="1" customWidth="1"/>
    <col min="8682" max="8683" width="0" style="5" hidden="1" customWidth="1"/>
    <col min="8684" max="8684" width="10.5703125" style="5" customWidth="1"/>
    <col min="8685" max="8685" width="11.7109375" style="5" bestFit="1" customWidth="1"/>
    <col min="8686" max="8686" width="8.7109375" style="5" bestFit="1" customWidth="1"/>
    <col min="8687" max="8687" width="11.85546875" style="5" bestFit="1" customWidth="1"/>
    <col min="8688" max="8689" width="0" style="5" hidden="1" customWidth="1"/>
    <col min="8690" max="8690" width="5.7109375" style="5" customWidth="1"/>
    <col min="8691" max="8691" width="9" style="5" bestFit="1" customWidth="1"/>
    <col min="8692" max="8693" width="5.140625" style="5" bestFit="1" customWidth="1"/>
    <col min="8694" max="8694" width="5.140625" style="5" customWidth="1"/>
    <col min="8695" max="8696" width="0" style="5" hidden="1" customWidth="1"/>
    <col min="8697" max="8697" width="9" style="5" customWidth="1"/>
    <col min="8698" max="8708" width="0" style="5" hidden="1" customWidth="1"/>
    <col min="8709" max="8933" width="11.42578125" style="5"/>
    <col min="8934" max="8934" width="18" style="5" customWidth="1"/>
    <col min="8935" max="8935" width="6.85546875" style="5" customWidth="1"/>
    <col min="8936" max="8936" width="6.140625" style="5" customWidth="1"/>
    <col min="8937" max="8937" width="7.85546875" style="5" bestFit="1" customWidth="1"/>
    <col min="8938" max="8939" width="0" style="5" hidden="1" customWidth="1"/>
    <col min="8940" max="8940" width="10.5703125" style="5" customWidth="1"/>
    <col min="8941" max="8941" width="11.7109375" style="5" bestFit="1" customWidth="1"/>
    <col min="8942" max="8942" width="8.7109375" style="5" bestFit="1" customWidth="1"/>
    <col min="8943" max="8943" width="11.85546875" style="5" bestFit="1" customWidth="1"/>
    <col min="8944" max="8945" width="0" style="5" hidden="1" customWidth="1"/>
    <col min="8946" max="8946" width="5.7109375" style="5" customWidth="1"/>
    <col min="8947" max="8947" width="9" style="5" bestFit="1" customWidth="1"/>
    <col min="8948" max="8949" width="5.140625" style="5" bestFit="1" customWidth="1"/>
    <col min="8950" max="8950" width="5.140625" style="5" customWidth="1"/>
    <col min="8951" max="8952" width="0" style="5" hidden="1" customWidth="1"/>
    <col min="8953" max="8953" width="9" style="5" customWidth="1"/>
    <col min="8954" max="8964" width="0" style="5" hidden="1" customWidth="1"/>
    <col min="8965" max="9189" width="11.42578125" style="5"/>
    <col min="9190" max="9190" width="18" style="5" customWidth="1"/>
    <col min="9191" max="9191" width="6.85546875" style="5" customWidth="1"/>
    <col min="9192" max="9192" width="6.140625" style="5" customWidth="1"/>
    <col min="9193" max="9193" width="7.85546875" style="5" bestFit="1" customWidth="1"/>
    <col min="9194" max="9195" width="0" style="5" hidden="1" customWidth="1"/>
    <col min="9196" max="9196" width="10.5703125" style="5" customWidth="1"/>
    <col min="9197" max="9197" width="11.7109375" style="5" bestFit="1" customWidth="1"/>
    <col min="9198" max="9198" width="8.7109375" style="5" bestFit="1" customWidth="1"/>
    <col min="9199" max="9199" width="11.85546875" style="5" bestFit="1" customWidth="1"/>
    <col min="9200" max="9201" width="0" style="5" hidden="1" customWidth="1"/>
    <col min="9202" max="9202" width="5.7109375" style="5" customWidth="1"/>
    <col min="9203" max="9203" width="9" style="5" bestFit="1" customWidth="1"/>
    <col min="9204" max="9205" width="5.140625" style="5" bestFit="1" customWidth="1"/>
    <col min="9206" max="9206" width="5.140625" style="5" customWidth="1"/>
    <col min="9207" max="9208" width="0" style="5" hidden="1" customWidth="1"/>
    <col min="9209" max="9209" width="9" style="5" customWidth="1"/>
    <col min="9210" max="9220" width="0" style="5" hidden="1" customWidth="1"/>
    <col min="9221" max="9445" width="11.42578125" style="5"/>
    <col min="9446" max="9446" width="18" style="5" customWidth="1"/>
    <col min="9447" max="9447" width="6.85546875" style="5" customWidth="1"/>
    <col min="9448" max="9448" width="6.140625" style="5" customWidth="1"/>
    <col min="9449" max="9449" width="7.85546875" style="5" bestFit="1" customWidth="1"/>
    <col min="9450" max="9451" width="0" style="5" hidden="1" customWidth="1"/>
    <col min="9452" max="9452" width="10.5703125" style="5" customWidth="1"/>
    <col min="9453" max="9453" width="11.7109375" style="5" bestFit="1" customWidth="1"/>
    <col min="9454" max="9454" width="8.7109375" style="5" bestFit="1" customWidth="1"/>
    <col min="9455" max="9455" width="11.85546875" style="5" bestFit="1" customWidth="1"/>
    <col min="9456" max="9457" width="0" style="5" hidden="1" customWidth="1"/>
    <col min="9458" max="9458" width="5.7109375" style="5" customWidth="1"/>
    <col min="9459" max="9459" width="9" style="5" bestFit="1" customWidth="1"/>
    <col min="9460" max="9461" width="5.140625" style="5" bestFit="1" customWidth="1"/>
    <col min="9462" max="9462" width="5.140625" style="5" customWidth="1"/>
    <col min="9463" max="9464" width="0" style="5" hidden="1" customWidth="1"/>
    <col min="9465" max="9465" width="9" style="5" customWidth="1"/>
    <col min="9466" max="9476" width="0" style="5" hidden="1" customWidth="1"/>
    <col min="9477" max="9701" width="11.42578125" style="5"/>
    <col min="9702" max="9702" width="18" style="5" customWidth="1"/>
    <col min="9703" max="9703" width="6.85546875" style="5" customWidth="1"/>
    <col min="9704" max="9704" width="6.140625" style="5" customWidth="1"/>
    <col min="9705" max="9705" width="7.85546875" style="5" bestFit="1" customWidth="1"/>
    <col min="9706" max="9707" width="0" style="5" hidden="1" customWidth="1"/>
    <col min="9708" max="9708" width="10.5703125" style="5" customWidth="1"/>
    <col min="9709" max="9709" width="11.7109375" style="5" bestFit="1" customWidth="1"/>
    <col min="9710" max="9710" width="8.7109375" style="5" bestFit="1" customWidth="1"/>
    <col min="9711" max="9711" width="11.85546875" style="5" bestFit="1" customWidth="1"/>
    <col min="9712" max="9713" width="0" style="5" hidden="1" customWidth="1"/>
    <col min="9714" max="9714" width="5.7109375" style="5" customWidth="1"/>
    <col min="9715" max="9715" width="9" style="5" bestFit="1" customWidth="1"/>
    <col min="9716" max="9717" width="5.140625" style="5" bestFit="1" customWidth="1"/>
    <col min="9718" max="9718" width="5.140625" style="5" customWidth="1"/>
    <col min="9719" max="9720" width="0" style="5" hidden="1" customWidth="1"/>
    <col min="9721" max="9721" width="9" style="5" customWidth="1"/>
    <col min="9722" max="9732" width="0" style="5" hidden="1" customWidth="1"/>
    <col min="9733" max="9957" width="11.42578125" style="5"/>
    <col min="9958" max="9958" width="18" style="5" customWidth="1"/>
    <col min="9959" max="9959" width="6.85546875" style="5" customWidth="1"/>
    <col min="9960" max="9960" width="6.140625" style="5" customWidth="1"/>
    <col min="9961" max="9961" width="7.85546875" style="5" bestFit="1" customWidth="1"/>
    <col min="9962" max="9963" width="0" style="5" hidden="1" customWidth="1"/>
    <col min="9964" max="9964" width="10.5703125" style="5" customWidth="1"/>
    <col min="9965" max="9965" width="11.7109375" style="5" bestFit="1" customWidth="1"/>
    <col min="9966" max="9966" width="8.7109375" style="5" bestFit="1" customWidth="1"/>
    <col min="9967" max="9967" width="11.85546875" style="5" bestFit="1" customWidth="1"/>
    <col min="9968" max="9969" width="0" style="5" hidden="1" customWidth="1"/>
    <col min="9970" max="9970" width="5.7109375" style="5" customWidth="1"/>
    <col min="9971" max="9971" width="9" style="5" bestFit="1" customWidth="1"/>
    <col min="9972" max="9973" width="5.140625" style="5" bestFit="1" customWidth="1"/>
    <col min="9974" max="9974" width="5.140625" style="5" customWidth="1"/>
    <col min="9975" max="9976" width="0" style="5" hidden="1" customWidth="1"/>
    <col min="9977" max="9977" width="9" style="5" customWidth="1"/>
    <col min="9978" max="9988" width="0" style="5" hidden="1" customWidth="1"/>
    <col min="9989" max="10213" width="11.42578125" style="5"/>
    <col min="10214" max="10214" width="18" style="5" customWidth="1"/>
    <col min="10215" max="10215" width="6.85546875" style="5" customWidth="1"/>
    <col min="10216" max="10216" width="6.140625" style="5" customWidth="1"/>
    <col min="10217" max="10217" width="7.85546875" style="5" bestFit="1" customWidth="1"/>
    <col min="10218" max="10219" width="0" style="5" hidden="1" customWidth="1"/>
    <col min="10220" max="10220" width="10.5703125" style="5" customWidth="1"/>
    <col min="10221" max="10221" width="11.7109375" style="5" bestFit="1" customWidth="1"/>
    <col min="10222" max="10222" width="8.7109375" style="5" bestFit="1" customWidth="1"/>
    <col min="10223" max="10223" width="11.85546875" style="5" bestFit="1" customWidth="1"/>
    <col min="10224" max="10225" width="0" style="5" hidden="1" customWidth="1"/>
    <col min="10226" max="10226" width="5.7109375" style="5" customWidth="1"/>
    <col min="10227" max="10227" width="9" style="5" bestFit="1" customWidth="1"/>
    <col min="10228" max="10229" width="5.140625" style="5" bestFit="1" customWidth="1"/>
    <col min="10230" max="10230" width="5.140625" style="5" customWidth="1"/>
    <col min="10231" max="10232" width="0" style="5" hidden="1" customWidth="1"/>
    <col min="10233" max="10233" width="9" style="5" customWidth="1"/>
    <col min="10234" max="10244" width="0" style="5" hidden="1" customWidth="1"/>
    <col min="10245" max="10469" width="11.42578125" style="5"/>
    <col min="10470" max="10470" width="18" style="5" customWidth="1"/>
    <col min="10471" max="10471" width="6.85546875" style="5" customWidth="1"/>
    <col min="10472" max="10472" width="6.140625" style="5" customWidth="1"/>
    <col min="10473" max="10473" width="7.85546875" style="5" bestFit="1" customWidth="1"/>
    <col min="10474" max="10475" width="0" style="5" hidden="1" customWidth="1"/>
    <col min="10476" max="10476" width="10.5703125" style="5" customWidth="1"/>
    <col min="10477" max="10477" width="11.7109375" style="5" bestFit="1" customWidth="1"/>
    <col min="10478" max="10478" width="8.7109375" style="5" bestFit="1" customWidth="1"/>
    <col min="10479" max="10479" width="11.85546875" style="5" bestFit="1" customWidth="1"/>
    <col min="10480" max="10481" width="0" style="5" hidden="1" customWidth="1"/>
    <col min="10482" max="10482" width="5.7109375" style="5" customWidth="1"/>
    <col min="10483" max="10483" width="9" style="5" bestFit="1" customWidth="1"/>
    <col min="10484" max="10485" width="5.140625" style="5" bestFit="1" customWidth="1"/>
    <col min="10486" max="10486" width="5.140625" style="5" customWidth="1"/>
    <col min="10487" max="10488" width="0" style="5" hidden="1" customWidth="1"/>
    <col min="10489" max="10489" width="9" style="5" customWidth="1"/>
    <col min="10490" max="10500" width="0" style="5" hidden="1" customWidth="1"/>
    <col min="10501" max="10725" width="11.42578125" style="5"/>
    <col min="10726" max="10726" width="18" style="5" customWidth="1"/>
    <col min="10727" max="10727" width="6.85546875" style="5" customWidth="1"/>
    <col min="10728" max="10728" width="6.140625" style="5" customWidth="1"/>
    <col min="10729" max="10729" width="7.85546875" style="5" bestFit="1" customWidth="1"/>
    <col min="10730" max="10731" width="0" style="5" hidden="1" customWidth="1"/>
    <col min="10732" max="10732" width="10.5703125" style="5" customWidth="1"/>
    <col min="10733" max="10733" width="11.7109375" style="5" bestFit="1" customWidth="1"/>
    <col min="10734" max="10734" width="8.7109375" style="5" bestFit="1" customWidth="1"/>
    <col min="10735" max="10735" width="11.85546875" style="5" bestFit="1" customWidth="1"/>
    <col min="10736" max="10737" width="0" style="5" hidden="1" customWidth="1"/>
    <col min="10738" max="10738" width="5.7109375" style="5" customWidth="1"/>
    <col min="10739" max="10739" width="9" style="5" bestFit="1" customWidth="1"/>
    <col min="10740" max="10741" width="5.140625" style="5" bestFit="1" customWidth="1"/>
    <col min="10742" max="10742" width="5.140625" style="5" customWidth="1"/>
    <col min="10743" max="10744" width="0" style="5" hidden="1" customWidth="1"/>
    <col min="10745" max="10745" width="9" style="5" customWidth="1"/>
    <col min="10746" max="10756" width="0" style="5" hidden="1" customWidth="1"/>
    <col min="10757" max="10981" width="11.42578125" style="5"/>
    <col min="10982" max="10982" width="18" style="5" customWidth="1"/>
    <col min="10983" max="10983" width="6.85546875" style="5" customWidth="1"/>
    <col min="10984" max="10984" width="6.140625" style="5" customWidth="1"/>
    <col min="10985" max="10985" width="7.85546875" style="5" bestFit="1" customWidth="1"/>
    <col min="10986" max="10987" width="0" style="5" hidden="1" customWidth="1"/>
    <col min="10988" max="10988" width="10.5703125" style="5" customWidth="1"/>
    <col min="10989" max="10989" width="11.7109375" style="5" bestFit="1" customWidth="1"/>
    <col min="10990" max="10990" width="8.7109375" style="5" bestFit="1" customWidth="1"/>
    <col min="10991" max="10991" width="11.85546875" style="5" bestFit="1" customWidth="1"/>
    <col min="10992" max="10993" width="0" style="5" hidden="1" customWidth="1"/>
    <col min="10994" max="10994" width="5.7109375" style="5" customWidth="1"/>
    <col min="10995" max="10995" width="9" style="5" bestFit="1" customWidth="1"/>
    <col min="10996" max="10997" width="5.140625" style="5" bestFit="1" customWidth="1"/>
    <col min="10998" max="10998" width="5.140625" style="5" customWidth="1"/>
    <col min="10999" max="11000" width="0" style="5" hidden="1" customWidth="1"/>
    <col min="11001" max="11001" width="9" style="5" customWidth="1"/>
    <col min="11002" max="11012" width="0" style="5" hidden="1" customWidth="1"/>
    <col min="11013" max="11237" width="11.42578125" style="5"/>
    <col min="11238" max="11238" width="18" style="5" customWidth="1"/>
    <col min="11239" max="11239" width="6.85546875" style="5" customWidth="1"/>
    <col min="11240" max="11240" width="6.140625" style="5" customWidth="1"/>
    <col min="11241" max="11241" width="7.85546875" style="5" bestFit="1" customWidth="1"/>
    <col min="11242" max="11243" width="0" style="5" hidden="1" customWidth="1"/>
    <col min="11244" max="11244" width="10.5703125" style="5" customWidth="1"/>
    <col min="11245" max="11245" width="11.7109375" style="5" bestFit="1" customWidth="1"/>
    <col min="11246" max="11246" width="8.7109375" style="5" bestFit="1" customWidth="1"/>
    <col min="11247" max="11247" width="11.85546875" style="5" bestFit="1" customWidth="1"/>
    <col min="11248" max="11249" width="0" style="5" hidden="1" customWidth="1"/>
    <col min="11250" max="11250" width="5.7109375" style="5" customWidth="1"/>
    <col min="11251" max="11251" width="9" style="5" bestFit="1" customWidth="1"/>
    <col min="11252" max="11253" width="5.140625" style="5" bestFit="1" customWidth="1"/>
    <col min="11254" max="11254" width="5.140625" style="5" customWidth="1"/>
    <col min="11255" max="11256" width="0" style="5" hidden="1" customWidth="1"/>
    <col min="11257" max="11257" width="9" style="5" customWidth="1"/>
    <col min="11258" max="11268" width="0" style="5" hidden="1" customWidth="1"/>
    <col min="11269" max="11493" width="11.42578125" style="5"/>
    <col min="11494" max="11494" width="18" style="5" customWidth="1"/>
    <col min="11495" max="11495" width="6.85546875" style="5" customWidth="1"/>
    <col min="11496" max="11496" width="6.140625" style="5" customWidth="1"/>
    <col min="11497" max="11497" width="7.85546875" style="5" bestFit="1" customWidth="1"/>
    <col min="11498" max="11499" width="0" style="5" hidden="1" customWidth="1"/>
    <col min="11500" max="11500" width="10.5703125" style="5" customWidth="1"/>
    <col min="11501" max="11501" width="11.7109375" style="5" bestFit="1" customWidth="1"/>
    <col min="11502" max="11502" width="8.7109375" style="5" bestFit="1" customWidth="1"/>
    <col min="11503" max="11503" width="11.85546875" style="5" bestFit="1" customWidth="1"/>
    <col min="11504" max="11505" width="0" style="5" hidden="1" customWidth="1"/>
    <col min="11506" max="11506" width="5.7109375" style="5" customWidth="1"/>
    <col min="11507" max="11507" width="9" style="5" bestFit="1" customWidth="1"/>
    <col min="11508" max="11509" width="5.140625" style="5" bestFit="1" customWidth="1"/>
    <col min="11510" max="11510" width="5.140625" style="5" customWidth="1"/>
    <col min="11511" max="11512" width="0" style="5" hidden="1" customWidth="1"/>
    <col min="11513" max="11513" width="9" style="5" customWidth="1"/>
    <col min="11514" max="11524" width="0" style="5" hidden="1" customWidth="1"/>
    <col min="11525" max="11749" width="11.42578125" style="5"/>
    <col min="11750" max="11750" width="18" style="5" customWidth="1"/>
    <col min="11751" max="11751" width="6.85546875" style="5" customWidth="1"/>
    <col min="11752" max="11752" width="6.140625" style="5" customWidth="1"/>
    <col min="11753" max="11753" width="7.85546875" style="5" bestFit="1" customWidth="1"/>
    <col min="11754" max="11755" width="0" style="5" hidden="1" customWidth="1"/>
    <col min="11756" max="11756" width="10.5703125" style="5" customWidth="1"/>
    <col min="11757" max="11757" width="11.7109375" style="5" bestFit="1" customWidth="1"/>
    <col min="11758" max="11758" width="8.7109375" style="5" bestFit="1" customWidth="1"/>
    <col min="11759" max="11759" width="11.85546875" style="5" bestFit="1" customWidth="1"/>
    <col min="11760" max="11761" width="0" style="5" hidden="1" customWidth="1"/>
    <col min="11762" max="11762" width="5.7109375" style="5" customWidth="1"/>
    <col min="11763" max="11763" width="9" style="5" bestFit="1" customWidth="1"/>
    <col min="11764" max="11765" width="5.140625" style="5" bestFit="1" customWidth="1"/>
    <col min="11766" max="11766" width="5.140625" style="5" customWidth="1"/>
    <col min="11767" max="11768" width="0" style="5" hidden="1" customWidth="1"/>
    <col min="11769" max="11769" width="9" style="5" customWidth="1"/>
    <col min="11770" max="11780" width="0" style="5" hidden="1" customWidth="1"/>
    <col min="11781" max="12005" width="11.42578125" style="5"/>
    <col min="12006" max="12006" width="18" style="5" customWidth="1"/>
    <col min="12007" max="12007" width="6.85546875" style="5" customWidth="1"/>
    <col min="12008" max="12008" width="6.140625" style="5" customWidth="1"/>
    <col min="12009" max="12009" width="7.85546875" style="5" bestFit="1" customWidth="1"/>
    <col min="12010" max="12011" width="0" style="5" hidden="1" customWidth="1"/>
    <col min="12012" max="12012" width="10.5703125" style="5" customWidth="1"/>
    <col min="12013" max="12013" width="11.7109375" style="5" bestFit="1" customWidth="1"/>
    <col min="12014" max="12014" width="8.7109375" style="5" bestFit="1" customWidth="1"/>
    <col min="12015" max="12015" width="11.85546875" style="5" bestFit="1" customWidth="1"/>
    <col min="12016" max="12017" width="0" style="5" hidden="1" customWidth="1"/>
    <col min="12018" max="12018" width="5.7109375" style="5" customWidth="1"/>
    <col min="12019" max="12019" width="9" style="5" bestFit="1" customWidth="1"/>
    <col min="12020" max="12021" width="5.140625" style="5" bestFit="1" customWidth="1"/>
    <col min="12022" max="12022" width="5.140625" style="5" customWidth="1"/>
    <col min="12023" max="12024" width="0" style="5" hidden="1" customWidth="1"/>
    <col min="12025" max="12025" width="9" style="5" customWidth="1"/>
    <col min="12026" max="12036" width="0" style="5" hidden="1" customWidth="1"/>
    <col min="12037" max="12261" width="11.42578125" style="5"/>
    <col min="12262" max="12262" width="18" style="5" customWidth="1"/>
    <col min="12263" max="12263" width="6.85546875" style="5" customWidth="1"/>
    <col min="12264" max="12264" width="6.140625" style="5" customWidth="1"/>
    <col min="12265" max="12265" width="7.85546875" style="5" bestFit="1" customWidth="1"/>
    <col min="12266" max="12267" width="0" style="5" hidden="1" customWidth="1"/>
    <col min="12268" max="12268" width="10.5703125" style="5" customWidth="1"/>
    <col min="12269" max="12269" width="11.7109375" style="5" bestFit="1" customWidth="1"/>
    <col min="12270" max="12270" width="8.7109375" style="5" bestFit="1" customWidth="1"/>
    <col min="12271" max="12271" width="11.85546875" style="5" bestFit="1" customWidth="1"/>
    <col min="12272" max="12273" width="0" style="5" hidden="1" customWidth="1"/>
    <col min="12274" max="12274" width="5.7109375" style="5" customWidth="1"/>
    <col min="12275" max="12275" width="9" style="5" bestFit="1" customWidth="1"/>
    <col min="12276" max="12277" width="5.140625" style="5" bestFit="1" customWidth="1"/>
    <col min="12278" max="12278" width="5.140625" style="5" customWidth="1"/>
    <col min="12279" max="12280" width="0" style="5" hidden="1" customWidth="1"/>
    <col min="12281" max="12281" width="9" style="5" customWidth="1"/>
    <col min="12282" max="12292" width="0" style="5" hidden="1" customWidth="1"/>
    <col min="12293" max="12517" width="11.42578125" style="5"/>
    <col min="12518" max="12518" width="18" style="5" customWidth="1"/>
    <col min="12519" max="12519" width="6.85546875" style="5" customWidth="1"/>
    <col min="12520" max="12520" width="6.140625" style="5" customWidth="1"/>
    <col min="12521" max="12521" width="7.85546875" style="5" bestFit="1" customWidth="1"/>
    <col min="12522" max="12523" width="0" style="5" hidden="1" customWidth="1"/>
    <col min="12524" max="12524" width="10.5703125" style="5" customWidth="1"/>
    <col min="12525" max="12525" width="11.7109375" style="5" bestFit="1" customWidth="1"/>
    <col min="12526" max="12526" width="8.7109375" style="5" bestFit="1" customWidth="1"/>
    <col min="12527" max="12527" width="11.85546875" style="5" bestFit="1" customWidth="1"/>
    <col min="12528" max="12529" width="0" style="5" hidden="1" customWidth="1"/>
    <col min="12530" max="12530" width="5.7109375" style="5" customWidth="1"/>
    <col min="12531" max="12531" width="9" style="5" bestFit="1" customWidth="1"/>
    <col min="12532" max="12533" width="5.140625" style="5" bestFit="1" customWidth="1"/>
    <col min="12534" max="12534" width="5.140625" style="5" customWidth="1"/>
    <col min="12535" max="12536" width="0" style="5" hidden="1" customWidth="1"/>
    <col min="12537" max="12537" width="9" style="5" customWidth="1"/>
    <col min="12538" max="12548" width="0" style="5" hidden="1" customWidth="1"/>
    <col min="12549" max="12773" width="11.42578125" style="5"/>
    <col min="12774" max="12774" width="18" style="5" customWidth="1"/>
    <col min="12775" max="12775" width="6.85546875" style="5" customWidth="1"/>
    <col min="12776" max="12776" width="6.140625" style="5" customWidth="1"/>
    <col min="12777" max="12777" width="7.85546875" style="5" bestFit="1" customWidth="1"/>
    <col min="12778" max="12779" width="0" style="5" hidden="1" customWidth="1"/>
    <col min="12780" max="12780" width="10.5703125" style="5" customWidth="1"/>
    <col min="12781" max="12781" width="11.7109375" style="5" bestFit="1" customWidth="1"/>
    <col min="12782" max="12782" width="8.7109375" style="5" bestFit="1" customWidth="1"/>
    <col min="12783" max="12783" width="11.85546875" style="5" bestFit="1" customWidth="1"/>
    <col min="12784" max="12785" width="0" style="5" hidden="1" customWidth="1"/>
    <col min="12786" max="12786" width="5.7109375" style="5" customWidth="1"/>
    <col min="12787" max="12787" width="9" style="5" bestFit="1" customWidth="1"/>
    <col min="12788" max="12789" width="5.140625" style="5" bestFit="1" customWidth="1"/>
    <col min="12790" max="12790" width="5.140625" style="5" customWidth="1"/>
    <col min="12791" max="12792" width="0" style="5" hidden="1" customWidth="1"/>
    <col min="12793" max="12793" width="9" style="5" customWidth="1"/>
    <col min="12794" max="12804" width="0" style="5" hidden="1" customWidth="1"/>
    <col min="12805" max="13029" width="11.42578125" style="5"/>
    <col min="13030" max="13030" width="18" style="5" customWidth="1"/>
    <col min="13031" max="13031" width="6.85546875" style="5" customWidth="1"/>
    <col min="13032" max="13032" width="6.140625" style="5" customWidth="1"/>
    <col min="13033" max="13033" width="7.85546875" style="5" bestFit="1" customWidth="1"/>
    <col min="13034" max="13035" width="0" style="5" hidden="1" customWidth="1"/>
    <col min="13036" max="13036" width="10.5703125" style="5" customWidth="1"/>
    <col min="13037" max="13037" width="11.7109375" style="5" bestFit="1" customWidth="1"/>
    <col min="13038" max="13038" width="8.7109375" style="5" bestFit="1" customWidth="1"/>
    <col min="13039" max="13039" width="11.85546875" style="5" bestFit="1" customWidth="1"/>
    <col min="13040" max="13041" width="0" style="5" hidden="1" customWidth="1"/>
    <col min="13042" max="13042" width="5.7109375" style="5" customWidth="1"/>
    <col min="13043" max="13043" width="9" style="5" bestFit="1" customWidth="1"/>
    <col min="13044" max="13045" width="5.140625" style="5" bestFit="1" customWidth="1"/>
    <col min="13046" max="13046" width="5.140625" style="5" customWidth="1"/>
    <col min="13047" max="13048" width="0" style="5" hidden="1" customWidth="1"/>
    <col min="13049" max="13049" width="9" style="5" customWidth="1"/>
    <col min="13050" max="13060" width="0" style="5" hidden="1" customWidth="1"/>
    <col min="13061" max="13285" width="11.42578125" style="5"/>
    <col min="13286" max="13286" width="18" style="5" customWidth="1"/>
    <col min="13287" max="13287" width="6.85546875" style="5" customWidth="1"/>
    <col min="13288" max="13288" width="6.140625" style="5" customWidth="1"/>
    <col min="13289" max="13289" width="7.85546875" style="5" bestFit="1" customWidth="1"/>
    <col min="13290" max="13291" width="0" style="5" hidden="1" customWidth="1"/>
    <col min="13292" max="13292" width="10.5703125" style="5" customWidth="1"/>
    <col min="13293" max="13293" width="11.7109375" style="5" bestFit="1" customWidth="1"/>
    <col min="13294" max="13294" width="8.7109375" style="5" bestFit="1" customWidth="1"/>
    <col min="13295" max="13295" width="11.85546875" style="5" bestFit="1" customWidth="1"/>
    <col min="13296" max="13297" width="0" style="5" hidden="1" customWidth="1"/>
    <col min="13298" max="13298" width="5.7109375" style="5" customWidth="1"/>
    <col min="13299" max="13299" width="9" style="5" bestFit="1" customWidth="1"/>
    <col min="13300" max="13301" width="5.140625" style="5" bestFit="1" customWidth="1"/>
    <col min="13302" max="13302" width="5.140625" style="5" customWidth="1"/>
    <col min="13303" max="13304" width="0" style="5" hidden="1" customWidth="1"/>
    <col min="13305" max="13305" width="9" style="5" customWidth="1"/>
    <col min="13306" max="13316" width="0" style="5" hidden="1" customWidth="1"/>
    <col min="13317" max="13541" width="11.42578125" style="5"/>
    <col min="13542" max="13542" width="18" style="5" customWidth="1"/>
    <col min="13543" max="13543" width="6.85546875" style="5" customWidth="1"/>
    <col min="13544" max="13544" width="6.140625" style="5" customWidth="1"/>
    <col min="13545" max="13545" width="7.85546875" style="5" bestFit="1" customWidth="1"/>
    <col min="13546" max="13547" width="0" style="5" hidden="1" customWidth="1"/>
    <col min="13548" max="13548" width="10.5703125" style="5" customWidth="1"/>
    <col min="13549" max="13549" width="11.7109375" style="5" bestFit="1" customWidth="1"/>
    <col min="13550" max="13550" width="8.7109375" style="5" bestFit="1" customWidth="1"/>
    <col min="13551" max="13551" width="11.85546875" style="5" bestFit="1" customWidth="1"/>
    <col min="13552" max="13553" width="0" style="5" hidden="1" customWidth="1"/>
    <col min="13554" max="13554" width="5.7109375" style="5" customWidth="1"/>
    <col min="13555" max="13555" width="9" style="5" bestFit="1" customWidth="1"/>
    <col min="13556" max="13557" width="5.140625" style="5" bestFit="1" customWidth="1"/>
    <col min="13558" max="13558" width="5.140625" style="5" customWidth="1"/>
    <col min="13559" max="13560" width="0" style="5" hidden="1" customWidth="1"/>
    <col min="13561" max="13561" width="9" style="5" customWidth="1"/>
    <col min="13562" max="13572" width="0" style="5" hidden="1" customWidth="1"/>
    <col min="13573" max="13797" width="11.42578125" style="5"/>
    <col min="13798" max="13798" width="18" style="5" customWidth="1"/>
    <col min="13799" max="13799" width="6.85546875" style="5" customWidth="1"/>
    <col min="13800" max="13800" width="6.140625" style="5" customWidth="1"/>
    <col min="13801" max="13801" width="7.85546875" style="5" bestFit="1" customWidth="1"/>
    <col min="13802" max="13803" width="0" style="5" hidden="1" customWidth="1"/>
    <col min="13804" max="13804" width="10.5703125" style="5" customWidth="1"/>
    <col min="13805" max="13805" width="11.7109375" style="5" bestFit="1" customWidth="1"/>
    <col min="13806" max="13806" width="8.7109375" style="5" bestFit="1" customWidth="1"/>
    <col min="13807" max="13807" width="11.85546875" style="5" bestFit="1" customWidth="1"/>
    <col min="13808" max="13809" width="0" style="5" hidden="1" customWidth="1"/>
    <col min="13810" max="13810" width="5.7109375" style="5" customWidth="1"/>
    <col min="13811" max="13811" width="9" style="5" bestFit="1" customWidth="1"/>
    <col min="13812" max="13813" width="5.140625" style="5" bestFit="1" customWidth="1"/>
    <col min="13814" max="13814" width="5.140625" style="5" customWidth="1"/>
    <col min="13815" max="13816" width="0" style="5" hidden="1" customWidth="1"/>
    <col min="13817" max="13817" width="9" style="5" customWidth="1"/>
    <col min="13818" max="13828" width="0" style="5" hidden="1" customWidth="1"/>
    <col min="13829" max="14053" width="11.42578125" style="5"/>
    <col min="14054" max="14054" width="18" style="5" customWidth="1"/>
    <col min="14055" max="14055" width="6.85546875" style="5" customWidth="1"/>
    <col min="14056" max="14056" width="6.140625" style="5" customWidth="1"/>
    <col min="14057" max="14057" width="7.85546875" style="5" bestFit="1" customWidth="1"/>
    <col min="14058" max="14059" width="0" style="5" hidden="1" customWidth="1"/>
    <col min="14060" max="14060" width="10.5703125" style="5" customWidth="1"/>
    <col min="14061" max="14061" width="11.7109375" style="5" bestFit="1" customWidth="1"/>
    <col min="14062" max="14062" width="8.7109375" style="5" bestFit="1" customWidth="1"/>
    <col min="14063" max="14063" width="11.85546875" style="5" bestFit="1" customWidth="1"/>
    <col min="14064" max="14065" width="0" style="5" hidden="1" customWidth="1"/>
    <col min="14066" max="14066" width="5.7109375" style="5" customWidth="1"/>
    <col min="14067" max="14067" width="9" style="5" bestFit="1" customWidth="1"/>
    <col min="14068" max="14069" width="5.140625" style="5" bestFit="1" customWidth="1"/>
    <col min="14070" max="14070" width="5.140625" style="5" customWidth="1"/>
    <col min="14071" max="14072" width="0" style="5" hidden="1" customWidth="1"/>
    <col min="14073" max="14073" width="9" style="5" customWidth="1"/>
    <col min="14074" max="14084" width="0" style="5" hidden="1" customWidth="1"/>
    <col min="14085" max="14309" width="11.42578125" style="5"/>
    <col min="14310" max="14310" width="18" style="5" customWidth="1"/>
    <col min="14311" max="14311" width="6.85546875" style="5" customWidth="1"/>
    <col min="14312" max="14312" width="6.140625" style="5" customWidth="1"/>
    <col min="14313" max="14313" width="7.85546875" style="5" bestFit="1" customWidth="1"/>
    <col min="14314" max="14315" width="0" style="5" hidden="1" customWidth="1"/>
    <col min="14316" max="14316" width="10.5703125" style="5" customWidth="1"/>
    <col min="14317" max="14317" width="11.7109375" style="5" bestFit="1" customWidth="1"/>
    <col min="14318" max="14318" width="8.7109375" style="5" bestFit="1" customWidth="1"/>
    <col min="14319" max="14319" width="11.85546875" style="5" bestFit="1" customWidth="1"/>
    <col min="14320" max="14321" width="0" style="5" hidden="1" customWidth="1"/>
    <col min="14322" max="14322" width="5.7109375" style="5" customWidth="1"/>
    <col min="14323" max="14323" width="9" style="5" bestFit="1" customWidth="1"/>
    <col min="14324" max="14325" width="5.140625" style="5" bestFit="1" customWidth="1"/>
    <col min="14326" max="14326" width="5.140625" style="5" customWidth="1"/>
    <col min="14327" max="14328" width="0" style="5" hidden="1" customWidth="1"/>
    <col min="14329" max="14329" width="9" style="5" customWidth="1"/>
    <col min="14330" max="14340" width="0" style="5" hidden="1" customWidth="1"/>
    <col min="14341" max="14565" width="11.42578125" style="5"/>
    <col min="14566" max="14566" width="18" style="5" customWidth="1"/>
    <col min="14567" max="14567" width="6.85546875" style="5" customWidth="1"/>
    <col min="14568" max="14568" width="6.140625" style="5" customWidth="1"/>
    <col min="14569" max="14569" width="7.85546875" style="5" bestFit="1" customWidth="1"/>
    <col min="14570" max="14571" width="0" style="5" hidden="1" customWidth="1"/>
    <col min="14572" max="14572" width="10.5703125" style="5" customWidth="1"/>
    <col min="14573" max="14573" width="11.7109375" style="5" bestFit="1" customWidth="1"/>
    <col min="14574" max="14574" width="8.7109375" style="5" bestFit="1" customWidth="1"/>
    <col min="14575" max="14575" width="11.85546875" style="5" bestFit="1" customWidth="1"/>
    <col min="14576" max="14577" width="0" style="5" hidden="1" customWidth="1"/>
    <col min="14578" max="14578" width="5.7109375" style="5" customWidth="1"/>
    <col min="14579" max="14579" width="9" style="5" bestFit="1" customWidth="1"/>
    <col min="14580" max="14581" width="5.140625" style="5" bestFit="1" customWidth="1"/>
    <col min="14582" max="14582" width="5.140625" style="5" customWidth="1"/>
    <col min="14583" max="14584" width="0" style="5" hidden="1" customWidth="1"/>
    <col min="14585" max="14585" width="9" style="5" customWidth="1"/>
    <col min="14586" max="14596" width="0" style="5" hidden="1" customWidth="1"/>
    <col min="14597" max="14821" width="11.42578125" style="5"/>
    <col min="14822" max="14822" width="18" style="5" customWidth="1"/>
    <col min="14823" max="14823" width="6.85546875" style="5" customWidth="1"/>
    <col min="14824" max="14824" width="6.140625" style="5" customWidth="1"/>
    <col min="14825" max="14825" width="7.85546875" style="5" bestFit="1" customWidth="1"/>
    <col min="14826" max="14827" width="0" style="5" hidden="1" customWidth="1"/>
    <col min="14828" max="14828" width="10.5703125" style="5" customWidth="1"/>
    <col min="14829" max="14829" width="11.7109375" style="5" bestFit="1" customWidth="1"/>
    <col min="14830" max="14830" width="8.7109375" style="5" bestFit="1" customWidth="1"/>
    <col min="14831" max="14831" width="11.85546875" style="5" bestFit="1" customWidth="1"/>
    <col min="14832" max="14833" width="0" style="5" hidden="1" customWidth="1"/>
    <col min="14834" max="14834" width="5.7109375" style="5" customWidth="1"/>
    <col min="14835" max="14835" width="9" style="5" bestFit="1" customWidth="1"/>
    <col min="14836" max="14837" width="5.140625" style="5" bestFit="1" customWidth="1"/>
    <col min="14838" max="14838" width="5.140625" style="5" customWidth="1"/>
    <col min="14839" max="14840" width="0" style="5" hidden="1" customWidth="1"/>
    <col min="14841" max="14841" width="9" style="5" customWidth="1"/>
    <col min="14842" max="14852" width="0" style="5" hidden="1" customWidth="1"/>
    <col min="14853" max="15077" width="11.42578125" style="5"/>
    <col min="15078" max="15078" width="18" style="5" customWidth="1"/>
    <col min="15079" max="15079" width="6.85546875" style="5" customWidth="1"/>
    <col min="15080" max="15080" width="6.140625" style="5" customWidth="1"/>
    <col min="15081" max="15081" width="7.85546875" style="5" bestFit="1" customWidth="1"/>
    <col min="15082" max="15083" width="0" style="5" hidden="1" customWidth="1"/>
    <col min="15084" max="15084" width="10.5703125" style="5" customWidth="1"/>
    <col min="15085" max="15085" width="11.7109375" style="5" bestFit="1" customWidth="1"/>
    <col min="15086" max="15086" width="8.7109375" style="5" bestFit="1" customWidth="1"/>
    <col min="15087" max="15087" width="11.85546875" style="5" bestFit="1" customWidth="1"/>
    <col min="15088" max="15089" width="0" style="5" hidden="1" customWidth="1"/>
    <col min="15090" max="15090" width="5.7109375" style="5" customWidth="1"/>
    <col min="15091" max="15091" width="9" style="5" bestFit="1" customWidth="1"/>
    <col min="15092" max="15093" width="5.140625" style="5" bestFit="1" customWidth="1"/>
    <col min="15094" max="15094" width="5.140625" style="5" customWidth="1"/>
    <col min="15095" max="15096" width="0" style="5" hidden="1" customWidth="1"/>
    <col min="15097" max="15097" width="9" style="5" customWidth="1"/>
    <col min="15098" max="15108" width="0" style="5" hidden="1" customWidth="1"/>
    <col min="15109" max="15333" width="11.42578125" style="5"/>
    <col min="15334" max="15334" width="18" style="5" customWidth="1"/>
    <col min="15335" max="15335" width="6.85546875" style="5" customWidth="1"/>
    <col min="15336" max="15336" width="6.140625" style="5" customWidth="1"/>
    <col min="15337" max="15337" width="7.85546875" style="5" bestFit="1" customWidth="1"/>
    <col min="15338" max="15339" width="0" style="5" hidden="1" customWidth="1"/>
    <col min="15340" max="15340" width="10.5703125" style="5" customWidth="1"/>
    <col min="15341" max="15341" width="11.7109375" style="5" bestFit="1" customWidth="1"/>
    <col min="15342" max="15342" width="8.7109375" style="5" bestFit="1" customWidth="1"/>
    <col min="15343" max="15343" width="11.85546875" style="5" bestFit="1" customWidth="1"/>
    <col min="15344" max="15345" width="0" style="5" hidden="1" customWidth="1"/>
    <col min="15346" max="15346" width="5.7109375" style="5" customWidth="1"/>
    <col min="15347" max="15347" width="9" style="5" bestFit="1" customWidth="1"/>
    <col min="15348" max="15349" width="5.140625" style="5" bestFit="1" customWidth="1"/>
    <col min="15350" max="15350" width="5.140625" style="5" customWidth="1"/>
    <col min="15351" max="15352" width="0" style="5" hidden="1" customWidth="1"/>
    <col min="15353" max="15353" width="9" style="5" customWidth="1"/>
    <col min="15354" max="15364" width="0" style="5" hidden="1" customWidth="1"/>
    <col min="15365" max="15589" width="11.42578125" style="5"/>
    <col min="15590" max="15590" width="18" style="5" customWidth="1"/>
    <col min="15591" max="15591" width="6.85546875" style="5" customWidth="1"/>
    <col min="15592" max="15592" width="6.140625" style="5" customWidth="1"/>
    <col min="15593" max="15593" width="7.85546875" style="5" bestFit="1" customWidth="1"/>
    <col min="15594" max="15595" width="0" style="5" hidden="1" customWidth="1"/>
    <col min="15596" max="15596" width="10.5703125" style="5" customWidth="1"/>
    <col min="15597" max="15597" width="11.7109375" style="5" bestFit="1" customWidth="1"/>
    <col min="15598" max="15598" width="8.7109375" style="5" bestFit="1" customWidth="1"/>
    <col min="15599" max="15599" width="11.85546875" style="5" bestFit="1" customWidth="1"/>
    <col min="15600" max="15601" width="0" style="5" hidden="1" customWidth="1"/>
    <col min="15602" max="15602" width="5.7109375" style="5" customWidth="1"/>
    <col min="15603" max="15603" width="9" style="5" bestFit="1" customWidth="1"/>
    <col min="15604" max="15605" width="5.140625" style="5" bestFit="1" customWidth="1"/>
    <col min="15606" max="15606" width="5.140625" style="5" customWidth="1"/>
    <col min="15607" max="15608" width="0" style="5" hidden="1" customWidth="1"/>
    <col min="15609" max="15609" width="9" style="5" customWidth="1"/>
    <col min="15610" max="15620" width="0" style="5" hidden="1" customWidth="1"/>
    <col min="15621" max="15845" width="11.42578125" style="5"/>
    <col min="15846" max="15846" width="18" style="5" customWidth="1"/>
    <col min="15847" max="15847" width="6.85546875" style="5" customWidth="1"/>
    <col min="15848" max="15848" width="6.140625" style="5" customWidth="1"/>
    <col min="15849" max="15849" width="7.85546875" style="5" bestFit="1" customWidth="1"/>
    <col min="15850" max="15851" width="0" style="5" hidden="1" customWidth="1"/>
    <col min="15852" max="15852" width="10.5703125" style="5" customWidth="1"/>
    <col min="15853" max="15853" width="11.7109375" style="5" bestFit="1" customWidth="1"/>
    <col min="15854" max="15854" width="8.7109375" style="5" bestFit="1" customWidth="1"/>
    <col min="15855" max="15855" width="11.85546875" style="5" bestFit="1" customWidth="1"/>
    <col min="15856" max="15857" width="0" style="5" hidden="1" customWidth="1"/>
    <col min="15858" max="15858" width="5.7109375" style="5" customWidth="1"/>
    <col min="15859" max="15859" width="9" style="5" bestFit="1" customWidth="1"/>
    <col min="15860" max="15861" width="5.140625" style="5" bestFit="1" customWidth="1"/>
    <col min="15862" max="15862" width="5.140625" style="5" customWidth="1"/>
    <col min="15863" max="15864" width="0" style="5" hidden="1" customWidth="1"/>
    <col min="15865" max="15865" width="9" style="5" customWidth="1"/>
    <col min="15866" max="15876" width="0" style="5" hidden="1" customWidth="1"/>
    <col min="15877" max="16101" width="11.42578125" style="5"/>
    <col min="16102" max="16102" width="18" style="5" customWidth="1"/>
    <col min="16103" max="16103" width="6.85546875" style="5" customWidth="1"/>
    <col min="16104" max="16104" width="6.140625" style="5" customWidth="1"/>
    <col min="16105" max="16105" width="7.85546875" style="5" bestFit="1" customWidth="1"/>
    <col min="16106" max="16107" width="0" style="5" hidden="1" customWidth="1"/>
    <col min="16108" max="16108" width="10.5703125" style="5" customWidth="1"/>
    <col min="16109" max="16109" width="11.7109375" style="5" bestFit="1" customWidth="1"/>
    <col min="16110" max="16110" width="8.7109375" style="5" bestFit="1" customWidth="1"/>
    <col min="16111" max="16111" width="11.85546875" style="5" bestFit="1" customWidth="1"/>
    <col min="16112" max="16113" width="0" style="5" hidden="1" customWidth="1"/>
    <col min="16114" max="16114" width="5.7109375" style="5" customWidth="1"/>
    <col min="16115" max="16115" width="9" style="5" bestFit="1" customWidth="1"/>
    <col min="16116" max="16117" width="5.140625" style="5" bestFit="1" customWidth="1"/>
    <col min="16118" max="16118" width="5.140625" style="5" customWidth="1"/>
    <col min="16119" max="16120" width="0" style="5" hidden="1" customWidth="1"/>
    <col min="16121" max="16121" width="9" style="5" customWidth="1"/>
    <col min="16122" max="16132" width="0" style="5" hidden="1" customWidth="1"/>
    <col min="16133" max="16384" width="11.42578125" style="5"/>
  </cols>
  <sheetData>
    <row r="1" spans="1:24" x14ac:dyDescent="0.2">
      <c r="A1" s="76" t="s">
        <v>0</v>
      </c>
      <c r="B1" s="76"/>
      <c r="C1" s="76"/>
      <c r="D1" s="76"/>
      <c r="E1" s="1" t="s">
        <v>1</v>
      </c>
      <c r="F1" s="1"/>
      <c r="G1" s="1"/>
      <c r="H1" s="2"/>
      <c r="I1" s="3">
        <v>828116</v>
      </c>
      <c r="J1" s="3">
        <f>+I1*2</f>
        <v>1656232</v>
      </c>
      <c r="K1" s="1"/>
      <c r="P1" s="1"/>
      <c r="T1" s="7"/>
    </row>
    <row r="2" spans="1:24" ht="21.75" customHeight="1" x14ac:dyDescent="0.2">
      <c r="A2" s="77" t="s">
        <v>2</v>
      </c>
      <c r="B2" s="77"/>
      <c r="C2" s="77"/>
      <c r="D2" s="77"/>
      <c r="E2" s="2" t="s">
        <v>3</v>
      </c>
      <c r="F2" s="2"/>
      <c r="G2" s="1"/>
      <c r="H2" s="2"/>
      <c r="I2" s="8">
        <v>1763224</v>
      </c>
      <c r="J2" s="9" t="s">
        <v>4</v>
      </c>
      <c r="K2" s="10"/>
      <c r="P2" s="1"/>
    </row>
    <row r="3" spans="1:24" x14ac:dyDescent="0.2">
      <c r="A3" s="78" t="s">
        <v>5</v>
      </c>
      <c r="B3" s="78"/>
      <c r="C3" s="78"/>
      <c r="D3" s="78"/>
      <c r="E3" s="1" t="s">
        <v>6</v>
      </c>
      <c r="F3" s="1"/>
      <c r="G3" s="1"/>
      <c r="H3" s="11"/>
      <c r="I3" s="8">
        <v>1763224</v>
      </c>
      <c r="J3" s="3"/>
      <c r="K3" s="10"/>
      <c r="P3" s="1"/>
    </row>
    <row r="4" spans="1:24" x14ac:dyDescent="0.2">
      <c r="A4" s="76" t="s">
        <v>7</v>
      </c>
      <c r="B4" s="76"/>
      <c r="C4" s="76"/>
      <c r="D4" s="76"/>
      <c r="E4" s="1" t="s">
        <v>8</v>
      </c>
      <c r="F4" s="1"/>
      <c r="G4" s="1"/>
      <c r="H4" s="2"/>
      <c r="I4" s="3">
        <v>62878</v>
      </c>
      <c r="J4" s="3"/>
      <c r="K4" s="10"/>
      <c r="P4" s="1"/>
    </row>
    <row r="5" spans="1:24" x14ac:dyDescent="0.2">
      <c r="A5" s="12"/>
      <c r="B5" s="12"/>
      <c r="C5" s="12"/>
      <c r="D5" s="12"/>
      <c r="E5" s="1" t="s">
        <v>9</v>
      </c>
      <c r="F5" s="1"/>
      <c r="G5" s="1"/>
      <c r="I5" s="3">
        <v>97032</v>
      </c>
      <c r="J5" s="3"/>
      <c r="K5" s="1"/>
      <c r="P5" s="1"/>
    </row>
    <row r="6" spans="1:24" x14ac:dyDescent="0.2">
      <c r="A6" s="76" t="s">
        <v>63</v>
      </c>
      <c r="B6" s="76"/>
      <c r="C6" s="76"/>
      <c r="D6" s="76"/>
      <c r="E6" s="1"/>
      <c r="F6" s="1"/>
      <c r="G6" s="1"/>
      <c r="I6" s="13"/>
      <c r="J6" s="13"/>
      <c r="K6" s="1"/>
      <c r="P6" s="1"/>
    </row>
    <row r="7" spans="1:24" x14ac:dyDescent="0.2">
      <c r="A7" s="78" t="s">
        <v>10</v>
      </c>
      <c r="B7" s="78"/>
      <c r="C7" s="78"/>
      <c r="D7" s="78"/>
      <c r="E7" s="11" t="s">
        <v>11</v>
      </c>
      <c r="F7" s="11"/>
      <c r="G7" s="11"/>
      <c r="H7" s="14"/>
      <c r="I7" s="15">
        <v>4.4999999999999998E-2</v>
      </c>
      <c r="J7" s="14"/>
    </row>
    <row r="8" spans="1:24" ht="25.5" customHeight="1" x14ac:dyDescent="0.2">
      <c r="A8" s="75" t="s">
        <v>62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4" x14ac:dyDescent="0.2">
      <c r="A9" s="16"/>
      <c r="B9" s="16"/>
      <c r="C9" s="16"/>
      <c r="D9" s="16"/>
    </row>
    <row r="10" spans="1:24" s="20" customFormat="1" ht="83.25" customHeight="1" x14ac:dyDescent="0.2">
      <c r="A10" s="17" t="s">
        <v>12</v>
      </c>
      <c r="B10" s="17" t="s">
        <v>13</v>
      </c>
      <c r="C10" s="17" t="s">
        <v>14</v>
      </c>
      <c r="D10" s="18" t="s">
        <v>15</v>
      </c>
      <c r="E10" s="19" t="s">
        <v>64</v>
      </c>
      <c r="F10" s="19" t="s">
        <v>16</v>
      </c>
      <c r="G10" s="19"/>
      <c r="H10" s="19" t="s">
        <v>17</v>
      </c>
      <c r="I10" s="19" t="s">
        <v>18</v>
      </c>
      <c r="J10" s="19" t="s">
        <v>19</v>
      </c>
      <c r="K10" s="19" t="s">
        <v>19</v>
      </c>
      <c r="L10" s="70"/>
      <c r="M10" s="70"/>
      <c r="N10" s="70"/>
      <c r="O10" s="71" t="s">
        <v>20</v>
      </c>
      <c r="P10" s="71" t="s">
        <v>21</v>
      </c>
      <c r="Q10" s="71" t="s">
        <v>22</v>
      </c>
      <c r="R10" s="19" t="s">
        <v>23</v>
      </c>
      <c r="S10" s="19" t="s">
        <v>24</v>
      </c>
      <c r="T10" s="19" t="s">
        <v>24</v>
      </c>
      <c r="U10" s="19" t="s">
        <v>25</v>
      </c>
      <c r="V10" s="67" t="s">
        <v>26</v>
      </c>
      <c r="W10" s="6"/>
      <c r="X10" s="5"/>
    </row>
    <row r="11" spans="1:24" x14ac:dyDescent="0.2">
      <c r="A11" s="21" t="s">
        <v>27</v>
      </c>
      <c r="B11" s="22"/>
      <c r="C11" s="22"/>
      <c r="D11" s="23"/>
      <c r="E11" s="24">
        <v>2019</v>
      </c>
      <c r="F11" s="24"/>
      <c r="G11" s="24"/>
      <c r="H11" s="25"/>
      <c r="I11" s="25"/>
      <c r="J11" s="24">
        <v>2019</v>
      </c>
      <c r="K11" s="24">
        <v>2016</v>
      </c>
      <c r="L11" s="27"/>
      <c r="M11" s="47"/>
      <c r="N11" s="27"/>
      <c r="O11" s="3"/>
      <c r="P11" s="3"/>
      <c r="Q11" s="54"/>
      <c r="R11" s="26"/>
      <c r="S11" s="27"/>
      <c r="T11" s="24"/>
      <c r="U11" s="28"/>
    </row>
    <row r="12" spans="1:24" x14ac:dyDescent="0.2">
      <c r="A12" s="29" t="s">
        <v>28</v>
      </c>
      <c r="B12" s="57" t="s">
        <v>29</v>
      </c>
      <c r="C12" s="58">
        <v>25</v>
      </c>
      <c r="D12" s="59">
        <v>1</v>
      </c>
      <c r="E12" s="54">
        <v>11790825</v>
      </c>
      <c r="F12" s="3"/>
      <c r="G12" s="3">
        <f>ROUND((E12)*1.045,0)</f>
        <v>12321412</v>
      </c>
      <c r="H12" s="3">
        <f t="shared" ref="H12:H21" si="0">ROUND(E12*50/100,0)</f>
        <v>5895413</v>
      </c>
      <c r="I12" s="55">
        <f>+E12+F12+H12</f>
        <v>17686238</v>
      </c>
      <c r="J12" s="64">
        <f t="shared" ref="J12:J21" si="1">ROUND(E12*D12,0)</f>
        <v>11790825</v>
      </c>
      <c r="K12" s="30">
        <f t="shared" ref="K12:K21" si="2">+E12*D12</f>
        <v>11790825</v>
      </c>
      <c r="L12" s="27"/>
      <c r="M12" s="47"/>
      <c r="N12" s="27"/>
      <c r="O12" s="32">
        <v>28.556544174382722</v>
      </c>
      <c r="P12" s="32">
        <v>31.99607978549383</v>
      </c>
      <c r="Q12" s="73">
        <v>2.666339982124486</v>
      </c>
      <c r="R12" s="26">
        <f>+(E12+F12)*P12</f>
        <v>377260177.43679529</v>
      </c>
      <c r="S12" s="3">
        <f>+R12*D12</f>
        <v>377260177.43679529</v>
      </c>
      <c r="T12" s="30">
        <f>+R12/12</f>
        <v>31438348.119732942</v>
      </c>
      <c r="U12" s="30">
        <f t="shared" ref="U12:U21" si="3">+T12*D12</f>
        <v>31438348.119732942</v>
      </c>
    </row>
    <row r="13" spans="1:24" x14ac:dyDescent="0.2">
      <c r="A13" s="29" t="s">
        <v>30</v>
      </c>
      <c r="B13" s="57" t="s">
        <v>31</v>
      </c>
      <c r="C13" s="58">
        <v>24</v>
      </c>
      <c r="D13" s="59">
        <v>1</v>
      </c>
      <c r="E13" s="54">
        <v>10935444</v>
      </c>
      <c r="F13" s="3"/>
      <c r="G13" s="3">
        <f t="shared" ref="G13:G21" si="4">ROUND((E13)*1.045,0)</f>
        <v>11427539</v>
      </c>
      <c r="H13" s="3">
        <f t="shared" si="0"/>
        <v>5467722</v>
      </c>
      <c r="I13" s="55">
        <f t="shared" ref="I13:I19" si="5">+E13+H13</f>
        <v>16403166</v>
      </c>
      <c r="J13" s="64">
        <f t="shared" si="1"/>
        <v>10935444</v>
      </c>
      <c r="K13" s="30">
        <f t="shared" si="2"/>
        <v>10935444</v>
      </c>
      <c r="L13" s="27"/>
      <c r="M13" s="47"/>
      <c r="N13" s="27"/>
      <c r="O13" s="32">
        <v>22.536590470679009</v>
      </c>
      <c r="P13" s="32">
        <v>25.9765808595679</v>
      </c>
      <c r="Q13" s="73">
        <v>2.166339982124486</v>
      </c>
      <c r="R13" s="26">
        <f t="shared" ref="R13:R21" si="6">+E13*P13</f>
        <v>284065445.30127662</v>
      </c>
      <c r="S13" s="3">
        <f t="shared" ref="S13:S21" si="7">+R13*D13</f>
        <v>284065445.30127662</v>
      </c>
      <c r="T13" s="30">
        <f t="shared" ref="T13:T21" si="8">+R13/12</f>
        <v>23672120.441773053</v>
      </c>
      <c r="U13" s="30">
        <f t="shared" si="3"/>
        <v>23672120.441773053</v>
      </c>
    </row>
    <row r="14" spans="1:24" x14ac:dyDescent="0.2">
      <c r="A14" s="29" t="s">
        <v>32</v>
      </c>
      <c r="B14" s="57" t="s">
        <v>33</v>
      </c>
      <c r="C14" s="58">
        <v>24</v>
      </c>
      <c r="D14" s="59">
        <v>1</v>
      </c>
      <c r="E14" s="54">
        <v>10935444</v>
      </c>
      <c r="F14" s="3"/>
      <c r="G14" s="3">
        <f t="shared" si="4"/>
        <v>11427539</v>
      </c>
      <c r="H14" s="3">
        <f t="shared" si="0"/>
        <v>5467722</v>
      </c>
      <c r="I14" s="55">
        <f t="shared" si="5"/>
        <v>16403166</v>
      </c>
      <c r="J14" s="64">
        <f t="shared" si="1"/>
        <v>10935444</v>
      </c>
      <c r="K14" s="30">
        <f t="shared" si="2"/>
        <v>10935444</v>
      </c>
      <c r="L14" s="27"/>
      <c r="M14" s="47"/>
      <c r="N14" s="27"/>
      <c r="O14" s="32">
        <v>22.536590470679009</v>
      </c>
      <c r="P14" s="32">
        <v>25.9765808595679</v>
      </c>
      <c r="Q14" s="73">
        <v>2.166339982124486</v>
      </c>
      <c r="R14" s="26">
        <f t="shared" si="6"/>
        <v>284065445.30127662</v>
      </c>
      <c r="S14" s="3">
        <f t="shared" si="7"/>
        <v>284065445.30127662</v>
      </c>
      <c r="T14" s="30">
        <f t="shared" si="8"/>
        <v>23672120.441773053</v>
      </c>
      <c r="U14" s="30">
        <f t="shared" si="3"/>
        <v>23672120.441773053</v>
      </c>
    </row>
    <row r="15" spans="1:24" x14ac:dyDescent="0.2">
      <c r="A15" s="33" t="s">
        <v>34</v>
      </c>
      <c r="B15" s="57" t="s">
        <v>35</v>
      </c>
      <c r="C15" s="58">
        <v>19</v>
      </c>
      <c r="D15" s="59">
        <v>5</v>
      </c>
      <c r="E15" s="54">
        <v>7480301</v>
      </c>
      <c r="F15" s="3"/>
      <c r="G15" s="3">
        <f t="shared" si="4"/>
        <v>7816915</v>
      </c>
      <c r="H15" s="3">
        <f t="shared" si="0"/>
        <v>3740151</v>
      </c>
      <c r="I15" s="55">
        <f t="shared" si="5"/>
        <v>11220452</v>
      </c>
      <c r="J15" s="64">
        <f t="shared" si="1"/>
        <v>37401505</v>
      </c>
      <c r="K15" s="30">
        <f t="shared" si="2"/>
        <v>37401505</v>
      </c>
      <c r="L15" s="27"/>
      <c r="M15" s="47"/>
      <c r="N15" s="27"/>
      <c r="O15" s="32">
        <v>22.536590470679009</v>
      </c>
      <c r="P15" s="32">
        <v>25.9765808595679</v>
      </c>
      <c r="Q15" s="73">
        <v>2.166339982124486</v>
      </c>
      <c r="R15" s="26">
        <f t="shared" si="6"/>
        <v>194312643.78040662</v>
      </c>
      <c r="S15" s="3">
        <f t="shared" si="7"/>
        <v>971563218.90203309</v>
      </c>
      <c r="T15" s="30">
        <f t="shared" si="8"/>
        <v>16192720.315033885</v>
      </c>
      <c r="U15" s="30">
        <f t="shared" si="3"/>
        <v>80963601.575169429</v>
      </c>
    </row>
    <row r="16" spans="1:24" x14ac:dyDescent="0.2">
      <c r="A16" s="33" t="s">
        <v>34</v>
      </c>
      <c r="B16" s="57" t="s">
        <v>35</v>
      </c>
      <c r="C16" s="58">
        <v>18</v>
      </c>
      <c r="D16" s="59">
        <v>23</v>
      </c>
      <c r="E16" s="54">
        <v>6946528</v>
      </c>
      <c r="F16" s="3"/>
      <c r="G16" s="3">
        <f t="shared" si="4"/>
        <v>7259122</v>
      </c>
      <c r="H16" s="3">
        <f t="shared" si="0"/>
        <v>3473264</v>
      </c>
      <c r="I16" s="55">
        <f t="shared" si="5"/>
        <v>10419792</v>
      </c>
      <c r="J16" s="64">
        <f t="shared" si="1"/>
        <v>159770144</v>
      </c>
      <c r="K16" s="30">
        <f t="shared" si="2"/>
        <v>159770144</v>
      </c>
      <c r="L16" s="27"/>
      <c r="M16" s="47"/>
      <c r="N16" s="27"/>
      <c r="O16" s="32">
        <v>22.536590470679009</v>
      </c>
      <c r="P16" s="32">
        <v>25.9765808595679</v>
      </c>
      <c r="Q16" s="73">
        <v>2.166339982124486</v>
      </c>
      <c r="R16" s="26">
        <f t="shared" si="6"/>
        <v>180447046.28525248</v>
      </c>
      <c r="S16" s="3">
        <f t="shared" si="7"/>
        <v>4150282064.5608072</v>
      </c>
      <c r="T16" s="30">
        <f t="shared" si="8"/>
        <v>15037253.857104374</v>
      </c>
      <c r="U16" s="30">
        <f t="shared" si="3"/>
        <v>345856838.7134006</v>
      </c>
    </row>
    <row r="17" spans="1:24" x14ac:dyDescent="0.2">
      <c r="A17" s="33" t="s">
        <v>34</v>
      </c>
      <c r="B17" s="57" t="s">
        <v>35</v>
      </c>
      <c r="C17" s="58">
        <v>9</v>
      </c>
      <c r="D17" s="59">
        <v>5</v>
      </c>
      <c r="E17" s="54">
        <v>4749083</v>
      </c>
      <c r="F17" s="3"/>
      <c r="G17" s="3">
        <f t="shared" si="4"/>
        <v>4962792</v>
      </c>
      <c r="H17" s="3">
        <f t="shared" si="0"/>
        <v>2374542</v>
      </c>
      <c r="I17" s="55">
        <f t="shared" si="5"/>
        <v>7123625</v>
      </c>
      <c r="J17" s="64">
        <f t="shared" si="1"/>
        <v>23745415</v>
      </c>
      <c r="K17" s="30">
        <f t="shared" si="2"/>
        <v>23745415</v>
      </c>
      <c r="L17" s="27"/>
      <c r="M17" s="47"/>
      <c r="N17" s="27"/>
      <c r="O17" s="32">
        <v>22.536590470679009</v>
      </c>
      <c r="P17" s="32">
        <v>25.9765808595679</v>
      </c>
      <c r="Q17" s="73">
        <v>2.166339982124486</v>
      </c>
      <c r="R17" s="26">
        <f t="shared" si="6"/>
        <v>123364938.5582993</v>
      </c>
      <c r="S17" s="3">
        <f t="shared" si="7"/>
        <v>616824692.79149652</v>
      </c>
      <c r="T17" s="30">
        <f t="shared" si="8"/>
        <v>10280411.546524942</v>
      </c>
      <c r="U17" s="30">
        <f t="shared" si="3"/>
        <v>51402057.73262471</v>
      </c>
    </row>
    <row r="18" spans="1:24" x14ac:dyDescent="0.2">
      <c r="A18" s="29" t="s">
        <v>36</v>
      </c>
      <c r="B18" s="57" t="s">
        <v>37</v>
      </c>
      <c r="C18" s="58">
        <v>23</v>
      </c>
      <c r="D18" s="59">
        <v>8</v>
      </c>
      <c r="E18" s="54">
        <v>10134236</v>
      </c>
      <c r="F18" s="3"/>
      <c r="G18" s="3">
        <f t="shared" si="4"/>
        <v>10590277</v>
      </c>
      <c r="H18" s="3">
        <f t="shared" si="0"/>
        <v>5067118</v>
      </c>
      <c r="I18" s="55">
        <f t="shared" si="5"/>
        <v>15201354</v>
      </c>
      <c r="J18" s="64">
        <f t="shared" si="1"/>
        <v>81073888</v>
      </c>
      <c r="K18" s="30">
        <f t="shared" si="2"/>
        <v>81073888</v>
      </c>
      <c r="L18" s="27"/>
      <c r="M18" s="47"/>
      <c r="N18" s="27"/>
      <c r="O18" s="32">
        <v>22.536590470679009</v>
      </c>
      <c r="P18" s="32">
        <v>25.9765808595679</v>
      </c>
      <c r="Q18" s="73">
        <v>2.166339982124486</v>
      </c>
      <c r="R18" s="26">
        <f t="shared" si="6"/>
        <v>263252800.90394396</v>
      </c>
      <c r="S18" s="3">
        <f t="shared" si="7"/>
        <v>2106022407.2315516</v>
      </c>
      <c r="T18" s="30">
        <f t="shared" si="8"/>
        <v>21937733.408661995</v>
      </c>
      <c r="U18" s="30">
        <f t="shared" si="3"/>
        <v>175501867.26929596</v>
      </c>
    </row>
    <row r="19" spans="1:24" x14ac:dyDescent="0.2">
      <c r="A19" s="29" t="s">
        <v>36</v>
      </c>
      <c r="B19" s="57" t="s">
        <v>37</v>
      </c>
      <c r="C19" s="58">
        <v>22</v>
      </c>
      <c r="D19" s="59">
        <v>6</v>
      </c>
      <c r="E19" s="54">
        <v>9226856</v>
      </c>
      <c r="F19" s="3"/>
      <c r="G19" s="3">
        <f t="shared" si="4"/>
        <v>9642065</v>
      </c>
      <c r="H19" s="3">
        <f t="shared" si="0"/>
        <v>4613428</v>
      </c>
      <c r="I19" s="55">
        <f t="shared" si="5"/>
        <v>13840284</v>
      </c>
      <c r="J19" s="64">
        <f t="shared" si="1"/>
        <v>55361136</v>
      </c>
      <c r="K19" s="30">
        <f t="shared" si="2"/>
        <v>55361136</v>
      </c>
      <c r="L19" s="27"/>
      <c r="M19" s="47"/>
      <c r="N19" s="27"/>
      <c r="O19" s="32">
        <v>22.536590470679009</v>
      </c>
      <c r="P19" s="32">
        <v>25.9765808595679</v>
      </c>
      <c r="Q19" s="73">
        <v>2.166339982124486</v>
      </c>
      <c r="R19" s="26">
        <f t="shared" si="6"/>
        <v>239682170.96358922</v>
      </c>
      <c r="S19" s="3">
        <f t="shared" si="7"/>
        <v>1438093025.7815354</v>
      </c>
      <c r="T19" s="30">
        <f t="shared" si="8"/>
        <v>19973514.24696577</v>
      </c>
      <c r="U19" s="30">
        <f t="shared" si="3"/>
        <v>119841085.48179463</v>
      </c>
    </row>
    <row r="20" spans="1:24" x14ac:dyDescent="0.2">
      <c r="A20" s="29" t="s">
        <v>38</v>
      </c>
      <c r="B20" s="57" t="s">
        <v>39</v>
      </c>
      <c r="C20" s="58">
        <v>21</v>
      </c>
      <c r="D20" s="59">
        <v>16</v>
      </c>
      <c r="E20" s="54">
        <v>8338354</v>
      </c>
      <c r="F20" s="3"/>
      <c r="G20" s="3">
        <f t="shared" si="4"/>
        <v>8713580</v>
      </c>
      <c r="H20" s="3">
        <f t="shared" si="0"/>
        <v>4169177</v>
      </c>
      <c r="I20" s="55">
        <f>+E20+H20</f>
        <v>12507531</v>
      </c>
      <c r="J20" s="64">
        <f t="shared" si="1"/>
        <v>133413664</v>
      </c>
      <c r="K20" s="30">
        <f t="shared" si="2"/>
        <v>133413664</v>
      </c>
      <c r="L20" s="27"/>
      <c r="M20" s="47"/>
      <c r="N20" s="27"/>
      <c r="O20" s="32">
        <v>22.536590470679009</v>
      </c>
      <c r="P20" s="32">
        <v>25.9765808595679</v>
      </c>
      <c r="Q20" s="73">
        <v>2.166339982124486</v>
      </c>
      <c r="R20" s="26">
        <f t="shared" si="6"/>
        <v>216601926.91670144</v>
      </c>
      <c r="S20" s="3">
        <f t="shared" si="7"/>
        <v>3465630830.667223</v>
      </c>
      <c r="T20" s="30">
        <f t="shared" si="8"/>
        <v>18050160.576391786</v>
      </c>
      <c r="U20" s="30">
        <f t="shared" si="3"/>
        <v>288802569.22226858</v>
      </c>
    </row>
    <row r="21" spans="1:24" x14ac:dyDescent="0.2">
      <c r="A21" s="29" t="s">
        <v>40</v>
      </c>
      <c r="B21" s="57" t="s">
        <v>41</v>
      </c>
      <c r="C21" s="58">
        <v>22</v>
      </c>
      <c r="D21" s="59">
        <v>5</v>
      </c>
      <c r="E21" s="54">
        <v>9226856</v>
      </c>
      <c r="F21" s="3"/>
      <c r="G21" s="3">
        <f t="shared" si="4"/>
        <v>9642065</v>
      </c>
      <c r="H21" s="3">
        <f t="shared" si="0"/>
        <v>4613428</v>
      </c>
      <c r="I21" s="55">
        <f>+E21+H21</f>
        <v>13840284</v>
      </c>
      <c r="J21" s="64">
        <f t="shared" si="1"/>
        <v>46134280</v>
      </c>
      <c r="K21" s="30">
        <f t="shared" si="2"/>
        <v>46134280</v>
      </c>
      <c r="L21" s="27"/>
      <c r="M21" s="47"/>
      <c r="N21" s="27"/>
      <c r="O21" s="32">
        <v>22.536590470679009</v>
      </c>
      <c r="P21" s="32">
        <v>25.9765808595679</v>
      </c>
      <c r="Q21" s="73">
        <v>2.166339982124486</v>
      </c>
      <c r="R21" s="26">
        <f t="shared" si="6"/>
        <v>239682170.96358922</v>
      </c>
      <c r="S21" s="3">
        <f t="shared" si="7"/>
        <v>1198410854.8179462</v>
      </c>
      <c r="T21" s="30">
        <f t="shared" si="8"/>
        <v>19973514.24696577</v>
      </c>
      <c r="U21" s="30">
        <f t="shared" si="3"/>
        <v>99867571.234828845</v>
      </c>
    </row>
    <row r="22" spans="1:24" x14ac:dyDescent="0.2">
      <c r="A22" s="34" t="s">
        <v>42</v>
      </c>
      <c r="B22" s="60"/>
      <c r="C22" s="60"/>
      <c r="D22" s="61">
        <f>SUM(D12:D21)</f>
        <v>71</v>
      </c>
      <c r="E22" s="55"/>
      <c r="F22" s="30"/>
      <c r="G22" s="3"/>
      <c r="H22" s="27"/>
      <c r="I22" s="25"/>
      <c r="J22" s="61">
        <f>SUM(J12:J21)</f>
        <v>570561745</v>
      </c>
      <c r="K22" s="35">
        <f>SUM(K12:K21)</f>
        <v>570561745</v>
      </c>
      <c r="L22" s="27"/>
      <c r="M22" s="36">
        <v>52</v>
      </c>
      <c r="N22" s="36">
        <f>+J22/D22</f>
        <v>8036080.9154929575</v>
      </c>
      <c r="O22" s="37"/>
      <c r="P22" s="37"/>
      <c r="Q22" s="74"/>
      <c r="R22" s="26"/>
      <c r="S22" s="23">
        <f>SUM(S12:S21)</f>
        <v>14892218162.791941</v>
      </c>
      <c r="T22" s="30"/>
      <c r="U22" s="23">
        <f>SUM(U12:U21)</f>
        <v>1241018180.2326617</v>
      </c>
      <c r="V22" s="68">
        <f>+U22/D22</f>
        <v>17479129.299051575</v>
      </c>
    </row>
    <row r="23" spans="1:24" x14ac:dyDescent="0.2">
      <c r="A23" s="34" t="s">
        <v>43</v>
      </c>
      <c r="B23" s="60"/>
      <c r="C23" s="60"/>
      <c r="D23" s="61"/>
      <c r="E23" s="55"/>
      <c r="F23" s="30"/>
      <c r="G23" s="3"/>
      <c r="H23" s="27"/>
      <c r="I23" s="25"/>
      <c r="J23" s="65"/>
      <c r="K23" s="30"/>
      <c r="L23" s="27"/>
      <c r="M23" s="47"/>
      <c r="N23" s="27"/>
      <c r="O23" s="32"/>
      <c r="P23" s="32"/>
      <c r="Q23" s="73"/>
      <c r="R23" s="26"/>
      <c r="S23" s="3"/>
      <c r="T23" s="30"/>
      <c r="U23" s="28"/>
    </row>
    <row r="24" spans="1:24" x14ac:dyDescent="0.2">
      <c r="A24" s="29" t="s">
        <v>44</v>
      </c>
      <c r="B24" s="58">
        <v>1020</v>
      </c>
      <c r="C24" s="58">
        <v>18</v>
      </c>
      <c r="D24" s="59">
        <v>4</v>
      </c>
      <c r="E24" s="54">
        <v>10986254</v>
      </c>
      <c r="F24" s="3"/>
      <c r="G24" s="3">
        <f t="shared" ref="G24:G27" si="9">ROUND((E24)*1.045,0)</f>
        <v>11480635</v>
      </c>
      <c r="H24" s="28"/>
      <c r="I24" s="55">
        <f>+E24+H24</f>
        <v>10986254</v>
      </c>
      <c r="J24" s="64">
        <f>ROUND(E24*D24,0)</f>
        <v>43945016</v>
      </c>
      <c r="K24" s="30">
        <f>+E24*D24</f>
        <v>43945016</v>
      </c>
      <c r="L24" s="27"/>
      <c r="M24" s="47"/>
      <c r="N24" s="27"/>
      <c r="O24" s="32">
        <v>16.903257137345676</v>
      </c>
      <c r="P24" s="32">
        <v>20.329413118827159</v>
      </c>
      <c r="Q24" s="73">
        <v>1.6941177599022634</v>
      </c>
      <c r="R24" s="26">
        <f>+E24*P24</f>
        <v>223344096.19436735</v>
      </c>
      <c r="S24" s="3">
        <f>+R24*D24</f>
        <v>893376384.7774694</v>
      </c>
      <c r="T24" s="30">
        <f>+R24/12</f>
        <v>18612008.016197279</v>
      </c>
      <c r="U24" s="30">
        <f>+T24*D24</f>
        <v>74448032.064789116</v>
      </c>
    </row>
    <row r="25" spans="1:24" x14ac:dyDescent="0.2">
      <c r="A25" s="29" t="s">
        <v>44</v>
      </c>
      <c r="B25" s="58">
        <v>1020</v>
      </c>
      <c r="C25" s="58">
        <v>16</v>
      </c>
      <c r="D25" s="59">
        <v>10</v>
      </c>
      <c r="E25" s="54">
        <v>9161181</v>
      </c>
      <c r="F25" s="3"/>
      <c r="G25" s="3">
        <f t="shared" si="9"/>
        <v>9573434</v>
      </c>
      <c r="H25" s="28"/>
      <c r="I25" s="55">
        <f>+E25+H25</f>
        <v>9161181</v>
      </c>
      <c r="J25" s="64">
        <f>ROUND(E25*D25,0)</f>
        <v>91611810</v>
      </c>
      <c r="K25" s="30">
        <f>+E25*D25</f>
        <v>91611810</v>
      </c>
      <c r="L25" s="27"/>
      <c r="M25" s="47"/>
      <c r="N25" s="27"/>
      <c r="O25" s="32">
        <v>16.889877507716047</v>
      </c>
      <c r="P25" s="32">
        <v>20.329413118827159</v>
      </c>
      <c r="Q25" s="73">
        <v>1.6941177599022634</v>
      </c>
      <c r="R25" s="26">
        <f>+E25*P25</f>
        <v>186241433.2053501</v>
      </c>
      <c r="S25" s="3">
        <f>+R25*D25</f>
        <v>1862414332.0535011</v>
      </c>
      <c r="T25" s="30">
        <f>+R25/12</f>
        <v>15520119.433779174</v>
      </c>
      <c r="U25" s="30">
        <f>+T25*D25</f>
        <v>155201194.33779174</v>
      </c>
    </row>
    <row r="26" spans="1:24" x14ac:dyDescent="0.2">
      <c r="A26" s="29" t="s">
        <v>44</v>
      </c>
      <c r="B26" s="58">
        <v>1020</v>
      </c>
      <c r="C26" s="58">
        <v>15</v>
      </c>
      <c r="D26" s="59">
        <v>1</v>
      </c>
      <c r="E26" s="54">
        <v>8337270</v>
      </c>
      <c r="F26" s="3"/>
      <c r="G26" s="3">
        <f t="shared" si="9"/>
        <v>8712447</v>
      </c>
      <c r="H26" s="28"/>
      <c r="I26" s="55">
        <f>+E26+H26</f>
        <v>8337270</v>
      </c>
      <c r="J26" s="64">
        <f>ROUND(E26*D26,0)</f>
        <v>8337270</v>
      </c>
      <c r="K26" s="30">
        <f>+E26*D26</f>
        <v>8337270</v>
      </c>
      <c r="L26" s="27"/>
      <c r="M26" s="47"/>
      <c r="N26" s="27"/>
      <c r="O26" s="32">
        <v>16.889877507716047</v>
      </c>
      <c r="P26" s="32">
        <v>20.329413118827159</v>
      </c>
      <c r="Q26" s="73">
        <v>1.6941177599022634</v>
      </c>
      <c r="R26" s="26">
        <f>+E26*P26</f>
        <v>169491806.11320409</v>
      </c>
      <c r="S26" s="3">
        <f>+R26*D26</f>
        <v>169491806.11320409</v>
      </c>
      <c r="T26" s="30">
        <f>+R26/12</f>
        <v>14124317.176100342</v>
      </c>
      <c r="U26" s="30">
        <f>+T26*D26</f>
        <v>14124317.176100342</v>
      </c>
    </row>
    <row r="27" spans="1:24" x14ac:dyDescent="0.2">
      <c r="A27" s="29" t="s">
        <v>45</v>
      </c>
      <c r="B27" s="58">
        <v>1045</v>
      </c>
      <c r="C27" s="58">
        <v>16</v>
      </c>
      <c r="D27" s="59">
        <v>2</v>
      </c>
      <c r="E27" s="54">
        <v>9161181</v>
      </c>
      <c r="F27" s="3"/>
      <c r="G27" s="3">
        <f t="shared" si="9"/>
        <v>9573434</v>
      </c>
      <c r="H27" s="3">
        <f>ROUND(E27*50/100,0)</f>
        <v>4580591</v>
      </c>
      <c r="I27" s="55">
        <f>+E27+H27</f>
        <v>13741772</v>
      </c>
      <c r="J27" s="64">
        <f>ROUND(E27*D27,0)</f>
        <v>18322362</v>
      </c>
      <c r="K27" s="30">
        <f>+E27*D27</f>
        <v>18322362</v>
      </c>
      <c r="L27" s="27"/>
      <c r="M27" s="47"/>
      <c r="N27" s="27"/>
      <c r="O27" s="32">
        <v>22.889877507716051</v>
      </c>
      <c r="P27" s="32">
        <v>26.329413118827159</v>
      </c>
      <c r="Q27" s="73">
        <v>2.166339982124486</v>
      </c>
      <c r="R27" s="26">
        <f>+E27*P27</f>
        <v>241208519.2053501</v>
      </c>
      <c r="S27" s="3">
        <f>+R27*D27</f>
        <v>482417038.4107002</v>
      </c>
      <c r="T27" s="30">
        <f>+R27/12</f>
        <v>20100709.933779176</v>
      </c>
      <c r="U27" s="30">
        <f>+T27*D27</f>
        <v>40201419.867558353</v>
      </c>
    </row>
    <row r="28" spans="1:24" x14ac:dyDescent="0.2">
      <c r="A28" s="34" t="s">
        <v>42</v>
      </c>
      <c r="B28" s="60"/>
      <c r="C28" s="60"/>
      <c r="D28" s="61">
        <f>SUM(D24:D27)</f>
        <v>17</v>
      </c>
      <c r="E28" s="55"/>
      <c r="F28" s="30"/>
      <c r="G28" s="3"/>
      <c r="H28" s="27"/>
      <c r="I28" s="27"/>
      <c r="J28" s="61">
        <f>SUM(J24:J27)</f>
        <v>162216458</v>
      </c>
      <c r="K28" s="35">
        <f>SUM(K24:K27)</f>
        <v>162216458</v>
      </c>
      <c r="L28" s="27"/>
      <c r="M28" s="36">
        <v>12</v>
      </c>
      <c r="N28" s="36">
        <f>+J28/D28</f>
        <v>9542144.5882352944</v>
      </c>
      <c r="O28" s="32"/>
      <c r="P28" s="32"/>
      <c r="Q28" s="73"/>
      <c r="R28" s="26"/>
      <c r="S28" s="23">
        <f>SUM(S24:S27)</f>
        <v>3407699561.3548751</v>
      </c>
      <c r="T28" s="30"/>
      <c r="U28" s="23">
        <f>SUM(U24:U27)</f>
        <v>283974963.44623953</v>
      </c>
      <c r="V28" s="68">
        <f>+U28/D28</f>
        <v>16704409.614484679</v>
      </c>
    </row>
    <row r="29" spans="1:24" x14ac:dyDescent="0.2">
      <c r="A29" s="34" t="s">
        <v>46</v>
      </c>
      <c r="B29" s="60"/>
      <c r="C29" s="60"/>
      <c r="D29" s="61"/>
      <c r="E29" s="55"/>
      <c r="F29" s="30"/>
      <c r="G29" s="3"/>
      <c r="H29" s="27"/>
      <c r="I29" s="27"/>
      <c r="J29" s="65"/>
      <c r="K29" s="30"/>
      <c r="L29" s="27"/>
      <c r="M29" s="47"/>
      <c r="N29" s="27"/>
      <c r="O29" s="37"/>
      <c r="P29" s="37"/>
      <c r="Q29" s="74"/>
      <c r="R29" s="26"/>
      <c r="S29" s="3"/>
      <c r="T29" s="30"/>
      <c r="U29" s="30"/>
    </row>
    <row r="30" spans="1:24" x14ac:dyDescent="0.2">
      <c r="A30" s="33" t="s">
        <v>47</v>
      </c>
      <c r="B30" s="62">
        <v>2028</v>
      </c>
      <c r="C30" s="62">
        <v>24</v>
      </c>
      <c r="D30" s="59">
        <f>23+4</f>
        <v>27</v>
      </c>
      <c r="E30" s="54">
        <v>7674783</v>
      </c>
      <c r="F30" s="3"/>
      <c r="G30" s="3">
        <f t="shared" ref="G30:G43" si="10">ROUND((E30)*1.045,0)</f>
        <v>8020148</v>
      </c>
      <c r="H30" s="28"/>
      <c r="I30" s="28"/>
      <c r="J30" s="64">
        <f t="shared" ref="J30:J43" si="11">ROUND(E30*D30,0)</f>
        <v>207219141</v>
      </c>
      <c r="K30" s="30">
        <f t="shared" ref="K30:K43" si="12">+E30*D30</f>
        <v>207219141</v>
      </c>
      <c r="L30" s="27"/>
      <c r="M30" s="47"/>
      <c r="N30" s="27"/>
      <c r="O30" s="32">
        <v>16.889877507716051</v>
      </c>
      <c r="P30" s="32">
        <v>20.343247526234563</v>
      </c>
      <c r="Q30" s="73">
        <v>1.6941177599022632</v>
      </c>
      <c r="R30" s="26">
        <f>+E30*P30</f>
        <v>156130010.27913707</v>
      </c>
      <c r="S30" s="3">
        <f>+R30*D30</f>
        <v>4215510277.5367012</v>
      </c>
      <c r="T30" s="30">
        <f>+R30/12</f>
        <v>13010834.18992809</v>
      </c>
      <c r="U30" s="30">
        <f>+T30*D30</f>
        <v>351292523.12805843</v>
      </c>
      <c r="X30" s="6"/>
    </row>
    <row r="31" spans="1:24" x14ac:dyDescent="0.2">
      <c r="A31" s="33" t="s">
        <v>47</v>
      </c>
      <c r="B31" s="62">
        <v>2028</v>
      </c>
      <c r="C31" s="62">
        <v>21</v>
      </c>
      <c r="D31" s="59">
        <v>28</v>
      </c>
      <c r="E31" s="54">
        <v>6262849</v>
      </c>
      <c r="F31" s="3"/>
      <c r="G31" s="3">
        <f t="shared" si="10"/>
        <v>6544677</v>
      </c>
      <c r="H31" s="28"/>
      <c r="I31" s="28"/>
      <c r="J31" s="64">
        <f t="shared" si="11"/>
        <v>175359772</v>
      </c>
      <c r="K31" s="30">
        <f t="shared" si="12"/>
        <v>175359772</v>
      </c>
      <c r="L31" s="27"/>
      <c r="M31" s="47"/>
      <c r="N31" s="27"/>
      <c r="O31" s="32">
        <v>16.889877507716051</v>
      </c>
      <c r="P31" s="32">
        <v>20.343247526234563</v>
      </c>
      <c r="Q31" s="73">
        <v>1.6941177599022632</v>
      </c>
      <c r="R31" s="26">
        <f t="shared" ref="R31:R76" si="13">+E31*P31</f>
        <v>127406687.42643061</v>
      </c>
      <c r="S31" s="3">
        <f t="shared" ref="S31:S43" si="14">+R31*D31</f>
        <v>3567387247.9400573</v>
      </c>
      <c r="T31" s="30">
        <f t="shared" ref="T31:T43" si="15">+R31/12</f>
        <v>10617223.952202551</v>
      </c>
      <c r="U31" s="30">
        <f t="shared" ref="U31:U43" si="16">+T31*D31</f>
        <v>297282270.6616714</v>
      </c>
      <c r="X31" s="6"/>
    </row>
    <row r="32" spans="1:24" x14ac:dyDescent="0.2">
      <c r="A32" s="33" t="s">
        <v>47</v>
      </c>
      <c r="B32" s="62">
        <v>2028</v>
      </c>
      <c r="C32" s="62">
        <v>19</v>
      </c>
      <c r="D32" s="59">
        <f>80-1</f>
        <v>79</v>
      </c>
      <c r="E32" s="54">
        <v>5458553</v>
      </c>
      <c r="F32" s="3"/>
      <c r="G32" s="3">
        <f t="shared" si="10"/>
        <v>5704188</v>
      </c>
      <c r="H32" s="28"/>
      <c r="I32" s="28"/>
      <c r="J32" s="64">
        <f t="shared" si="11"/>
        <v>431225687</v>
      </c>
      <c r="K32" s="30">
        <f t="shared" si="12"/>
        <v>431225687</v>
      </c>
      <c r="L32" s="27"/>
      <c r="M32" s="47"/>
      <c r="N32" s="27"/>
      <c r="O32" s="32">
        <v>16.889877507716051</v>
      </c>
      <c r="P32" s="32">
        <v>20.343247526234563</v>
      </c>
      <c r="Q32" s="73">
        <v>1.6941177599022632</v>
      </c>
      <c r="R32" s="26">
        <f t="shared" si="13"/>
        <v>111044694.81407025</v>
      </c>
      <c r="S32" s="3">
        <f t="shared" si="14"/>
        <v>8772530890.3115501</v>
      </c>
      <c r="T32" s="30">
        <f t="shared" si="15"/>
        <v>9253724.5678391885</v>
      </c>
      <c r="U32" s="30">
        <f t="shared" si="16"/>
        <v>731044240.85929585</v>
      </c>
      <c r="X32" s="6"/>
    </row>
    <row r="33" spans="1:24" x14ac:dyDescent="0.2">
      <c r="A33" s="33" t="s">
        <v>47</v>
      </c>
      <c r="B33" s="62">
        <v>2028</v>
      </c>
      <c r="C33" s="62">
        <v>17</v>
      </c>
      <c r="D33" s="59">
        <f>181+270+123+174-157</f>
        <v>591</v>
      </c>
      <c r="E33" s="54">
        <v>4712047</v>
      </c>
      <c r="F33" s="3"/>
      <c r="G33" s="3">
        <f t="shared" si="10"/>
        <v>4924089</v>
      </c>
      <c r="H33" s="3"/>
      <c r="I33" s="28"/>
      <c r="J33" s="64">
        <f t="shared" si="11"/>
        <v>2784819777</v>
      </c>
      <c r="K33" s="30">
        <f t="shared" si="12"/>
        <v>2784819777</v>
      </c>
      <c r="L33" s="27"/>
      <c r="M33" s="47"/>
      <c r="N33" s="27"/>
      <c r="O33" s="32">
        <v>16.889877507716051</v>
      </c>
      <c r="P33" s="32">
        <v>20.343247526234563</v>
      </c>
      <c r="Q33" s="73">
        <v>1.6941177599022632</v>
      </c>
      <c r="R33" s="26">
        <f t="shared" si="13"/>
        <v>95858338.476250991</v>
      </c>
      <c r="S33" s="3">
        <f t="shared" si="14"/>
        <v>56652278039.464333</v>
      </c>
      <c r="T33" s="30">
        <f t="shared" si="15"/>
        <v>7988194.8730209162</v>
      </c>
      <c r="U33" s="30">
        <f t="shared" si="16"/>
        <v>4721023169.9553614</v>
      </c>
      <c r="X33" s="6"/>
    </row>
    <row r="34" spans="1:24" x14ac:dyDescent="0.2">
      <c r="A34" s="33" t="s">
        <v>47</v>
      </c>
      <c r="B34" s="62">
        <v>2028</v>
      </c>
      <c r="C34" s="62">
        <v>16</v>
      </c>
      <c r="D34" s="59">
        <f>53-2</f>
        <v>51</v>
      </c>
      <c r="E34" s="54">
        <v>4479891</v>
      </c>
      <c r="F34" s="3"/>
      <c r="G34" s="3">
        <f t="shared" si="10"/>
        <v>4681486</v>
      </c>
      <c r="H34" s="3"/>
      <c r="I34" s="28"/>
      <c r="J34" s="64">
        <f t="shared" si="11"/>
        <v>228474441</v>
      </c>
      <c r="K34" s="30">
        <f t="shared" si="12"/>
        <v>228474441</v>
      </c>
      <c r="L34" s="27"/>
      <c r="M34" s="47"/>
      <c r="N34" s="27"/>
      <c r="O34" s="32">
        <v>16.889877507716051</v>
      </c>
      <c r="P34" s="32">
        <v>20.343247526234563</v>
      </c>
      <c r="Q34" s="73">
        <v>1.6941177599022632</v>
      </c>
      <c r="R34" s="26">
        <f t="shared" si="13"/>
        <v>91135531.503550485</v>
      </c>
      <c r="S34" s="3">
        <f t="shared" si="14"/>
        <v>4647912106.6810751</v>
      </c>
      <c r="T34" s="30">
        <f t="shared" si="15"/>
        <v>7594627.6252958737</v>
      </c>
      <c r="U34" s="30">
        <f t="shared" si="16"/>
        <v>387326008.89008957</v>
      </c>
      <c r="X34" s="6"/>
    </row>
    <row r="35" spans="1:24" x14ac:dyDescent="0.2">
      <c r="A35" s="33" t="s">
        <v>47</v>
      </c>
      <c r="B35" s="62">
        <v>2028</v>
      </c>
      <c r="C35" s="62">
        <v>15</v>
      </c>
      <c r="D35" s="59">
        <f>84-2+12</f>
        <v>94</v>
      </c>
      <c r="E35" s="54">
        <v>4155197</v>
      </c>
      <c r="F35" s="3"/>
      <c r="G35" s="3">
        <f t="shared" si="10"/>
        <v>4342181</v>
      </c>
      <c r="H35" s="3"/>
      <c r="I35" s="28"/>
      <c r="J35" s="64">
        <f t="shared" si="11"/>
        <v>390588518</v>
      </c>
      <c r="K35" s="30">
        <f t="shared" si="12"/>
        <v>390588518</v>
      </c>
      <c r="L35" s="48">
        <f>SUM(J30:J35)</f>
        <v>4217687336</v>
      </c>
      <c r="M35" s="36">
        <f>SUM(D30:D35)</f>
        <v>870</v>
      </c>
      <c r="N35" s="36">
        <f>+L35/M35</f>
        <v>4847916.4781609196</v>
      </c>
      <c r="O35" s="32">
        <v>16.889877507716051</v>
      </c>
      <c r="P35" s="32">
        <v>20.343247526234563</v>
      </c>
      <c r="Q35" s="73">
        <v>1.6941177599022632</v>
      </c>
      <c r="R35" s="26">
        <f t="shared" si="13"/>
        <v>84530201.091267273</v>
      </c>
      <c r="S35" s="3">
        <f t="shared" si="14"/>
        <v>7945838902.5791235</v>
      </c>
      <c r="T35" s="30">
        <f>+R35/12</f>
        <v>7044183.4242722727</v>
      </c>
      <c r="U35" s="30">
        <f t="shared" si="16"/>
        <v>662153241.88159359</v>
      </c>
      <c r="X35" s="6"/>
    </row>
    <row r="36" spans="1:24" x14ac:dyDescent="0.2">
      <c r="A36" s="33" t="s">
        <v>47</v>
      </c>
      <c r="B36" s="62">
        <v>2028</v>
      </c>
      <c r="C36" s="62">
        <v>14</v>
      </c>
      <c r="D36" s="59">
        <v>6</v>
      </c>
      <c r="E36" s="54">
        <v>3758304</v>
      </c>
      <c r="F36" s="3"/>
      <c r="G36" s="3">
        <f t="shared" si="10"/>
        <v>3927428</v>
      </c>
      <c r="H36" s="3"/>
      <c r="I36" s="28"/>
      <c r="J36" s="64">
        <f>ROUND(E36*D36,0)</f>
        <v>22549824</v>
      </c>
      <c r="K36" s="30">
        <f t="shared" si="12"/>
        <v>22549824</v>
      </c>
      <c r="L36" s="27"/>
      <c r="M36" s="47"/>
      <c r="N36" s="27"/>
      <c r="O36" s="32">
        <v>16.889877507716051</v>
      </c>
      <c r="P36" s="32">
        <v>20.329413118827162</v>
      </c>
      <c r="Q36" s="73">
        <v>1.6941177599022632</v>
      </c>
      <c r="R36" s="26">
        <f>+E36*P36</f>
        <v>76404114.642140597</v>
      </c>
      <c r="S36" s="3">
        <f>+R36*D36</f>
        <v>458424687.85284358</v>
      </c>
      <c r="T36" s="30">
        <f>+R36/12</f>
        <v>6367009.5535117164</v>
      </c>
      <c r="U36" s="30">
        <f t="shared" si="16"/>
        <v>38202057.321070299</v>
      </c>
    </row>
    <row r="37" spans="1:24" x14ac:dyDescent="0.2">
      <c r="A37" s="33" t="s">
        <v>47</v>
      </c>
      <c r="B37" s="62">
        <v>2028</v>
      </c>
      <c r="C37" s="62">
        <v>13</v>
      </c>
      <c r="D37" s="59">
        <f>133-2+7</f>
        <v>138</v>
      </c>
      <c r="E37" s="54">
        <v>3511975</v>
      </c>
      <c r="F37" s="3"/>
      <c r="G37" s="3">
        <f t="shared" si="10"/>
        <v>3670014</v>
      </c>
      <c r="H37" s="3"/>
      <c r="I37" s="28"/>
      <c r="J37" s="64">
        <f t="shared" si="11"/>
        <v>484652550</v>
      </c>
      <c r="K37" s="30">
        <f t="shared" si="12"/>
        <v>484652550</v>
      </c>
      <c r="L37" s="48"/>
      <c r="M37" s="49"/>
      <c r="N37" s="48"/>
      <c r="O37" s="32">
        <v>16.889877507716051</v>
      </c>
      <c r="P37" s="32">
        <v>20.343247526234563</v>
      </c>
      <c r="Q37" s="73">
        <v>1.6941177599022632</v>
      </c>
      <c r="R37" s="26">
        <f>+E37*P37</f>
        <v>71444976.730947629</v>
      </c>
      <c r="S37" s="3">
        <f t="shared" si="14"/>
        <v>9859406788.8707733</v>
      </c>
      <c r="T37" s="30">
        <f>+R37/12</f>
        <v>5953748.0609123027</v>
      </c>
      <c r="U37" s="30">
        <f t="shared" si="16"/>
        <v>821617232.40589774</v>
      </c>
      <c r="X37" s="6"/>
    </row>
    <row r="38" spans="1:24" x14ac:dyDescent="0.2">
      <c r="A38" s="33" t="s">
        <v>48</v>
      </c>
      <c r="B38" s="62">
        <v>2044</v>
      </c>
      <c r="C38" s="62">
        <v>11</v>
      </c>
      <c r="D38" s="59">
        <f>203-5+10</f>
        <v>208</v>
      </c>
      <c r="E38" s="54">
        <v>3055244</v>
      </c>
      <c r="F38" s="3"/>
      <c r="G38" s="3">
        <f t="shared" si="10"/>
        <v>3192730</v>
      </c>
      <c r="H38" s="3"/>
      <c r="I38" s="28"/>
      <c r="J38" s="64">
        <f t="shared" si="11"/>
        <v>635490752</v>
      </c>
      <c r="K38" s="30">
        <f t="shared" si="12"/>
        <v>635490752</v>
      </c>
      <c r="L38" s="48"/>
      <c r="M38" s="49"/>
      <c r="N38" s="48"/>
      <c r="O38" s="32">
        <v>16.889877507716051</v>
      </c>
      <c r="P38" s="32">
        <v>20.343247526234563</v>
      </c>
      <c r="Q38" s="73">
        <v>1.6941177599022632</v>
      </c>
      <c r="R38" s="26">
        <f t="shared" si="13"/>
        <v>62153584.94504299</v>
      </c>
      <c r="S38" s="3">
        <f t="shared" si="14"/>
        <v>12927945668.568941</v>
      </c>
      <c r="T38" s="30">
        <f t="shared" si="15"/>
        <v>5179465.4120869162</v>
      </c>
      <c r="U38" s="30">
        <f t="shared" si="16"/>
        <v>1077328805.7140787</v>
      </c>
      <c r="X38" s="6"/>
    </row>
    <row r="39" spans="1:24" x14ac:dyDescent="0.2">
      <c r="A39" s="33" t="s">
        <v>48</v>
      </c>
      <c r="B39" s="62">
        <v>2044</v>
      </c>
      <c r="C39" s="62">
        <v>9</v>
      </c>
      <c r="D39" s="59">
        <f>377-13+13</f>
        <v>377</v>
      </c>
      <c r="E39" s="54">
        <v>2835071</v>
      </c>
      <c r="F39" s="3"/>
      <c r="G39" s="3">
        <f t="shared" si="10"/>
        <v>2962649</v>
      </c>
      <c r="H39" s="3"/>
      <c r="I39" s="28"/>
      <c r="J39" s="64">
        <f t="shared" si="11"/>
        <v>1068821767</v>
      </c>
      <c r="K39" s="30">
        <f t="shared" si="12"/>
        <v>1068821767</v>
      </c>
      <c r="L39" s="48"/>
      <c r="M39" s="49"/>
      <c r="N39" s="48"/>
      <c r="O39" s="32">
        <v>16.889877507716051</v>
      </c>
      <c r="P39" s="32">
        <v>20.343247526234563</v>
      </c>
      <c r="Q39" s="73">
        <v>1.6941177599022632</v>
      </c>
      <c r="R39" s="26">
        <f t="shared" si="13"/>
        <v>57674551.107449353</v>
      </c>
      <c r="S39" s="3">
        <f t="shared" si="14"/>
        <v>21743305767.508408</v>
      </c>
      <c r="T39" s="30">
        <f t="shared" si="15"/>
        <v>4806212.5922874464</v>
      </c>
      <c r="U39" s="30">
        <f t="shared" si="16"/>
        <v>1811942147.2923672</v>
      </c>
      <c r="X39" s="6"/>
    </row>
    <row r="40" spans="1:24" x14ac:dyDescent="0.2">
      <c r="A40" s="33" t="s">
        <v>48</v>
      </c>
      <c r="B40" s="62">
        <v>2044</v>
      </c>
      <c r="C40" s="62">
        <v>8</v>
      </c>
      <c r="D40" s="59">
        <f>587-8+49</f>
        <v>628</v>
      </c>
      <c r="E40" s="54">
        <v>2718070</v>
      </c>
      <c r="F40" s="3"/>
      <c r="G40" s="3">
        <f t="shared" si="10"/>
        <v>2840383</v>
      </c>
      <c r="H40" s="3"/>
      <c r="I40" s="28"/>
      <c r="J40" s="64">
        <f t="shared" si="11"/>
        <v>1706947960</v>
      </c>
      <c r="K40" s="30">
        <f t="shared" si="12"/>
        <v>1706947960</v>
      </c>
      <c r="L40" s="48"/>
      <c r="M40" s="49"/>
      <c r="N40" s="48"/>
      <c r="O40" s="32">
        <v>16.889877507716051</v>
      </c>
      <c r="P40" s="32">
        <v>20.343247526234563</v>
      </c>
      <c r="Q40" s="73">
        <v>1.6941177599022632</v>
      </c>
      <c r="R40" s="26">
        <f t="shared" si="13"/>
        <v>55294370.803632379</v>
      </c>
      <c r="S40" s="3">
        <f t="shared" si="14"/>
        <v>34724864864.681137</v>
      </c>
      <c r="T40" s="30">
        <f t="shared" si="15"/>
        <v>4607864.2336360319</v>
      </c>
      <c r="U40" s="30">
        <f t="shared" si="16"/>
        <v>2893738738.7234278</v>
      </c>
      <c r="X40" s="6"/>
    </row>
    <row r="41" spans="1:24" x14ac:dyDescent="0.2">
      <c r="A41" s="33" t="s">
        <v>48</v>
      </c>
      <c r="B41" s="62">
        <v>2044</v>
      </c>
      <c r="C41" s="62">
        <v>7</v>
      </c>
      <c r="D41" s="59">
        <f>229-2+2801</f>
        <v>3028</v>
      </c>
      <c r="E41" s="54">
        <v>2589328</v>
      </c>
      <c r="F41" s="3"/>
      <c r="G41" s="3">
        <f t="shared" si="10"/>
        <v>2705848</v>
      </c>
      <c r="H41" s="3"/>
      <c r="I41" s="28"/>
      <c r="J41" s="64">
        <f t="shared" si="11"/>
        <v>7840485184</v>
      </c>
      <c r="K41" s="30">
        <f t="shared" si="12"/>
        <v>7840485184</v>
      </c>
      <c r="L41" s="48">
        <f>SUM(J37:J41)</f>
        <v>11736398213</v>
      </c>
      <c r="M41" s="36">
        <f>SUM(D37:D41)</f>
        <v>4379</v>
      </c>
      <c r="N41" s="36">
        <f>+L41/M41</f>
        <v>2680154.8785110754</v>
      </c>
      <c r="O41" s="32">
        <v>16.889877507716051</v>
      </c>
      <c r="P41" s="32">
        <v>20.343247526234563</v>
      </c>
      <c r="Q41" s="73">
        <v>1.6941177599022632</v>
      </c>
      <c r="R41" s="26">
        <f t="shared" si="13"/>
        <v>52675340.430609889</v>
      </c>
      <c r="S41" s="3">
        <f t="shared" si="14"/>
        <v>159500930823.88675</v>
      </c>
      <c r="T41" s="30">
        <f t="shared" si="15"/>
        <v>4389611.7025508238</v>
      </c>
      <c r="U41" s="30">
        <f t="shared" si="16"/>
        <v>13291744235.323895</v>
      </c>
      <c r="X41" s="6"/>
    </row>
    <row r="42" spans="1:24" x14ac:dyDescent="0.2">
      <c r="A42" s="33" t="s">
        <v>48</v>
      </c>
      <c r="B42" s="62">
        <v>2044</v>
      </c>
      <c r="C42" s="62">
        <v>1</v>
      </c>
      <c r="D42" s="59">
        <v>373</v>
      </c>
      <c r="E42" s="55">
        <v>1852823</v>
      </c>
      <c r="F42" s="3"/>
      <c r="G42" s="3">
        <f t="shared" si="10"/>
        <v>1936200</v>
      </c>
      <c r="H42" s="3"/>
      <c r="I42" s="28"/>
      <c r="J42" s="64">
        <f t="shared" si="11"/>
        <v>691102979</v>
      </c>
      <c r="K42" s="30">
        <f t="shared" si="12"/>
        <v>691102979</v>
      </c>
      <c r="L42" s="27"/>
      <c r="M42" s="47"/>
      <c r="N42" s="27"/>
      <c r="O42" s="32">
        <v>16.889877507716051</v>
      </c>
      <c r="P42" s="32">
        <v>20.329413118827162</v>
      </c>
      <c r="Q42" s="73">
        <v>1.6941177599022632</v>
      </c>
      <c r="R42" s="26">
        <f t="shared" si="13"/>
        <v>37666804.203064702</v>
      </c>
      <c r="S42" s="3">
        <f t="shared" si="14"/>
        <v>14049717967.743134</v>
      </c>
      <c r="T42" s="30">
        <f t="shared" si="15"/>
        <v>3138900.350255392</v>
      </c>
      <c r="U42" s="30">
        <f t="shared" si="16"/>
        <v>1170809830.6452613</v>
      </c>
    </row>
    <row r="43" spans="1:24" x14ac:dyDescent="0.2">
      <c r="A43" s="29" t="s">
        <v>49</v>
      </c>
      <c r="B43" s="58">
        <v>2125</v>
      </c>
      <c r="C43" s="62">
        <v>17</v>
      </c>
      <c r="D43" s="59">
        <f>1089+328</f>
        <v>1417</v>
      </c>
      <c r="E43" s="54">
        <v>4712047</v>
      </c>
      <c r="F43" s="3"/>
      <c r="G43" s="3">
        <f t="shared" si="10"/>
        <v>4924089</v>
      </c>
      <c r="H43" s="3"/>
      <c r="I43" s="28"/>
      <c r="J43" s="64">
        <f t="shared" si="11"/>
        <v>6676970599</v>
      </c>
      <c r="K43" s="30">
        <f t="shared" si="12"/>
        <v>6676970599</v>
      </c>
      <c r="L43" s="48"/>
      <c r="M43" s="49"/>
      <c r="N43" s="48"/>
      <c r="O43" s="32">
        <v>16.889877507716051</v>
      </c>
      <c r="P43" s="32">
        <v>20.343247526234563</v>
      </c>
      <c r="Q43" s="73">
        <v>1.6941177599022632</v>
      </c>
      <c r="R43" s="26">
        <f t="shared" si="13"/>
        <v>95858338.476250991</v>
      </c>
      <c r="S43" s="3">
        <f t="shared" si="14"/>
        <v>135831265620.84766</v>
      </c>
      <c r="T43" s="30">
        <f t="shared" si="15"/>
        <v>7988194.8730209162</v>
      </c>
      <c r="U43" s="30">
        <f t="shared" si="16"/>
        <v>11319272135.070639</v>
      </c>
      <c r="V43" s="68"/>
    </row>
    <row r="44" spans="1:24" x14ac:dyDescent="0.2">
      <c r="A44" s="34" t="s">
        <v>42</v>
      </c>
      <c r="B44" s="60"/>
      <c r="C44" s="60"/>
      <c r="D44" s="61">
        <f>SUM(D30:D43)</f>
        <v>7045</v>
      </c>
      <c r="E44" s="55"/>
      <c r="F44" s="30"/>
      <c r="G44" s="3"/>
      <c r="H44" s="23"/>
      <c r="I44" s="27"/>
      <c r="J44" s="61">
        <f>SUM(J30:J43)</f>
        <v>23344708951</v>
      </c>
      <c r="K44" s="35">
        <f>SUM(K30:K43)</f>
        <v>23344708951</v>
      </c>
      <c r="L44" s="48">
        <f>+J44/D44</f>
        <v>3313656.3450674238</v>
      </c>
      <c r="M44" s="47"/>
      <c r="N44" s="27"/>
      <c r="O44" s="32"/>
      <c r="P44" s="32"/>
      <c r="Q44" s="73"/>
      <c r="R44" s="26">
        <f t="shared" si="13"/>
        <v>0</v>
      </c>
      <c r="S44" s="23">
        <f>SUM(S30:S43)</f>
        <v>474897319654.47253</v>
      </c>
      <c r="T44" s="30"/>
      <c r="U44" s="23">
        <f>SUM(U30:U43)</f>
        <v>39574776637.872704</v>
      </c>
      <c r="V44" s="68">
        <f>+U44/D44</f>
        <v>5617427.4858584395</v>
      </c>
    </row>
    <row r="45" spans="1:24" x14ac:dyDescent="0.2">
      <c r="A45" s="34" t="s">
        <v>50</v>
      </c>
      <c r="B45" s="60"/>
      <c r="C45" s="60"/>
      <c r="D45" s="61"/>
      <c r="E45" s="55"/>
      <c r="F45" s="30"/>
      <c r="G45" s="3"/>
      <c r="H45" s="27"/>
      <c r="I45" s="27"/>
      <c r="J45" s="65"/>
      <c r="K45" s="30"/>
      <c r="L45" s="27"/>
      <c r="M45" s="47"/>
      <c r="N45" s="27"/>
      <c r="O45" s="37"/>
      <c r="P45" s="37"/>
      <c r="Q45" s="74"/>
      <c r="R45" s="26">
        <f t="shared" si="13"/>
        <v>0</v>
      </c>
      <c r="S45" s="3"/>
      <c r="T45" s="30"/>
      <c r="U45" s="30"/>
    </row>
    <row r="46" spans="1:24" x14ac:dyDescent="0.2">
      <c r="A46" s="33" t="s">
        <v>51</v>
      </c>
      <c r="B46" s="62">
        <v>3124</v>
      </c>
      <c r="C46" s="62">
        <v>18</v>
      </c>
      <c r="D46" s="59">
        <f>47+4</f>
        <v>51</v>
      </c>
      <c r="E46" s="54">
        <v>2845090</v>
      </c>
      <c r="F46" s="3"/>
      <c r="G46" s="3">
        <f t="shared" ref="G46:G54" si="17">ROUND((E46)*1.045,0)</f>
        <v>2973119</v>
      </c>
      <c r="H46" s="3"/>
      <c r="I46" s="28"/>
      <c r="J46" s="64">
        <f t="shared" ref="J46:J54" si="18">ROUND(E46*D46,0)</f>
        <v>145099590</v>
      </c>
      <c r="K46" s="30">
        <f t="shared" ref="K46:K54" si="19">+E46*D46</f>
        <v>145099590</v>
      </c>
      <c r="L46" s="27"/>
      <c r="M46" s="47"/>
      <c r="N46" s="27"/>
      <c r="O46" s="32">
        <v>16.889877507716051</v>
      </c>
      <c r="P46" s="32">
        <v>20.343247526234563</v>
      </c>
      <c r="Q46" s="73">
        <v>1.6941177599022632</v>
      </c>
      <c r="R46" s="26">
        <f t="shared" si="13"/>
        <v>57878370.104414694</v>
      </c>
      <c r="S46" s="3">
        <f t="shared" ref="S46:S54" si="20">+R46*D46</f>
        <v>2951796875.3251495</v>
      </c>
      <c r="T46" s="30">
        <f t="shared" ref="T46:T54" si="21">+R46/12</f>
        <v>4823197.5087012248</v>
      </c>
      <c r="U46" s="30">
        <f t="shared" ref="U46:U54" si="22">+T46*D46</f>
        <v>245983072.94376245</v>
      </c>
    </row>
    <row r="47" spans="1:24" x14ac:dyDescent="0.2">
      <c r="A47" s="33" t="s">
        <v>51</v>
      </c>
      <c r="B47" s="62">
        <v>3124</v>
      </c>
      <c r="C47" s="62">
        <v>17</v>
      </c>
      <c r="D47" s="59">
        <f>49-8</f>
        <v>41</v>
      </c>
      <c r="E47" s="54">
        <v>2588998</v>
      </c>
      <c r="F47" s="3"/>
      <c r="G47" s="3">
        <f t="shared" si="17"/>
        <v>2705503</v>
      </c>
      <c r="H47" s="3"/>
      <c r="I47" s="28"/>
      <c r="J47" s="64">
        <f t="shared" si="18"/>
        <v>106148918</v>
      </c>
      <c r="K47" s="30">
        <f t="shared" si="19"/>
        <v>106148918</v>
      </c>
      <c r="L47" s="27"/>
      <c r="M47" s="47"/>
      <c r="N47" s="27"/>
      <c r="O47" s="32">
        <v>16.889877507716051</v>
      </c>
      <c r="P47" s="32">
        <v>20.343247526234563</v>
      </c>
      <c r="Q47" s="73">
        <v>1.6941177599022632</v>
      </c>
      <c r="R47" s="26">
        <f t="shared" si="13"/>
        <v>52668627.158926234</v>
      </c>
      <c r="S47" s="3">
        <f t="shared" si="20"/>
        <v>2159413713.5159755</v>
      </c>
      <c r="T47" s="30">
        <f t="shared" si="21"/>
        <v>4389052.2632438531</v>
      </c>
      <c r="U47" s="30">
        <f t="shared" si="22"/>
        <v>179951142.79299799</v>
      </c>
    </row>
    <row r="48" spans="1:24" x14ac:dyDescent="0.2">
      <c r="A48" s="33" t="s">
        <v>51</v>
      </c>
      <c r="B48" s="62">
        <v>3124</v>
      </c>
      <c r="C48" s="62">
        <v>16</v>
      </c>
      <c r="D48" s="59">
        <f>19-1+1</f>
        <v>19</v>
      </c>
      <c r="E48" s="54">
        <v>2418440</v>
      </c>
      <c r="F48" s="3"/>
      <c r="G48" s="3">
        <f t="shared" si="17"/>
        <v>2527270</v>
      </c>
      <c r="H48" s="3"/>
      <c r="I48" s="28"/>
      <c r="J48" s="64">
        <f t="shared" si="18"/>
        <v>45950360</v>
      </c>
      <c r="K48" s="30">
        <f t="shared" si="19"/>
        <v>45950360</v>
      </c>
      <c r="L48" s="27"/>
      <c r="M48" s="47"/>
      <c r="N48" s="27"/>
      <c r="O48" s="32">
        <v>16.889877507716051</v>
      </c>
      <c r="P48" s="32">
        <v>20.343247526234563</v>
      </c>
      <c r="Q48" s="73">
        <v>1.6941177599022632</v>
      </c>
      <c r="R48" s="26">
        <f t="shared" si="13"/>
        <v>49198923.547346719</v>
      </c>
      <c r="S48" s="3">
        <f t="shared" si="20"/>
        <v>934779547.39958763</v>
      </c>
      <c r="T48" s="30">
        <f t="shared" si="21"/>
        <v>4099910.2956122267</v>
      </c>
      <c r="U48" s="30">
        <f t="shared" si="22"/>
        <v>77898295.616632313</v>
      </c>
    </row>
    <row r="49" spans="1:22" x14ac:dyDescent="0.2">
      <c r="A49" s="33" t="s">
        <v>51</v>
      </c>
      <c r="B49" s="62">
        <v>3124</v>
      </c>
      <c r="C49" s="62">
        <v>15</v>
      </c>
      <c r="D49" s="59">
        <f>64+18</f>
        <v>82</v>
      </c>
      <c r="E49" s="54">
        <v>2140471</v>
      </c>
      <c r="F49" s="3"/>
      <c r="G49" s="3">
        <f t="shared" si="17"/>
        <v>2236792</v>
      </c>
      <c r="H49" s="3"/>
      <c r="I49" s="28"/>
      <c r="J49" s="64">
        <f t="shared" si="18"/>
        <v>175518622</v>
      </c>
      <c r="K49" s="30">
        <f t="shared" si="19"/>
        <v>175518622</v>
      </c>
      <c r="L49" s="27"/>
      <c r="M49" s="47"/>
      <c r="N49" s="27"/>
      <c r="O49" s="32">
        <v>16.889877507716051</v>
      </c>
      <c r="P49" s="32">
        <v>20.343247526234563</v>
      </c>
      <c r="Q49" s="73">
        <v>1.6941177599022632</v>
      </c>
      <c r="R49" s="26">
        <f t="shared" si="13"/>
        <v>43544131.375726819</v>
      </c>
      <c r="S49" s="3">
        <f t="shared" si="20"/>
        <v>3570618772.8095989</v>
      </c>
      <c r="T49" s="30">
        <f t="shared" si="21"/>
        <v>3628677.6146439016</v>
      </c>
      <c r="U49" s="30">
        <f t="shared" si="22"/>
        <v>297551564.40079993</v>
      </c>
    </row>
    <row r="50" spans="1:22" x14ac:dyDescent="0.2">
      <c r="A50" s="33" t="s">
        <v>51</v>
      </c>
      <c r="B50" s="62">
        <v>3124</v>
      </c>
      <c r="C50" s="62">
        <v>14</v>
      </c>
      <c r="D50" s="59">
        <v>13</v>
      </c>
      <c r="E50" s="54">
        <v>2048055</v>
      </c>
      <c r="F50" s="3"/>
      <c r="G50" s="3">
        <f t="shared" si="17"/>
        <v>2140217</v>
      </c>
      <c r="H50" s="3"/>
      <c r="I50" s="28"/>
      <c r="J50" s="64">
        <f t="shared" si="18"/>
        <v>26624715</v>
      </c>
      <c r="K50" s="30">
        <f t="shared" si="19"/>
        <v>26624715</v>
      </c>
      <c r="L50" s="27"/>
      <c r="M50" s="47"/>
      <c r="N50" s="27"/>
      <c r="O50" s="32">
        <v>16.889877507716051</v>
      </c>
      <c r="P50" s="32">
        <v>20.343247526234563</v>
      </c>
      <c r="Q50" s="73">
        <v>1.6941177599022632</v>
      </c>
      <c r="R50" s="26">
        <f t="shared" si="13"/>
        <v>41664089.812342331</v>
      </c>
      <c r="S50" s="3">
        <f t="shared" si="20"/>
        <v>541633167.56045032</v>
      </c>
      <c r="T50" s="30">
        <f t="shared" si="21"/>
        <v>3472007.4843618609</v>
      </c>
      <c r="U50" s="30">
        <f t="shared" si="22"/>
        <v>45136097.296704188</v>
      </c>
    </row>
    <row r="51" spans="1:22" x14ac:dyDescent="0.2">
      <c r="A51" s="33" t="s">
        <v>51</v>
      </c>
      <c r="B51" s="62">
        <v>3124</v>
      </c>
      <c r="C51" s="62">
        <v>13</v>
      </c>
      <c r="D51" s="59">
        <v>98</v>
      </c>
      <c r="E51" s="54">
        <v>1975884</v>
      </c>
      <c r="F51" s="3"/>
      <c r="G51" s="3">
        <f t="shared" si="17"/>
        <v>2064799</v>
      </c>
      <c r="H51" s="3"/>
      <c r="I51" s="28"/>
      <c r="J51" s="64">
        <f t="shared" si="18"/>
        <v>193636632</v>
      </c>
      <c r="K51" s="30">
        <f t="shared" si="19"/>
        <v>193636632</v>
      </c>
      <c r="L51" s="27"/>
      <c r="M51" s="47"/>
      <c r="N51" s="27"/>
      <c r="O51" s="32">
        <v>16.889877507716051</v>
      </c>
      <c r="P51" s="32">
        <v>20.343247526234563</v>
      </c>
      <c r="Q51" s="73">
        <v>1.6941177599022632</v>
      </c>
      <c r="R51" s="26">
        <f>+E51*P51</f>
        <v>40195897.295126453</v>
      </c>
      <c r="S51" s="3">
        <f t="shared" si="20"/>
        <v>3939197934.9223924</v>
      </c>
      <c r="T51" s="30">
        <f t="shared" si="21"/>
        <v>3349658.1079272046</v>
      </c>
      <c r="U51" s="30">
        <f t="shared" si="22"/>
        <v>328266494.57686603</v>
      </c>
    </row>
    <row r="52" spans="1:22" x14ac:dyDescent="0.2">
      <c r="A52" s="33" t="s">
        <v>51</v>
      </c>
      <c r="B52" s="62">
        <v>3124</v>
      </c>
      <c r="C52" s="62">
        <v>12</v>
      </c>
      <c r="D52" s="59">
        <v>145</v>
      </c>
      <c r="E52" s="54">
        <v>1852823</v>
      </c>
      <c r="F52" s="3"/>
      <c r="G52" s="3">
        <f t="shared" si="17"/>
        <v>1936200</v>
      </c>
      <c r="H52" s="3"/>
      <c r="I52" s="28"/>
      <c r="J52" s="64">
        <f t="shared" si="18"/>
        <v>268659335</v>
      </c>
      <c r="K52" s="30">
        <f t="shared" si="19"/>
        <v>268659335</v>
      </c>
      <c r="L52" s="27"/>
      <c r="M52" s="47"/>
      <c r="N52" s="27"/>
      <c r="O52" s="32">
        <v>16.889877507716051</v>
      </c>
      <c r="P52" s="32">
        <v>20.343247526234563</v>
      </c>
      <c r="Q52" s="73">
        <v>1.6941177599022632</v>
      </c>
      <c r="R52" s="26">
        <f t="shared" si="13"/>
        <v>37692436.911300503</v>
      </c>
      <c r="S52" s="3">
        <f t="shared" si="20"/>
        <v>5465403352.1385727</v>
      </c>
      <c r="T52" s="30">
        <f t="shared" si="21"/>
        <v>3141036.4092750419</v>
      </c>
      <c r="U52" s="30">
        <f t="shared" si="22"/>
        <v>455450279.34488106</v>
      </c>
    </row>
    <row r="53" spans="1:22" x14ac:dyDescent="0.2">
      <c r="A53" s="33" t="s">
        <v>51</v>
      </c>
      <c r="B53" s="62">
        <v>3124</v>
      </c>
      <c r="C53" s="62">
        <v>11</v>
      </c>
      <c r="D53" s="59">
        <f>238+48</f>
        <v>286</v>
      </c>
      <c r="E53" s="54">
        <v>1747269</v>
      </c>
      <c r="F53" s="3"/>
      <c r="G53" s="3">
        <f t="shared" si="17"/>
        <v>1825896</v>
      </c>
      <c r="H53" s="3"/>
      <c r="I53" s="28"/>
      <c r="J53" s="64">
        <f t="shared" si="18"/>
        <v>499718934</v>
      </c>
      <c r="K53" s="30">
        <f t="shared" si="19"/>
        <v>499718934</v>
      </c>
      <c r="L53" s="27"/>
      <c r="M53" s="47"/>
      <c r="N53" s="27"/>
      <c r="O53" s="32">
        <v>17.7046175090472</v>
      </c>
      <c r="P53" s="32">
        <v>21.21656242922921</v>
      </c>
      <c r="Q53" s="73">
        <v>1.7667736521293844</v>
      </c>
      <c r="R53" s="26">
        <f t="shared" si="13"/>
        <v>37071041.819156893</v>
      </c>
      <c r="S53" s="3">
        <f t="shared" si="20"/>
        <v>10602317960.278872</v>
      </c>
      <c r="T53" s="30">
        <f t="shared" si="21"/>
        <v>3089253.4849297409</v>
      </c>
      <c r="U53" s="30">
        <f t="shared" si="22"/>
        <v>883526496.68990588</v>
      </c>
    </row>
    <row r="54" spans="1:22" x14ac:dyDescent="0.2">
      <c r="A54" s="33" t="s">
        <v>51</v>
      </c>
      <c r="B54" s="62">
        <v>3124</v>
      </c>
      <c r="C54" s="62">
        <v>10</v>
      </c>
      <c r="D54" s="59">
        <f>62+33</f>
        <v>95</v>
      </c>
      <c r="E54" s="54">
        <v>1657395</v>
      </c>
      <c r="F54" s="3"/>
      <c r="G54" s="3">
        <f t="shared" si="17"/>
        <v>1731978</v>
      </c>
      <c r="H54" s="3"/>
      <c r="I54" s="28"/>
      <c r="J54" s="64">
        <f t="shared" si="18"/>
        <v>157452525</v>
      </c>
      <c r="K54" s="30">
        <f t="shared" si="19"/>
        <v>157452525</v>
      </c>
      <c r="L54" s="27"/>
      <c r="M54" s="47"/>
      <c r="N54" s="27"/>
      <c r="O54" s="32">
        <v>17.736500216998742</v>
      </c>
      <c r="P54" s="32">
        <v>21.250049810860585</v>
      </c>
      <c r="Q54" s="73">
        <v>1.7667736521293844</v>
      </c>
      <c r="R54" s="26">
        <f t="shared" si="13"/>
        <v>35219726.306271277</v>
      </c>
      <c r="S54" s="3">
        <f t="shared" si="20"/>
        <v>3345873999.0957713</v>
      </c>
      <c r="T54" s="30">
        <f t="shared" si="21"/>
        <v>2934977.192189273</v>
      </c>
      <c r="U54" s="30">
        <f t="shared" si="22"/>
        <v>278822833.25798094</v>
      </c>
    </row>
    <row r="55" spans="1:22" x14ac:dyDescent="0.2">
      <c r="A55" s="34" t="s">
        <v>42</v>
      </c>
      <c r="B55" s="63"/>
      <c r="C55" s="63"/>
      <c r="D55" s="61">
        <f>SUM(D46:D54)</f>
        <v>830</v>
      </c>
      <c r="E55" s="55"/>
      <c r="F55" s="30"/>
      <c r="G55" s="3"/>
      <c r="H55" s="27"/>
      <c r="I55" s="27"/>
      <c r="J55" s="61">
        <f>SUM(J46:J54)</f>
        <v>1618809631</v>
      </c>
      <c r="K55" s="35">
        <f>SUM(K46:K54)</f>
        <v>1618809631</v>
      </c>
      <c r="L55" s="48">
        <f>+J55/D55</f>
        <v>1950373.0493975903</v>
      </c>
      <c r="M55" s="36">
        <f>+D55</f>
        <v>830</v>
      </c>
      <c r="N55" s="36">
        <f>+J55/D55</f>
        <v>1950373.0493975903</v>
      </c>
      <c r="O55" s="32"/>
      <c r="P55" s="32"/>
      <c r="Q55" s="73"/>
      <c r="R55" s="26">
        <f t="shared" si="13"/>
        <v>0</v>
      </c>
      <c r="S55" s="23">
        <f>SUM(S46:S54)</f>
        <v>33511035323.046371</v>
      </c>
      <c r="T55" s="30"/>
      <c r="U55" s="23">
        <f>SUM(U46:U54)</f>
        <v>2792586276.9205308</v>
      </c>
      <c r="V55" s="68">
        <f>+U55/D55</f>
        <v>3364561.7794223265</v>
      </c>
    </row>
    <row r="56" spans="1:22" x14ac:dyDescent="0.2">
      <c r="A56" s="34" t="s">
        <v>52</v>
      </c>
      <c r="B56" s="63"/>
      <c r="C56" s="63"/>
      <c r="D56" s="61"/>
      <c r="E56" s="55"/>
      <c r="F56" s="30"/>
      <c r="G56" s="3"/>
      <c r="H56" s="27"/>
      <c r="I56" s="27"/>
      <c r="J56" s="65"/>
      <c r="K56" s="30"/>
      <c r="L56" s="27"/>
      <c r="M56" s="47"/>
      <c r="N56" s="27"/>
      <c r="O56" s="37"/>
      <c r="P56" s="37"/>
      <c r="Q56" s="74"/>
      <c r="R56" s="26">
        <f t="shared" si="13"/>
        <v>0</v>
      </c>
      <c r="S56" s="3"/>
      <c r="T56" s="30"/>
      <c r="U56" s="30"/>
    </row>
    <row r="57" spans="1:22" x14ac:dyDescent="0.2">
      <c r="A57" s="33" t="s">
        <v>53</v>
      </c>
      <c r="B57" s="62">
        <v>4044</v>
      </c>
      <c r="C57" s="62">
        <v>23</v>
      </c>
      <c r="D57" s="59">
        <v>2</v>
      </c>
      <c r="E57" s="54">
        <v>2140471</v>
      </c>
      <c r="F57" s="3"/>
      <c r="G57" s="3">
        <f t="shared" ref="G57:G78" si="23">ROUND((E57)*1.045,0)</f>
        <v>2236792</v>
      </c>
      <c r="H57" s="3"/>
      <c r="I57" s="28"/>
      <c r="J57" s="64">
        <f t="shared" ref="J57:J77" si="24">ROUND(E57*D57,0)</f>
        <v>4280942</v>
      </c>
      <c r="K57" s="30">
        <f t="shared" ref="K57:K77" si="25">+E57*D57</f>
        <v>4280942</v>
      </c>
      <c r="L57" s="27"/>
      <c r="M57" s="47"/>
      <c r="N57" s="27"/>
      <c r="O57" s="32">
        <v>16.889877507716054</v>
      </c>
      <c r="P57" s="32">
        <v>20.329413118827162</v>
      </c>
      <c r="Q57" s="73">
        <v>1.6941177599022632</v>
      </c>
      <c r="R57" s="26">
        <f t="shared" si="13"/>
        <v>43514519.227869093</v>
      </c>
      <c r="S57" s="3">
        <f t="shared" ref="S57:S77" si="26">+R57*D57</f>
        <v>87029038.455738187</v>
      </c>
      <c r="T57" s="30">
        <f>+R57/12</f>
        <v>3626209.9356557578</v>
      </c>
      <c r="U57" s="30">
        <f t="shared" ref="U57:U77" si="27">+T57*D57</f>
        <v>7252419.8713115156</v>
      </c>
    </row>
    <row r="58" spans="1:22" x14ac:dyDescent="0.2">
      <c r="A58" s="33" t="s">
        <v>53</v>
      </c>
      <c r="B58" s="62">
        <v>4044</v>
      </c>
      <c r="C58" s="62">
        <v>22</v>
      </c>
      <c r="D58" s="59">
        <v>2</v>
      </c>
      <c r="E58" s="54">
        <v>1938515</v>
      </c>
      <c r="F58" s="3"/>
      <c r="G58" s="3">
        <f t="shared" si="23"/>
        <v>2025748</v>
      </c>
      <c r="H58" s="3"/>
      <c r="I58" s="28"/>
      <c r="J58" s="64">
        <f t="shared" si="24"/>
        <v>3877030</v>
      </c>
      <c r="K58" s="30">
        <f t="shared" si="25"/>
        <v>3877030</v>
      </c>
      <c r="L58" s="27"/>
      <c r="M58" s="47"/>
      <c r="N58" s="27"/>
      <c r="O58" s="32">
        <v>16.889877507716054</v>
      </c>
      <c r="P58" s="32">
        <v>20.329413118827162</v>
      </c>
      <c r="Q58" s="73">
        <v>1.6941177599022632</v>
      </c>
      <c r="R58" s="26">
        <f t="shared" si="13"/>
        <v>39408872.272043236</v>
      </c>
      <c r="S58" s="3">
        <f t="shared" si="26"/>
        <v>78817744.544086471</v>
      </c>
      <c r="T58" s="30">
        <f t="shared" ref="T58:T77" si="28">+R58/12</f>
        <v>3284072.6893369365</v>
      </c>
      <c r="U58" s="30">
        <f t="shared" si="27"/>
        <v>6568145.3786738729</v>
      </c>
    </row>
    <row r="59" spans="1:22" x14ac:dyDescent="0.2">
      <c r="A59" s="33" t="s">
        <v>53</v>
      </c>
      <c r="B59" s="62">
        <v>4044</v>
      </c>
      <c r="C59" s="62">
        <v>18</v>
      </c>
      <c r="D59" s="59">
        <f>5-1</f>
        <v>4</v>
      </c>
      <c r="E59" s="54">
        <v>1657395</v>
      </c>
      <c r="F59" s="3"/>
      <c r="G59" s="3">
        <f t="shared" si="23"/>
        <v>1731978</v>
      </c>
      <c r="H59" s="3"/>
      <c r="I59" s="28"/>
      <c r="J59" s="64">
        <f t="shared" si="24"/>
        <v>6629580</v>
      </c>
      <c r="K59" s="30">
        <f t="shared" si="25"/>
        <v>6629580</v>
      </c>
      <c r="L59" s="27"/>
      <c r="M59" s="47"/>
      <c r="N59" s="27"/>
      <c r="O59" s="32">
        <v>17.721716940414289</v>
      </c>
      <c r="P59" s="32">
        <v>21.234727633474868</v>
      </c>
      <c r="Q59" s="73">
        <v>1.7667736521293844</v>
      </c>
      <c r="R59" s="26">
        <f>+E59*P59</f>
        <v>35194331.406083077</v>
      </c>
      <c r="S59" s="3">
        <f>+R59*D59</f>
        <v>140777325.62433231</v>
      </c>
      <c r="T59" s="30">
        <f t="shared" si="28"/>
        <v>2932860.9505069233</v>
      </c>
      <c r="U59" s="30">
        <f t="shared" si="27"/>
        <v>11731443.802027693</v>
      </c>
    </row>
    <row r="60" spans="1:22" x14ac:dyDescent="0.2">
      <c r="A60" s="33" t="s">
        <v>53</v>
      </c>
      <c r="B60" s="62">
        <v>4044</v>
      </c>
      <c r="C60" s="62">
        <v>17</v>
      </c>
      <c r="D60" s="59">
        <v>54</v>
      </c>
      <c r="E60" s="54">
        <v>1617277</v>
      </c>
      <c r="F60" s="3"/>
      <c r="G60" s="3">
        <f t="shared" si="23"/>
        <v>1690054</v>
      </c>
      <c r="H60" s="3"/>
      <c r="I60" s="28"/>
      <c r="J60" s="64">
        <f t="shared" si="24"/>
        <v>87332958</v>
      </c>
      <c r="K60" s="30">
        <f t="shared" si="25"/>
        <v>87332958</v>
      </c>
      <c r="L60" s="27"/>
      <c r="M60" s="47"/>
      <c r="N60" s="27"/>
      <c r="O60" s="32">
        <v>18.69823817506709</v>
      </c>
      <c r="P60" s="32">
        <v>22.220361613996555</v>
      </c>
      <c r="Q60" s="73">
        <v>1.8532494502654226</v>
      </c>
      <c r="R60" s="26">
        <f t="shared" si="13"/>
        <v>35936479.769999504</v>
      </c>
      <c r="S60" s="3">
        <f t="shared" si="26"/>
        <v>1940569907.5799732</v>
      </c>
      <c r="T60" s="30">
        <f t="shared" si="28"/>
        <v>2994706.6474999585</v>
      </c>
      <c r="U60" s="30">
        <f t="shared" si="27"/>
        <v>161714158.96499777</v>
      </c>
    </row>
    <row r="61" spans="1:22" x14ac:dyDescent="0.2">
      <c r="A61" s="33" t="s">
        <v>53</v>
      </c>
      <c r="B61" s="62">
        <v>4044</v>
      </c>
      <c r="C61" s="62">
        <v>16</v>
      </c>
      <c r="D61" s="59">
        <f>21-2</f>
        <v>19</v>
      </c>
      <c r="E61" s="54">
        <v>1583829</v>
      </c>
      <c r="F61" s="3"/>
      <c r="G61" s="3">
        <f t="shared" si="23"/>
        <v>1655101</v>
      </c>
      <c r="H61" s="3"/>
      <c r="I61" s="28"/>
      <c r="J61" s="64">
        <f t="shared" si="24"/>
        <v>30092751</v>
      </c>
      <c r="K61" s="30">
        <f t="shared" si="25"/>
        <v>30092751</v>
      </c>
      <c r="L61" s="27"/>
      <c r="M61" s="47"/>
      <c r="N61" s="27"/>
      <c r="O61" s="32">
        <v>18.731940957480667</v>
      </c>
      <c r="P61" s="32">
        <v>22.254915110504246</v>
      </c>
      <c r="Q61" s="73">
        <v>1.8532494502654226</v>
      </c>
      <c r="R61" s="26">
        <f t="shared" si="13"/>
        <v>35247979.944554828</v>
      </c>
      <c r="S61" s="3">
        <f t="shared" si="26"/>
        <v>669711618.94654179</v>
      </c>
      <c r="T61" s="30">
        <f t="shared" si="28"/>
        <v>2937331.6620462355</v>
      </c>
      <c r="U61" s="30">
        <f t="shared" si="27"/>
        <v>55809301.578878477</v>
      </c>
    </row>
    <row r="62" spans="1:22" x14ac:dyDescent="0.2">
      <c r="A62" s="33" t="s">
        <v>53</v>
      </c>
      <c r="B62" s="62">
        <v>4044</v>
      </c>
      <c r="C62" s="62">
        <v>15</v>
      </c>
      <c r="D62" s="59">
        <f>90-7</f>
        <v>83</v>
      </c>
      <c r="E62" s="54">
        <v>1516406</v>
      </c>
      <c r="F62" s="3"/>
      <c r="G62" s="3">
        <f t="shared" si="23"/>
        <v>1584644</v>
      </c>
      <c r="H62" s="3"/>
      <c r="I62" s="28"/>
      <c r="J62" s="64">
        <f t="shared" si="24"/>
        <v>125861698</v>
      </c>
      <c r="K62" s="30">
        <f t="shared" si="25"/>
        <v>125861698</v>
      </c>
      <c r="L62" s="27"/>
      <c r="M62" s="47"/>
      <c r="N62" s="27"/>
      <c r="O62" s="32">
        <v>18.804398708748735</v>
      </c>
      <c r="P62" s="32">
        <v>22.329201815520847</v>
      </c>
      <c r="Q62" s="73">
        <v>1.8624227989702971</v>
      </c>
      <c r="R62" s="26">
        <f t="shared" si="13"/>
        <v>33860135.608266704</v>
      </c>
      <c r="S62" s="3">
        <f t="shared" si="26"/>
        <v>2810391255.4861364</v>
      </c>
      <c r="T62" s="30">
        <f t="shared" si="28"/>
        <v>2821677.9673555586</v>
      </c>
      <c r="U62" s="30">
        <f t="shared" si="27"/>
        <v>234199271.29051137</v>
      </c>
    </row>
    <row r="63" spans="1:22" x14ac:dyDescent="0.2">
      <c r="A63" s="33" t="s">
        <v>53</v>
      </c>
      <c r="B63" s="62">
        <v>4044</v>
      </c>
      <c r="C63" s="62">
        <v>14</v>
      </c>
      <c r="D63" s="59">
        <f>60-3</f>
        <v>57</v>
      </c>
      <c r="E63" s="54">
        <v>1470694</v>
      </c>
      <c r="F63" s="3"/>
      <c r="G63" s="3">
        <f t="shared" si="23"/>
        <v>1536875</v>
      </c>
      <c r="H63" s="3"/>
      <c r="I63" s="28"/>
      <c r="J63" s="64">
        <f t="shared" si="24"/>
        <v>83829558</v>
      </c>
      <c r="K63" s="30">
        <f t="shared" si="25"/>
        <v>83829558</v>
      </c>
      <c r="L63" s="27"/>
      <c r="M63" s="47"/>
      <c r="N63" s="27"/>
      <c r="O63" s="32">
        <v>18.857305446015065</v>
      </c>
      <c r="P63" s="32">
        <v>22.383444006534397</v>
      </c>
      <c r="Q63" s="73">
        <v>1.8624227989702971</v>
      </c>
      <c r="R63" s="26">
        <f t="shared" si="13"/>
        <v>32919196.7997461</v>
      </c>
      <c r="S63" s="3">
        <f t="shared" si="26"/>
        <v>1876394217.5855277</v>
      </c>
      <c r="T63" s="30">
        <f t="shared" si="28"/>
        <v>2743266.3999788417</v>
      </c>
      <c r="U63" s="30">
        <f t="shared" si="27"/>
        <v>156366184.79879397</v>
      </c>
    </row>
    <row r="64" spans="1:22" x14ac:dyDescent="0.2">
      <c r="A64" s="33" t="s">
        <v>53</v>
      </c>
      <c r="B64" s="62">
        <v>4044</v>
      </c>
      <c r="C64" s="62">
        <v>13</v>
      </c>
      <c r="D64" s="59">
        <f>58+30</f>
        <v>88</v>
      </c>
      <c r="E64" s="54">
        <v>1439166</v>
      </c>
      <c r="F64" s="3"/>
      <c r="G64" s="3">
        <f t="shared" si="23"/>
        <v>1503928</v>
      </c>
      <c r="H64" s="3"/>
      <c r="I64" s="28"/>
      <c r="J64" s="64">
        <f t="shared" si="24"/>
        <v>126646608</v>
      </c>
      <c r="K64" s="30">
        <f t="shared" si="25"/>
        <v>126646608</v>
      </c>
      <c r="L64" s="27"/>
      <c r="M64" s="47"/>
      <c r="N64" s="27"/>
      <c r="O64" s="32">
        <v>18.895751551040473</v>
      </c>
      <c r="P64" s="32">
        <v>22.422860554979206</v>
      </c>
      <c r="Q64" s="73">
        <v>1.8703164397958965</v>
      </c>
      <c r="R64" s="26">
        <f t="shared" si="13"/>
        <v>32270218.533467203</v>
      </c>
      <c r="S64" s="3">
        <f t="shared" si="26"/>
        <v>2839779230.9451141</v>
      </c>
      <c r="T64" s="30">
        <f t="shared" si="28"/>
        <v>2689184.8777889335</v>
      </c>
      <c r="U64" s="30">
        <f t="shared" si="27"/>
        <v>236648269.24542615</v>
      </c>
    </row>
    <row r="65" spans="1:22" x14ac:dyDescent="0.2">
      <c r="A65" s="33" t="s">
        <v>53</v>
      </c>
      <c r="B65" s="62">
        <v>4044</v>
      </c>
      <c r="C65" s="62">
        <v>11</v>
      </c>
      <c r="D65" s="59">
        <v>189</v>
      </c>
      <c r="E65" s="54">
        <v>1298362</v>
      </c>
      <c r="F65" s="3"/>
      <c r="G65" s="3">
        <f t="shared" si="23"/>
        <v>1356788</v>
      </c>
      <c r="H65" s="3"/>
      <c r="I65" s="28"/>
      <c r="J65" s="64">
        <f t="shared" si="24"/>
        <v>245390418</v>
      </c>
      <c r="K65" s="30">
        <f t="shared" si="25"/>
        <v>245390418</v>
      </c>
      <c r="L65" s="27"/>
      <c r="M65" s="47"/>
      <c r="N65" s="27"/>
      <c r="O65" s="32">
        <v>19.090245472987725</v>
      </c>
      <c r="P65" s="32">
        <v>22.622263825911034</v>
      </c>
      <c r="Q65" s="73">
        <v>1.8871226498263545</v>
      </c>
      <c r="R65" s="26">
        <f t="shared" si="13"/>
        <v>29371887.705537502</v>
      </c>
      <c r="S65" s="3">
        <f t="shared" si="26"/>
        <v>5551286776.3465881</v>
      </c>
      <c r="T65" s="30">
        <f t="shared" si="28"/>
        <v>2447657.3087947918</v>
      </c>
      <c r="U65" s="30">
        <f t="shared" si="27"/>
        <v>462607231.36221564</v>
      </c>
    </row>
    <row r="66" spans="1:22" x14ac:dyDescent="0.2">
      <c r="A66" s="33" t="s">
        <v>53</v>
      </c>
      <c r="B66" s="62">
        <v>4044</v>
      </c>
      <c r="C66" s="62">
        <v>9</v>
      </c>
      <c r="D66" s="59">
        <v>31</v>
      </c>
      <c r="E66" s="54">
        <v>1094402</v>
      </c>
      <c r="F66" s="3"/>
      <c r="G66" s="3">
        <f t="shared" si="23"/>
        <v>1143650</v>
      </c>
      <c r="H66" s="3"/>
      <c r="I66" s="28"/>
      <c r="J66" s="64">
        <f t="shared" si="24"/>
        <v>33926462</v>
      </c>
      <c r="K66" s="30">
        <f t="shared" si="25"/>
        <v>33926462</v>
      </c>
      <c r="L66" s="27"/>
      <c r="M66" s="47"/>
      <c r="N66" s="27"/>
      <c r="O66" s="32">
        <v>19.460730715591378</v>
      </c>
      <c r="P66" s="32">
        <v>23.00210073015721</v>
      </c>
      <c r="Q66" s="73">
        <v>1.9191361978942543</v>
      </c>
      <c r="R66" s="26">
        <f t="shared" si="13"/>
        <v>25173545.043285511</v>
      </c>
      <c r="S66" s="3">
        <f t="shared" si="26"/>
        <v>780379896.34185088</v>
      </c>
      <c r="T66" s="30">
        <f t="shared" si="28"/>
        <v>2097795.4202737925</v>
      </c>
      <c r="U66" s="30">
        <f t="shared" si="27"/>
        <v>65031658.028487563</v>
      </c>
    </row>
    <row r="67" spans="1:22" x14ac:dyDescent="0.2">
      <c r="A67" s="33" t="s">
        <v>54</v>
      </c>
      <c r="B67" s="62">
        <v>4103</v>
      </c>
      <c r="C67" s="62">
        <v>17</v>
      </c>
      <c r="D67" s="59">
        <f>17-3</f>
        <v>14</v>
      </c>
      <c r="E67" s="54">
        <v>1617277</v>
      </c>
      <c r="F67" s="3"/>
      <c r="G67" s="3">
        <f t="shared" si="23"/>
        <v>1690054</v>
      </c>
      <c r="H67" s="3"/>
      <c r="I67" s="28"/>
      <c r="J67" s="64">
        <f t="shared" si="24"/>
        <v>22641878</v>
      </c>
      <c r="K67" s="30">
        <f t="shared" si="25"/>
        <v>22641878</v>
      </c>
      <c r="L67" s="27"/>
      <c r="M67" s="47"/>
      <c r="N67" s="27"/>
      <c r="O67" s="32">
        <v>18.69823817506709</v>
      </c>
      <c r="P67" s="32">
        <v>22.220361613996555</v>
      </c>
      <c r="Q67" s="73">
        <v>1.8532494502654226</v>
      </c>
      <c r="R67" s="26">
        <f t="shared" si="13"/>
        <v>35936479.769999504</v>
      </c>
      <c r="S67" s="3">
        <f t="shared" si="26"/>
        <v>503110716.77999306</v>
      </c>
      <c r="T67" s="30">
        <f t="shared" si="28"/>
        <v>2994706.6474999585</v>
      </c>
      <c r="U67" s="30">
        <f t="shared" si="27"/>
        <v>41925893.064999416</v>
      </c>
    </row>
    <row r="68" spans="1:22" x14ac:dyDescent="0.2">
      <c r="A68" s="33" t="s">
        <v>54</v>
      </c>
      <c r="B68" s="62">
        <v>4103</v>
      </c>
      <c r="C68" s="62">
        <v>15</v>
      </c>
      <c r="D68" s="59">
        <v>35</v>
      </c>
      <c r="E68" s="54">
        <v>1516406</v>
      </c>
      <c r="F68" s="3"/>
      <c r="G68" s="3">
        <f t="shared" si="23"/>
        <v>1584644</v>
      </c>
      <c r="H68" s="3"/>
      <c r="I68" s="28"/>
      <c r="J68" s="64">
        <f>ROUND(E68*D68,0)</f>
        <v>53074210</v>
      </c>
      <c r="K68" s="30">
        <f t="shared" si="25"/>
        <v>53074210</v>
      </c>
      <c r="L68" s="27"/>
      <c r="M68" s="47"/>
      <c r="N68" s="27"/>
      <c r="O68" s="32">
        <v>18.804398708748735</v>
      </c>
      <c r="P68" s="32">
        <v>22.329201815520847</v>
      </c>
      <c r="Q68" s="73">
        <v>1.8624227989702971</v>
      </c>
      <c r="R68" s="26">
        <f t="shared" si="13"/>
        <v>33860135.608266704</v>
      </c>
      <c r="S68" s="3">
        <f t="shared" si="26"/>
        <v>1185104746.2893345</v>
      </c>
      <c r="T68" s="30">
        <f t="shared" si="28"/>
        <v>2821677.9673555586</v>
      </c>
      <c r="U68" s="30">
        <f t="shared" si="27"/>
        <v>98758728.857444555</v>
      </c>
    </row>
    <row r="69" spans="1:22" x14ac:dyDescent="0.2">
      <c r="A69" s="33" t="s">
        <v>54</v>
      </c>
      <c r="B69" s="62">
        <v>4103</v>
      </c>
      <c r="C69" s="62">
        <v>13</v>
      </c>
      <c r="D69" s="59">
        <v>9</v>
      </c>
      <c r="E69" s="54">
        <v>1439166</v>
      </c>
      <c r="F69" s="3"/>
      <c r="G69" s="3">
        <f t="shared" si="23"/>
        <v>1503928</v>
      </c>
      <c r="H69" s="3"/>
      <c r="I69" s="28"/>
      <c r="J69" s="64">
        <f t="shared" si="24"/>
        <v>12952494</v>
      </c>
      <c r="K69" s="30">
        <f t="shared" si="25"/>
        <v>12952494</v>
      </c>
      <c r="L69" s="27"/>
      <c r="M69" s="47"/>
      <c r="N69" s="27"/>
      <c r="O69" s="32">
        <v>18.895751551040473</v>
      </c>
      <c r="P69" s="32">
        <v>22.422860554979206</v>
      </c>
      <c r="Q69" s="73">
        <v>1.8703164397958965</v>
      </c>
      <c r="R69" s="26">
        <f t="shared" si="13"/>
        <v>32270218.533467203</v>
      </c>
      <c r="S69" s="3">
        <f t="shared" si="26"/>
        <v>290431966.8012048</v>
      </c>
      <c r="T69" s="30">
        <f t="shared" si="28"/>
        <v>2689184.8777889335</v>
      </c>
      <c r="U69" s="30">
        <f t="shared" si="27"/>
        <v>24202663.900100403</v>
      </c>
    </row>
    <row r="70" spans="1:22" x14ac:dyDescent="0.2">
      <c r="A70" s="33" t="s">
        <v>54</v>
      </c>
      <c r="B70" s="62">
        <v>4103</v>
      </c>
      <c r="C70" s="62">
        <v>11</v>
      </c>
      <c r="D70" s="59">
        <v>1</v>
      </c>
      <c r="E70" s="54">
        <v>1298362</v>
      </c>
      <c r="F70" s="3"/>
      <c r="G70" s="3">
        <f t="shared" si="23"/>
        <v>1356788</v>
      </c>
      <c r="H70" s="3"/>
      <c r="I70" s="28"/>
      <c r="J70" s="64">
        <f t="shared" si="24"/>
        <v>1298362</v>
      </c>
      <c r="K70" s="30">
        <f t="shared" si="25"/>
        <v>1298362</v>
      </c>
      <c r="L70" s="27"/>
      <c r="M70" s="47"/>
      <c r="N70" s="27"/>
      <c r="O70" s="32">
        <v>19.090245472987725</v>
      </c>
      <c r="P70" s="32">
        <v>22.622263825911034</v>
      </c>
      <c r="Q70" s="73">
        <v>1.8824450518101268</v>
      </c>
      <c r="R70" s="26">
        <f t="shared" si="13"/>
        <v>29371887.705537502</v>
      </c>
      <c r="S70" s="3">
        <f t="shared" si="26"/>
        <v>29371887.705537502</v>
      </c>
      <c r="T70" s="30">
        <f t="shared" si="28"/>
        <v>2447657.3087947918</v>
      </c>
      <c r="U70" s="30">
        <f t="shared" si="27"/>
        <v>2447657.3087947918</v>
      </c>
    </row>
    <row r="71" spans="1:22" x14ac:dyDescent="0.2">
      <c r="A71" s="33" t="s">
        <v>55</v>
      </c>
      <c r="B71" s="62">
        <v>4178</v>
      </c>
      <c r="C71" s="62">
        <v>14</v>
      </c>
      <c r="D71" s="59">
        <v>130</v>
      </c>
      <c r="E71" s="54">
        <v>1470694</v>
      </c>
      <c r="F71" s="3"/>
      <c r="G71" s="3">
        <f t="shared" si="23"/>
        <v>1536875</v>
      </c>
      <c r="H71" s="3"/>
      <c r="I71" s="28"/>
      <c r="J71" s="64">
        <f t="shared" si="24"/>
        <v>191190220</v>
      </c>
      <c r="K71" s="30">
        <f t="shared" si="25"/>
        <v>191190220</v>
      </c>
      <c r="L71" s="27"/>
      <c r="M71" s="47"/>
      <c r="N71" s="27"/>
      <c r="O71" s="32">
        <v>18.857305446015065</v>
      </c>
      <c r="P71" s="32">
        <v>22.383444006534397</v>
      </c>
      <c r="Q71" s="73">
        <v>1.8624227989702971</v>
      </c>
      <c r="R71" s="26">
        <f t="shared" si="13"/>
        <v>32919196.7997461</v>
      </c>
      <c r="S71" s="3">
        <f t="shared" si="26"/>
        <v>4279495583.9669929</v>
      </c>
      <c r="T71" s="30">
        <f t="shared" si="28"/>
        <v>2743266.3999788417</v>
      </c>
      <c r="U71" s="30">
        <f t="shared" si="27"/>
        <v>356624631.99724942</v>
      </c>
    </row>
    <row r="72" spans="1:22" x14ac:dyDescent="0.2">
      <c r="A72" s="33" t="s">
        <v>55</v>
      </c>
      <c r="B72" s="62">
        <v>4178</v>
      </c>
      <c r="C72" s="62">
        <v>12</v>
      </c>
      <c r="D72" s="59">
        <v>31</v>
      </c>
      <c r="E72" s="54">
        <v>1394101</v>
      </c>
      <c r="F72" s="3"/>
      <c r="G72" s="3">
        <f t="shared" si="23"/>
        <v>1456836</v>
      </c>
      <c r="H72" s="3"/>
      <c r="I72" s="28"/>
      <c r="J72" s="64">
        <f t="shared" si="24"/>
        <v>43217131</v>
      </c>
      <c r="K72" s="30">
        <f t="shared" si="25"/>
        <v>43217131</v>
      </c>
      <c r="L72" s="27"/>
      <c r="M72" s="47"/>
      <c r="N72" s="27"/>
      <c r="O72" s="32">
        <v>18.953725325521511</v>
      </c>
      <c r="P72" s="32">
        <v>22.482297683625923</v>
      </c>
      <c r="Q72" s="73">
        <v>1.8703164397958965</v>
      </c>
      <c r="R72" s="26">
        <f t="shared" si="13"/>
        <v>31342593.683040582</v>
      </c>
      <c r="S72" s="3">
        <f t="shared" si="26"/>
        <v>971620404.17425799</v>
      </c>
      <c r="T72" s="30">
        <f t="shared" si="28"/>
        <v>2611882.8069200483</v>
      </c>
      <c r="U72" s="30">
        <f t="shared" si="27"/>
        <v>80968367.014521495</v>
      </c>
    </row>
    <row r="73" spans="1:22" x14ac:dyDescent="0.2">
      <c r="A73" s="33" t="s">
        <v>56</v>
      </c>
      <c r="B73" s="62">
        <v>4210</v>
      </c>
      <c r="C73" s="62">
        <v>24</v>
      </c>
      <c r="D73" s="59">
        <v>8</v>
      </c>
      <c r="E73" s="54">
        <v>2334636</v>
      </c>
      <c r="F73" s="3"/>
      <c r="G73" s="3">
        <f t="shared" si="23"/>
        <v>2439695</v>
      </c>
      <c r="H73" s="3"/>
      <c r="I73" s="28"/>
      <c r="J73" s="64">
        <f t="shared" si="24"/>
        <v>18677088</v>
      </c>
      <c r="K73" s="30">
        <f t="shared" si="25"/>
        <v>18677088</v>
      </c>
      <c r="L73" s="27"/>
      <c r="M73" s="47"/>
      <c r="N73" s="27"/>
      <c r="O73" s="32">
        <v>16.889877507716047</v>
      </c>
      <c r="P73" s="32">
        <v>20.329413118827159</v>
      </c>
      <c r="Q73" s="73">
        <v>1.6941177599022632</v>
      </c>
      <c r="R73" s="26">
        <f t="shared" si="13"/>
        <v>47461779.726086162</v>
      </c>
      <c r="S73" s="3">
        <f t="shared" si="26"/>
        <v>379694237.8086893</v>
      </c>
      <c r="T73" s="30">
        <f t="shared" si="28"/>
        <v>3955148.3105071802</v>
      </c>
      <c r="U73" s="30">
        <f t="shared" si="27"/>
        <v>31641186.484057441</v>
      </c>
    </row>
    <row r="74" spans="1:22" x14ac:dyDescent="0.2">
      <c r="A74" s="33" t="s">
        <v>56</v>
      </c>
      <c r="B74" s="62">
        <v>4210</v>
      </c>
      <c r="C74" s="62">
        <v>22</v>
      </c>
      <c r="D74" s="59">
        <v>6</v>
      </c>
      <c r="E74" s="54">
        <v>1938515</v>
      </c>
      <c r="F74" s="3"/>
      <c r="G74" s="3">
        <f t="shared" si="23"/>
        <v>2025748</v>
      </c>
      <c r="H74" s="3"/>
      <c r="I74" s="28"/>
      <c r="J74" s="64">
        <f t="shared" si="24"/>
        <v>11631090</v>
      </c>
      <c r="K74" s="30">
        <f t="shared" si="25"/>
        <v>11631090</v>
      </c>
      <c r="L74" s="27"/>
      <c r="M74" s="47"/>
      <c r="N74" s="27"/>
      <c r="O74" s="32">
        <v>16.889877507716054</v>
      </c>
      <c r="P74" s="32">
        <v>20.329413118827162</v>
      </c>
      <c r="Q74" s="73">
        <v>1.6941177599022632</v>
      </c>
      <c r="R74" s="26">
        <f t="shared" si="13"/>
        <v>39408872.272043236</v>
      </c>
      <c r="S74" s="3">
        <f t="shared" si="26"/>
        <v>236453233.63225943</v>
      </c>
      <c r="T74" s="30">
        <f t="shared" si="28"/>
        <v>3284072.6893369365</v>
      </c>
      <c r="U74" s="30">
        <f t="shared" si="27"/>
        <v>19704436.136021618</v>
      </c>
    </row>
    <row r="75" spans="1:22" x14ac:dyDescent="0.2">
      <c r="A75" s="33" t="s">
        <v>56</v>
      </c>
      <c r="B75" s="62">
        <v>4210</v>
      </c>
      <c r="C75" s="62">
        <v>20</v>
      </c>
      <c r="D75" s="59">
        <f>3-1</f>
        <v>2</v>
      </c>
      <c r="E75" s="54">
        <v>1752969</v>
      </c>
      <c r="F75" s="3"/>
      <c r="G75" s="3">
        <f t="shared" si="23"/>
        <v>1831853</v>
      </c>
      <c r="H75" s="3"/>
      <c r="I75" s="28"/>
      <c r="J75" s="64">
        <f t="shared" si="24"/>
        <v>3505938</v>
      </c>
      <c r="K75" s="30">
        <f t="shared" si="25"/>
        <v>3505938</v>
      </c>
      <c r="L75" s="27"/>
      <c r="M75" s="47"/>
      <c r="N75" s="27"/>
      <c r="O75" s="32">
        <v>20.639794989760802</v>
      </c>
      <c r="P75" s="32">
        <v>24.18570137718762</v>
      </c>
      <c r="Q75" s="73">
        <v>1.7678795106583614</v>
      </c>
      <c r="R75" s="26">
        <f t="shared" si="13"/>
        <v>42396784.757467203</v>
      </c>
      <c r="S75" s="3">
        <f t="shared" si="26"/>
        <v>84793569.514934406</v>
      </c>
      <c r="T75" s="30">
        <f t="shared" si="28"/>
        <v>3533065.3964556004</v>
      </c>
      <c r="U75" s="30">
        <f t="shared" si="27"/>
        <v>7066130.7929112008</v>
      </c>
    </row>
    <row r="76" spans="1:22" x14ac:dyDescent="0.2">
      <c r="A76" s="33" t="s">
        <v>56</v>
      </c>
      <c r="B76" s="62">
        <v>4210</v>
      </c>
      <c r="C76" s="62">
        <v>19</v>
      </c>
      <c r="D76" s="59">
        <f>43-1</f>
        <v>42</v>
      </c>
      <c r="E76" s="54">
        <v>1700148</v>
      </c>
      <c r="F76" s="3"/>
      <c r="G76" s="3">
        <f t="shared" si="23"/>
        <v>1776655</v>
      </c>
      <c r="H76" s="3"/>
      <c r="I76" s="28"/>
      <c r="J76" s="64">
        <f>ROUND(E76*D76,0)</f>
        <v>71406216</v>
      </c>
      <c r="K76" s="30">
        <f t="shared" si="25"/>
        <v>71406216</v>
      </c>
      <c r="L76" s="27"/>
      <c r="M76" s="47"/>
      <c r="N76" s="27"/>
      <c r="O76" s="32">
        <v>17.706141138172811</v>
      </c>
      <c r="P76" s="32">
        <v>21.218367995298941</v>
      </c>
      <c r="Q76" s="73">
        <v>1.7694732076157973</v>
      </c>
      <c r="R76" s="26">
        <f t="shared" si="13"/>
        <v>36074365.910471506</v>
      </c>
      <c r="S76" s="3">
        <f t="shared" si="26"/>
        <v>1515123368.2398033</v>
      </c>
      <c r="T76" s="30">
        <f t="shared" si="28"/>
        <v>3006197.1592059587</v>
      </c>
      <c r="U76" s="30">
        <f t="shared" si="27"/>
        <v>126260280.68665026</v>
      </c>
    </row>
    <row r="77" spans="1:22" x14ac:dyDescent="0.2">
      <c r="A77" s="33" t="s">
        <v>56</v>
      </c>
      <c r="B77" s="62">
        <v>4210</v>
      </c>
      <c r="C77" s="62">
        <v>17</v>
      </c>
      <c r="D77" s="59">
        <v>3</v>
      </c>
      <c r="E77" s="54">
        <v>1617277</v>
      </c>
      <c r="F77" s="3"/>
      <c r="G77" s="3">
        <f t="shared" si="23"/>
        <v>1690054</v>
      </c>
      <c r="H77" s="3"/>
      <c r="I77" s="28"/>
      <c r="J77" s="64">
        <f t="shared" si="24"/>
        <v>4851831</v>
      </c>
      <c r="K77" s="30">
        <f t="shared" si="25"/>
        <v>4851831</v>
      </c>
      <c r="L77" s="27"/>
      <c r="M77" s="47"/>
      <c r="N77" s="27"/>
      <c r="O77" s="32">
        <v>18.69823817506709</v>
      </c>
      <c r="P77" s="32">
        <v>22.220361613996555</v>
      </c>
      <c r="Q77" s="73">
        <v>1.8532494502654226</v>
      </c>
      <c r="R77" s="26">
        <f>+E77*P77</f>
        <v>35936479.769999504</v>
      </c>
      <c r="S77" s="3">
        <f t="shared" si="26"/>
        <v>107809439.30999851</v>
      </c>
      <c r="T77" s="30">
        <f t="shared" si="28"/>
        <v>2994706.6474999585</v>
      </c>
      <c r="U77" s="30">
        <f t="shared" si="27"/>
        <v>8984119.942499876</v>
      </c>
    </row>
    <row r="78" spans="1:22" x14ac:dyDescent="0.2">
      <c r="A78" s="33" t="s">
        <v>56</v>
      </c>
      <c r="B78" s="62">
        <v>4210</v>
      </c>
      <c r="C78" s="62">
        <v>16</v>
      </c>
      <c r="D78" s="59">
        <f>106-15</f>
        <v>91</v>
      </c>
      <c r="E78" s="54">
        <v>1583829</v>
      </c>
      <c r="F78" s="3"/>
      <c r="G78" s="3">
        <f t="shared" si="23"/>
        <v>1655101</v>
      </c>
      <c r="H78" s="3"/>
      <c r="I78" s="28"/>
      <c r="J78" s="64">
        <f>ROUND(E78*D78,0)</f>
        <v>144128439</v>
      </c>
      <c r="K78" s="30">
        <f>+E78*D78</f>
        <v>144128439</v>
      </c>
      <c r="L78" s="27"/>
      <c r="M78" s="47"/>
      <c r="N78" s="27"/>
      <c r="O78" s="32">
        <v>18.731940957480667</v>
      </c>
      <c r="P78" s="32">
        <v>22.254915110504246</v>
      </c>
      <c r="Q78" s="73">
        <v>1.8532494502654226</v>
      </c>
      <c r="R78" s="26">
        <f>+E78*P78</f>
        <v>35247979.944554828</v>
      </c>
      <c r="S78" s="3">
        <f>+R78*D78</f>
        <v>3207566174.9544892</v>
      </c>
      <c r="T78" s="30">
        <f>+R78/12</f>
        <v>2937331.6620462355</v>
      </c>
      <c r="U78" s="30">
        <f>+T78*D78</f>
        <v>267297181.24620745</v>
      </c>
    </row>
    <row r="79" spans="1:22" x14ac:dyDescent="0.2">
      <c r="A79" s="34" t="s">
        <v>42</v>
      </c>
      <c r="B79" s="63"/>
      <c r="C79" s="63"/>
      <c r="D79" s="61">
        <f>SUM(D57:D78)</f>
        <v>901</v>
      </c>
      <c r="E79" s="30"/>
      <c r="F79" s="30"/>
      <c r="G79" s="3"/>
      <c r="H79" s="27"/>
      <c r="I79" s="27"/>
      <c r="J79" s="61">
        <f>SUM(J57:J78)</f>
        <v>1326442902</v>
      </c>
      <c r="K79" s="35">
        <f>SUM(K57:K77)</f>
        <v>1182314463</v>
      </c>
      <c r="L79" s="48">
        <f>+J79/D79</f>
        <v>1472189.680355161</v>
      </c>
      <c r="M79" s="36">
        <f>+D79</f>
        <v>901</v>
      </c>
      <c r="N79" s="36">
        <f>+J79/D79</f>
        <v>1472189.680355161</v>
      </c>
      <c r="O79" s="23"/>
      <c r="P79" s="23"/>
      <c r="Q79" s="35"/>
      <c r="R79" s="23">
        <f>SUM(R57:R78)</f>
        <v>775123940.79153275</v>
      </c>
      <c r="S79" s="23">
        <f>SUM(S57:S78)</f>
        <v>29565712341.033379</v>
      </c>
      <c r="T79" s="23"/>
      <c r="U79" s="23">
        <f>SUM(U57:U78)</f>
        <v>2463809361.7527819</v>
      </c>
      <c r="V79" s="68">
        <f>+U79/D79</f>
        <v>2734527.5935103018</v>
      </c>
    </row>
    <row r="80" spans="1:22" x14ac:dyDescent="0.2">
      <c r="A80" s="34" t="s">
        <v>57</v>
      </c>
      <c r="B80" s="60"/>
      <c r="C80" s="60"/>
      <c r="D80" s="61">
        <f>SUM(D22+D28+D44+D55+D79)</f>
        <v>8864</v>
      </c>
      <c r="E80" s="30"/>
      <c r="F80" s="30"/>
      <c r="G80" s="3"/>
      <c r="H80" s="27"/>
      <c r="I80" s="27"/>
      <c r="J80" s="66">
        <f>+J22+J28+J44+J55+J79</f>
        <v>27022739687</v>
      </c>
      <c r="K80" s="40">
        <f>+K22+K28+K44+K55+K79</f>
        <v>26878611248</v>
      </c>
      <c r="L80" s="48">
        <f>+J80/D80</f>
        <v>3048594.2787680505</v>
      </c>
      <c r="M80" s="36">
        <f>+D80</f>
        <v>8864</v>
      </c>
      <c r="N80" s="36">
        <f>+J80/D80</f>
        <v>3048594.2787680505</v>
      </c>
      <c r="O80" s="23"/>
      <c r="P80" s="23"/>
      <c r="Q80" s="35"/>
      <c r="R80" s="26"/>
      <c r="S80" s="39">
        <f>+S22+S28+S44+S55+S79</f>
        <v>556273985042.6991</v>
      </c>
      <c r="T80" s="30"/>
      <c r="U80" s="39">
        <f>+U22+U28+U44+U55+U79</f>
        <v>46356165420.224922</v>
      </c>
      <c r="V80" s="68">
        <f>+U80/D80</f>
        <v>5229711.8028232083</v>
      </c>
    </row>
    <row r="81" spans="1:21" x14ac:dyDescent="0.2">
      <c r="A81" s="41"/>
      <c r="B81" s="41"/>
      <c r="C81" s="41"/>
      <c r="D81" s="42"/>
      <c r="I81" s="1" t="s">
        <v>58</v>
      </c>
      <c r="J81" s="31">
        <f>+J80*0.004</f>
        <v>108090958.748</v>
      </c>
      <c r="K81" s="31">
        <f>+K80*5/1000</f>
        <v>134393056.24000001</v>
      </c>
      <c r="S81" s="69"/>
    </row>
    <row r="82" spans="1:21" x14ac:dyDescent="0.2">
      <c r="A82" s="41"/>
      <c r="B82" s="41"/>
      <c r="C82" s="41"/>
      <c r="D82" s="42"/>
      <c r="J82" s="23">
        <f>+J80+J81</f>
        <v>27130830645.748001</v>
      </c>
      <c r="P82" s="1" t="s">
        <v>65</v>
      </c>
      <c r="S82" s="56">
        <v>506775840851</v>
      </c>
    </row>
    <row r="83" spans="1:21" x14ac:dyDescent="0.2">
      <c r="A83" s="41"/>
      <c r="B83" s="41"/>
      <c r="C83" s="41"/>
      <c r="D83" s="44"/>
      <c r="J83" s="45"/>
      <c r="S83" s="46">
        <f>+S82-S80</f>
        <v>-49498144191.699097</v>
      </c>
    </row>
    <row r="84" spans="1:21" hidden="1" x14ac:dyDescent="0.2">
      <c r="A84" s="34" t="s">
        <v>59</v>
      </c>
      <c r="B84" s="41" t="s">
        <v>60</v>
      </c>
      <c r="C84" s="41"/>
      <c r="D84" s="44"/>
      <c r="J84" s="45"/>
      <c r="S84" s="43"/>
    </row>
    <row r="85" spans="1:21" hidden="1" x14ac:dyDescent="0.2">
      <c r="A85" s="41"/>
      <c r="B85" s="41"/>
      <c r="C85" s="41"/>
      <c r="D85" s="44"/>
      <c r="S85" s="10"/>
    </row>
    <row r="86" spans="1:21" hidden="1" x14ac:dyDescent="0.2">
      <c r="A86" s="33" t="s">
        <v>47</v>
      </c>
      <c r="B86" s="38">
        <v>2028</v>
      </c>
      <c r="C86" s="38">
        <v>24</v>
      </c>
      <c r="D86" s="9">
        <v>4</v>
      </c>
      <c r="E86" s="3">
        <v>6988570</v>
      </c>
      <c r="F86" s="3"/>
      <c r="G86" s="3">
        <f t="shared" ref="G86:G95" si="29">ROUND((E86)*1.0675,0)</f>
        <v>7460298</v>
      </c>
      <c r="H86" s="3"/>
      <c r="I86" s="28"/>
      <c r="J86" s="30">
        <f>ROUND(E86*D86,0)</f>
        <v>27954280</v>
      </c>
      <c r="K86" s="30">
        <f t="shared" ref="K86:K94" si="30">+E86*D86</f>
        <v>27954280</v>
      </c>
      <c r="L86" s="27"/>
      <c r="M86" s="47"/>
      <c r="N86" s="27"/>
      <c r="O86" s="32">
        <v>16.889877507716051</v>
      </c>
      <c r="P86" s="32">
        <v>20.329413118827162</v>
      </c>
      <c r="Q86" s="73">
        <v>1.6952706271862137</v>
      </c>
      <c r="R86" s="26">
        <f>+E86*P86</f>
        <v>142073526.63984194</v>
      </c>
      <c r="S86" s="3">
        <f>+R86*D86</f>
        <v>568294106.55936778</v>
      </c>
      <c r="T86" s="30">
        <f>+R86/12</f>
        <v>11839460.553320162</v>
      </c>
      <c r="U86" s="30">
        <f>+T86*D86</f>
        <v>47357842.213280648</v>
      </c>
    </row>
    <row r="87" spans="1:21" hidden="1" x14ac:dyDescent="0.2">
      <c r="A87" s="33" t="s">
        <v>47</v>
      </c>
      <c r="B87" s="38">
        <v>2028</v>
      </c>
      <c r="C87" s="38">
        <v>15</v>
      </c>
      <c r="D87" s="9">
        <v>12</v>
      </c>
      <c r="E87" s="3">
        <v>3783675</v>
      </c>
      <c r="F87" s="3"/>
      <c r="G87" s="3">
        <f t="shared" si="29"/>
        <v>4039073</v>
      </c>
      <c r="H87" s="3"/>
      <c r="I87" s="28"/>
      <c r="J87" s="30">
        <f>ROUND(E87*D87,0)</f>
        <v>45404100</v>
      </c>
      <c r="K87" s="30">
        <f t="shared" si="30"/>
        <v>45404100</v>
      </c>
      <c r="L87" s="27"/>
      <c r="M87" s="47"/>
      <c r="N87" s="27"/>
      <c r="O87" s="32">
        <v>16.889877507716051</v>
      </c>
      <c r="P87" s="32">
        <v>20.329413118827162</v>
      </c>
      <c r="Q87" s="73">
        <v>1.6952706271862137</v>
      </c>
      <c r="R87" s="26">
        <f>+E87*P87</f>
        <v>76919892.182378367</v>
      </c>
      <c r="S87" s="3">
        <f>+R87*D87</f>
        <v>923038706.18854046</v>
      </c>
      <c r="T87" s="30">
        <f>+R87/12</f>
        <v>6409991.0151981972</v>
      </c>
      <c r="U87" s="30">
        <f t="shared" ref="U87:U103" si="31">+T87*D87</f>
        <v>76919892.182378367</v>
      </c>
    </row>
    <row r="88" spans="1:21" hidden="1" x14ac:dyDescent="0.2">
      <c r="A88" s="33" t="s">
        <v>47</v>
      </c>
      <c r="B88" s="38">
        <v>2028</v>
      </c>
      <c r="C88" s="38">
        <v>14</v>
      </c>
      <c r="D88" s="9">
        <v>6</v>
      </c>
      <c r="E88" s="3">
        <v>3422269</v>
      </c>
      <c r="F88" s="3"/>
      <c r="G88" s="3">
        <f t="shared" si="29"/>
        <v>3653272</v>
      </c>
      <c r="H88" s="3"/>
      <c r="I88" s="28"/>
      <c r="J88" s="30">
        <f>ROUND(E88*D88,0)</f>
        <v>20533614</v>
      </c>
      <c r="K88" s="30">
        <f t="shared" si="30"/>
        <v>20533614</v>
      </c>
      <c r="L88" s="27"/>
      <c r="M88" s="47"/>
      <c r="N88" s="27"/>
      <c r="O88" s="32">
        <v>16.889877507716051</v>
      </c>
      <c r="P88" s="32">
        <v>20.329413118827162</v>
      </c>
      <c r="Q88" s="73">
        <v>1.6952706271862137</v>
      </c>
      <c r="R88" s="26">
        <f>+E88*P88</f>
        <v>69572720.304755509</v>
      </c>
      <c r="S88" s="3">
        <f>+R88*D88</f>
        <v>417436321.82853305</v>
      </c>
      <c r="T88" s="30">
        <f>+R88/12</f>
        <v>5797726.6920629591</v>
      </c>
      <c r="U88" s="30">
        <f t="shared" si="31"/>
        <v>34786360.152377754</v>
      </c>
    </row>
    <row r="89" spans="1:21" hidden="1" x14ac:dyDescent="0.2">
      <c r="A89" s="33" t="s">
        <v>47</v>
      </c>
      <c r="B89" s="38">
        <v>2028</v>
      </c>
      <c r="C89" s="38">
        <v>13</v>
      </c>
      <c r="D89" s="9">
        <v>7</v>
      </c>
      <c r="E89" s="3">
        <v>3197964</v>
      </c>
      <c r="F89" s="3"/>
      <c r="G89" s="3">
        <f t="shared" si="29"/>
        <v>3413827</v>
      </c>
      <c r="H89" s="3"/>
      <c r="I89" s="28"/>
      <c r="J89" s="30">
        <f t="shared" ref="J89:J103" si="32">ROUND(E89*D89,0)</f>
        <v>22385748</v>
      </c>
      <c r="K89" s="30">
        <f t="shared" si="30"/>
        <v>22385748</v>
      </c>
      <c r="L89" s="27"/>
      <c r="M89" s="47"/>
      <c r="N89" s="27"/>
      <c r="O89" s="32">
        <v>16.889877507716051</v>
      </c>
      <c r="P89" s="32">
        <v>20.329413118827162</v>
      </c>
      <c r="Q89" s="73">
        <v>1.6952706271862137</v>
      </c>
      <c r="R89" s="26">
        <f t="shared" ref="R89:R103" si="33">+E89*P89</f>
        <v>65012731.295136988</v>
      </c>
      <c r="S89" s="3">
        <f t="shared" ref="S89:S103" si="34">+R89*D89</f>
        <v>455089119.06595892</v>
      </c>
      <c r="T89" s="30">
        <f t="shared" ref="T89:T103" si="35">+R89/12</f>
        <v>5417727.6079280823</v>
      </c>
      <c r="U89" s="30">
        <f t="shared" si="31"/>
        <v>37924093.255496576</v>
      </c>
    </row>
    <row r="90" spans="1:21" hidden="1" x14ac:dyDescent="0.2">
      <c r="A90" s="33" t="s">
        <v>48</v>
      </c>
      <c r="B90" s="38">
        <v>2028</v>
      </c>
      <c r="C90" s="38">
        <v>11</v>
      </c>
      <c r="D90" s="9">
        <v>10</v>
      </c>
      <c r="E90" s="3">
        <v>2782070</v>
      </c>
      <c r="F90" s="3"/>
      <c r="G90" s="3">
        <f t="shared" si="29"/>
        <v>2969860</v>
      </c>
      <c r="H90" s="3"/>
      <c r="I90" s="28"/>
      <c r="J90" s="30">
        <f t="shared" si="32"/>
        <v>27820700</v>
      </c>
      <c r="K90" s="30">
        <f t="shared" si="30"/>
        <v>27820700</v>
      </c>
      <c r="L90" s="48"/>
      <c r="M90" s="49"/>
      <c r="N90" s="48"/>
      <c r="O90" s="32">
        <v>16.889877507716051</v>
      </c>
      <c r="P90" s="32">
        <v>20.329413118827162</v>
      </c>
      <c r="Q90" s="73">
        <v>1.6952706271862137</v>
      </c>
      <c r="R90" s="26">
        <f t="shared" si="33"/>
        <v>56557850.355495483</v>
      </c>
      <c r="S90" s="3">
        <f t="shared" si="34"/>
        <v>565578503.55495477</v>
      </c>
      <c r="T90" s="30">
        <f t="shared" si="35"/>
        <v>4713154.1962912902</v>
      </c>
      <c r="U90" s="30">
        <f t="shared" si="31"/>
        <v>47131541.962912902</v>
      </c>
    </row>
    <row r="91" spans="1:21" hidden="1" x14ac:dyDescent="0.2">
      <c r="A91" s="33" t="s">
        <v>48</v>
      </c>
      <c r="B91" s="38">
        <v>2044</v>
      </c>
      <c r="C91" s="38">
        <v>9</v>
      </c>
      <c r="D91" s="9">
        <v>13</v>
      </c>
      <c r="E91" s="3">
        <v>2581583</v>
      </c>
      <c r="F91" s="3"/>
      <c r="G91" s="3">
        <f t="shared" si="29"/>
        <v>2755840</v>
      </c>
      <c r="H91" s="3"/>
      <c r="I91" s="28"/>
      <c r="J91" s="30">
        <f t="shared" si="32"/>
        <v>33560579</v>
      </c>
      <c r="K91" s="30">
        <f t="shared" si="30"/>
        <v>33560579</v>
      </c>
      <c r="L91" s="48"/>
      <c r="M91" s="49"/>
      <c r="N91" s="48"/>
      <c r="O91" s="32">
        <v>16.889877507716051</v>
      </c>
      <c r="P91" s="32">
        <v>20.329413118827162</v>
      </c>
      <c r="Q91" s="73">
        <v>1.6952706271862137</v>
      </c>
      <c r="R91" s="26">
        <f t="shared" si="33"/>
        <v>52482067.307541184</v>
      </c>
      <c r="S91" s="3">
        <f t="shared" si="34"/>
        <v>682266874.99803543</v>
      </c>
      <c r="T91" s="30">
        <f t="shared" si="35"/>
        <v>4373505.6089617657</v>
      </c>
      <c r="U91" s="30">
        <f t="shared" si="31"/>
        <v>56855572.916502953</v>
      </c>
    </row>
    <row r="92" spans="1:21" hidden="1" x14ac:dyDescent="0.2">
      <c r="A92" s="33" t="s">
        <v>48</v>
      </c>
      <c r="B92" s="38">
        <v>2044</v>
      </c>
      <c r="C92" s="38">
        <v>8</v>
      </c>
      <c r="D92" s="9">
        <f>42+7</f>
        <v>49</v>
      </c>
      <c r="E92" s="3">
        <v>2475043</v>
      </c>
      <c r="F92" s="3"/>
      <c r="G92" s="3">
        <f t="shared" si="29"/>
        <v>2642108</v>
      </c>
      <c r="H92" s="3"/>
      <c r="I92" s="28"/>
      <c r="J92" s="30">
        <f t="shared" si="32"/>
        <v>121277107</v>
      </c>
      <c r="K92" s="30">
        <f t="shared" si="30"/>
        <v>121277107</v>
      </c>
      <c r="L92" s="48"/>
      <c r="M92" s="49"/>
      <c r="N92" s="48"/>
      <c r="O92" s="32">
        <v>16.889877507716051</v>
      </c>
      <c r="P92" s="32">
        <v>20.329413118827162</v>
      </c>
      <c r="Q92" s="73">
        <v>1.6952706271862137</v>
      </c>
      <c r="R92" s="26">
        <f t="shared" si="33"/>
        <v>50316171.633861333</v>
      </c>
      <c r="S92" s="3">
        <f t="shared" si="34"/>
        <v>2465492410.0592055</v>
      </c>
      <c r="T92" s="30">
        <f t="shared" si="35"/>
        <v>4193014.3028217778</v>
      </c>
      <c r="U92" s="30">
        <f t="shared" si="31"/>
        <v>205457700.83826712</v>
      </c>
    </row>
    <row r="93" spans="1:21" hidden="1" x14ac:dyDescent="0.2">
      <c r="A93" s="33" t="s">
        <v>48</v>
      </c>
      <c r="B93" s="38">
        <v>2044</v>
      </c>
      <c r="C93" s="38">
        <v>7</v>
      </c>
      <c r="D93" s="9">
        <f>115+2565+121</f>
        <v>2801</v>
      </c>
      <c r="E93" s="3">
        <v>2357812</v>
      </c>
      <c r="F93" s="3"/>
      <c r="G93" s="3">
        <f t="shared" si="29"/>
        <v>2516964</v>
      </c>
      <c r="H93" s="3"/>
      <c r="I93" s="28"/>
      <c r="J93" s="30">
        <f t="shared" si="32"/>
        <v>6604231412</v>
      </c>
      <c r="K93" s="30">
        <f t="shared" si="30"/>
        <v>6604231412</v>
      </c>
      <c r="L93" s="48"/>
      <c r="M93" s="49"/>
      <c r="N93" s="48"/>
      <c r="O93" s="32">
        <v>16.889877507716051</v>
      </c>
      <c r="P93" s="32">
        <v>20.329413118827162</v>
      </c>
      <c r="Q93" s="73">
        <v>1.6952706271862137</v>
      </c>
      <c r="R93" s="26">
        <f t="shared" si="33"/>
        <v>47932934.204528108</v>
      </c>
      <c r="S93" s="3">
        <f t="shared" si="34"/>
        <v>134260148706.88322</v>
      </c>
      <c r="T93" s="30">
        <f t="shared" si="35"/>
        <v>3994411.1837106757</v>
      </c>
      <c r="U93" s="30">
        <f t="shared" si="31"/>
        <v>11188345725.573603</v>
      </c>
    </row>
    <row r="94" spans="1:21" hidden="1" x14ac:dyDescent="0.2">
      <c r="A94" s="33" t="s">
        <v>48</v>
      </c>
      <c r="B94" s="38">
        <v>2044</v>
      </c>
      <c r="C94" s="38">
        <v>1</v>
      </c>
      <c r="D94" s="9">
        <v>373</v>
      </c>
      <c r="E94" s="30">
        <v>1687159</v>
      </c>
      <c r="F94" s="3"/>
      <c r="G94" s="3">
        <f t="shared" si="29"/>
        <v>1801042</v>
      </c>
      <c r="H94" s="3"/>
      <c r="I94" s="28"/>
      <c r="J94" s="30">
        <f t="shared" si="32"/>
        <v>629310307</v>
      </c>
      <c r="K94" s="30">
        <f t="shared" si="30"/>
        <v>629310307</v>
      </c>
      <c r="L94" s="27"/>
      <c r="M94" s="47"/>
      <c r="N94" s="27"/>
      <c r="O94" s="32">
        <v>16.889877507716051</v>
      </c>
      <c r="P94" s="32">
        <v>20.329413118827162</v>
      </c>
      <c r="Q94" s="73">
        <v>1.6952706271862137</v>
      </c>
      <c r="R94" s="26">
        <f t="shared" si="33"/>
        <v>34298952.308147319</v>
      </c>
      <c r="S94" s="3">
        <f t="shared" si="34"/>
        <v>12793509210.93895</v>
      </c>
      <c r="T94" s="30">
        <f t="shared" si="35"/>
        <v>2858246.0256789434</v>
      </c>
      <c r="U94" s="30">
        <f t="shared" si="31"/>
        <v>1066125767.5782459</v>
      </c>
    </row>
    <row r="95" spans="1:21" hidden="1" x14ac:dyDescent="0.2">
      <c r="A95" s="33" t="s">
        <v>49</v>
      </c>
      <c r="B95" s="38">
        <v>2125</v>
      </c>
      <c r="C95" s="38">
        <v>17</v>
      </c>
      <c r="D95" s="9">
        <v>328</v>
      </c>
      <c r="E95" s="3">
        <v>4290736</v>
      </c>
      <c r="F95" s="3"/>
      <c r="G95" s="3">
        <f t="shared" si="29"/>
        <v>4580361</v>
      </c>
      <c r="H95" s="3"/>
      <c r="I95" s="28"/>
      <c r="J95" s="30">
        <f t="shared" si="32"/>
        <v>1407361408</v>
      </c>
      <c r="K95" s="28"/>
      <c r="L95" s="27"/>
      <c r="M95" s="47"/>
      <c r="N95" s="27"/>
      <c r="O95" s="32">
        <v>16.889877507716051</v>
      </c>
      <c r="P95" s="32">
        <v>20.329413118827162</v>
      </c>
      <c r="Q95" s="73">
        <v>1.6952706271862137</v>
      </c>
      <c r="R95" s="26">
        <f t="shared" si="33"/>
        <v>87228144.727823988</v>
      </c>
      <c r="S95" s="3">
        <f t="shared" si="34"/>
        <v>28610831470.726269</v>
      </c>
      <c r="T95" s="30">
        <f t="shared" si="35"/>
        <v>7269012.060651999</v>
      </c>
      <c r="U95" s="30">
        <f t="shared" si="31"/>
        <v>2384235955.8938556</v>
      </c>
    </row>
    <row r="96" spans="1:21" hidden="1" x14ac:dyDescent="0.2">
      <c r="A96" s="34" t="s">
        <v>42</v>
      </c>
      <c r="B96" s="38"/>
      <c r="C96" s="38"/>
      <c r="D96" s="23">
        <f>SUM(D86:D95)</f>
        <v>3603</v>
      </c>
      <c r="E96" s="30"/>
      <c r="F96" s="3"/>
      <c r="G96" s="3"/>
      <c r="H96" s="3"/>
      <c r="I96" s="28"/>
      <c r="J96" s="23">
        <f>SUM(J86:J95)</f>
        <v>8939839255</v>
      </c>
      <c r="K96" s="28"/>
      <c r="L96" s="27"/>
      <c r="M96" s="47"/>
      <c r="N96" s="27"/>
      <c r="O96" s="32"/>
      <c r="P96" s="32"/>
      <c r="Q96" s="73"/>
      <c r="R96" s="26"/>
      <c r="S96" s="23">
        <f>SUM(S86:S95)</f>
        <v>181741685430.80304</v>
      </c>
      <c r="T96" s="30"/>
      <c r="U96" s="23">
        <f>SUM(U86:U95)</f>
        <v>15145140452.566919</v>
      </c>
    </row>
    <row r="97" spans="1:21" hidden="1" x14ac:dyDescent="0.2">
      <c r="A97" s="33" t="s">
        <v>51</v>
      </c>
      <c r="B97" s="38">
        <v>3124</v>
      </c>
      <c r="C97" s="38">
        <v>18</v>
      </c>
      <c r="D97" s="9">
        <v>4</v>
      </c>
      <c r="E97" s="3">
        <v>2590707</v>
      </c>
      <c r="F97" s="3"/>
      <c r="G97" s="3">
        <f>ROUND((E97)*1.0675,0)</f>
        <v>2765580</v>
      </c>
      <c r="H97" s="3"/>
      <c r="I97" s="28"/>
      <c r="J97" s="30">
        <f t="shared" si="32"/>
        <v>10362828</v>
      </c>
      <c r="K97" s="28"/>
      <c r="L97" s="27"/>
      <c r="M97" s="47"/>
      <c r="N97" s="27"/>
      <c r="O97" s="32">
        <v>16.889877507716054</v>
      </c>
      <c r="P97" s="32">
        <v>20.329413118827162</v>
      </c>
      <c r="Q97" s="73">
        <v>1.6952706271862137</v>
      </c>
      <c r="R97" s="26">
        <f t="shared" si="33"/>
        <v>52667552.872837357</v>
      </c>
      <c r="S97" s="3">
        <f t="shared" si="34"/>
        <v>210670211.49134943</v>
      </c>
      <c r="T97" s="30">
        <f t="shared" si="35"/>
        <v>4388962.7394031128</v>
      </c>
      <c r="U97" s="30">
        <f t="shared" si="31"/>
        <v>17555850.957612451</v>
      </c>
    </row>
    <row r="98" spans="1:21" hidden="1" x14ac:dyDescent="0.2">
      <c r="A98" s="33" t="s">
        <v>51</v>
      </c>
      <c r="B98" s="38">
        <v>3124</v>
      </c>
      <c r="C98" s="38">
        <v>16</v>
      </c>
      <c r="D98" s="9">
        <v>1</v>
      </c>
      <c r="E98" s="3">
        <v>2202203</v>
      </c>
      <c r="F98" s="3"/>
      <c r="G98" s="3">
        <f>ROUND((E98)*1.0675,0)</f>
        <v>2350852</v>
      </c>
      <c r="H98" s="3"/>
      <c r="I98" s="28"/>
      <c r="J98" s="30">
        <f t="shared" si="32"/>
        <v>2202203</v>
      </c>
      <c r="K98" s="28"/>
      <c r="L98" s="27"/>
      <c r="M98" s="47"/>
      <c r="N98" s="27"/>
      <c r="O98" s="32">
        <v>16.889877507716054</v>
      </c>
      <c r="P98" s="32">
        <v>20.329413118827162</v>
      </c>
      <c r="Q98" s="73">
        <v>1.6952706271862137</v>
      </c>
      <c r="R98" s="26">
        <f t="shared" si="33"/>
        <v>44769494.558520533</v>
      </c>
      <c r="S98" s="3">
        <f t="shared" si="34"/>
        <v>44769494.558520533</v>
      </c>
      <c r="T98" s="30">
        <f t="shared" si="35"/>
        <v>3730791.2132100444</v>
      </c>
      <c r="U98" s="30">
        <f t="shared" si="31"/>
        <v>3730791.2132100444</v>
      </c>
    </row>
    <row r="99" spans="1:21" hidden="1" x14ac:dyDescent="0.2">
      <c r="A99" s="33" t="s">
        <v>51</v>
      </c>
      <c r="B99" s="38">
        <v>3124</v>
      </c>
      <c r="C99" s="38">
        <v>15</v>
      </c>
      <c r="D99" s="9">
        <v>18</v>
      </c>
      <c r="E99" s="30">
        <v>1949088</v>
      </c>
      <c r="F99" s="3"/>
      <c r="G99" s="3">
        <f>ROUND((E99)*1.0675,0)</f>
        <v>2080651</v>
      </c>
      <c r="H99" s="3"/>
      <c r="I99" s="28"/>
      <c r="J99" s="30">
        <f t="shared" si="32"/>
        <v>35083584</v>
      </c>
      <c r="K99" s="28"/>
      <c r="L99" s="28"/>
      <c r="M99" s="27"/>
      <c r="N99" s="47"/>
      <c r="O99" s="32">
        <v>16.889877507716054</v>
      </c>
      <c r="P99" s="32">
        <v>20.329413118827162</v>
      </c>
      <c r="Q99" s="73">
        <v>1.6952706271862137</v>
      </c>
      <c r="R99" s="26">
        <f t="shared" si="33"/>
        <v>39623815.156948596</v>
      </c>
      <c r="S99" s="3">
        <f t="shared" si="34"/>
        <v>713228672.82507467</v>
      </c>
      <c r="T99" s="30">
        <f t="shared" si="35"/>
        <v>3301984.596412383</v>
      </c>
      <c r="U99" s="30">
        <f t="shared" si="31"/>
        <v>59435722.735422894</v>
      </c>
    </row>
    <row r="100" spans="1:21" hidden="1" x14ac:dyDescent="0.2">
      <c r="A100" s="33" t="s">
        <v>51</v>
      </c>
      <c r="B100" s="38">
        <v>3124</v>
      </c>
      <c r="C100" s="38">
        <v>11</v>
      </c>
      <c r="D100" s="9">
        <v>48</v>
      </c>
      <c r="E100" s="30">
        <v>1591042</v>
      </c>
      <c r="F100" s="3"/>
      <c r="G100" s="3">
        <f>ROUND((E100)*1.0675,0)</f>
        <v>1698437</v>
      </c>
      <c r="H100" s="3"/>
      <c r="I100" s="28"/>
      <c r="J100" s="30">
        <f t="shared" si="32"/>
        <v>76370016</v>
      </c>
      <c r="K100" s="28"/>
      <c r="L100" s="28"/>
      <c r="M100" s="27"/>
      <c r="N100" s="47"/>
      <c r="O100" s="32">
        <v>16.889877507716047</v>
      </c>
      <c r="P100" s="32">
        <v>20.329413118827159</v>
      </c>
      <c r="Q100" s="73">
        <v>1.6952706271862137</v>
      </c>
      <c r="R100" s="26">
        <f t="shared" si="33"/>
        <v>32344950.107404999</v>
      </c>
      <c r="S100" s="3">
        <f t="shared" si="34"/>
        <v>1552557605.1554399</v>
      </c>
      <c r="T100" s="30">
        <f t="shared" si="35"/>
        <v>2695412.5089504165</v>
      </c>
      <c r="U100" s="30">
        <f t="shared" si="31"/>
        <v>129379800.42962</v>
      </c>
    </row>
    <row r="101" spans="1:21" hidden="1" x14ac:dyDescent="0.2">
      <c r="A101" s="33" t="s">
        <v>51</v>
      </c>
      <c r="B101" s="38">
        <v>3124</v>
      </c>
      <c r="C101" s="38">
        <v>10</v>
      </c>
      <c r="D101" s="9">
        <v>33</v>
      </c>
      <c r="E101" s="30">
        <v>1509204</v>
      </c>
      <c r="F101" s="3"/>
      <c r="G101" s="3">
        <f>ROUND((E101)*1.0675,0)</f>
        <v>1611075</v>
      </c>
      <c r="H101" s="3"/>
      <c r="I101" s="28"/>
      <c r="J101" s="30">
        <f t="shared" si="32"/>
        <v>49803732</v>
      </c>
      <c r="K101" s="28"/>
      <c r="L101" s="28"/>
      <c r="M101" s="27"/>
      <c r="N101" s="47"/>
      <c r="O101" s="32">
        <v>18.731940957480667</v>
      </c>
      <c r="P101" s="32">
        <v>22.254915110504246</v>
      </c>
      <c r="Q101" s="73">
        <v>1.7708374842383818</v>
      </c>
      <c r="R101" s="26">
        <f t="shared" si="33"/>
        <v>33587206.904433452</v>
      </c>
      <c r="S101" s="3">
        <f t="shared" si="34"/>
        <v>1108377827.8463039</v>
      </c>
      <c r="T101" s="30">
        <f t="shared" si="35"/>
        <v>2798933.9087027875</v>
      </c>
      <c r="U101" s="30">
        <f t="shared" si="31"/>
        <v>92364818.98719199</v>
      </c>
    </row>
    <row r="102" spans="1:21" hidden="1" x14ac:dyDescent="0.2">
      <c r="A102" s="34" t="s">
        <v>42</v>
      </c>
      <c r="B102" s="38"/>
      <c r="C102" s="38"/>
      <c r="D102" s="23">
        <f>SUM(D97:D101)</f>
        <v>104</v>
      </c>
      <c r="E102" s="30"/>
      <c r="F102" s="3"/>
      <c r="G102" s="3"/>
      <c r="H102" s="3"/>
      <c r="I102" s="28"/>
      <c r="J102" s="23">
        <f>SUM(J97:J101)</f>
        <v>173822363</v>
      </c>
      <c r="K102" s="28"/>
      <c r="L102" s="28"/>
      <c r="M102" s="27"/>
      <c r="N102" s="47"/>
      <c r="O102" s="32"/>
      <c r="P102" s="32"/>
      <c r="Q102" s="73"/>
      <c r="R102" s="26"/>
      <c r="S102" s="23">
        <f>SUM(S97:S101)</f>
        <v>3629603811.8766885</v>
      </c>
      <c r="T102" s="30"/>
      <c r="U102" s="23">
        <f>SUM(U97:U101)</f>
        <v>302466984.32305735</v>
      </c>
    </row>
    <row r="103" spans="1:21" hidden="1" x14ac:dyDescent="0.2">
      <c r="A103" s="33" t="s">
        <v>53</v>
      </c>
      <c r="B103" s="38">
        <v>4044</v>
      </c>
      <c r="C103" s="38">
        <v>13</v>
      </c>
      <c r="D103" s="9">
        <v>30</v>
      </c>
      <c r="E103" s="30">
        <v>1310488</v>
      </c>
      <c r="F103" s="3"/>
      <c r="G103" s="3">
        <f>ROUND((E103)*1.0675,0)</f>
        <v>1398946</v>
      </c>
      <c r="H103" s="3"/>
      <c r="I103" s="28"/>
      <c r="J103" s="30">
        <f t="shared" si="32"/>
        <v>39314640</v>
      </c>
      <c r="K103" s="28"/>
      <c r="L103" s="28"/>
      <c r="M103" s="27"/>
      <c r="N103" s="47"/>
      <c r="O103" s="32">
        <v>19.248055974990152</v>
      </c>
      <c r="P103" s="32">
        <v>22.784057726571913</v>
      </c>
      <c r="Q103" s="73">
        <v>1.8662176175211194</v>
      </c>
      <c r="R103" s="26">
        <f t="shared" si="33"/>
        <v>29858234.241979774</v>
      </c>
      <c r="S103" s="3">
        <f t="shared" si="34"/>
        <v>895747027.25939322</v>
      </c>
      <c r="T103" s="30">
        <f t="shared" si="35"/>
        <v>2488186.186831648</v>
      </c>
      <c r="U103" s="30">
        <f t="shared" si="31"/>
        <v>74645585.604949445</v>
      </c>
    </row>
    <row r="104" spans="1:21" hidden="1" x14ac:dyDescent="0.2">
      <c r="A104" s="34" t="s">
        <v>42</v>
      </c>
      <c r="B104" s="38"/>
      <c r="C104" s="38"/>
      <c r="D104" s="23">
        <f>SUM(D103)</f>
        <v>30</v>
      </c>
      <c r="E104" s="30"/>
      <c r="F104" s="3"/>
      <c r="G104" s="3"/>
      <c r="H104" s="3"/>
      <c r="I104" s="28"/>
      <c r="J104" s="23">
        <f>SUM(J103)</f>
        <v>39314640</v>
      </c>
      <c r="K104" s="28"/>
      <c r="L104" s="28"/>
      <c r="M104" s="27"/>
      <c r="N104" s="47"/>
      <c r="O104" s="32"/>
      <c r="P104" s="32"/>
      <c r="Q104" s="73"/>
      <c r="R104" s="26"/>
      <c r="S104" s="23">
        <f>SUM(S103)</f>
        <v>895747027.25939322</v>
      </c>
      <c r="T104" s="30"/>
      <c r="U104" s="23">
        <f>SUM(U103)</f>
        <v>74645585.604949445</v>
      </c>
    </row>
    <row r="105" spans="1:21" hidden="1" x14ac:dyDescent="0.2">
      <c r="A105" s="34" t="s">
        <v>61</v>
      </c>
      <c r="B105" s="50"/>
      <c r="C105" s="50"/>
      <c r="D105" s="23">
        <f>SUM(D104,D102,D96)</f>
        <v>3737</v>
      </c>
      <c r="E105" s="28"/>
      <c r="F105" s="28"/>
      <c r="G105" s="28"/>
      <c r="H105" s="28"/>
      <c r="I105" s="28"/>
      <c r="J105" s="39">
        <f>SUM(J104,J102,J96)</f>
        <v>9152976258</v>
      </c>
      <c r="K105" s="28"/>
      <c r="L105" s="27"/>
      <c r="M105" s="47"/>
      <c r="N105" s="27"/>
      <c r="O105" s="28"/>
      <c r="P105" s="28"/>
      <c r="Q105" s="25"/>
      <c r="R105" s="26"/>
      <c r="S105" s="39">
        <f>SUM(S104,S102,S96)</f>
        <v>186267036269.93912</v>
      </c>
      <c r="T105" s="28"/>
      <c r="U105" s="39">
        <f>SUM(U104,U102,U96)</f>
        <v>15522253022.494926</v>
      </c>
    </row>
    <row r="106" spans="1:21" hidden="1" x14ac:dyDescent="0.2">
      <c r="D106" s="52"/>
    </row>
    <row r="107" spans="1:21" hidden="1" x14ac:dyDescent="0.2"/>
    <row r="108" spans="1:21" hidden="1" x14ac:dyDescent="0.2"/>
    <row r="109" spans="1:21" hidden="1" x14ac:dyDescent="0.2"/>
    <row r="110" spans="1:21" hidden="1" x14ac:dyDescent="0.2"/>
    <row r="111" spans="1:21" hidden="1" x14ac:dyDescent="0.2"/>
  </sheetData>
  <mergeCells count="7">
    <mergeCell ref="A8:U8"/>
    <mergeCell ref="A1:D1"/>
    <mergeCell ref="A2:D2"/>
    <mergeCell ref="A3:D3"/>
    <mergeCell ref="A4:D4"/>
    <mergeCell ref="A6:D6"/>
    <mergeCell ref="A7:D7"/>
  </mergeCells>
  <pageMargins left="0.23622047244094491" right="0.19685039370078741" top="0.36" bottom="0.36" header="0" footer="0"/>
  <pageSetup scale="85" orientation="portrait" r:id="rId1"/>
  <headerFooter alignWithMargins="0">
    <oddFooter>&amp;CPágina &amp;P de &amp;P&amp;R
Preparado por: Huber Rafael Garcia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AUMTO-MINH-1011-06-06-19-4,5%</vt:lpstr>
      <vt:lpstr>'AUMTO-MINH-1011-06-06-19-4,5%'!Área_de_impresión</vt:lpstr>
      <vt:lpstr>'AUMTO-MINH-1011-06-06-19-4,5%'!Títulos_a_imprimir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Rafael Garcia Cuero</dc:creator>
  <cp:lastModifiedBy>Juan Manuel Garcia Gomez</cp:lastModifiedBy>
  <cp:lastPrinted>2019-07-24T21:45:54Z</cp:lastPrinted>
  <dcterms:created xsi:type="dcterms:W3CDTF">2017-06-12T16:21:20Z</dcterms:created>
  <dcterms:modified xsi:type="dcterms:W3CDTF">2019-08-29T16:15:39Z</dcterms:modified>
</cp:coreProperties>
</file>