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codeName="ThisWorkbook" defaultThemeVersion="166925"/>
  <mc:AlternateContent xmlns:mc="http://schemas.openxmlformats.org/markup-compatibility/2006">
    <mc:Choice Requires="x15">
      <x15ac:absPath xmlns:x15ac="http://schemas.microsoft.com/office/spreadsheetml/2010/11/ac" url="/Users/Diego/Dropbox/3 ICBF/BNOPI/"/>
    </mc:Choice>
  </mc:AlternateContent>
  <xr:revisionPtr revIDLastSave="0" documentId="13_ncr:1_{EF0390DC-B0B3-DE4D-864E-EC238233D622}" xr6:coauthVersionLast="45" xr6:coauthVersionMax="45" xr10:uidLastSave="{00000000-0000-0000-0000-000000000000}"/>
  <bookViews>
    <workbookView xWindow="0" yWindow="440" windowWidth="25600" windowHeight="15560" xr2:uid="{00000000-000D-0000-FFFF-FFFF00000000}"/>
  </bookViews>
  <sheets>
    <sheet name="Informe final" sheetId="5" r:id="rId1"/>
    <sheet name="Indicadores (base datos)" sheetId="1" state="hidden" r:id="rId2"/>
    <sheet name="Base" sheetId="3" state="hidden" r:id="rId3"/>
    <sheet name="Hoja2" sheetId="4" state="hidden" r:id="rId4"/>
  </sheets>
  <definedNames>
    <definedName name="_xlnm._FilterDatabase" localSheetId="3" hidden="1">Hoja2!$A$1:$L$329</definedName>
    <definedName name="_xlnm._FilterDatabase" localSheetId="0" hidden="1">'Informe final'!$A$5:$N$333</definedName>
    <definedName name="_xlnm.Print_Area" localSheetId="0">'Informe final'!$A$1:$M$333</definedName>
    <definedName name="SM" localSheetId="2">#REF!</definedName>
    <definedName name="SM" localSheetId="0">#REF!</definedName>
    <definedName name="SM">#REF!</definedName>
    <definedName name="_xlnm.Print_Titles" localSheetId="0">'Informe final'!$1:$5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4" i="5" l="1"/>
  <c r="AA12" i="1"/>
  <c r="I16" i="5" s="1"/>
  <c r="AA18" i="1"/>
  <c r="I22" i="5" s="1"/>
  <c r="AA41" i="1"/>
  <c r="I45" i="5" s="1"/>
  <c r="AA43" i="1"/>
  <c r="AA44" i="1"/>
  <c r="I48" i="5" s="1"/>
  <c r="AA87" i="1"/>
  <c r="I91" i="5" s="1"/>
  <c r="AA95" i="1"/>
  <c r="I99" i="5" s="1"/>
  <c r="AA154" i="1"/>
  <c r="AA155" i="1"/>
  <c r="I159" i="5" s="1"/>
  <c r="AA225" i="1"/>
  <c r="AA263" i="1"/>
  <c r="AA283" i="1"/>
  <c r="I287" i="5" s="1"/>
  <c r="AA294" i="1"/>
  <c r="I298" i="5" s="1"/>
  <c r="AA300" i="1"/>
  <c r="I304" i="5" s="1"/>
  <c r="AA304" i="1"/>
  <c r="AA327" i="1"/>
  <c r="AA328" i="1"/>
  <c r="L7" i="5" l="1"/>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L327" i="5"/>
  <c r="L328" i="5"/>
  <c r="L329" i="5"/>
  <c r="L330" i="5"/>
  <c r="L331" i="5"/>
  <c r="L332" i="5"/>
  <c r="L333" i="5"/>
  <c r="L6" i="5"/>
  <c r="I3" i="4"/>
  <c r="J3" i="4" s="1"/>
  <c r="I4" i="4"/>
  <c r="J4" i="4" s="1"/>
  <c r="I5" i="4"/>
  <c r="J5" i="4" s="1"/>
  <c r="I6" i="4"/>
  <c r="J6" i="4" s="1"/>
  <c r="I7" i="4"/>
  <c r="J7" i="4" s="1"/>
  <c r="I8" i="4"/>
  <c r="J8" i="4" s="1"/>
  <c r="I9" i="4"/>
  <c r="J9" i="4" s="1"/>
  <c r="I10" i="4"/>
  <c r="J10" i="4" s="1"/>
  <c r="I11" i="4"/>
  <c r="J11" i="4" s="1"/>
  <c r="I12" i="4"/>
  <c r="J12" i="4" s="1"/>
  <c r="I13" i="4"/>
  <c r="J13" i="4" s="1"/>
  <c r="I14" i="4"/>
  <c r="J14" i="4" s="1"/>
  <c r="I15" i="4"/>
  <c r="J15" i="4" s="1"/>
  <c r="I16" i="4"/>
  <c r="J16" i="4" s="1"/>
  <c r="I17" i="4"/>
  <c r="J17" i="4" s="1"/>
  <c r="I18" i="4"/>
  <c r="J18" i="4" s="1"/>
  <c r="I19" i="4"/>
  <c r="J19" i="4" s="1"/>
  <c r="I20" i="4"/>
  <c r="J20" i="4" s="1"/>
  <c r="I21" i="4"/>
  <c r="J21" i="4" s="1"/>
  <c r="I22" i="4"/>
  <c r="J22" i="4" s="1"/>
  <c r="I23" i="4"/>
  <c r="J23" i="4" s="1"/>
  <c r="I24" i="4"/>
  <c r="J24" i="4" s="1"/>
  <c r="I25" i="4"/>
  <c r="J25" i="4" s="1"/>
  <c r="I26" i="4"/>
  <c r="J26" i="4" s="1"/>
  <c r="I27" i="4"/>
  <c r="J27" i="4" s="1"/>
  <c r="I28" i="4"/>
  <c r="J28" i="4" s="1"/>
  <c r="I29" i="4"/>
  <c r="J29" i="4" s="1"/>
  <c r="I30" i="4"/>
  <c r="J30" i="4" s="1"/>
  <c r="I31" i="4"/>
  <c r="J31" i="4" s="1"/>
  <c r="I32" i="4"/>
  <c r="J32" i="4" s="1"/>
  <c r="I33" i="4"/>
  <c r="J33" i="4" s="1"/>
  <c r="I34" i="4"/>
  <c r="J34" i="4" s="1"/>
  <c r="I35" i="4"/>
  <c r="J35" i="4" s="1"/>
  <c r="I36" i="4"/>
  <c r="J36" i="4" s="1"/>
  <c r="I37" i="4"/>
  <c r="J37" i="4" s="1"/>
  <c r="I38" i="4"/>
  <c r="J38" i="4" s="1"/>
  <c r="I39" i="4"/>
  <c r="J39" i="4" s="1"/>
  <c r="I40" i="4"/>
  <c r="J40" i="4" s="1"/>
  <c r="I41" i="4"/>
  <c r="J41" i="4" s="1"/>
  <c r="I42" i="4"/>
  <c r="J42" i="4" s="1"/>
  <c r="I43" i="4"/>
  <c r="J43" i="4" s="1"/>
  <c r="I44" i="4"/>
  <c r="J44" i="4" s="1"/>
  <c r="I45" i="4"/>
  <c r="J45" i="4" s="1"/>
  <c r="I46" i="4"/>
  <c r="J46" i="4" s="1"/>
  <c r="I47" i="4"/>
  <c r="J47" i="4" s="1"/>
  <c r="I48" i="4"/>
  <c r="J48" i="4" s="1"/>
  <c r="I49" i="4"/>
  <c r="J49" i="4" s="1"/>
  <c r="I50" i="4"/>
  <c r="J50" i="4" s="1"/>
  <c r="I51" i="4"/>
  <c r="J51" i="4" s="1"/>
  <c r="I52" i="4"/>
  <c r="J52" i="4" s="1"/>
  <c r="I53" i="4"/>
  <c r="J53" i="4" s="1"/>
  <c r="I54" i="4"/>
  <c r="J54" i="4" s="1"/>
  <c r="I55" i="4"/>
  <c r="J55" i="4" s="1"/>
  <c r="I56" i="4"/>
  <c r="J56" i="4" s="1"/>
  <c r="I57" i="4"/>
  <c r="J57" i="4" s="1"/>
  <c r="I58" i="4"/>
  <c r="J58" i="4" s="1"/>
  <c r="I59" i="4"/>
  <c r="J59" i="4" s="1"/>
  <c r="I60" i="4"/>
  <c r="J60" i="4" s="1"/>
  <c r="I61" i="4"/>
  <c r="J61" i="4" s="1"/>
  <c r="I62" i="4"/>
  <c r="J62" i="4" s="1"/>
  <c r="I63" i="4"/>
  <c r="J63" i="4" s="1"/>
  <c r="I64" i="4"/>
  <c r="J64" i="4" s="1"/>
  <c r="I65" i="4"/>
  <c r="J65" i="4" s="1"/>
  <c r="I66" i="4"/>
  <c r="J66" i="4" s="1"/>
  <c r="I67" i="4"/>
  <c r="J67" i="4" s="1"/>
  <c r="I68" i="4"/>
  <c r="J68" i="4" s="1"/>
  <c r="I69" i="4"/>
  <c r="J69" i="4" s="1"/>
  <c r="I70" i="4"/>
  <c r="J70" i="4" s="1"/>
  <c r="I71" i="4"/>
  <c r="J71" i="4" s="1"/>
  <c r="I72" i="4"/>
  <c r="J72" i="4" s="1"/>
  <c r="I73" i="4"/>
  <c r="J73" i="4" s="1"/>
  <c r="I74" i="4"/>
  <c r="J74" i="4" s="1"/>
  <c r="I75" i="4"/>
  <c r="J75" i="4" s="1"/>
  <c r="I76" i="4"/>
  <c r="J76" i="4" s="1"/>
  <c r="I77" i="4"/>
  <c r="J77" i="4" s="1"/>
  <c r="I78" i="4"/>
  <c r="J78" i="4" s="1"/>
  <c r="I79" i="4"/>
  <c r="J79" i="4" s="1"/>
  <c r="I80" i="4"/>
  <c r="J80" i="4" s="1"/>
  <c r="I81" i="4"/>
  <c r="J81" i="4" s="1"/>
  <c r="I82" i="4"/>
  <c r="J82" i="4" s="1"/>
  <c r="I83" i="4"/>
  <c r="J83" i="4" s="1"/>
  <c r="I84" i="4"/>
  <c r="J84" i="4" s="1"/>
  <c r="I85" i="4"/>
  <c r="J85" i="4" s="1"/>
  <c r="I86" i="4"/>
  <c r="J86" i="4" s="1"/>
  <c r="I87" i="4"/>
  <c r="J87" i="4" s="1"/>
  <c r="I88" i="4"/>
  <c r="J88" i="4" s="1"/>
  <c r="I89" i="4"/>
  <c r="J89" i="4" s="1"/>
  <c r="I90" i="4"/>
  <c r="J90" i="4" s="1"/>
  <c r="I91" i="4"/>
  <c r="J91" i="4" s="1"/>
  <c r="I92" i="4"/>
  <c r="J92" i="4" s="1"/>
  <c r="I93" i="4"/>
  <c r="J93" i="4" s="1"/>
  <c r="I94" i="4"/>
  <c r="J94" i="4" s="1"/>
  <c r="I95" i="4"/>
  <c r="J95" i="4" s="1"/>
  <c r="I96" i="4"/>
  <c r="J96" i="4" s="1"/>
  <c r="I97" i="4"/>
  <c r="J97" i="4" s="1"/>
  <c r="I98" i="4"/>
  <c r="J98" i="4" s="1"/>
  <c r="I99" i="4"/>
  <c r="J99" i="4" s="1"/>
  <c r="I100" i="4"/>
  <c r="J100" i="4" s="1"/>
  <c r="I101" i="4"/>
  <c r="J101" i="4" s="1"/>
  <c r="I102" i="4"/>
  <c r="J102" i="4" s="1"/>
  <c r="I103" i="4"/>
  <c r="J103" i="4" s="1"/>
  <c r="I104" i="4"/>
  <c r="J104" i="4" s="1"/>
  <c r="I105" i="4"/>
  <c r="J105" i="4" s="1"/>
  <c r="I106" i="4"/>
  <c r="J106" i="4" s="1"/>
  <c r="I107" i="4"/>
  <c r="J107" i="4" s="1"/>
  <c r="I108" i="4"/>
  <c r="J108" i="4" s="1"/>
  <c r="I109" i="4"/>
  <c r="J109" i="4" s="1"/>
  <c r="I110" i="4"/>
  <c r="J110" i="4" s="1"/>
  <c r="I111" i="4"/>
  <c r="J111" i="4" s="1"/>
  <c r="I112" i="4"/>
  <c r="J112" i="4" s="1"/>
  <c r="I113" i="4"/>
  <c r="J113" i="4" s="1"/>
  <c r="I114" i="4"/>
  <c r="J114" i="4" s="1"/>
  <c r="I115" i="4"/>
  <c r="J115" i="4" s="1"/>
  <c r="I116" i="4"/>
  <c r="J116" i="4" s="1"/>
  <c r="I117" i="4"/>
  <c r="J117" i="4" s="1"/>
  <c r="I118" i="4"/>
  <c r="J118" i="4" s="1"/>
  <c r="I119" i="4"/>
  <c r="J119" i="4" s="1"/>
  <c r="I120" i="4"/>
  <c r="J120" i="4" s="1"/>
  <c r="I121" i="4"/>
  <c r="J121" i="4" s="1"/>
  <c r="I122" i="4"/>
  <c r="J122" i="4" s="1"/>
  <c r="I123" i="4"/>
  <c r="J123" i="4" s="1"/>
  <c r="I124" i="4"/>
  <c r="J124" i="4" s="1"/>
  <c r="I125" i="4"/>
  <c r="J125" i="4" s="1"/>
  <c r="I126" i="4"/>
  <c r="J126" i="4" s="1"/>
  <c r="I127" i="4"/>
  <c r="J127" i="4" s="1"/>
  <c r="I128" i="4"/>
  <c r="J128" i="4" s="1"/>
  <c r="I129" i="4"/>
  <c r="J129" i="4" s="1"/>
  <c r="I130" i="4"/>
  <c r="J130" i="4" s="1"/>
  <c r="I131" i="4"/>
  <c r="J131" i="4" s="1"/>
  <c r="I132" i="4"/>
  <c r="J132" i="4" s="1"/>
  <c r="I133" i="4"/>
  <c r="J133" i="4" s="1"/>
  <c r="I134" i="4"/>
  <c r="J134" i="4" s="1"/>
  <c r="I135" i="4"/>
  <c r="J135" i="4" s="1"/>
  <c r="I136" i="4"/>
  <c r="J136" i="4" s="1"/>
  <c r="I137" i="4"/>
  <c r="J137" i="4" s="1"/>
  <c r="I138" i="4"/>
  <c r="J138" i="4" s="1"/>
  <c r="I139" i="4"/>
  <c r="J139" i="4" s="1"/>
  <c r="I140" i="4"/>
  <c r="J140" i="4" s="1"/>
  <c r="I141" i="4"/>
  <c r="J141" i="4" s="1"/>
  <c r="I142" i="4"/>
  <c r="J142" i="4" s="1"/>
  <c r="I143" i="4"/>
  <c r="J143" i="4" s="1"/>
  <c r="I144" i="4"/>
  <c r="J144" i="4" s="1"/>
  <c r="I145" i="4"/>
  <c r="J145" i="4" s="1"/>
  <c r="I146" i="4"/>
  <c r="J146" i="4" s="1"/>
  <c r="I147" i="4"/>
  <c r="J147" i="4" s="1"/>
  <c r="I148" i="4"/>
  <c r="J148" i="4" s="1"/>
  <c r="I149" i="4"/>
  <c r="J149" i="4" s="1"/>
  <c r="I150" i="4"/>
  <c r="J150" i="4" s="1"/>
  <c r="I151" i="4"/>
  <c r="J151" i="4" s="1"/>
  <c r="I152" i="4"/>
  <c r="J152" i="4" s="1"/>
  <c r="I153" i="4"/>
  <c r="J153" i="4" s="1"/>
  <c r="I154" i="4"/>
  <c r="J154" i="4" s="1"/>
  <c r="I155" i="4"/>
  <c r="J155" i="4" s="1"/>
  <c r="I156" i="4"/>
  <c r="J156" i="4" s="1"/>
  <c r="I157" i="4"/>
  <c r="J157" i="4" s="1"/>
  <c r="I158" i="4"/>
  <c r="J158" i="4" s="1"/>
  <c r="I159" i="4"/>
  <c r="J159" i="4" s="1"/>
  <c r="I160" i="4"/>
  <c r="J160" i="4" s="1"/>
  <c r="I161" i="4"/>
  <c r="J161" i="4" s="1"/>
  <c r="I162" i="4"/>
  <c r="J162" i="4" s="1"/>
  <c r="I163" i="4"/>
  <c r="J163" i="4" s="1"/>
  <c r="I164" i="4"/>
  <c r="J164" i="4" s="1"/>
  <c r="I165" i="4"/>
  <c r="J165" i="4" s="1"/>
  <c r="I166" i="4"/>
  <c r="J166" i="4" s="1"/>
  <c r="I167" i="4"/>
  <c r="J167" i="4" s="1"/>
  <c r="I168" i="4"/>
  <c r="J168" i="4" s="1"/>
  <c r="I169" i="4"/>
  <c r="J169" i="4" s="1"/>
  <c r="I170" i="4"/>
  <c r="J170" i="4" s="1"/>
  <c r="I171" i="4"/>
  <c r="J171" i="4" s="1"/>
  <c r="I172" i="4"/>
  <c r="J172" i="4" s="1"/>
  <c r="I173" i="4"/>
  <c r="J173" i="4" s="1"/>
  <c r="I174" i="4"/>
  <c r="J174" i="4" s="1"/>
  <c r="I175" i="4"/>
  <c r="J175" i="4" s="1"/>
  <c r="I176" i="4"/>
  <c r="J176" i="4" s="1"/>
  <c r="I177" i="4"/>
  <c r="J177" i="4" s="1"/>
  <c r="I178" i="4"/>
  <c r="J178" i="4" s="1"/>
  <c r="I179" i="4"/>
  <c r="J179" i="4" s="1"/>
  <c r="I180" i="4"/>
  <c r="J180" i="4" s="1"/>
  <c r="I181" i="4"/>
  <c r="J181" i="4" s="1"/>
  <c r="I182" i="4"/>
  <c r="J182" i="4" s="1"/>
  <c r="I183" i="4"/>
  <c r="J183" i="4" s="1"/>
  <c r="I184" i="4"/>
  <c r="J184" i="4" s="1"/>
  <c r="I185" i="4"/>
  <c r="J185" i="4" s="1"/>
  <c r="I186" i="4"/>
  <c r="J186" i="4" s="1"/>
  <c r="I187" i="4"/>
  <c r="J187" i="4" s="1"/>
  <c r="I188" i="4"/>
  <c r="J188" i="4" s="1"/>
  <c r="I189" i="4"/>
  <c r="J189" i="4" s="1"/>
  <c r="I190" i="4"/>
  <c r="J190" i="4" s="1"/>
  <c r="I191" i="4"/>
  <c r="J191" i="4" s="1"/>
  <c r="I192" i="4"/>
  <c r="J192" i="4" s="1"/>
  <c r="I193" i="4"/>
  <c r="J193" i="4" s="1"/>
  <c r="I194" i="4"/>
  <c r="J194" i="4" s="1"/>
  <c r="I195" i="4"/>
  <c r="J195" i="4" s="1"/>
  <c r="I196" i="4"/>
  <c r="J196" i="4" s="1"/>
  <c r="I197" i="4"/>
  <c r="J197" i="4" s="1"/>
  <c r="I198" i="4"/>
  <c r="J198" i="4" s="1"/>
  <c r="I199" i="4"/>
  <c r="J199" i="4" s="1"/>
  <c r="I200" i="4"/>
  <c r="J200" i="4" s="1"/>
  <c r="I201" i="4"/>
  <c r="J201" i="4" s="1"/>
  <c r="I202" i="4"/>
  <c r="J202" i="4" s="1"/>
  <c r="I203" i="4"/>
  <c r="J203" i="4" s="1"/>
  <c r="I204" i="4"/>
  <c r="J204" i="4" s="1"/>
  <c r="I205" i="4"/>
  <c r="J205" i="4" s="1"/>
  <c r="I206" i="4"/>
  <c r="J206" i="4" s="1"/>
  <c r="I207" i="4"/>
  <c r="J207" i="4" s="1"/>
  <c r="I208" i="4"/>
  <c r="J208" i="4" s="1"/>
  <c r="I209" i="4"/>
  <c r="J209" i="4" s="1"/>
  <c r="I210" i="4"/>
  <c r="J210" i="4" s="1"/>
  <c r="I211" i="4"/>
  <c r="J211" i="4" s="1"/>
  <c r="I212" i="4"/>
  <c r="J212" i="4" s="1"/>
  <c r="I213" i="4"/>
  <c r="J213" i="4" s="1"/>
  <c r="I214" i="4"/>
  <c r="J214" i="4" s="1"/>
  <c r="I215" i="4"/>
  <c r="J215" i="4" s="1"/>
  <c r="I216" i="4"/>
  <c r="J216" i="4" s="1"/>
  <c r="I217" i="4"/>
  <c r="J217" i="4" s="1"/>
  <c r="I218" i="4"/>
  <c r="J218" i="4" s="1"/>
  <c r="I219" i="4"/>
  <c r="J219" i="4" s="1"/>
  <c r="I220" i="4"/>
  <c r="J220" i="4" s="1"/>
  <c r="I221" i="4"/>
  <c r="J221" i="4" s="1"/>
  <c r="I222" i="4"/>
  <c r="J222" i="4" s="1"/>
  <c r="I223" i="4"/>
  <c r="J223" i="4" s="1"/>
  <c r="I224" i="4"/>
  <c r="J224" i="4" s="1"/>
  <c r="I225" i="4"/>
  <c r="J225" i="4" s="1"/>
  <c r="I226" i="4"/>
  <c r="J226" i="4" s="1"/>
  <c r="I227" i="4"/>
  <c r="J227" i="4" s="1"/>
  <c r="I228" i="4"/>
  <c r="J228" i="4" s="1"/>
  <c r="I229" i="4"/>
  <c r="J229" i="4" s="1"/>
  <c r="I230" i="4"/>
  <c r="J230" i="4" s="1"/>
  <c r="I231" i="4"/>
  <c r="J231" i="4" s="1"/>
  <c r="I232" i="4"/>
  <c r="J232" i="4" s="1"/>
  <c r="I233" i="4"/>
  <c r="J233" i="4" s="1"/>
  <c r="I234" i="4"/>
  <c r="J234" i="4" s="1"/>
  <c r="I235" i="4"/>
  <c r="J235" i="4" s="1"/>
  <c r="I236" i="4"/>
  <c r="J236" i="4" s="1"/>
  <c r="I237" i="4"/>
  <c r="J237" i="4" s="1"/>
  <c r="I238" i="4"/>
  <c r="J238" i="4" s="1"/>
  <c r="I239" i="4"/>
  <c r="J239" i="4" s="1"/>
  <c r="I240" i="4"/>
  <c r="J240" i="4" s="1"/>
  <c r="I241" i="4"/>
  <c r="J241" i="4" s="1"/>
  <c r="I242" i="4"/>
  <c r="J242" i="4" s="1"/>
  <c r="I243" i="4"/>
  <c r="J243" i="4" s="1"/>
  <c r="I244" i="4"/>
  <c r="J244" i="4" s="1"/>
  <c r="I245" i="4"/>
  <c r="J245" i="4" s="1"/>
  <c r="I246" i="4"/>
  <c r="J246" i="4" s="1"/>
  <c r="I247" i="4"/>
  <c r="J247" i="4" s="1"/>
  <c r="I248" i="4"/>
  <c r="J248" i="4" s="1"/>
  <c r="I249" i="4"/>
  <c r="J249" i="4" s="1"/>
  <c r="I250" i="4"/>
  <c r="J250" i="4" s="1"/>
  <c r="I251" i="4"/>
  <c r="J251" i="4" s="1"/>
  <c r="I252" i="4"/>
  <c r="J252" i="4" s="1"/>
  <c r="I253" i="4"/>
  <c r="J253" i="4" s="1"/>
  <c r="I254" i="4"/>
  <c r="J254" i="4" s="1"/>
  <c r="I255" i="4"/>
  <c r="J255" i="4" s="1"/>
  <c r="I256" i="4"/>
  <c r="J256" i="4" s="1"/>
  <c r="I257" i="4"/>
  <c r="J257" i="4" s="1"/>
  <c r="I258" i="4"/>
  <c r="J258" i="4" s="1"/>
  <c r="I259" i="4"/>
  <c r="J259" i="4" s="1"/>
  <c r="I260" i="4"/>
  <c r="J260" i="4" s="1"/>
  <c r="I261" i="4"/>
  <c r="J261" i="4" s="1"/>
  <c r="I262" i="4"/>
  <c r="J262" i="4" s="1"/>
  <c r="I263" i="4"/>
  <c r="J263" i="4" s="1"/>
  <c r="I264" i="4"/>
  <c r="J264" i="4" s="1"/>
  <c r="I265" i="4"/>
  <c r="J265" i="4" s="1"/>
  <c r="I266" i="4"/>
  <c r="J266" i="4" s="1"/>
  <c r="I267" i="4"/>
  <c r="J267" i="4" s="1"/>
  <c r="I268" i="4"/>
  <c r="J268" i="4" s="1"/>
  <c r="I269" i="4"/>
  <c r="J269" i="4" s="1"/>
  <c r="I270" i="4"/>
  <c r="J270" i="4" s="1"/>
  <c r="I271" i="4"/>
  <c r="J271" i="4" s="1"/>
  <c r="I272" i="4"/>
  <c r="J272" i="4" s="1"/>
  <c r="I273" i="4"/>
  <c r="J273" i="4" s="1"/>
  <c r="I274" i="4"/>
  <c r="J274" i="4" s="1"/>
  <c r="I275" i="4"/>
  <c r="J275" i="4" s="1"/>
  <c r="I276" i="4"/>
  <c r="J276" i="4" s="1"/>
  <c r="I277" i="4"/>
  <c r="J277" i="4" s="1"/>
  <c r="I278" i="4"/>
  <c r="J278" i="4" s="1"/>
  <c r="I279" i="4"/>
  <c r="J279" i="4" s="1"/>
  <c r="I280" i="4"/>
  <c r="J280" i="4" s="1"/>
  <c r="I281" i="4"/>
  <c r="J281" i="4" s="1"/>
  <c r="I282" i="4"/>
  <c r="J282" i="4" s="1"/>
  <c r="I283" i="4"/>
  <c r="J283" i="4" s="1"/>
  <c r="I284" i="4"/>
  <c r="J284" i="4" s="1"/>
  <c r="I285" i="4"/>
  <c r="J285" i="4" s="1"/>
  <c r="I286" i="4"/>
  <c r="J286" i="4" s="1"/>
  <c r="I287" i="4"/>
  <c r="J287" i="4" s="1"/>
  <c r="I288" i="4"/>
  <c r="J288" i="4" s="1"/>
  <c r="I289" i="4"/>
  <c r="J289" i="4" s="1"/>
  <c r="I290" i="4"/>
  <c r="J290" i="4" s="1"/>
  <c r="I291" i="4"/>
  <c r="J291" i="4" s="1"/>
  <c r="I292" i="4"/>
  <c r="J292" i="4" s="1"/>
  <c r="I293" i="4"/>
  <c r="J293" i="4" s="1"/>
  <c r="I294" i="4"/>
  <c r="J294" i="4" s="1"/>
  <c r="I295" i="4"/>
  <c r="J295" i="4" s="1"/>
  <c r="I296" i="4"/>
  <c r="J296" i="4" s="1"/>
  <c r="I297" i="4"/>
  <c r="J297" i="4" s="1"/>
  <c r="I298" i="4"/>
  <c r="J298" i="4" s="1"/>
  <c r="I299" i="4"/>
  <c r="J299" i="4" s="1"/>
  <c r="I300" i="4"/>
  <c r="J300" i="4" s="1"/>
  <c r="I301" i="4"/>
  <c r="J301" i="4" s="1"/>
  <c r="I302" i="4"/>
  <c r="J302" i="4" s="1"/>
  <c r="I303" i="4"/>
  <c r="J303" i="4" s="1"/>
  <c r="I304" i="4"/>
  <c r="J304" i="4" s="1"/>
  <c r="I305" i="4"/>
  <c r="J305" i="4" s="1"/>
  <c r="I306" i="4"/>
  <c r="J306" i="4" s="1"/>
  <c r="I307" i="4"/>
  <c r="J307" i="4" s="1"/>
  <c r="I308" i="4"/>
  <c r="J308" i="4" s="1"/>
  <c r="I309" i="4"/>
  <c r="J309" i="4" s="1"/>
  <c r="I310" i="4"/>
  <c r="J310" i="4" s="1"/>
  <c r="I311" i="4"/>
  <c r="J311" i="4" s="1"/>
  <c r="I312" i="4"/>
  <c r="J312" i="4" s="1"/>
  <c r="I313" i="4"/>
  <c r="J313" i="4" s="1"/>
  <c r="I314" i="4"/>
  <c r="J314" i="4" s="1"/>
  <c r="I315" i="4"/>
  <c r="J315" i="4" s="1"/>
  <c r="I316" i="4"/>
  <c r="J316" i="4" s="1"/>
  <c r="I317" i="4"/>
  <c r="J317" i="4" s="1"/>
  <c r="I318" i="4"/>
  <c r="J318" i="4" s="1"/>
  <c r="I319" i="4"/>
  <c r="J319" i="4" s="1"/>
  <c r="I320" i="4"/>
  <c r="J320" i="4" s="1"/>
  <c r="I321" i="4"/>
  <c r="J321" i="4" s="1"/>
  <c r="I322" i="4"/>
  <c r="J322" i="4" s="1"/>
  <c r="I323" i="4"/>
  <c r="J323" i="4" s="1"/>
  <c r="I324" i="4"/>
  <c r="J324" i="4" s="1"/>
  <c r="I325" i="4"/>
  <c r="J325" i="4" s="1"/>
  <c r="I326" i="4"/>
  <c r="J326" i="4" s="1"/>
  <c r="I327" i="4"/>
  <c r="J327" i="4" s="1"/>
  <c r="I328" i="4"/>
  <c r="J328" i="4" s="1"/>
  <c r="I329" i="4"/>
  <c r="J329" i="4" s="1"/>
  <c r="I2" i="4"/>
  <c r="J2" i="4" s="1"/>
  <c r="D259" i="5"/>
  <c r="AJ2" i="1"/>
  <c r="AJ3"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1" i="1"/>
  <c r="AJ112" i="1"/>
  <c r="AJ113" i="1"/>
  <c r="AJ114" i="1"/>
  <c r="AJ115" i="1"/>
  <c r="AJ116" i="1"/>
  <c r="AJ117" i="1"/>
  <c r="AJ118" i="1"/>
  <c r="AJ119" i="1"/>
  <c r="AJ120" i="1"/>
  <c r="AJ121" i="1"/>
  <c r="AJ122" i="1"/>
  <c r="AJ123" i="1"/>
  <c r="AJ124" i="1"/>
  <c r="AJ125" i="1"/>
  <c r="AJ126" i="1"/>
  <c r="AJ127" i="1"/>
  <c r="AJ128" i="1"/>
  <c r="AJ129" i="1"/>
  <c r="AJ130" i="1"/>
  <c r="AJ131" i="1"/>
  <c r="AJ132" i="1"/>
  <c r="AJ133" i="1"/>
  <c r="AJ134" i="1"/>
  <c r="AJ135" i="1"/>
  <c r="AJ136" i="1"/>
  <c r="AJ137" i="1"/>
  <c r="AJ138" i="1"/>
  <c r="AJ139" i="1"/>
  <c r="AJ140" i="1"/>
  <c r="AJ141" i="1"/>
  <c r="AJ142" i="1"/>
  <c r="AJ143" i="1"/>
  <c r="AJ144" i="1"/>
  <c r="AJ145" i="1"/>
  <c r="AJ146" i="1"/>
  <c r="AJ147" i="1"/>
  <c r="AJ148" i="1"/>
  <c r="AJ149" i="1"/>
  <c r="AJ150" i="1"/>
  <c r="AJ151" i="1"/>
  <c r="AJ152" i="1"/>
  <c r="AJ153" i="1"/>
  <c r="AJ154" i="1"/>
  <c r="AJ155" i="1"/>
  <c r="AJ156" i="1"/>
  <c r="AJ157" i="1"/>
  <c r="AJ158" i="1"/>
  <c r="AJ159" i="1"/>
  <c r="AJ160" i="1"/>
  <c r="AJ161" i="1"/>
  <c r="AJ162" i="1"/>
  <c r="AJ163" i="1"/>
  <c r="AJ164" i="1"/>
  <c r="AJ165" i="1"/>
  <c r="AJ166" i="1"/>
  <c r="AJ167" i="1"/>
  <c r="AJ168" i="1"/>
  <c r="AJ169" i="1"/>
  <c r="AJ170" i="1"/>
  <c r="AJ171" i="1"/>
  <c r="AJ172" i="1"/>
  <c r="AJ173" i="1"/>
  <c r="AJ174" i="1"/>
  <c r="AJ175" i="1"/>
  <c r="AJ176" i="1"/>
  <c r="AJ177" i="1"/>
  <c r="AJ178" i="1"/>
  <c r="AJ179" i="1"/>
  <c r="AJ180" i="1"/>
  <c r="AJ181" i="1"/>
  <c r="AJ182" i="1"/>
  <c r="AJ183" i="1"/>
  <c r="AJ184" i="1"/>
  <c r="AJ185" i="1"/>
  <c r="AJ186" i="1"/>
  <c r="AJ187" i="1"/>
  <c r="AJ188" i="1"/>
  <c r="AJ189" i="1"/>
  <c r="AJ190" i="1"/>
  <c r="AJ191" i="1"/>
  <c r="AJ192" i="1"/>
  <c r="AJ193" i="1"/>
  <c r="AJ194" i="1"/>
  <c r="AJ195" i="1"/>
  <c r="AJ196" i="1"/>
  <c r="AJ197" i="1"/>
  <c r="AJ198" i="1"/>
  <c r="AJ199" i="1"/>
  <c r="AJ200" i="1"/>
  <c r="AJ201" i="1"/>
  <c r="AJ202" i="1"/>
  <c r="AJ203" i="1"/>
  <c r="AJ204" i="1"/>
  <c r="AJ205" i="1"/>
  <c r="AJ206" i="1"/>
  <c r="AJ207" i="1"/>
  <c r="AJ208" i="1"/>
  <c r="AJ209" i="1"/>
  <c r="AJ210" i="1"/>
  <c r="AJ211" i="1"/>
  <c r="AJ212" i="1"/>
  <c r="AJ213" i="1"/>
  <c r="AJ214" i="1"/>
  <c r="AJ215" i="1"/>
  <c r="AJ216" i="1"/>
  <c r="AJ217" i="1"/>
  <c r="AJ218" i="1"/>
  <c r="AJ219" i="1"/>
  <c r="AJ220" i="1"/>
  <c r="AJ221" i="1"/>
  <c r="AJ222" i="1"/>
  <c r="AJ223" i="1"/>
  <c r="AJ224" i="1"/>
  <c r="AJ225" i="1"/>
  <c r="AJ226" i="1"/>
  <c r="AJ227" i="1"/>
  <c r="AJ228" i="1"/>
  <c r="AJ229" i="1"/>
  <c r="AJ230" i="1"/>
  <c r="AJ231" i="1"/>
  <c r="AJ232" i="1"/>
  <c r="AJ233" i="1"/>
  <c r="AJ234" i="1"/>
  <c r="AJ235" i="1"/>
  <c r="AJ236" i="1"/>
  <c r="AJ237" i="1"/>
  <c r="AJ238" i="1"/>
  <c r="AJ239" i="1"/>
  <c r="AJ240" i="1"/>
  <c r="AJ241" i="1"/>
  <c r="AJ242" i="1"/>
  <c r="AJ243" i="1"/>
  <c r="AJ244" i="1"/>
  <c r="AJ245" i="1"/>
  <c r="AJ246" i="1"/>
  <c r="AJ247" i="1"/>
  <c r="AJ248" i="1"/>
  <c r="AJ249" i="1"/>
  <c r="AJ250" i="1"/>
  <c r="AJ251" i="1"/>
  <c r="AJ252" i="1"/>
  <c r="AJ253" i="1"/>
  <c r="AJ254" i="1"/>
  <c r="AJ255" i="1"/>
  <c r="AJ256" i="1"/>
  <c r="AJ257" i="1"/>
  <c r="AJ258" i="1"/>
  <c r="AJ259" i="1"/>
  <c r="AJ260" i="1"/>
  <c r="AJ261" i="1"/>
  <c r="AJ262" i="1"/>
  <c r="AJ263" i="1"/>
  <c r="AJ264" i="1"/>
  <c r="AJ265" i="1"/>
  <c r="AJ266" i="1"/>
  <c r="AJ267" i="1"/>
  <c r="AJ268" i="1"/>
  <c r="AJ269" i="1"/>
  <c r="AJ270" i="1"/>
  <c r="AJ271" i="1"/>
  <c r="AJ272" i="1"/>
  <c r="AJ273" i="1"/>
  <c r="AJ274" i="1"/>
  <c r="AJ275" i="1"/>
  <c r="AJ276" i="1"/>
  <c r="AJ277" i="1"/>
  <c r="AJ278" i="1"/>
  <c r="AJ279" i="1"/>
  <c r="AJ280" i="1"/>
  <c r="AJ281" i="1"/>
  <c r="AJ282" i="1"/>
  <c r="AJ283" i="1"/>
  <c r="AJ284" i="1"/>
  <c r="AJ285" i="1"/>
  <c r="AJ286" i="1"/>
  <c r="AJ287" i="1"/>
  <c r="AJ288" i="1"/>
  <c r="AJ289" i="1"/>
  <c r="AJ290" i="1"/>
  <c r="AJ291" i="1"/>
  <c r="AJ292" i="1"/>
  <c r="AJ293" i="1"/>
  <c r="AJ294" i="1"/>
  <c r="AJ295" i="1"/>
  <c r="AJ296" i="1"/>
  <c r="AJ297" i="1"/>
  <c r="AJ298" i="1"/>
  <c r="AJ299" i="1"/>
  <c r="AJ300" i="1"/>
  <c r="AJ301" i="1"/>
  <c r="AJ302" i="1"/>
  <c r="AJ303" i="1"/>
  <c r="AJ304" i="1"/>
  <c r="AJ305" i="1"/>
  <c r="AJ306" i="1"/>
  <c r="AJ307" i="1"/>
  <c r="AJ308" i="1"/>
  <c r="AJ309" i="1"/>
  <c r="AJ310" i="1"/>
  <c r="AJ311" i="1"/>
  <c r="AJ312" i="1"/>
  <c r="AJ313" i="1"/>
  <c r="AJ314" i="1"/>
  <c r="AJ315" i="1"/>
  <c r="AJ316" i="1"/>
  <c r="AJ317" i="1"/>
  <c r="AJ318" i="1"/>
  <c r="AJ319" i="1"/>
  <c r="AJ320" i="1"/>
  <c r="AJ321" i="1"/>
  <c r="AJ322" i="1"/>
  <c r="AJ323" i="1"/>
  <c r="AJ324" i="1"/>
  <c r="AJ325" i="1"/>
  <c r="AJ326" i="1"/>
  <c r="AJ327" i="1"/>
  <c r="AJ328" i="1"/>
  <c r="AJ329" i="1"/>
  <c r="Z12" i="1"/>
  <c r="G16" i="5" s="1"/>
  <c r="Z18" i="1"/>
  <c r="G22" i="5" s="1"/>
  <c r="Z41" i="1"/>
  <c r="G45" i="5" s="1"/>
  <c r="Z43" i="1"/>
  <c r="Z44" i="1"/>
  <c r="G48" i="5" s="1"/>
  <c r="Z87" i="1"/>
  <c r="G91" i="5" s="1"/>
  <c r="Z95" i="1"/>
  <c r="G99" i="5" s="1"/>
  <c r="Z154" i="1"/>
  <c r="Z155" i="1"/>
  <c r="G159" i="5" s="1"/>
  <c r="Z225" i="1"/>
  <c r="Z263" i="1"/>
  <c r="Z283" i="1"/>
  <c r="G287" i="5" s="1"/>
  <c r="Z294" i="1"/>
  <c r="G298" i="5" s="1"/>
  <c r="Z300" i="1"/>
  <c r="G304" i="5" s="1"/>
  <c r="Z304" i="1"/>
  <c r="Z327" i="1"/>
  <c r="Z328" i="1"/>
  <c r="Y12" i="1"/>
  <c r="E16" i="5" s="1"/>
  <c r="Y16" i="1"/>
  <c r="Y18" i="1"/>
  <c r="E22" i="5" s="1"/>
  <c r="Y30" i="1"/>
  <c r="Y41" i="1"/>
  <c r="E45" i="5" s="1"/>
  <c r="Y43" i="1"/>
  <c r="Y44" i="1"/>
  <c r="E48" i="5" s="1"/>
  <c r="Y55" i="1"/>
  <c r="Y60" i="1"/>
  <c r="E64" i="5" s="1"/>
  <c r="Y81" i="1"/>
  <c r="E85" i="5" s="1"/>
  <c r="Y85" i="1"/>
  <c r="Y87" i="1"/>
  <c r="E91" i="5" s="1"/>
  <c r="Y90" i="1"/>
  <c r="Y95" i="1"/>
  <c r="E99" i="5" s="1"/>
  <c r="Y106" i="1"/>
  <c r="E110" i="5" s="1"/>
  <c r="Y111" i="1"/>
  <c r="E115" i="5" s="1"/>
  <c r="Y130" i="1"/>
  <c r="E134" i="5" s="1"/>
  <c r="Y139" i="1"/>
  <c r="Y143" i="1"/>
  <c r="E147" i="5" s="1"/>
  <c r="Y154" i="1"/>
  <c r="Y155" i="1"/>
  <c r="E159" i="5" s="1"/>
  <c r="Y157" i="1"/>
  <c r="Y187" i="1"/>
  <c r="Y212" i="1"/>
  <c r="E216" i="5" s="1"/>
  <c r="Y220" i="1"/>
  <c r="E224" i="5" s="1"/>
  <c r="Y221" i="1"/>
  <c r="E225" i="5" s="1"/>
  <c r="Y225" i="1"/>
  <c r="Y247" i="1"/>
  <c r="E251" i="5" s="1"/>
  <c r="Y253" i="1"/>
  <c r="Y263" i="1"/>
  <c r="Y274" i="1"/>
  <c r="E278" i="5" s="1"/>
  <c r="Y280" i="1"/>
  <c r="E284" i="5" s="1"/>
  <c r="Y283" i="1"/>
  <c r="E287" i="5" s="1"/>
  <c r="Y294" i="1"/>
  <c r="E298" i="5" s="1"/>
  <c r="Y300" i="1"/>
  <c r="E304" i="5" s="1"/>
  <c r="Y301" i="1"/>
  <c r="E305" i="5" s="1"/>
  <c r="Y304" i="1"/>
  <c r="Y312" i="1"/>
  <c r="E316" i="5" s="1"/>
  <c r="Y323" i="1"/>
  <c r="Y327" i="1"/>
  <c r="Y328" i="1"/>
  <c r="S2" i="1"/>
  <c r="D6" i="5" s="1"/>
  <c r="S3" i="1"/>
  <c r="D7" i="5" s="1"/>
  <c r="S4" i="1"/>
  <c r="D8" i="5" s="1"/>
  <c r="S5" i="1"/>
  <c r="D9" i="5" s="1"/>
  <c r="S6" i="1"/>
  <c r="D10" i="5" s="1"/>
  <c r="S7" i="1"/>
  <c r="D11" i="5" s="1"/>
  <c r="S8" i="1"/>
  <c r="D12" i="5" s="1"/>
  <c r="S9" i="1"/>
  <c r="D13" i="5" s="1"/>
  <c r="S10" i="1"/>
  <c r="D14" i="5" s="1"/>
  <c r="S11" i="1"/>
  <c r="D15" i="5" s="1"/>
  <c r="S12" i="1"/>
  <c r="D16" i="5" s="1"/>
  <c r="S13" i="1"/>
  <c r="D17" i="5" s="1"/>
  <c r="S14" i="1"/>
  <c r="D18" i="5" s="1"/>
  <c r="S15" i="1"/>
  <c r="D19" i="5" s="1"/>
  <c r="S16" i="1"/>
  <c r="D20" i="5" s="1"/>
  <c r="S17" i="1"/>
  <c r="D21" i="5" s="1"/>
  <c r="S18" i="1"/>
  <c r="D22" i="5" s="1"/>
  <c r="S19" i="1"/>
  <c r="D23" i="5" s="1"/>
  <c r="S20" i="1"/>
  <c r="D24" i="5" s="1"/>
  <c r="S21" i="1"/>
  <c r="D25" i="5" s="1"/>
  <c r="S22" i="1"/>
  <c r="D26" i="5" s="1"/>
  <c r="S23" i="1"/>
  <c r="D27" i="5" s="1"/>
  <c r="S24" i="1"/>
  <c r="D28" i="5" s="1"/>
  <c r="S25" i="1"/>
  <c r="D29" i="5" s="1"/>
  <c r="S26" i="1"/>
  <c r="D30" i="5" s="1"/>
  <c r="S27" i="1"/>
  <c r="D31" i="5" s="1"/>
  <c r="S28" i="1"/>
  <c r="D32" i="5" s="1"/>
  <c r="S29" i="1"/>
  <c r="D33" i="5" s="1"/>
  <c r="S30" i="1"/>
  <c r="D34" i="5" s="1"/>
  <c r="S31" i="1"/>
  <c r="D35" i="5" s="1"/>
  <c r="S32" i="1"/>
  <c r="D36" i="5" s="1"/>
  <c r="S33" i="1"/>
  <c r="D37" i="5" s="1"/>
  <c r="S34" i="1"/>
  <c r="D38" i="5" s="1"/>
  <c r="S35" i="1"/>
  <c r="D39" i="5" s="1"/>
  <c r="S36" i="1"/>
  <c r="D40" i="5" s="1"/>
  <c r="S37" i="1"/>
  <c r="D41" i="5" s="1"/>
  <c r="S38" i="1"/>
  <c r="D42" i="5" s="1"/>
  <c r="S39" i="1"/>
  <c r="D43" i="5" s="1"/>
  <c r="S40" i="1"/>
  <c r="D44" i="5" s="1"/>
  <c r="S41" i="1"/>
  <c r="D45" i="5" s="1"/>
  <c r="S42" i="1"/>
  <c r="D46" i="5" s="1"/>
  <c r="S43" i="1"/>
  <c r="D47" i="5" s="1"/>
  <c r="S44" i="1"/>
  <c r="D48" i="5" s="1"/>
  <c r="S45" i="1"/>
  <c r="D49" i="5" s="1"/>
  <c r="S46" i="1"/>
  <c r="D50" i="5" s="1"/>
  <c r="S47" i="1"/>
  <c r="D51" i="5" s="1"/>
  <c r="S48" i="1"/>
  <c r="D52" i="5" s="1"/>
  <c r="S49" i="1"/>
  <c r="D53" i="5" s="1"/>
  <c r="S50" i="1"/>
  <c r="D54" i="5" s="1"/>
  <c r="S51" i="1"/>
  <c r="D55" i="5" s="1"/>
  <c r="S52" i="1"/>
  <c r="D56" i="5" s="1"/>
  <c r="S53" i="1"/>
  <c r="D57" i="5" s="1"/>
  <c r="S54" i="1"/>
  <c r="D58" i="5" s="1"/>
  <c r="S55" i="1"/>
  <c r="D59" i="5" s="1"/>
  <c r="S56" i="1"/>
  <c r="D60" i="5" s="1"/>
  <c r="S57" i="1"/>
  <c r="D61" i="5" s="1"/>
  <c r="S58" i="1"/>
  <c r="D62" i="5" s="1"/>
  <c r="S59" i="1"/>
  <c r="D63" i="5" s="1"/>
  <c r="S60" i="1"/>
  <c r="D64" i="5" s="1"/>
  <c r="S61" i="1"/>
  <c r="D65" i="5" s="1"/>
  <c r="S62" i="1"/>
  <c r="D66" i="5" s="1"/>
  <c r="S63" i="1"/>
  <c r="D67" i="5" s="1"/>
  <c r="S64" i="1"/>
  <c r="D68" i="5" s="1"/>
  <c r="S65" i="1"/>
  <c r="D69" i="5" s="1"/>
  <c r="S66" i="1"/>
  <c r="D70" i="5" s="1"/>
  <c r="S67" i="1"/>
  <c r="D71" i="5" s="1"/>
  <c r="S68" i="1"/>
  <c r="D72" i="5" s="1"/>
  <c r="S69" i="1"/>
  <c r="D73" i="5" s="1"/>
  <c r="S70" i="1"/>
  <c r="D74" i="5" s="1"/>
  <c r="S71" i="1"/>
  <c r="D75" i="5" s="1"/>
  <c r="S72" i="1"/>
  <c r="D76" i="5" s="1"/>
  <c r="S73" i="1"/>
  <c r="D77" i="5" s="1"/>
  <c r="S74" i="1"/>
  <c r="D78" i="5" s="1"/>
  <c r="S75" i="1"/>
  <c r="D79" i="5" s="1"/>
  <c r="S76" i="1"/>
  <c r="D80" i="5" s="1"/>
  <c r="S77" i="1"/>
  <c r="D81" i="5" s="1"/>
  <c r="S78" i="1"/>
  <c r="D82" i="5" s="1"/>
  <c r="S79" i="1"/>
  <c r="D83" i="5" s="1"/>
  <c r="S80" i="1"/>
  <c r="D84" i="5" s="1"/>
  <c r="S81" i="1"/>
  <c r="D85" i="5" s="1"/>
  <c r="S82" i="1"/>
  <c r="D86" i="5" s="1"/>
  <c r="S83" i="1"/>
  <c r="D87" i="5" s="1"/>
  <c r="S84" i="1"/>
  <c r="D88" i="5" s="1"/>
  <c r="S85" i="1"/>
  <c r="D89" i="5" s="1"/>
  <c r="S86" i="1"/>
  <c r="D90" i="5" s="1"/>
  <c r="S87" i="1"/>
  <c r="D91" i="5" s="1"/>
  <c r="S88" i="1"/>
  <c r="D92" i="5" s="1"/>
  <c r="S89" i="1"/>
  <c r="D93" i="5" s="1"/>
  <c r="S90" i="1"/>
  <c r="D94" i="5" s="1"/>
  <c r="S91" i="1"/>
  <c r="D95" i="5" s="1"/>
  <c r="S92" i="1"/>
  <c r="D96" i="5" s="1"/>
  <c r="S93" i="1"/>
  <c r="D97" i="5" s="1"/>
  <c r="S94" i="1"/>
  <c r="D98" i="5" s="1"/>
  <c r="S95" i="1"/>
  <c r="D99" i="5" s="1"/>
  <c r="S96" i="1"/>
  <c r="D100" i="5" s="1"/>
  <c r="S97" i="1"/>
  <c r="D101" i="5" s="1"/>
  <c r="S98" i="1"/>
  <c r="D102" i="5" s="1"/>
  <c r="S99" i="1"/>
  <c r="D103" i="5" s="1"/>
  <c r="S100" i="1"/>
  <c r="D104" i="5" s="1"/>
  <c r="S101" i="1"/>
  <c r="D105" i="5" s="1"/>
  <c r="S102" i="1"/>
  <c r="D106" i="5" s="1"/>
  <c r="S103" i="1"/>
  <c r="D107" i="5" s="1"/>
  <c r="S104" i="1"/>
  <c r="D108" i="5" s="1"/>
  <c r="S105" i="1"/>
  <c r="D109" i="5" s="1"/>
  <c r="S106" i="1"/>
  <c r="D110" i="5" s="1"/>
  <c r="S107" i="1"/>
  <c r="D111" i="5" s="1"/>
  <c r="S108" i="1"/>
  <c r="D112" i="5" s="1"/>
  <c r="S109" i="1"/>
  <c r="D113" i="5" s="1"/>
  <c r="S110" i="1"/>
  <c r="D114" i="5" s="1"/>
  <c r="S111" i="1"/>
  <c r="D115" i="5" s="1"/>
  <c r="S112" i="1"/>
  <c r="D116" i="5" s="1"/>
  <c r="S113" i="1"/>
  <c r="D117" i="5" s="1"/>
  <c r="S114" i="1"/>
  <c r="D118" i="5" s="1"/>
  <c r="S115" i="1"/>
  <c r="D119" i="5" s="1"/>
  <c r="S116" i="1"/>
  <c r="D120" i="5" s="1"/>
  <c r="S117" i="1"/>
  <c r="D121" i="5" s="1"/>
  <c r="S118" i="1"/>
  <c r="D122" i="5" s="1"/>
  <c r="S119" i="1"/>
  <c r="D123" i="5" s="1"/>
  <c r="S120" i="1"/>
  <c r="D124" i="5" s="1"/>
  <c r="S121" i="1"/>
  <c r="D125" i="5" s="1"/>
  <c r="S122" i="1"/>
  <c r="D126" i="5" s="1"/>
  <c r="S123" i="1"/>
  <c r="D127" i="5" s="1"/>
  <c r="S124" i="1"/>
  <c r="D128" i="5" s="1"/>
  <c r="S125" i="1"/>
  <c r="D129" i="5" s="1"/>
  <c r="S126" i="1"/>
  <c r="D130" i="5" s="1"/>
  <c r="S127" i="1"/>
  <c r="D131" i="5" s="1"/>
  <c r="S128" i="1"/>
  <c r="D132" i="5" s="1"/>
  <c r="S129" i="1"/>
  <c r="D133" i="5" s="1"/>
  <c r="S130" i="1"/>
  <c r="D134" i="5" s="1"/>
  <c r="S131" i="1"/>
  <c r="D135" i="5" s="1"/>
  <c r="S132" i="1"/>
  <c r="D136" i="5" s="1"/>
  <c r="S133" i="1"/>
  <c r="D137" i="5" s="1"/>
  <c r="S134" i="1"/>
  <c r="D138" i="5" s="1"/>
  <c r="S135" i="1"/>
  <c r="D139" i="5" s="1"/>
  <c r="S136" i="1"/>
  <c r="D140" i="5" s="1"/>
  <c r="S137" i="1"/>
  <c r="D141" i="5" s="1"/>
  <c r="S138" i="1"/>
  <c r="D142" i="5" s="1"/>
  <c r="S139" i="1"/>
  <c r="D143" i="5" s="1"/>
  <c r="S140" i="1"/>
  <c r="D144" i="5" s="1"/>
  <c r="S141" i="1"/>
  <c r="D145" i="5" s="1"/>
  <c r="S142" i="1"/>
  <c r="D146" i="5" s="1"/>
  <c r="S143" i="1"/>
  <c r="D147" i="5" s="1"/>
  <c r="S144" i="1"/>
  <c r="D148" i="5" s="1"/>
  <c r="S145" i="1"/>
  <c r="D149" i="5" s="1"/>
  <c r="S146" i="1"/>
  <c r="D150" i="5" s="1"/>
  <c r="S147" i="1"/>
  <c r="D151" i="5" s="1"/>
  <c r="S148" i="1"/>
  <c r="D152" i="5" s="1"/>
  <c r="S149" i="1"/>
  <c r="D153" i="5" s="1"/>
  <c r="S150" i="1"/>
  <c r="D154" i="5" s="1"/>
  <c r="S151" i="1"/>
  <c r="D155" i="5" s="1"/>
  <c r="S152" i="1"/>
  <c r="D156" i="5" s="1"/>
  <c r="S153" i="1"/>
  <c r="D157" i="5" s="1"/>
  <c r="S154" i="1"/>
  <c r="D158" i="5" s="1"/>
  <c r="S155" i="1"/>
  <c r="D159" i="5" s="1"/>
  <c r="S156" i="1"/>
  <c r="D160" i="5" s="1"/>
  <c r="S157" i="1"/>
  <c r="D161" i="5" s="1"/>
  <c r="S158" i="1"/>
  <c r="D162" i="5" s="1"/>
  <c r="S159" i="1"/>
  <c r="D163" i="5" s="1"/>
  <c r="S160" i="1"/>
  <c r="D164" i="5" s="1"/>
  <c r="S161" i="1"/>
  <c r="D165" i="5" s="1"/>
  <c r="S162" i="1"/>
  <c r="D166" i="5" s="1"/>
  <c r="S163" i="1"/>
  <c r="D167" i="5" s="1"/>
  <c r="S164" i="1"/>
  <c r="D168" i="5" s="1"/>
  <c r="S165" i="1"/>
  <c r="D169" i="5" s="1"/>
  <c r="S166" i="1"/>
  <c r="D170" i="5" s="1"/>
  <c r="S167" i="1"/>
  <c r="D171" i="5" s="1"/>
  <c r="S168" i="1"/>
  <c r="D172" i="5" s="1"/>
  <c r="S169" i="1"/>
  <c r="D173" i="5" s="1"/>
  <c r="S170" i="1"/>
  <c r="D174" i="5" s="1"/>
  <c r="S171" i="1"/>
  <c r="D175" i="5" s="1"/>
  <c r="S172" i="1"/>
  <c r="D176" i="5" s="1"/>
  <c r="S173" i="1"/>
  <c r="D177" i="5" s="1"/>
  <c r="S174" i="1"/>
  <c r="D178" i="5" s="1"/>
  <c r="S175" i="1"/>
  <c r="D179" i="5" s="1"/>
  <c r="S176" i="1"/>
  <c r="D180" i="5" s="1"/>
  <c r="S177" i="1"/>
  <c r="D181" i="5" s="1"/>
  <c r="S178" i="1"/>
  <c r="D182" i="5" s="1"/>
  <c r="S179" i="1"/>
  <c r="D183" i="5" s="1"/>
  <c r="S180" i="1"/>
  <c r="D184" i="5" s="1"/>
  <c r="S181" i="1"/>
  <c r="D185" i="5" s="1"/>
  <c r="S182" i="1"/>
  <c r="D186" i="5" s="1"/>
  <c r="S183" i="1"/>
  <c r="D187" i="5" s="1"/>
  <c r="S184" i="1"/>
  <c r="D188" i="5" s="1"/>
  <c r="S185" i="1"/>
  <c r="D189" i="5" s="1"/>
  <c r="S186" i="1"/>
  <c r="D190" i="5" s="1"/>
  <c r="S187" i="1"/>
  <c r="D191" i="5" s="1"/>
  <c r="S188" i="1"/>
  <c r="D192" i="5" s="1"/>
  <c r="S189" i="1"/>
  <c r="D193" i="5" s="1"/>
  <c r="S190" i="1"/>
  <c r="D194" i="5" s="1"/>
  <c r="S191" i="1"/>
  <c r="D195" i="5" s="1"/>
  <c r="S192" i="1"/>
  <c r="D196" i="5" s="1"/>
  <c r="S193" i="1"/>
  <c r="D197" i="5" s="1"/>
  <c r="S194" i="1"/>
  <c r="D198" i="5" s="1"/>
  <c r="S195" i="1"/>
  <c r="D199" i="5" s="1"/>
  <c r="S196" i="1"/>
  <c r="D200" i="5" s="1"/>
  <c r="S197" i="1"/>
  <c r="D201" i="5" s="1"/>
  <c r="S198" i="1"/>
  <c r="D202" i="5" s="1"/>
  <c r="S199" i="1"/>
  <c r="D203" i="5" s="1"/>
  <c r="S200" i="1"/>
  <c r="D204" i="5" s="1"/>
  <c r="S201" i="1"/>
  <c r="D205" i="5" s="1"/>
  <c r="S202" i="1"/>
  <c r="D206" i="5" s="1"/>
  <c r="S203" i="1"/>
  <c r="D207" i="5" s="1"/>
  <c r="S204" i="1"/>
  <c r="D208" i="5" s="1"/>
  <c r="S205" i="1"/>
  <c r="D209" i="5" s="1"/>
  <c r="S206" i="1"/>
  <c r="D210" i="5" s="1"/>
  <c r="S207" i="1"/>
  <c r="D211" i="5" s="1"/>
  <c r="S208" i="1"/>
  <c r="D212" i="5" s="1"/>
  <c r="S209" i="1"/>
  <c r="D213" i="5" s="1"/>
  <c r="S210" i="1"/>
  <c r="D214" i="5" s="1"/>
  <c r="S211" i="1"/>
  <c r="D215" i="5" s="1"/>
  <c r="S212" i="1"/>
  <c r="D216" i="5" s="1"/>
  <c r="S213" i="1"/>
  <c r="D217" i="5" s="1"/>
  <c r="S214" i="1"/>
  <c r="D218" i="5" s="1"/>
  <c r="S215" i="1"/>
  <c r="D219" i="5" s="1"/>
  <c r="S216" i="1"/>
  <c r="D220" i="5" s="1"/>
  <c r="S217" i="1"/>
  <c r="D221" i="5" s="1"/>
  <c r="S218" i="1"/>
  <c r="D222" i="5" s="1"/>
  <c r="S219" i="1"/>
  <c r="D223" i="5" s="1"/>
  <c r="S220" i="1"/>
  <c r="D224" i="5" s="1"/>
  <c r="S221" i="1"/>
  <c r="D225" i="5" s="1"/>
  <c r="S222" i="1"/>
  <c r="D226" i="5" s="1"/>
  <c r="S223" i="1"/>
  <c r="D227" i="5" s="1"/>
  <c r="S224" i="1"/>
  <c r="D228" i="5" s="1"/>
  <c r="S225" i="1"/>
  <c r="D229" i="5" s="1"/>
  <c r="S226" i="1"/>
  <c r="D230" i="5" s="1"/>
  <c r="S227" i="1"/>
  <c r="D231" i="5" s="1"/>
  <c r="S228" i="1"/>
  <c r="D232" i="5" s="1"/>
  <c r="S229" i="1"/>
  <c r="D233" i="5" s="1"/>
  <c r="S230" i="1"/>
  <c r="D234" i="5" s="1"/>
  <c r="S231" i="1"/>
  <c r="D235" i="5" s="1"/>
  <c r="S232" i="1"/>
  <c r="D236" i="5" s="1"/>
  <c r="S233" i="1"/>
  <c r="D237" i="5" s="1"/>
  <c r="S234" i="1"/>
  <c r="D238" i="5" s="1"/>
  <c r="S235" i="1"/>
  <c r="D239" i="5" s="1"/>
  <c r="S236" i="1"/>
  <c r="D240" i="5" s="1"/>
  <c r="S237" i="1"/>
  <c r="D241" i="5" s="1"/>
  <c r="S238" i="1"/>
  <c r="D242" i="5" s="1"/>
  <c r="S239" i="1"/>
  <c r="D243" i="5" s="1"/>
  <c r="S240" i="1"/>
  <c r="D244" i="5" s="1"/>
  <c r="S241" i="1"/>
  <c r="D245" i="5" s="1"/>
  <c r="S242" i="1"/>
  <c r="D246" i="5" s="1"/>
  <c r="S243" i="1"/>
  <c r="D247" i="5" s="1"/>
  <c r="S244" i="1"/>
  <c r="D248" i="5" s="1"/>
  <c r="S245" i="1"/>
  <c r="D249" i="5" s="1"/>
  <c r="S246" i="1"/>
  <c r="D250" i="5" s="1"/>
  <c r="S247" i="1"/>
  <c r="D251" i="5" s="1"/>
  <c r="S248" i="1"/>
  <c r="D252" i="5" s="1"/>
  <c r="S249" i="1"/>
  <c r="D253" i="5" s="1"/>
  <c r="S250" i="1"/>
  <c r="D254" i="5" s="1"/>
  <c r="S251" i="1"/>
  <c r="D255" i="5" s="1"/>
  <c r="S252" i="1"/>
  <c r="D256" i="5" s="1"/>
  <c r="S253" i="1"/>
  <c r="D257" i="5" s="1"/>
  <c r="S254" i="1"/>
  <c r="D258" i="5" s="1"/>
  <c r="S256" i="1"/>
  <c r="D260" i="5" s="1"/>
  <c r="S257" i="1"/>
  <c r="D261" i="5" s="1"/>
  <c r="S258" i="1"/>
  <c r="D262" i="5" s="1"/>
  <c r="S259" i="1"/>
  <c r="D263" i="5" s="1"/>
  <c r="S260" i="1"/>
  <c r="D264" i="5" s="1"/>
  <c r="S261" i="1"/>
  <c r="D265" i="5" s="1"/>
  <c r="S262" i="1"/>
  <c r="D266" i="5" s="1"/>
  <c r="S263" i="1"/>
  <c r="D267" i="5" s="1"/>
  <c r="S264" i="1"/>
  <c r="D268" i="5" s="1"/>
  <c r="S265" i="1"/>
  <c r="D269" i="5" s="1"/>
  <c r="S266" i="1"/>
  <c r="D270" i="5" s="1"/>
  <c r="S267" i="1"/>
  <c r="D271" i="5" s="1"/>
  <c r="S268" i="1"/>
  <c r="D272" i="5" s="1"/>
  <c r="S269" i="1"/>
  <c r="D273" i="5" s="1"/>
  <c r="S270" i="1"/>
  <c r="D274" i="5" s="1"/>
  <c r="S271" i="1"/>
  <c r="D275" i="5" s="1"/>
  <c r="S272" i="1"/>
  <c r="D276" i="5" s="1"/>
  <c r="S273" i="1"/>
  <c r="D277" i="5" s="1"/>
  <c r="S274" i="1"/>
  <c r="D278" i="5" s="1"/>
  <c r="S275" i="1"/>
  <c r="D279" i="5" s="1"/>
  <c r="S276" i="1"/>
  <c r="D280" i="5" s="1"/>
  <c r="S277" i="1"/>
  <c r="D281" i="5" s="1"/>
  <c r="S278" i="1"/>
  <c r="D282" i="5" s="1"/>
  <c r="S279" i="1"/>
  <c r="D283" i="5" s="1"/>
  <c r="S280" i="1"/>
  <c r="D284" i="5" s="1"/>
  <c r="S281" i="1"/>
  <c r="D285" i="5" s="1"/>
  <c r="S282" i="1"/>
  <c r="D286" i="5" s="1"/>
  <c r="S283" i="1"/>
  <c r="D287" i="5" s="1"/>
  <c r="S284" i="1"/>
  <c r="D288" i="5" s="1"/>
  <c r="S285" i="1"/>
  <c r="D289" i="5" s="1"/>
  <c r="S286" i="1"/>
  <c r="D290" i="5" s="1"/>
  <c r="S287" i="1"/>
  <c r="D291" i="5" s="1"/>
  <c r="S288" i="1"/>
  <c r="D292" i="5" s="1"/>
  <c r="S289" i="1"/>
  <c r="D293" i="5" s="1"/>
  <c r="S290" i="1"/>
  <c r="D294" i="5" s="1"/>
  <c r="S291" i="1"/>
  <c r="D295" i="5" s="1"/>
  <c r="S292" i="1"/>
  <c r="D296" i="5" s="1"/>
  <c r="S293" i="1"/>
  <c r="D297" i="5" s="1"/>
  <c r="S294" i="1"/>
  <c r="D298" i="5" s="1"/>
  <c r="S295" i="1"/>
  <c r="D299" i="5" s="1"/>
  <c r="S296" i="1"/>
  <c r="D300" i="5" s="1"/>
  <c r="S297" i="1"/>
  <c r="D301" i="5" s="1"/>
  <c r="S298" i="1"/>
  <c r="D302" i="5" s="1"/>
  <c r="S299" i="1"/>
  <c r="D303" i="5" s="1"/>
  <c r="S300" i="1"/>
  <c r="D304" i="5" s="1"/>
  <c r="S301" i="1"/>
  <c r="D305" i="5" s="1"/>
  <c r="S302" i="1"/>
  <c r="D306" i="5" s="1"/>
  <c r="S303" i="1"/>
  <c r="D307" i="5" s="1"/>
  <c r="S304" i="1"/>
  <c r="D308" i="5" s="1"/>
  <c r="S305" i="1"/>
  <c r="D309" i="5" s="1"/>
  <c r="S306" i="1"/>
  <c r="D310" i="5" s="1"/>
  <c r="S307" i="1"/>
  <c r="D311" i="5" s="1"/>
  <c r="S308" i="1"/>
  <c r="D312" i="5" s="1"/>
  <c r="S309" i="1"/>
  <c r="D313" i="5" s="1"/>
  <c r="S310" i="1"/>
  <c r="D314" i="5" s="1"/>
  <c r="S311" i="1"/>
  <c r="D315" i="5" s="1"/>
  <c r="S312" i="1"/>
  <c r="D316" i="5" s="1"/>
  <c r="S313" i="1"/>
  <c r="D317" i="5" s="1"/>
  <c r="S314" i="1"/>
  <c r="D318" i="5" s="1"/>
  <c r="S315" i="1"/>
  <c r="D319" i="5" s="1"/>
  <c r="S316" i="1"/>
  <c r="D320" i="5" s="1"/>
  <c r="S317" i="1"/>
  <c r="D321" i="5" s="1"/>
  <c r="S318" i="1"/>
  <c r="D322" i="5" s="1"/>
  <c r="S319" i="1"/>
  <c r="D323" i="5" s="1"/>
  <c r="S320" i="1"/>
  <c r="D324" i="5" s="1"/>
  <c r="S321" i="1"/>
  <c r="D325" i="5" s="1"/>
  <c r="S322" i="1"/>
  <c r="D326" i="5" s="1"/>
  <c r="S323" i="1"/>
  <c r="D327" i="5" s="1"/>
  <c r="S324" i="1"/>
  <c r="D328" i="5" s="1"/>
  <c r="S325" i="1"/>
  <c r="D329" i="5" s="1"/>
  <c r="S326" i="1"/>
  <c r="D330" i="5" s="1"/>
  <c r="S327" i="1"/>
  <c r="D331" i="5" s="1"/>
  <c r="S328" i="1"/>
  <c r="D332" i="5" s="1"/>
  <c r="S329" i="1"/>
  <c r="D333" i="5" s="1"/>
  <c r="M327" i="5" l="1"/>
  <c r="J327" i="5" s="1"/>
  <c r="M311" i="5"/>
  <c r="J311" i="5" s="1"/>
  <c r="M302" i="5"/>
  <c r="J302" i="5" s="1"/>
  <c r="M290" i="5"/>
  <c r="J290" i="5" s="1"/>
  <c r="M289" i="5"/>
  <c r="J289" i="5" s="1"/>
  <c r="M257" i="5"/>
  <c r="J257" i="5" s="1"/>
  <c r="M250" i="5"/>
  <c r="J250" i="5" s="1"/>
  <c r="M239" i="5"/>
  <c r="J239" i="5" s="1"/>
  <c r="M229" i="5"/>
  <c r="M210" i="5"/>
  <c r="J210" i="5" s="1"/>
  <c r="M194" i="5"/>
  <c r="J194" i="5" s="1"/>
  <c r="M191" i="5"/>
  <c r="J191" i="5" s="1"/>
  <c r="M180" i="5"/>
  <c r="J180" i="5" s="1"/>
  <c r="M161" i="5"/>
  <c r="J161" i="5" s="1"/>
  <c r="M158" i="5"/>
  <c r="M154" i="5"/>
  <c r="J154" i="5" s="1"/>
  <c r="M143" i="5"/>
  <c r="J143" i="5" s="1"/>
  <c r="M136" i="5"/>
  <c r="J136" i="5" s="1"/>
  <c r="M125" i="5"/>
  <c r="J125" i="5" s="1"/>
  <c r="M120" i="5"/>
  <c r="J120" i="5" s="1"/>
  <c r="M106" i="5"/>
  <c r="J106" i="5" s="1"/>
  <c r="M100" i="5"/>
  <c r="J100" i="5" s="1"/>
  <c r="M99" i="5"/>
  <c r="J99" i="5" s="1"/>
  <c r="M94" i="5"/>
  <c r="J94" i="5" s="1"/>
  <c r="M90" i="5"/>
  <c r="J90" i="5" s="1"/>
  <c r="M89" i="5"/>
  <c r="J89" i="5" s="1"/>
  <c r="M59" i="5"/>
  <c r="J59" i="5" s="1"/>
  <c r="M51" i="5"/>
  <c r="J51" i="5" s="1"/>
  <c r="M47" i="5"/>
  <c r="M38" i="5"/>
  <c r="J38" i="5" s="1"/>
  <c r="M34" i="5"/>
  <c r="J34" i="5" s="1"/>
  <c r="M33" i="5"/>
  <c r="J33" i="5" s="1"/>
  <c r="M30" i="5"/>
  <c r="J30" i="5" s="1"/>
  <c r="M27" i="5"/>
  <c r="J27" i="5" s="1"/>
  <c r="M20" i="5"/>
  <c r="J20" i="5" s="1"/>
  <c r="M17" i="5"/>
  <c r="J17" i="5" s="1"/>
  <c r="M6" i="5"/>
  <c r="J6" i="5" s="1"/>
  <c r="AD294" i="1"/>
  <c r="AD30" i="1"/>
  <c r="G331" i="5"/>
  <c r="J91" i="5"/>
  <c r="I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F2" i="1"/>
  <c r="F3" i="1"/>
  <c r="F4" i="1"/>
  <c r="F5" i="1"/>
  <c r="F6" i="1"/>
  <c r="F7" i="1"/>
  <c r="F8" i="1"/>
  <c r="F9" i="1"/>
  <c r="F10" i="1"/>
  <c r="F11" i="1"/>
  <c r="F12" i="1"/>
  <c r="J12" i="1" s="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T241" i="1" s="1"/>
  <c r="F245" i="5" s="1"/>
  <c r="F242" i="1"/>
  <c r="F243" i="1"/>
  <c r="F244" i="1"/>
  <c r="F245" i="1"/>
  <c r="F246" i="1"/>
  <c r="F247" i="1"/>
  <c r="F248" i="1"/>
  <c r="F249" i="1"/>
  <c r="F250" i="1"/>
  <c r="F251" i="1"/>
  <c r="F252" i="1"/>
  <c r="F253" i="1"/>
  <c r="F254" i="1"/>
  <c r="F255" i="1"/>
  <c r="F256" i="1"/>
  <c r="F257" i="1"/>
  <c r="T257" i="1" s="1"/>
  <c r="F261" i="5" s="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K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W2" i="1"/>
  <c r="W3" i="1"/>
  <c r="W4" i="1"/>
  <c r="W5" i="1"/>
  <c r="W6" i="1"/>
  <c r="W7" i="1"/>
  <c r="W8" i="1"/>
  <c r="W9" i="1"/>
  <c r="W10" i="1"/>
  <c r="W11" i="1"/>
  <c r="W12" i="1"/>
  <c r="X12" i="1" s="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X41" i="1" s="1"/>
  <c r="W42" i="1"/>
  <c r="W43" i="1"/>
  <c r="W44" i="1"/>
  <c r="X44" i="1" s="1"/>
  <c r="W45" i="1"/>
  <c r="X45" i="1" s="1"/>
  <c r="W46" i="1"/>
  <c r="W47" i="1"/>
  <c r="W48" i="1"/>
  <c r="W49" i="1"/>
  <c r="X49" i="1" s="1"/>
  <c r="R49" i="1" s="1"/>
  <c r="W50" i="1"/>
  <c r="W51" i="1"/>
  <c r="W52" i="1"/>
  <c r="W53" i="1"/>
  <c r="X53" i="1" s="1"/>
  <c r="W54" i="1"/>
  <c r="W55" i="1"/>
  <c r="W56" i="1"/>
  <c r="W57" i="1"/>
  <c r="X57" i="1" s="1"/>
  <c r="W58" i="1"/>
  <c r="W59" i="1"/>
  <c r="W60" i="1"/>
  <c r="W61" i="1"/>
  <c r="X61" i="1" s="1"/>
  <c r="W62" i="1"/>
  <c r="W63" i="1"/>
  <c r="W64" i="1"/>
  <c r="W65" i="1"/>
  <c r="X65" i="1" s="1"/>
  <c r="R65" i="1" s="1"/>
  <c r="W66" i="1"/>
  <c r="W67" i="1"/>
  <c r="W68" i="1"/>
  <c r="W69" i="1"/>
  <c r="X69" i="1" s="1"/>
  <c r="W70" i="1"/>
  <c r="W71" i="1"/>
  <c r="W72" i="1"/>
  <c r="W73" i="1"/>
  <c r="X73" i="1" s="1"/>
  <c r="W74" i="1"/>
  <c r="W75" i="1"/>
  <c r="W76" i="1"/>
  <c r="W77" i="1"/>
  <c r="X77" i="1" s="1"/>
  <c r="W78" i="1"/>
  <c r="W79" i="1"/>
  <c r="W80" i="1"/>
  <c r="W81" i="1"/>
  <c r="X81" i="1" s="1"/>
  <c r="O81" i="1" s="1"/>
  <c r="W82" i="1"/>
  <c r="W83" i="1"/>
  <c r="W84" i="1"/>
  <c r="W85" i="1"/>
  <c r="X85" i="1" s="1"/>
  <c r="W86" i="1"/>
  <c r="W87" i="1"/>
  <c r="W88" i="1"/>
  <c r="W89" i="1"/>
  <c r="X89" i="1" s="1"/>
  <c r="W90" i="1"/>
  <c r="W91" i="1"/>
  <c r="W92" i="1"/>
  <c r="W93" i="1"/>
  <c r="X93" i="1" s="1"/>
  <c r="W94" i="1"/>
  <c r="W95" i="1"/>
  <c r="W96" i="1"/>
  <c r="W97" i="1"/>
  <c r="X97" i="1" s="1"/>
  <c r="R97" i="1" s="1"/>
  <c r="W98" i="1"/>
  <c r="W99" i="1"/>
  <c r="W100" i="1"/>
  <c r="W101" i="1"/>
  <c r="X101" i="1" s="1"/>
  <c r="W102" i="1"/>
  <c r="W103" i="1"/>
  <c r="W104" i="1"/>
  <c r="W105" i="1"/>
  <c r="X105" i="1" s="1"/>
  <c r="W106" i="1"/>
  <c r="W107" i="1"/>
  <c r="W108" i="1"/>
  <c r="W109" i="1"/>
  <c r="X109" i="1" s="1"/>
  <c r="W110" i="1"/>
  <c r="W111" i="1"/>
  <c r="W112" i="1"/>
  <c r="W113" i="1"/>
  <c r="X113" i="1" s="1"/>
  <c r="R113" i="1" s="1"/>
  <c r="W114" i="1"/>
  <c r="W115" i="1"/>
  <c r="W116" i="1"/>
  <c r="W117" i="1"/>
  <c r="X117" i="1" s="1"/>
  <c r="W118" i="1"/>
  <c r="W119" i="1"/>
  <c r="W120" i="1"/>
  <c r="W121" i="1"/>
  <c r="X121" i="1" s="1"/>
  <c r="W122" i="1"/>
  <c r="W123" i="1"/>
  <c r="W124" i="1"/>
  <c r="W125" i="1"/>
  <c r="X125" i="1" s="1"/>
  <c r="W126" i="1"/>
  <c r="W127" i="1"/>
  <c r="W128" i="1"/>
  <c r="W129" i="1"/>
  <c r="X129" i="1" s="1"/>
  <c r="R129" i="1" s="1"/>
  <c r="W130" i="1"/>
  <c r="W131" i="1"/>
  <c r="W132" i="1"/>
  <c r="W133" i="1"/>
  <c r="X133" i="1" s="1"/>
  <c r="W134" i="1"/>
  <c r="W135" i="1"/>
  <c r="W136" i="1"/>
  <c r="W137" i="1"/>
  <c r="X137" i="1" s="1"/>
  <c r="AG137" i="1" s="1"/>
  <c r="W138" i="1"/>
  <c r="W139" i="1"/>
  <c r="W140" i="1"/>
  <c r="W141" i="1"/>
  <c r="X141" i="1" s="1"/>
  <c r="W142" i="1"/>
  <c r="W143" i="1"/>
  <c r="W144" i="1"/>
  <c r="W145" i="1"/>
  <c r="X145" i="1" s="1"/>
  <c r="R145" i="1" s="1"/>
  <c r="W146" i="1"/>
  <c r="W147" i="1"/>
  <c r="W148" i="1"/>
  <c r="W149" i="1"/>
  <c r="X149" i="1" s="1"/>
  <c r="W150" i="1"/>
  <c r="W151" i="1"/>
  <c r="W152" i="1"/>
  <c r="W153" i="1"/>
  <c r="X153" i="1" s="1"/>
  <c r="W154" i="1"/>
  <c r="W155" i="1"/>
  <c r="W156" i="1"/>
  <c r="W157" i="1"/>
  <c r="X157" i="1" s="1"/>
  <c r="W158" i="1"/>
  <c r="W159" i="1"/>
  <c r="W160" i="1"/>
  <c r="W161" i="1"/>
  <c r="X161" i="1" s="1"/>
  <c r="R161" i="1" s="1"/>
  <c r="W162" i="1"/>
  <c r="W163" i="1"/>
  <c r="W164" i="1"/>
  <c r="W165" i="1"/>
  <c r="X165" i="1" s="1"/>
  <c r="W166" i="1"/>
  <c r="W167" i="1"/>
  <c r="W168" i="1"/>
  <c r="W169" i="1"/>
  <c r="X169" i="1" s="1"/>
  <c r="W170" i="1"/>
  <c r="W171" i="1"/>
  <c r="W172" i="1"/>
  <c r="W173" i="1"/>
  <c r="X173" i="1" s="1"/>
  <c r="W174" i="1"/>
  <c r="W175" i="1"/>
  <c r="W176" i="1"/>
  <c r="W177" i="1"/>
  <c r="X177" i="1" s="1"/>
  <c r="R177" i="1" s="1"/>
  <c r="W178" i="1"/>
  <c r="W179" i="1"/>
  <c r="W180" i="1"/>
  <c r="W181" i="1"/>
  <c r="X181" i="1" s="1"/>
  <c r="W182" i="1"/>
  <c r="W183" i="1"/>
  <c r="W184" i="1"/>
  <c r="W185" i="1"/>
  <c r="X185" i="1" s="1"/>
  <c r="W186" i="1"/>
  <c r="W187" i="1"/>
  <c r="W188" i="1"/>
  <c r="W189" i="1"/>
  <c r="X189" i="1" s="1"/>
  <c r="W190" i="1"/>
  <c r="W191" i="1"/>
  <c r="W192" i="1"/>
  <c r="W193" i="1"/>
  <c r="X193" i="1" s="1"/>
  <c r="Q193" i="1" s="1"/>
  <c r="W194" i="1"/>
  <c r="W195" i="1"/>
  <c r="W196" i="1"/>
  <c r="W197" i="1"/>
  <c r="X197" i="1" s="1"/>
  <c r="W198" i="1"/>
  <c r="W199" i="1"/>
  <c r="W200" i="1"/>
  <c r="W201" i="1"/>
  <c r="X201" i="1" s="1"/>
  <c r="W202" i="1"/>
  <c r="W203" i="1"/>
  <c r="W204" i="1"/>
  <c r="W205" i="1"/>
  <c r="X205" i="1" s="1"/>
  <c r="W206" i="1"/>
  <c r="W207" i="1"/>
  <c r="W208" i="1"/>
  <c r="W209" i="1"/>
  <c r="X209" i="1" s="1"/>
  <c r="R209" i="1" s="1"/>
  <c r="W210" i="1"/>
  <c r="W211" i="1"/>
  <c r="W212" i="1"/>
  <c r="W213" i="1"/>
  <c r="X213" i="1" s="1"/>
  <c r="W214" i="1"/>
  <c r="W215" i="1"/>
  <c r="W216" i="1"/>
  <c r="W217" i="1"/>
  <c r="X217" i="1" s="1"/>
  <c r="W218" i="1"/>
  <c r="W219" i="1"/>
  <c r="W220" i="1"/>
  <c r="W221" i="1"/>
  <c r="X221" i="1" s="1"/>
  <c r="W222" i="1"/>
  <c r="W223" i="1"/>
  <c r="W224" i="1"/>
  <c r="W225" i="1"/>
  <c r="X225" i="1" s="1"/>
  <c r="R225" i="1" s="1"/>
  <c r="W226" i="1"/>
  <c r="W227" i="1"/>
  <c r="W228" i="1"/>
  <c r="W229" i="1"/>
  <c r="X229" i="1" s="1"/>
  <c r="W230" i="1"/>
  <c r="W231" i="1"/>
  <c r="W232" i="1"/>
  <c r="W233" i="1"/>
  <c r="X233" i="1" s="1"/>
  <c r="W234" i="1"/>
  <c r="W235" i="1"/>
  <c r="W236" i="1"/>
  <c r="W237" i="1"/>
  <c r="X237" i="1" s="1"/>
  <c r="W238" i="1"/>
  <c r="W239" i="1"/>
  <c r="W240" i="1"/>
  <c r="W241" i="1"/>
  <c r="X241" i="1" s="1"/>
  <c r="R241" i="1" s="1"/>
  <c r="W242" i="1"/>
  <c r="W243" i="1"/>
  <c r="W244" i="1"/>
  <c r="W245" i="1"/>
  <c r="X245" i="1" s="1"/>
  <c r="W246" i="1"/>
  <c r="W247" i="1"/>
  <c r="W248" i="1"/>
  <c r="W249" i="1"/>
  <c r="X249" i="1" s="1"/>
  <c r="W250" i="1"/>
  <c r="W251" i="1"/>
  <c r="W252" i="1"/>
  <c r="W253" i="1"/>
  <c r="X253" i="1" s="1"/>
  <c r="W254" i="1"/>
  <c r="W255" i="1"/>
  <c r="W256" i="1"/>
  <c r="W257" i="1"/>
  <c r="X257" i="1" s="1"/>
  <c r="R257" i="1" s="1"/>
  <c r="W258" i="1"/>
  <c r="W259" i="1"/>
  <c r="W260" i="1"/>
  <c r="W261" i="1"/>
  <c r="X261" i="1" s="1"/>
  <c r="W262" i="1"/>
  <c r="W263" i="1"/>
  <c r="W264" i="1"/>
  <c r="W265" i="1"/>
  <c r="X265" i="1" s="1"/>
  <c r="W266" i="1"/>
  <c r="W267" i="1"/>
  <c r="W268" i="1"/>
  <c r="W269" i="1"/>
  <c r="X269" i="1" s="1"/>
  <c r="W270" i="1"/>
  <c r="W271" i="1"/>
  <c r="W272" i="1"/>
  <c r="W273" i="1"/>
  <c r="X273" i="1" s="1"/>
  <c r="R273" i="1" s="1"/>
  <c r="W274" i="1"/>
  <c r="W275" i="1"/>
  <c r="W276" i="1"/>
  <c r="W277" i="1"/>
  <c r="X277" i="1" s="1"/>
  <c r="W278" i="1"/>
  <c r="W279" i="1"/>
  <c r="W280" i="1"/>
  <c r="W281" i="1"/>
  <c r="X281" i="1" s="1"/>
  <c r="W282" i="1"/>
  <c r="W283" i="1"/>
  <c r="W284" i="1"/>
  <c r="W285" i="1"/>
  <c r="X285" i="1" s="1"/>
  <c r="W286" i="1"/>
  <c r="W287" i="1"/>
  <c r="W288" i="1"/>
  <c r="W289" i="1"/>
  <c r="X289" i="1" s="1"/>
  <c r="R289" i="1" s="1"/>
  <c r="W290" i="1"/>
  <c r="W291" i="1"/>
  <c r="W292" i="1"/>
  <c r="W293" i="1"/>
  <c r="X293" i="1" s="1"/>
  <c r="W294" i="1"/>
  <c r="W295" i="1"/>
  <c r="W296" i="1"/>
  <c r="W297" i="1"/>
  <c r="X297" i="1" s="1"/>
  <c r="W298" i="1"/>
  <c r="W299" i="1"/>
  <c r="W300" i="1"/>
  <c r="X300" i="1" s="1"/>
  <c r="W301" i="1"/>
  <c r="X301" i="1" s="1"/>
  <c r="W302" i="1"/>
  <c r="W303" i="1"/>
  <c r="W304" i="1"/>
  <c r="X304" i="1" s="1"/>
  <c r="W305" i="1"/>
  <c r="X305" i="1" s="1"/>
  <c r="R305" i="1" s="1"/>
  <c r="W306" i="1"/>
  <c r="W307" i="1"/>
  <c r="W308" i="1"/>
  <c r="W309" i="1"/>
  <c r="X309" i="1" s="1"/>
  <c r="W310" i="1"/>
  <c r="W311" i="1"/>
  <c r="W312" i="1"/>
  <c r="W313" i="1"/>
  <c r="X313" i="1" s="1"/>
  <c r="W314" i="1"/>
  <c r="W315" i="1"/>
  <c r="W316" i="1"/>
  <c r="W317" i="1"/>
  <c r="X317" i="1" s="1"/>
  <c r="W318" i="1"/>
  <c r="W319" i="1"/>
  <c r="W320" i="1"/>
  <c r="W321" i="1"/>
  <c r="X321" i="1" s="1"/>
  <c r="R321" i="1" s="1"/>
  <c r="W322" i="1"/>
  <c r="W323" i="1"/>
  <c r="W324" i="1"/>
  <c r="W325" i="1"/>
  <c r="X325" i="1" s="1"/>
  <c r="W326" i="1"/>
  <c r="W327" i="1"/>
  <c r="W328" i="1"/>
  <c r="X328" i="1" s="1"/>
  <c r="W329" i="1"/>
  <c r="X329" i="1" s="1"/>
  <c r="U2" i="1"/>
  <c r="U3" i="1"/>
  <c r="H7" i="5" s="1"/>
  <c r="U4" i="1"/>
  <c r="H8" i="5" s="1"/>
  <c r="U5" i="1"/>
  <c r="H9" i="5" s="1"/>
  <c r="U6" i="1"/>
  <c r="H10" i="5" s="1"/>
  <c r="U7" i="1"/>
  <c r="U8" i="1"/>
  <c r="H12" i="5" s="1"/>
  <c r="U9" i="1"/>
  <c r="H13" i="5" s="1"/>
  <c r="U10" i="1"/>
  <c r="H14" i="5" s="1"/>
  <c r="U11" i="1"/>
  <c r="H15" i="5" s="1"/>
  <c r="U12" i="1"/>
  <c r="H16" i="5" s="1"/>
  <c r="U13" i="1"/>
  <c r="U14" i="1"/>
  <c r="H18" i="5" s="1"/>
  <c r="U15" i="1"/>
  <c r="H19" i="5" s="1"/>
  <c r="U16" i="1"/>
  <c r="AA16" i="1" s="1"/>
  <c r="U17" i="1"/>
  <c r="H21" i="5" s="1"/>
  <c r="U18" i="1"/>
  <c r="H22" i="5" s="1"/>
  <c r="U19" i="1"/>
  <c r="H23" i="5" s="1"/>
  <c r="U20" i="1"/>
  <c r="H24" i="5" s="1"/>
  <c r="U21" i="1"/>
  <c r="H25" i="5" s="1"/>
  <c r="U22" i="1"/>
  <c r="H26" i="5" s="1"/>
  <c r="U23" i="1"/>
  <c r="U24" i="1"/>
  <c r="H28" i="5" s="1"/>
  <c r="U25" i="1"/>
  <c r="H29" i="5" s="1"/>
  <c r="U26" i="1"/>
  <c r="U27" i="1"/>
  <c r="H31" i="5" s="1"/>
  <c r="U28" i="1"/>
  <c r="H32" i="5" s="1"/>
  <c r="U29" i="1"/>
  <c r="U30" i="1"/>
  <c r="U31" i="1"/>
  <c r="H35" i="5" s="1"/>
  <c r="U32" i="1"/>
  <c r="H36" i="5" s="1"/>
  <c r="U33" i="1"/>
  <c r="H37" i="5" s="1"/>
  <c r="U34" i="1"/>
  <c r="U35" i="1"/>
  <c r="H39" i="5" s="1"/>
  <c r="U36" i="1"/>
  <c r="H40" i="5" s="1"/>
  <c r="U37" i="1"/>
  <c r="H41" i="5" s="1"/>
  <c r="U38" i="1"/>
  <c r="H42" i="5" s="1"/>
  <c r="U39" i="1"/>
  <c r="H43" i="5" s="1"/>
  <c r="U40" i="1"/>
  <c r="H44" i="5" s="1"/>
  <c r="U41" i="1"/>
  <c r="H45" i="5" s="1"/>
  <c r="U42" i="1"/>
  <c r="H46" i="5" s="1"/>
  <c r="U43" i="1"/>
  <c r="H47" i="5" s="1"/>
  <c r="U44" i="1"/>
  <c r="H48" i="5" s="1"/>
  <c r="U45" i="1"/>
  <c r="H49" i="5" s="1"/>
  <c r="U46" i="1"/>
  <c r="H50" i="5" s="1"/>
  <c r="U47" i="1"/>
  <c r="U48" i="1"/>
  <c r="H52" i="5" s="1"/>
  <c r="U49" i="1"/>
  <c r="H53" i="5" s="1"/>
  <c r="U50" i="1"/>
  <c r="H54" i="5" s="1"/>
  <c r="U51" i="1"/>
  <c r="H55" i="5" s="1"/>
  <c r="U52" i="1"/>
  <c r="H56" i="5" s="1"/>
  <c r="U53" i="1"/>
  <c r="H57" i="5" s="1"/>
  <c r="U54" i="1"/>
  <c r="H58" i="5" s="1"/>
  <c r="U55" i="1"/>
  <c r="AA55" i="1" s="1"/>
  <c r="U56" i="1"/>
  <c r="H60" i="5" s="1"/>
  <c r="U57" i="1"/>
  <c r="H61" i="5" s="1"/>
  <c r="U58" i="1"/>
  <c r="H62" i="5" s="1"/>
  <c r="U59" i="1"/>
  <c r="U60" i="1"/>
  <c r="U61" i="1"/>
  <c r="U62" i="1"/>
  <c r="H66" i="5" s="1"/>
  <c r="U63" i="1"/>
  <c r="H67" i="5" s="1"/>
  <c r="U64" i="1"/>
  <c r="H68" i="5" s="1"/>
  <c r="U65" i="1"/>
  <c r="H69" i="5" s="1"/>
  <c r="U66" i="1"/>
  <c r="H70" i="5" s="1"/>
  <c r="U67" i="1"/>
  <c r="H71" i="5" s="1"/>
  <c r="U68" i="1"/>
  <c r="H72" i="5" s="1"/>
  <c r="U69" i="1"/>
  <c r="H73" i="5" s="1"/>
  <c r="U70" i="1"/>
  <c r="H74" i="5" s="1"/>
  <c r="U71" i="1"/>
  <c r="H75" i="5" s="1"/>
  <c r="U72" i="1"/>
  <c r="H76" i="5" s="1"/>
  <c r="U73" i="1"/>
  <c r="H77" i="5" s="1"/>
  <c r="U74" i="1"/>
  <c r="H78" i="5" s="1"/>
  <c r="U75" i="1"/>
  <c r="H79" i="5" s="1"/>
  <c r="U76" i="1"/>
  <c r="H80" i="5" s="1"/>
  <c r="U77" i="1"/>
  <c r="H81" i="5" s="1"/>
  <c r="U78" i="1"/>
  <c r="H82" i="5" s="1"/>
  <c r="U79" i="1"/>
  <c r="H83" i="5" s="1"/>
  <c r="U80" i="1"/>
  <c r="H84" i="5" s="1"/>
  <c r="U81" i="1"/>
  <c r="H85" i="5" s="1"/>
  <c r="U82" i="1"/>
  <c r="H86" i="5" s="1"/>
  <c r="U83" i="1"/>
  <c r="H87" i="5" s="1"/>
  <c r="U84" i="1"/>
  <c r="H88" i="5" s="1"/>
  <c r="U85" i="1"/>
  <c r="AA85" i="1" s="1"/>
  <c r="U86" i="1"/>
  <c r="U87" i="1"/>
  <c r="H91" i="5" s="1"/>
  <c r="U88" i="1"/>
  <c r="H92" i="5" s="1"/>
  <c r="U89" i="1"/>
  <c r="H93" i="5" s="1"/>
  <c r="U90" i="1"/>
  <c r="U91" i="1"/>
  <c r="H95" i="5" s="1"/>
  <c r="U92" i="1"/>
  <c r="H96" i="5" s="1"/>
  <c r="U93" i="1"/>
  <c r="H97" i="5" s="1"/>
  <c r="U94" i="1"/>
  <c r="H98" i="5" s="1"/>
  <c r="U95" i="1"/>
  <c r="H99" i="5" s="1"/>
  <c r="U96" i="1"/>
  <c r="U97" i="1"/>
  <c r="H101" i="5" s="1"/>
  <c r="U98" i="1"/>
  <c r="H102" i="5" s="1"/>
  <c r="U99" i="1"/>
  <c r="H103" i="5" s="1"/>
  <c r="U100" i="1"/>
  <c r="H104" i="5" s="1"/>
  <c r="U101" i="1"/>
  <c r="H105" i="5" s="1"/>
  <c r="U102" i="1"/>
  <c r="U103" i="1"/>
  <c r="H107" i="5" s="1"/>
  <c r="U104" i="1"/>
  <c r="H108" i="5" s="1"/>
  <c r="U105" i="1"/>
  <c r="H109" i="5" s="1"/>
  <c r="U106" i="1"/>
  <c r="H110" i="5" s="1"/>
  <c r="U107" i="1"/>
  <c r="H111" i="5" s="1"/>
  <c r="U108" i="1"/>
  <c r="H112" i="5" s="1"/>
  <c r="U109" i="1"/>
  <c r="H113" i="5" s="1"/>
  <c r="U110" i="1"/>
  <c r="H114" i="5" s="1"/>
  <c r="U111" i="1"/>
  <c r="H115" i="5" s="1"/>
  <c r="U112" i="1"/>
  <c r="H116" i="5" s="1"/>
  <c r="U113" i="1"/>
  <c r="H117" i="5" s="1"/>
  <c r="U114" i="1"/>
  <c r="H118" i="5" s="1"/>
  <c r="U115" i="1"/>
  <c r="H119" i="5" s="1"/>
  <c r="U116" i="1"/>
  <c r="U117" i="1"/>
  <c r="H121" i="5" s="1"/>
  <c r="U118" i="1"/>
  <c r="H122" i="5" s="1"/>
  <c r="U119" i="1"/>
  <c r="H123" i="5" s="1"/>
  <c r="U120" i="1"/>
  <c r="H124" i="5" s="1"/>
  <c r="U121" i="1"/>
  <c r="U122" i="1"/>
  <c r="H126" i="5" s="1"/>
  <c r="U123" i="1"/>
  <c r="H127" i="5" s="1"/>
  <c r="U124" i="1"/>
  <c r="H128" i="5" s="1"/>
  <c r="U125" i="1"/>
  <c r="H129" i="5" s="1"/>
  <c r="U126" i="1"/>
  <c r="H130" i="5" s="1"/>
  <c r="U127" i="1"/>
  <c r="H131" i="5" s="1"/>
  <c r="U128" i="1"/>
  <c r="H132" i="5" s="1"/>
  <c r="U129" i="1"/>
  <c r="H133" i="5" s="1"/>
  <c r="U130" i="1"/>
  <c r="H134" i="5" s="1"/>
  <c r="U131" i="1"/>
  <c r="H135" i="5" s="1"/>
  <c r="U132" i="1"/>
  <c r="U133" i="1"/>
  <c r="H137" i="5" s="1"/>
  <c r="U134" i="1"/>
  <c r="H138" i="5" s="1"/>
  <c r="U135" i="1"/>
  <c r="H139" i="5" s="1"/>
  <c r="U136" i="1"/>
  <c r="H140" i="5" s="1"/>
  <c r="U137" i="1"/>
  <c r="H141" i="5" s="1"/>
  <c r="U138" i="1"/>
  <c r="H142" i="5" s="1"/>
  <c r="U139" i="1"/>
  <c r="U140" i="1"/>
  <c r="H144" i="5" s="1"/>
  <c r="U141" i="1"/>
  <c r="H145" i="5" s="1"/>
  <c r="U142" i="1"/>
  <c r="H146" i="5" s="1"/>
  <c r="U143" i="1"/>
  <c r="U144" i="1"/>
  <c r="H148" i="5" s="1"/>
  <c r="U145" i="1"/>
  <c r="H149" i="5" s="1"/>
  <c r="U146" i="1"/>
  <c r="H150" i="5" s="1"/>
  <c r="U147" i="1"/>
  <c r="H151" i="5" s="1"/>
  <c r="U148" i="1"/>
  <c r="H152" i="5" s="1"/>
  <c r="U149" i="1"/>
  <c r="H153" i="5" s="1"/>
  <c r="U150" i="1"/>
  <c r="U151" i="1"/>
  <c r="H155" i="5" s="1"/>
  <c r="U152" i="1"/>
  <c r="H156" i="5" s="1"/>
  <c r="U153" i="1"/>
  <c r="H157" i="5" s="1"/>
  <c r="U154" i="1"/>
  <c r="H158" i="5" s="1"/>
  <c r="U155" i="1"/>
  <c r="H159" i="5" s="1"/>
  <c r="U156" i="1"/>
  <c r="H160" i="5" s="1"/>
  <c r="U157" i="1"/>
  <c r="AA157" i="1" s="1"/>
  <c r="U158" i="1"/>
  <c r="H162" i="5" s="1"/>
  <c r="U159" i="1"/>
  <c r="U160" i="1"/>
  <c r="H164" i="5" s="1"/>
  <c r="U161" i="1"/>
  <c r="H165" i="5" s="1"/>
  <c r="U162" i="1"/>
  <c r="H166" i="5" s="1"/>
  <c r="U163" i="1"/>
  <c r="H167" i="5" s="1"/>
  <c r="U164" i="1"/>
  <c r="U165" i="1"/>
  <c r="H169" i="5" s="1"/>
  <c r="U166" i="1"/>
  <c r="H170" i="5" s="1"/>
  <c r="U167" i="1"/>
  <c r="H171" i="5" s="1"/>
  <c r="U168" i="1"/>
  <c r="H172" i="5" s="1"/>
  <c r="U169" i="1"/>
  <c r="H173" i="5" s="1"/>
  <c r="U170" i="1"/>
  <c r="H174" i="5" s="1"/>
  <c r="U171" i="1"/>
  <c r="H175" i="5" s="1"/>
  <c r="U172" i="1"/>
  <c r="H176" i="5" s="1"/>
  <c r="U173" i="1"/>
  <c r="H177" i="5" s="1"/>
  <c r="U174" i="1"/>
  <c r="H178" i="5" s="1"/>
  <c r="U175" i="1"/>
  <c r="H179" i="5" s="1"/>
  <c r="U176" i="1"/>
  <c r="AA176" i="1" s="1"/>
  <c r="U177" i="1"/>
  <c r="H181" i="5" s="1"/>
  <c r="U178" i="1"/>
  <c r="H182" i="5" s="1"/>
  <c r="U179" i="1"/>
  <c r="H183" i="5" s="1"/>
  <c r="U180" i="1"/>
  <c r="H184" i="5" s="1"/>
  <c r="U181" i="1"/>
  <c r="H185" i="5" s="1"/>
  <c r="U182" i="1"/>
  <c r="H186" i="5" s="1"/>
  <c r="U183" i="1"/>
  <c r="H187" i="5" s="1"/>
  <c r="U184" i="1"/>
  <c r="H188" i="5" s="1"/>
  <c r="U185" i="1"/>
  <c r="H189" i="5" s="1"/>
  <c r="U186" i="1"/>
  <c r="H190" i="5" s="1"/>
  <c r="U187" i="1"/>
  <c r="AA187" i="1" s="1"/>
  <c r="U188" i="1"/>
  <c r="H192" i="5" s="1"/>
  <c r="U189" i="1"/>
  <c r="H193" i="5" s="1"/>
  <c r="U190" i="1"/>
  <c r="U191" i="1"/>
  <c r="H195" i="5" s="1"/>
  <c r="U192" i="1"/>
  <c r="H196" i="5" s="1"/>
  <c r="U193" i="1"/>
  <c r="H197" i="5" s="1"/>
  <c r="U194" i="1"/>
  <c r="H198" i="5" s="1"/>
  <c r="U195" i="1"/>
  <c r="H199" i="5" s="1"/>
  <c r="U196" i="1"/>
  <c r="H200" i="5" s="1"/>
  <c r="U197" i="1"/>
  <c r="H201" i="5" s="1"/>
  <c r="U198" i="1"/>
  <c r="H202" i="5" s="1"/>
  <c r="U199" i="1"/>
  <c r="H203" i="5" s="1"/>
  <c r="U200" i="1"/>
  <c r="H204" i="5" s="1"/>
  <c r="U201" i="1"/>
  <c r="H205" i="5" s="1"/>
  <c r="U202" i="1"/>
  <c r="H206" i="5" s="1"/>
  <c r="U203" i="1"/>
  <c r="H207" i="5" s="1"/>
  <c r="U204" i="1"/>
  <c r="H208" i="5" s="1"/>
  <c r="U205" i="1"/>
  <c r="H209" i="5" s="1"/>
  <c r="U206" i="1"/>
  <c r="U207" i="1"/>
  <c r="H211" i="5" s="1"/>
  <c r="U208" i="1"/>
  <c r="H212" i="5" s="1"/>
  <c r="U209" i="1"/>
  <c r="H213" i="5" s="1"/>
  <c r="U210" i="1"/>
  <c r="H214" i="5" s="1"/>
  <c r="U211" i="1"/>
  <c r="H215" i="5" s="1"/>
  <c r="U212" i="1"/>
  <c r="U213" i="1"/>
  <c r="H217" i="5" s="1"/>
  <c r="U214" i="1"/>
  <c r="H218" i="5" s="1"/>
  <c r="U215" i="1"/>
  <c r="H219" i="5" s="1"/>
  <c r="U216" i="1"/>
  <c r="H220" i="5" s="1"/>
  <c r="U217" i="1"/>
  <c r="H221" i="5" s="1"/>
  <c r="U218" i="1"/>
  <c r="H222" i="5" s="1"/>
  <c r="U219" i="1"/>
  <c r="H223" i="5" s="1"/>
  <c r="U220" i="1"/>
  <c r="U221" i="1"/>
  <c r="U222" i="1"/>
  <c r="H226" i="5" s="1"/>
  <c r="U223" i="1"/>
  <c r="H227" i="5" s="1"/>
  <c r="U224" i="1"/>
  <c r="H228" i="5" s="1"/>
  <c r="U225" i="1"/>
  <c r="H229" i="5" s="1"/>
  <c r="U226" i="1"/>
  <c r="H230" i="5" s="1"/>
  <c r="U227" i="1"/>
  <c r="H231" i="5" s="1"/>
  <c r="U228" i="1"/>
  <c r="H232" i="5" s="1"/>
  <c r="U229" i="1"/>
  <c r="H233" i="5" s="1"/>
  <c r="U230" i="1"/>
  <c r="H234" i="5" s="1"/>
  <c r="U231" i="1"/>
  <c r="H235" i="5" s="1"/>
  <c r="U232" i="1"/>
  <c r="U233" i="1"/>
  <c r="H237" i="5" s="1"/>
  <c r="U234" i="1"/>
  <c r="H238" i="5" s="1"/>
  <c r="U235" i="1"/>
  <c r="U236" i="1"/>
  <c r="H240" i="5" s="1"/>
  <c r="U237" i="1"/>
  <c r="H241" i="5" s="1"/>
  <c r="U238" i="1"/>
  <c r="H242" i="5" s="1"/>
  <c r="U239" i="1"/>
  <c r="H243" i="5" s="1"/>
  <c r="U240" i="1"/>
  <c r="H244" i="5" s="1"/>
  <c r="U241" i="1"/>
  <c r="H245" i="5" s="1"/>
  <c r="U242" i="1"/>
  <c r="H246" i="5" s="1"/>
  <c r="U243" i="1"/>
  <c r="H247" i="5" s="1"/>
  <c r="U244" i="1"/>
  <c r="H248" i="5" s="1"/>
  <c r="U245" i="1"/>
  <c r="H249" i="5" s="1"/>
  <c r="U246" i="1"/>
  <c r="U247" i="1"/>
  <c r="U248" i="1"/>
  <c r="H252" i="5" s="1"/>
  <c r="U249" i="1"/>
  <c r="H253" i="5" s="1"/>
  <c r="U250" i="1"/>
  <c r="H254" i="5" s="1"/>
  <c r="U251" i="1"/>
  <c r="H255" i="5" s="1"/>
  <c r="U252" i="1"/>
  <c r="H256" i="5" s="1"/>
  <c r="U253" i="1"/>
  <c r="AA253" i="1" s="1"/>
  <c r="U254" i="1"/>
  <c r="H258" i="5" s="1"/>
  <c r="U255" i="1"/>
  <c r="H259" i="5" s="1"/>
  <c r="U256" i="1"/>
  <c r="H260" i="5" s="1"/>
  <c r="U257" i="1"/>
  <c r="H261" i="5" s="1"/>
  <c r="U258" i="1"/>
  <c r="H262" i="5" s="1"/>
  <c r="U259" i="1"/>
  <c r="H263" i="5" s="1"/>
  <c r="U260" i="1"/>
  <c r="H264" i="5" s="1"/>
  <c r="U261" i="1"/>
  <c r="H265" i="5" s="1"/>
  <c r="U262" i="1"/>
  <c r="H266" i="5" s="1"/>
  <c r="U263" i="1"/>
  <c r="U264" i="1"/>
  <c r="H268" i="5" s="1"/>
  <c r="U265" i="1"/>
  <c r="H269" i="5" s="1"/>
  <c r="U266" i="1"/>
  <c r="H270" i="5" s="1"/>
  <c r="U267" i="1"/>
  <c r="H271" i="5" s="1"/>
  <c r="U268" i="1"/>
  <c r="H272" i="5" s="1"/>
  <c r="U269" i="1"/>
  <c r="H273" i="5" s="1"/>
  <c r="U270" i="1"/>
  <c r="H274" i="5" s="1"/>
  <c r="U271" i="1"/>
  <c r="H275" i="5" s="1"/>
  <c r="U272" i="1"/>
  <c r="H276" i="5" s="1"/>
  <c r="U273" i="1"/>
  <c r="H277" i="5" s="1"/>
  <c r="U274" i="1"/>
  <c r="H278" i="5" s="1"/>
  <c r="U275" i="1"/>
  <c r="H279" i="5" s="1"/>
  <c r="U276" i="1"/>
  <c r="H280" i="5" s="1"/>
  <c r="U277" i="1"/>
  <c r="H281" i="5" s="1"/>
  <c r="U278" i="1"/>
  <c r="H282" i="5" s="1"/>
  <c r="U279" i="1"/>
  <c r="H283" i="5" s="1"/>
  <c r="U280" i="1"/>
  <c r="U281" i="1"/>
  <c r="H285" i="5" s="1"/>
  <c r="U282" i="1"/>
  <c r="H286" i="5" s="1"/>
  <c r="U283" i="1"/>
  <c r="H287" i="5" s="1"/>
  <c r="U284" i="1"/>
  <c r="H288" i="5" s="1"/>
  <c r="U285" i="1"/>
  <c r="U286" i="1"/>
  <c r="U287" i="1"/>
  <c r="H291" i="5" s="1"/>
  <c r="U288" i="1"/>
  <c r="H292" i="5" s="1"/>
  <c r="U289" i="1"/>
  <c r="H293" i="5" s="1"/>
  <c r="U290" i="1"/>
  <c r="H294" i="5" s="1"/>
  <c r="U291" i="1"/>
  <c r="H295" i="5" s="1"/>
  <c r="U292" i="1"/>
  <c r="H296" i="5" s="1"/>
  <c r="U293" i="1"/>
  <c r="H297" i="5" s="1"/>
  <c r="U294" i="1"/>
  <c r="H298" i="5" s="1"/>
  <c r="U295" i="1"/>
  <c r="H299" i="5" s="1"/>
  <c r="U296" i="1"/>
  <c r="H300" i="5" s="1"/>
  <c r="U297" i="1"/>
  <c r="H301" i="5" s="1"/>
  <c r="U298" i="1"/>
  <c r="U299" i="1"/>
  <c r="U300" i="1"/>
  <c r="H304" i="5" s="1"/>
  <c r="U301" i="1"/>
  <c r="U302" i="1"/>
  <c r="H306" i="5" s="1"/>
  <c r="U303" i="1"/>
  <c r="H307" i="5" s="1"/>
  <c r="U304" i="1"/>
  <c r="H308" i="5" s="1"/>
  <c r="U305" i="1"/>
  <c r="H309" i="5" s="1"/>
  <c r="U306" i="1"/>
  <c r="H310" i="5" s="1"/>
  <c r="U307" i="1"/>
  <c r="U308" i="1"/>
  <c r="H312" i="5" s="1"/>
  <c r="U309" i="1"/>
  <c r="H313" i="5" s="1"/>
  <c r="U310" i="1"/>
  <c r="H314" i="5" s="1"/>
  <c r="U311" i="1"/>
  <c r="H315" i="5" s="1"/>
  <c r="U312" i="1"/>
  <c r="U313" i="1"/>
  <c r="H317" i="5" s="1"/>
  <c r="U314" i="1"/>
  <c r="H318" i="5" s="1"/>
  <c r="U315" i="1"/>
  <c r="H319" i="5" s="1"/>
  <c r="U316" i="1"/>
  <c r="H320" i="5" s="1"/>
  <c r="U317" i="1"/>
  <c r="H321" i="5" s="1"/>
  <c r="U318" i="1"/>
  <c r="H322" i="5" s="1"/>
  <c r="U319" i="1"/>
  <c r="H323" i="5" s="1"/>
  <c r="U320" i="1"/>
  <c r="H324" i="5" s="1"/>
  <c r="U321" i="1"/>
  <c r="H325" i="5" s="1"/>
  <c r="U322" i="1"/>
  <c r="H326" i="5" s="1"/>
  <c r="U323" i="1"/>
  <c r="AA323" i="1" s="1"/>
  <c r="U324" i="1"/>
  <c r="U325" i="1"/>
  <c r="U326" i="1"/>
  <c r="U327" i="1"/>
  <c r="U328" i="1"/>
  <c r="U329" i="1"/>
  <c r="AD3" i="1"/>
  <c r="AD4" i="1"/>
  <c r="AD7" i="1"/>
  <c r="AD8" i="1"/>
  <c r="AD11" i="1"/>
  <c r="AD15" i="1"/>
  <c r="AD19" i="1"/>
  <c r="AD20" i="1"/>
  <c r="AD23" i="1"/>
  <c r="AD24" i="1"/>
  <c r="AD27" i="1"/>
  <c r="AD28" i="1"/>
  <c r="AD31" i="1"/>
  <c r="AD32" i="1"/>
  <c r="AD35" i="1"/>
  <c r="AD36" i="1"/>
  <c r="AD39" i="1"/>
  <c r="AD40" i="1"/>
  <c r="AD47" i="1"/>
  <c r="AD48" i="1"/>
  <c r="AD51" i="1"/>
  <c r="AD52" i="1"/>
  <c r="AD56" i="1"/>
  <c r="AD59" i="1"/>
  <c r="AD63" i="1"/>
  <c r="AD64" i="1"/>
  <c r="AD67" i="1"/>
  <c r="AD68" i="1"/>
  <c r="AD71" i="1"/>
  <c r="AD72" i="1"/>
  <c r="AD75" i="1"/>
  <c r="AD76" i="1"/>
  <c r="AD79" i="1"/>
  <c r="AD80" i="1"/>
  <c r="AD83" i="1"/>
  <c r="AD84" i="1"/>
  <c r="AD88" i="1"/>
  <c r="AD91" i="1"/>
  <c r="AD92" i="1"/>
  <c r="AD96" i="1"/>
  <c r="AD99" i="1"/>
  <c r="AD100" i="1"/>
  <c r="AD103" i="1"/>
  <c r="AD104" i="1"/>
  <c r="AD107" i="1"/>
  <c r="AD108" i="1"/>
  <c r="AD112" i="1"/>
  <c r="AD115" i="1"/>
  <c r="AD116" i="1"/>
  <c r="AD119" i="1"/>
  <c r="AD120" i="1"/>
  <c r="AD123" i="1"/>
  <c r="AD124" i="1"/>
  <c r="AD127" i="1"/>
  <c r="AD128" i="1"/>
  <c r="AD131" i="1"/>
  <c r="AD132" i="1"/>
  <c r="AD135" i="1"/>
  <c r="AD136" i="1"/>
  <c r="AD140" i="1"/>
  <c r="AD144" i="1"/>
  <c r="AD147" i="1"/>
  <c r="AD148" i="1"/>
  <c r="AD151" i="1"/>
  <c r="AD152" i="1"/>
  <c r="AD156" i="1"/>
  <c r="AD159" i="1"/>
  <c r="AD160" i="1"/>
  <c r="AD163" i="1"/>
  <c r="AD164" i="1"/>
  <c r="AD167" i="1"/>
  <c r="AD168" i="1"/>
  <c r="AD171" i="1"/>
  <c r="AD172" i="1"/>
  <c r="AD173" i="1"/>
  <c r="AD175" i="1"/>
  <c r="AD176" i="1"/>
  <c r="AD179" i="1"/>
  <c r="AD180" i="1"/>
  <c r="AD183" i="1"/>
  <c r="AD184" i="1"/>
  <c r="AD188" i="1"/>
  <c r="AD191" i="1"/>
  <c r="AD192" i="1"/>
  <c r="AD195" i="1"/>
  <c r="AD196" i="1"/>
  <c r="AD199" i="1"/>
  <c r="AD200" i="1"/>
  <c r="AD203" i="1"/>
  <c r="AD204" i="1"/>
  <c r="AD207" i="1"/>
  <c r="AD208" i="1"/>
  <c r="AD211" i="1"/>
  <c r="AD215" i="1"/>
  <c r="AD216" i="1"/>
  <c r="AD219" i="1"/>
  <c r="AD223" i="1"/>
  <c r="AD224" i="1"/>
  <c r="AD225" i="1"/>
  <c r="AD227" i="1"/>
  <c r="AD228" i="1"/>
  <c r="AD229" i="1"/>
  <c r="AD231" i="1"/>
  <c r="AD232" i="1"/>
  <c r="AD235" i="1"/>
  <c r="AD236" i="1"/>
  <c r="AD239" i="1"/>
  <c r="AD240" i="1"/>
  <c r="AD243" i="1"/>
  <c r="AD244" i="1"/>
  <c r="AD248" i="1"/>
  <c r="AD251" i="1"/>
  <c r="AD252" i="1"/>
  <c r="AD256" i="1"/>
  <c r="AD259" i="1"/>
  <c r="AD260" i="1"/>
  <c r="AD264" i="1"/>
  <c r="AD267" i="1"/>
  <c r="AD268" i="1"/>
  <c r="AD269" i="1"/>
  <c r="AD271" i="1"/>
  <c r="AD272" i="1"/>
  <c r="AD275" i="1"/>
  <c r="AD276" i="1"/>
  <c r="AD279" i="1"/>
  <c r="AD281" i="1"/>
  <c r="AD284" i="1"/>
  <c r="AD287" i="1"/>
  <c r="AD288" i="1"/>
  <c r="AD289" i="1"/>
  <c r="AD291" i="1"/>
  <c r="AD292" i="1"/>
  <c r="AD293" i="1"/>
  <c r="AD295" i="1"/>
  <c r="AD296" i="1"/>
  <c r="AD299" i="1"/>
  <c r="AD301" i="1"/>
  <c r="AD303" i="1"/>
  <c r="AD307" i="1"/>
  <c r="AD308" i="1"/>
  <c r="AD311" i="1"/>
  <c r="AD315" i="1"/>
  <c r="AD316" i="1"/>
  <c r="AD319" i="1"/>
  <c r="AD320" i="1"/>
  <c r="AD324" i="1"/>
  <c r="AA301" i="1" l="1"/>
  <c r="I305" i="5" s="1"/>
  <c r="H305" i="5"/>
  <c r="AA221" i="1"/>
  <c r="I225" i="5" s="1"/>
  <c r="H225" i="5"/>
  <c r="AA61" i="1"/>
  <c r="I65" i="5" s="1"/>
  <c r="H65" i="5"/>
  <c r="AA312" i="1"/>
  <c r="I316" i="5" s="1"/>
  <c r="H316" i="5"/>
  <c r="AA280" i="1"/>
  <c r="I284" i="5" s="1"/>
  <c r="H284" i="5"/>
  <c r="AA232" i="1"/>
  <c r="I236" i="5" s="1"/>
  <c r="H236" i="5"/>
  <c r="AA220" i="1"/>
  <c r="I224" i="5" s="1"/>
  <c r="H224" i="5"/>
  <c r="AA212" i="1"/>
  <c r="I216" i="5" s="1"/>
  <c r="H216" i="5"/>
  <c r="AA60" i="1"/>
  <c r="I64" i="5" s="1"/>
  <c r="H64" i="5"/>
  <c r="AA299" i="1"/>
  <c r="I303" i="5" s="1"/>
  <c r="H303" i="5"/>
  <c r="AA247" i="1"/>
  <c r="I251" i="5" s="1"/>
  <c r="H251" i="5"/>
  <c r="AA159" i="1"/>
  <c r="I163" i="5" s="1"/>
  <c r="H163" i="5"/>
  <c r="AA143" i="1"/>
  <c r="I147" i="5" s="1"/>
  <c r="H147" i="5"/>
  <c r="AA59" i="1"/>
  <c r="I63" i="5" s="1"/>
  <c r="H63" i="5"/>
  <c r="AA7" i="1"/>
  <c r="I11" i="5" s="1"/>
  <c r="H11" i="5"/>
  <c r="J22" i="5"/>
  <c r="AF315" i="1"/>
  <c r="AF255" i="1"/>
  <c r="AA255" i="1"/>
  <c r="I259" i="5" s="1"/>
  <c r="AF199" i="1"/>
  <c r="AF171" i="1"/>
  <c r="AF111" i="1"/>
  <c r="AA111" i="1"/>
  <c r="I115" i="5" s="1"/>
  <c r="AF103" i="1"/>
  <c r="AF83" i="1"/>
  <c r="AF19" i="1"/>
  <c r="AF147" i="1"/>
  <c r="AF47" i="1"/>
  <c r="AF39" i="1"/>
  <c r="H330" i="5"/>
  <c r="AA246" i="1"/>
  <c r="AA206" i="1"/>
  <c r="AA170" i="1"/>
  <c r="I174" i="5" s="1"/>
  <c r="AA150" i="1"/>
  <c r="AA130" i="1"/>
  <c r="I134" i="5" s="1"/>
  <c r="AA106" i="1"/>
  <c r="I110" i="5" s="1"/>
  <c r="AA90" i="1"/>
  <c r="AA86" i="1"/>
  <c r="AA50" i="1"/>
  <c r="I54" i="5" s="1"/>
  <c r="AA46" i="1"/>
  <c r="I50" i="5" s="1"/>
  <c r="AA34" i="1"/>
  <c r="AA30" i="1"/>
  <c r="AA26" i="1"/>
  <c r="AF251" i="1"/>
  <c r="AF227" i="1"/>
  <c r="AF167" i="1"/>
  <c r="AF139" i="1"/>
  <c r="AF237" i="1"/>
  <c r="AF145" i="1"/>
  <c r="AF137" i="1"/>
  <c r="AF117" i="1"/>
  <c r="AF109" i="1"/>
  <c r="AF81" i="1"/>
  <c r="AA81" i="1"/>
  <c r="I85" i="5" s="1"/>
  <c r="AF73" i="1"/>
  <c r="AF53" i="1"/>
  <c r="AF45" i="1"/>
  <c r="AF17" i="1"/>
  <c r="AF279" i="1"/>
  <c r="AF243" i="1"/>
  <c r="AF75" i="1"/>
  <c r="AF236" i="1"/>
  <c r="AF208" i="1"/>
  <c r="AF180" i="1"/>
  <c r="AF164" i="1"/>
  <c r="AF156" i="1"/>
  <c r="AF148" i="1"/>
  <c r="AF140" i="1"/>
  <c r="AF128" i="1"/>
  <c r="AF120" i="1"/>
  <c r="AF100" i="1"/>
  <c r="AF92" i="1"/>
  <c r="AF84" i="1"/>
  <c r="AF76" i="1"/>
  <c r="AF64" i="1"/>
  <c r="AF56" i="1"/>
  <c r="AF36" i="1"/>
  <c r="AF28" i="1"/>
  <c r="AF20" i="1"/>
  <c r="Z312" i="1"/>
  <c r="G316" i="5" s="1"/>
  <c r="Z280" i="1"/>
  <c r="G284" i="5" s="1"/>
  <c r="Z220" i="1"/>
  <c r="G224" i="5" s="1"/>
  <c r="Z212" i="1"/>
  <c r="G216" i="5" s="1"/>
  <c r="Z60" i="1"/>
  <c r="G64" i="5" s="1"/>
  <c r="Z16" i="1"/>
  <c r="Z247" i="1"/>
  <c r="Z187" i="1"/>
  <c r="Z143" i="1"/>
  <c r="G147" i="5" s="1"/>
  <c r="Z111" i="1"/>
  <c r="G115" i="5" s="1"/>
  <c r="Z55" i="1"/>
  <c r="Z130" i="1"/>
  <c r="G134" i="5" s="1"/>
  <c r="Z106" i="1"/>
  <c r="G110" i="5" s="1"/>
  <c r="Z90" i="1"/>
  <c r="Z30" i="1"/>
  <c r="Z301" i="1"/>
  <c r="G305" i="5" s="1"/>
  <c r="Z253" i="1"/>
  <c r="Z221" i="1"/>
  <c r="G225" i="5" s="1"/>
  <c r="Z157" i="1"/>
  <c r="Z85" i="1"/>
  <c r="Z81" i="1"/>
  <c r="G85" i="5" s="1"/>
  <c r="AD325" i="1"/>
  <c r="AD317" i="1"/>
  <c r="AD241" i="1"/>
  <c r="AD53" i="1"/>
  <c r="AD285" i="1"/>
  <c r="AD277" i="1"/>
  <c r="AD265" i="1"/>
  <c r="AD257" i="1"/>
  <c r="AD201" i="1"/>
  <c r="AD253" i="1"/>
  <c r="AD245" i="1"/>
  <c r="AD233" i="1"/>
  <c r="AD165" i="1"/>
  <c r="AD141" i="1"/>
  <c r="AD329" i="1"/>
  <c r="AD313" i="1"/>
  <c r="AD305" i="1"/>
  <c r="AD297" i="1"/>
  <c r="AD209" i="1"/>
  <c r="AD197" i="1"/>
  <c r="AD181" i="1"/>
  <c r="AD169" i="1"/>
  <c r="AD157" i="1"/>
  <c r="AD13" i="1"/>
  <c r="AD129" i="1"/>
  <c r="AD61" i="1"/>
  <c r="AD45" i="1"/>
  <c r="AD17" i="1"/>
  <c r="AD9" i="1"/>
  <c r="AD117" i="1"/>
  <c r="AD81" i="1"/>
  <c r="AD33" i="1"/>
  <c r="AF324" i="1"/>
  <c r="H328" i="5"/>
  <c r="AF312" i="1"/>
  <c r="AF300" i="1"/>
  <c r="AF288" i="1"/>
  <c r="AF276" i="1"/>
  <c r="AF264" i="1"/>
  <c r="AF256" i="1"/>
  <c r="AF244" i="1"/>
  <c r="AF172" i="1"/>
  <c r="AF168" i="1"/>
  <c r="AF160" i="1"/>
  <c r="AF112" i="1"/>
  <c r="AF104" i="1"/>
  <c r="AF96" i="1"/>
  <c r="AF72" i="1"/>
  <c r="AF68" i="1"/>
  <c r="T327" i="1"/>
  <c r="F331" i="5" s="1"/>
  <c r="T315" i="1"/>
  <c r="F319" i="5" s="1"/>
  <c r="T299" i="1"/>
  <c r="F303" i="5" s="1"/>
  <c r="T283" i="1"/>
  <c r="F287" i="5" s="1"/>
  <c r="T271" i="1"/>
  <c r="F275" i="5" s="1"/>
  <c r="T259" i="1"/>
  <c r="F263" i="5" s="1"/>
  <c r="T247" i="1"/>
  <c r="F251" i="5" s="1"/>
  <c r="T239" i="1"/>
  <c r="F243" i="5" s="1"/>
  <c r="T227" i="1"/>
  <c r="F231" i="5" s="1"/>
  <c r="T215" i="1"/>
  <c r="F219" i="5" s="1"/>
  <c r="T195" i="1"/>
  <c r="F199" i="5" s="1"/>
  <c r="T187" i="1"/>
  <c r="T175" i="1"/>
  <c r="F179" i="5" s="1"/>
  <c r="T159" i="1"/>
  <c r="F163" i="5" s="1"/>
  <c r="T147" i="1"/>
  <c r="F151" i="5" s="1"/>
  <c r="T135" i="1"/>
  <c r="F139" i="5" s="1"/>
  <c r="T119" i="1"/>
  <c r="F123" i="5" s="1"/>
  <c r="T107" i="1"/>
  <c r="F111" i="5" s="1"/>
  <c r="T95" i="1"/>
  <c r="F99" i="5" s="1"/>
  <c r="T79" i="1"/>
  <c r="F83" i="5" s="1"/>
  <c r="T67" i="1"/>
  <c r="F71" i="5" s="1"/>
  <c r="T51" i="1"/>
  <c r="F55" i="5" s="1"/>
  <c r="T39" i="1"/>
  <c r="F43" i="5" s="1"/>
  <c r="AF323" i="1"/>
  <c r="AF311" i="1"/>
  <c r="AF303" i="1"/>
  <c r="AF295" i="1"/>
  <c r="AF287" i="1"/>
  <c r="AF275" i="1"/>
  <c r="AF259" i="1"/>
  <c r="AF235" i="1"/>
  <c r="AF223" i="1"/>
  <c r="AF215" i="1"/>
  <c r="AF207" i="1"/>
  <c r="AF191" i="1"/>
  <c r="AF159" i="1"/>
  <c r="AF127" i="1"/>
  <c r="AF91" i="1"/>
  <c r="AF87" i="1"/>
  <c r="AF320" i="1"/>
  <c r="AF308" i="1"/>
  <c r="AF296" i="1"/>
  <c r="AF284" i="1"/>
  <c r="AF268" i="1"/>
  <c r="AF228" i="1"/>
  <c r="AF220" i="1"/>
  <c r="AF212" i="1"/>
  <c r="AF200" i="1"/>
  <c r="AF192" i="1"/>
  <c r="AF184" i="1"/>
  <c r="AF176" i="1"/>
  <c r="AF152" i="1"/>
  <c r="AF144" i="1"/>
  <c r="AF136" i="1"/>
  <c r="AF132" i="1"/>
  <c r="AF124" i="1"/>
  <c r="AF48" i="1"/>
  <c r="AF24" i="1"/>
  <c r="AF16" i="1"/>
  <c r="T319" i="1"/>
  <c r="F323" i="5" s="1"/>
  <c r="T311" i="1"/>
  <c r="F315" i="5" s="1"/>
  <c r="T303" i="1"/>
  <c r="F307" i="5" s="1"/>
  <c r="T291" i="1"/>
  <c r="F295" i="5" s="1"/>
  <c r="T275" i="1"/>
  <c r="F279" i="5" s="1"/>
  <c r="T263" i="1"/>
  <c r="T251" i="1"/>
  <c r="F255" i="5" s="1"/>
  <c r="T235" i="1"/>
  <c r="T223" i="1"/>
  <c r="F227" i="5" s="1"/>
  <c r="T211" i="1"/>
  <c r="F215" i="5" s="1"/>
  <c r="T203" i="1"/>
  <c r="F207" i="5" s="1"/>
  <c r="T191" i="1"/>
  <c r="F195" i="5" s="1"/>
  <c r="T179" i="1"/>
  <c r="F183" i="5" s="1"/>
  <c r="T167" i="1"/>
  <c r="F171" i="5" s="1"/>
  <c r="T155" i="1"/>
  <c r="F159" i="5" s="1"/>
  <c r="T139" i="1"/>
  <c r="T127" i="1"/>
  <c r="F131" i="5" s="1"/>
  <c r="T115" i="1"/>
  <c r="F119" i="5" s="1"/>
  <c r="T103" i="1"/>
  <c r="F107" i="5" s="1"/>
  <c r="T91" i="1"/>
  <c r="F95" i="5" s="1"/>
  <c r="T83" i="1"/>
  <c r="F87" i="5" s="1"/>
  <c r="T71" i="1"/>
  <c r="F75" i="5" s="1"/>
  <c r="T59" i="1"/>
  <c r="F63" i="5" s="1"/>
  <c r="T47" i="1"/>
  <c r="T35" i="1"/>
  <c r="F39" i="5" s="1"/>
  <c r="T23" i="1"/>
  <c r="T15" i="1"/>
  <c r="F19" i="5" s="1"/>
  <c r="I331" i="5"/>
  <c r="AF327" i="1"/>
  <c r="H331" i="5"/>
  <c r="AF319" i="1"/>
  <c r="AF267" i="1"/>
  <c r="AF247" i="1"/>
  <c r="AF239" i="1"/>
  <c r="AF231" i="1"/>
  <c r="AF219" i="1"/>
  <c r="AF211" i="1"/>
  <c r="AF203" i="1"/>
  <c r="AF195" i="1"/>
  <c r="AF183" i="1"/>
  <c r="AF179" i="1"/>
  <c r="AF175" i="1"/>
  <c r="AF131" i="1"/>
  <c r="AF99" i="1"/>
  <c r="AF67" i="1"/>
  <c r="AF59" i="1"/>
  <c r="AF55" i="1"/>
  <c r="AF51" i="1"/>
  <c r="AF43" i="1"/>
  <c r="AF11" i="1"/>
  <c r="AF3" i="1"/>
  <c r="T326" i="1"/>
  <c r="T318" i="1"/>
  <c r="F322" i="5" s="1"/>
  <c r="T310" i="1"/>
  <c r="F314" i="5" s="1"/>
  <c r="T302" i="1"/>
  <c r="F306" i="5" s="1"/>
  <c r="T294" i="1"/>
  <c r="F298" i="5" s="1"/>
  <c r="T290" i="1"/>
  <c r="F294" i="5" s="1"/>
  <c r="AF294" i="1"/>
  <c r="AF154" i="1"/>
  <c r="AF18" i="1"/>
  <c r="T129" i="1"/>
  <c r="F133" i="5" s="1"/>
  <c r="T113" i="1"/>
  <c r="F117" i="5" s="1"/>
  <c r="AF328" i="1"/>
  <c r="H332" i="5"/>
  <c r="AF316" i="1"/>
  <c r="AF304" i="1"/>
  <c r="AF292" i="1"/>
  <c r="AF280" i="1"/>
  <c r="AF272" i="1"/>
  <c r="AF260" i="1"/>
  <c r="AF252" i="1"/>
  <c r="AF248" i="1"/>
  <c r="AF240" i="1"/>
  <c r="AF232" i="1"/>
  <c r="AF224" i="1"/>
  <c r="AF216" i="1"/>
  <c r="AF204" i="1"/>
  <c r="AF196" i="1"/>
  <c r="AF188" i="1"/>
  <c r="AF116" i="1"/>
  <c r="AF108" i="1"/>
  <c r="AF88" i="1"/>
  <c r="AF80" i="1"/>
  <c r="AF60" i="1"/>
  <c r="AF52" i="1"/>
  <c r="AF44" i="1"/>
  <c r="AF40" i="1"/>
  <c r="AF32" i="1"/>
  <c r="AF12" i="1"/>
  <c r="AF8" i="1"/>
  <c r="AF4" i="1"/>
  <c r="T323" i="1"/>
  <c r="T307" i="1"/>
  <c r="T295" i="1"/>
  <c r="F299" i="5" s="1"/>
  <c r="T287" i="1"/>
  <c r="F291" i="5" s="1"/>
  <c r="T279" i="1"/>
  <c r="F283" i="5" s="1"/>
  <c r="T267" i="1"/>
  <c r="F271" i="5" s="1"/>
  <c r="T255" i="1"/>
  <c r="F259" i="5" s="1"/>
  <c r="T243" i="1"/>
  <c r="F247" i="5" s="1"/>
  <c r="T231" i="1"/>
  <c r="F235" i="5" s="1"/>
  <c r="T219" i="1"/>
  <c r="F223" i="5" s="1"/>
  <c r="T207" i="1"/>
  <c r="F211" i="5" s="1"/>
  <c r="T199" i="1"/>
  <c r="F203" i="5" s="1"/>
  <c r="T183" i="1"/>
  <c r="F187" i="5" s="1"/>
  <c r="T171" i="1"/>
  <c r="F175" i="5" s="1"/>
  <c r="T163" i="1"/>
  <c r="F167" i="5" s="1"/>
  <c r="T151" i="1"/>
  <c r="F155" i="5" s="1"/>
  <c r="T143" i="1"/>
  <c r="F147" i="5" s="1"/>
  <c r="T131" i="1"/>
  <c r="F135" i="5" s="1"/>
  <c r="T123" i="1"/>
  <c r="F127" i="5" s="1"/>
  <c r="T111" i="1"/>
  <c r="F115" i="5" s="1"/>
  <c r="T99" i="1"/>
  <c r="F103" i="5" s="1"/>
  <c r="T87" i="1"/>
  <c r="F91" i="5" s="1"/>
  <c r="T75" i="1"/>
  <c r="F79" i="5" s="1"/>
  <c r="T63" i="1"/>
  <c r="F67" i="5" s="1"/>
  <c r="T55" i="1"/>
  <c r="T43" i="1"/>
  <c r="F47" i="5" s="1"/>
  <c r="T31" i="1"/>
  <c r="F35" i="5" s="1"/>
  <c r="T27" i="1"/>
  <c r="F31" i="5" s="1"/>
  <c r="T19" i="1"/>
  <c r="F23" i="5" s="1"/>
  <c r="T11" i="1"/>
  <c r="F15" i="5" s="1"/>
  <c r="T7" i="1"/>
  <c r="F11" i="5" s="1"/>
  <c r="T3" i="1"/>
  <c r="F7" i="5" s="1"/>
  <c r="AF307" i="1"/>
  <c r="AF299" i="1"/>
  <c r="AF291" i="1"/>
  <c r="AF283" i="1"/>
  <c r="AF271" i="1"/>
  <c r="AF263" i="1"/>
  <c r="AF187" i="1"/>
  <c r="AF163" i="1"/>
  <c r="AF155" i="1"/>
  <c r="AF151" i="1"/>
  <c r="AF143" i="1"/>
  <c r="AF135" i="1"/>
  <c r="AF123" i="1"/>
  <c r="AF119" i="1"/>
  <c r="AF115" i="1"/>
  <c r="AF107" i="1"/>
  <c r="AF95" i="1"/>
  <c r="AF79" i="1"/>
  <c r="AF71" i="1"/>
  <c r="AF63" i="1"/>
  <c r="AF35" i="1"/>
  <c r="AF31" i="1"/>
  <c r="AF27" i="1"/>
  <c r="AF23" i="1"/>
  <c r="AF15" i="1"/>
  <c r="AF7" i="1"/>
  <c r="T322" i="1"/>
  <c r="F326" i="5" s="1"/>
  <c r="T314" i="1"/>
  <c r="F318" i="5" s="1"/>
  <c r="T306" i="1"/>
  <c r="F310" i="5" s="1"/>
  <c r="T298" i="1"/>
  <c r="T286" i="1"/>
  <c r="AF329" i="1"/>
  <c r="H333" i="5"/>
  <c r="AF325" i="1"/>
  <c r="H329" i="5"/>
  <c r="AF321" i="1"/>
  <c r="AF317" i="1"/>
  <c r="AF313" i="1"/>
  <c r="AF309" i="1"/>
  <c r="AF305" i="1"/>
  <c r="AF301" i="1"/>
  <c r="AF297" i="1"/>
  <c r="AF293" i="1"/>
  <c r="AF289" i="1"/>
  <c r="AF285" i="1"/>
  <c r="AF281" i="1"/>
  <c r="AF277" i="1"/>
  <c r="AF273" i="1"/>
  <c r="AF269" i="1"/>
  <c r="AF265" i="1"/>
  <c r="AF261" i="1"/>
  <c r="AF257" i="1"/>
  <c r="AF253" i="1"/>
  <c r="AF249" i="1"/>
  <c r="AF245" i="1"/>
  <c r="AF241" i="1"/>
  <c r="AF233" i="1"/>
  <c r="AF229" i="1"/>
  <c r="AF225" i="1"/>
  <c r="AF221" i="1"/>
  <c r="AF217" i="1"/>
  <c r="AF213" i="1"/>
  <c r="AF209" i="1"/>
  <c r="AF205" i="1"/>
  <c r="AF201" i="1"/>
  <c r="AF197" i="1"/>
  <c r="AF193" i="1"/>
  <c r="AF189" i="1"/>
  <c r="AF185" i="1"/>
  <c r="AF181" i="1"/>
  <c r="AF177" i="1"/>
  <c r="AF173" i="1"/>
  <c r="AF169" i="1"/>
  <c r="AF165" i="1"/>
  <c r="AF161" i="1"/>
  <c r="AF157" i="1"/>
  <c r="AF153" i="1"/>
  <c r="AF149" i="1"/>
  <c r="AF141" i="1"/>
  <c r="AF133" i="1"/>
  <c r="AF129" i="1"/>
  <c r="AF125" i="1"/>
  <c r="AF121" i="1"/>
  <c r="AF113" i="1"/>
  <c r="AF105" i="1"/>
  <c r="AF101" i="1"/>
  <c r="AF97" i="1"/>
  <c r="AF93" i="1"/>
  <c r="AF89" i="1"/>
  <c r="AF85" i="1"/>
  <c r="AF77" i="1"/>
  <c r="AF69" i="1"/>
  <c r="AF65" i="1"/>
  <c r="AF61" i="1"/>
  <c r="AF57" i="1"/>
  <c r="AF49" i="1"/>
  <c r="AF41" i="1"/>
  <c r="AF37" i="1"/>
  <c r="AF33" i="1"/>
  <c r="AF29" i="1"/>
  <c r="AF25" i="1"/>
  <c r="AF21" i="1"/>
  <c r="AF13" i="1"/>
  <c r="AF9" i="1"/>
  <c r="AF5" i="1"/>
  <c r="T328" i="1"/>
  <c r="F332" i="5" s="1"/>
  <c r="T324" i="1"/>
  <c r="T320" i="1"/>
  <c r="F324" i="5" s="1"/>
  <c r="T316" i="1"/>
  <c r="F320" i="5" s="1"/>
  <c r="T312" i="1"/>
  <c r="F316" i="5" s="1"/>
  <c r="T308" i="1"/>
  <c r="F312" i="5" s="1"/>
  <c r="T304" i="1"/>
  <c r="F308" i="5" s="1"/>
  <c r="T300" i="1"/>
  <c r="F304" i="5" s="1"/>
  <c r="T296" i="1"/>
  <c r="F300" i="5" s="1"/>
  <c r="T292" i="1"/>
  <c r="F296" i="5" s="1"/>
  <c r="T288" i="1"/>
  <c r="F292" i="5" s="1"/>
  <c r="T284" i="1"/>
  <c r="F288" i="5" s="1"/>
  <c r="T280" i="1"/>
  <c r="F284" i="5" s="1"/>
  <c r="T276" i="1"/>
  <c r="F280" i="5" s="1"/>
  <c r="T272" i="1"/>
  <c r="F276" i="5" s="1"/>
  <c r="T268" i="1"/>
  <c r="F272" i="5" s="1"/>
  <c r="T264" i="1"/>
  <c r="F268" i="5" s="1"/>
  <c r="T260" i="1"/>
  <c r="F264" i="5" s="1"/>
  <c r="T256" i="1"/>
  <c r="F260" i="5" s="1"/>
  <c r="T252" i="1"/>
  <c r="F256" i="5" s="1"/>
  <c r="T248" i="1"/>
  <c r="F252" i="5" s="1"/>
  <c r="T244" i="1"/>
  <c r="F248" i="5" s="1"/>
  <c r="T240" i="1"/>
  <c r="F244" i="5" s="1"/>
  <c r="T236" i="1"/>
  <c r="F240" i="5" s="1"/>
  <c r="T232" i="1"/>
  <c r="F236" i="5" s="1"/>
  <c r="T228" i="1"/>
  <c r="F232" i="5" s="1"/>
  <c r="T224" i="1"/>
  <c r="F228" i="5" s="1"/>
  <c r="T220" i="1"/>
  <c r="F224" i="5" s="1"/>
  <c r="T216" i="1"/>
  <c r="F220" i="5" s="1"/>
  <c r="T212" i="1"/>
  <c r="F216" i="5" s="1"/>
  <c r="T208" i="1"/>
  <c r="F212" i="5" s="1"/>
  <c r="T204" i="1"/>
  <c r="F208" i="5" s="1"/>
  <c r="T200" i="1"/>
  <c r="F204" i="5" s="1"/>
  <c r="T196" i="1"/>
  <c r="F200" i="5" s="1"/>
  <c r="T192" i="1"/>
  <c r="F196" i="5" s="1"/>
  <c r="T188" i="1"/>
  <c r="F192" i="5" s="1"/>
  <c r="T184" i="1"/>
  <c r="F188" i="5" s="1"/>
  <c r="T180" i="1"/>
  <c r="F184" i="5" s="1"/>
  <c r="T176" i="1"/>
  <c r="T172" i="1"/>
  <c r="F176" i="5" s="1"/>
  <c r="T168" i="1"/>
  <c r="F172" i="5" s="1"/>
  <c r="T164" i="1"/>
  <c r="T160" i="1"/>
  <c r="F164" i="5" s="1"/>
  <c r="T156" i="1"/>
  <c r="F160" i="5" s="1"/>
  <c r="T152" i="1"/>
  <c r="F156" i="5" s="1"/>
  <c r="T148" i="1"/>
  <c r="F152" i="5" s="1"/>
  <c r="T144" i="1"/>
  <c r="F148" i="5" s="1"/>
  <c r="T140" i="1"/>
  <c r="F144" i="5" s="1"/>
  <c r="T136" i="1"/>
  <c r="F140" i="5" s="1"/>
  <c r="T132" i="1"/>
  <c r="T128" i="1"/>
  <c r="F132" i="5" s="1"/>
  <c r="T124" i="1"/>
  <c r="F128" i="5" s="1"/>
  <c r="T120" i="1"/>
  <c r="F124" i="5" s="1"/>
  <c r="T116" i="1"/>
  <c r="T112" i="1"/>
  <c r="F116" i="5" s="1"/>
  <c r="T108" i="1"/>
  <c r="F112" i="5" s="1"/>
  <c r="T104" i="1"/>
  <c r="F108" i="5" s="1"/>
  <c r="T100" i="1"/>
  <c r="F104" i="5" s="1"/>
  <c r="T96" i="1"/>
  <c r="T92" i="1"/>
  <c r="F96" i="5" s="1"/>
  <c r="T88" i="1"/>
  <c r="F92" i="5" s="1"/>
  <c r="T84" i="1"/>
  <c r="F88" i="5" s="1"/>
  <c r="T80" i="1"/>
  <c r="F84" i="5" s="1"/>
  <c r="T76" i="1"/>
  <c r="F80" i="5" s="1"/>
  <c r="T72" i="1"/>
  <c r="F76" i="5" s="1"/>
  <c r="T68" i="1"/>
  <c r="F72" i="5" s="1"/>
  <c r="T64" i="1"/>
  <c r="F68" i="5" s="1"/>
  <c r="T60" i="1"/>
  <c r="F64" i="5" s="1"/>
  <c r="T56" i="1"/>
  <c r="F60" i="5" s="1"/>
  <c r="T52" i="1"/>
  <c r="F56" i="5" s="1"/>
  <c r="T48" i="1"/>
  <c r="F52" i="5" s="1"/>
  <c r="T44" i="1"/>
  <c r="F48" i="5" s="1"/>
  <c r="T40" i="1"/>
  <c r="F44" i="5" s="1"/>
  <c r="T36" i="1"/>
  <c r="F40" i="5" s="1"/>
  <c r="T32" i="1"/>
  <c r="F36" i="5" s="1"/>
  <c r="T28" i="1"/>
  <c r="F32" i="5" s="1"/>
  <c r="T24" i="1"/>
  <c r="F28" i="5" s="1"/>
  <c r="T20" i="1"/>
  <c r="F24" i="5" s="1"/>
  <c r="T16" i="1"/>
  <c r="T12" i="1"/>
  <c r="F16" i="5" s="1"/>
  <c r="T8" i="1"/>
  <c r="F12" i="5" s="1"/>
  <c r="T4" i="1"/>
  <c r="F8" i="5" s="1"/>
  <c r="AB154" i="1"/>
  <c r="T282" i="1"/>
  <c r="F286" i="5" s="1"/>
  <c r="T278" i="1"/>
  <c r="F282" i="5" s="1"/>
  <c r="T274" i="1"/>
  <c r="F278" i="5" s="1"/>
  <c r="T270" i="1"/>
  <c r="F274" i="5" s="1"/>
  <c r="T266" i="1"/>
  <c r="F270" i="5" s="1"/>
  <c r="T262" i="1"/>
  <c r="F266" i="5" s="1"/>
  <c r="T258" i="1"/>
  <c r="F262" i="5" s="1"/>
  <c r="T254" i="1"/>
  <c r="F258" i="5" s="1"/>
  <c r="T250" i="1"/>
  <c r="F254" i="5" s="1"/>
  <c r="T246" i="1"/>
  <c r="T242" i="1"/>
  <c r="F246" i="5" s="1"/>
  <c r="T238" i="1"/>
  <c r="F242" i="5" s="1"/>
  <c r="T234" i="1"/>
  <c r="F238" i="5" s="1"/>
  <c r="T230" i="1"/>
  <c r="F234" i="5" s="1"/>
  <c r="T226" i="1"/>
  <c r="F230" i="5" s="1"/>
  <c r="T222" i="1"/>
  <c r="F226" i="5" s="1"/>
  <c r="T218" i="1"/>
  <c r="F222" i="5" s="1"/>
  <c r="T214" i="1"/>
  <c r="F218" i="5" s="1"/>
  <c r="T210" i="1"/>
  <c r="F214" i="5" s="1"/>
  <c r="T206" i="1"/>
  <c r="T202" i="1"/>
  <c r="F206" i="5" s="1"/>
  <c r="T198" i="1"/>
  <c r="F202" i="5" s="1"/>
  <c r="T194" i="1"/>
  <c r="F198" i="5" s="1"/>
  <c r="T190" i="1"/>
  <c r="T186" i="1"/>
  <c r="F190" i="5" s="1"/>
  <c r="T182" i="1"/>
  <c r="F186" i="5" s="1"/>
  <c r="T178" i="1"/>
  <c r="F182" i="5" s="1"/>
  <c r="T174" i="1"/>
  <c r="F178" i="5" s="1"/>
  <c r="T170" i="1"/>
  <c r="F174" i="5" s="1"/>
  <c r="T166" i="1"/>
  <c r="F170" i="5" s="1"/>
  <c r="T162" i="1"/>
  <c r="F166" i="5" s="1"/>
  <c r="T158" i="1"/>
  <c r="F162" i="5" s="1"/>
  <c r="T154" i="1"/>
  <c r="F158" i="5" s="1"/>
  <c r="T150" i="1"/>
  <c r="T146" i="1"/>
  <c r="F150" i="5" s="1"/>
  <c r="T142" i="1"/>
  <c r="F146" i="5" s="1"/>
  <c r="T138" i="1"/>
  <c r="F142" i="5" s="1"/>
  <c r="T134" i="1"/>
  <c r="F138" i="5" s="1"/>
  <c r="T130" i="1"/>
  <c r="F134" i="5" s="1"/>
  <c r="T126" i="1"/>
  <c r="F130" i="5" s="1"/>
  <c r="T122" i="1"/>
  <c r="F126" i="5" s="1"/>
  <c r="T118" i="1"/>
  <c r="F122" i="5" s="1"/>
  <c r="T114" i="1"/>
  <c r="F118" i="5" s="1"/>
  <c r="T110" i="1"/>
  <c r="F114" i="5" s="1"/>
  <c r="T106" i="1"/>
  <c r="F110" i="5" s="1"/>
  <c r="T102" i="1"/>
  <c r="T98" i="1"/>
  <c r="F102" i="5" s="1"/>
  <c r="T94" i="1"/>
  <c r="F98" i="5" s="1"/>
  <c r="T90" i="1"/>
  <c r="T86" i="1"/>
  <c r="T82" i="1"/>
  <c r="F86" i="5" s="1"/>
  <c r="T78" i="1"/>
  <c r="F82" i="5" s="1"/>
  <c r="T74" i="1"/>
  <c r="F78" i="5" s="1"/>
  <c r="T70" i="1"/>
  <c r="F74" i="5" s="1"/>
  <c r="T66" i="1"/>
  <c r="F70" i="5" s="1"/>
  <c r="T62" i="1"/>
  <c r="F66" i="5" s="1"/>
  <c r="T58" i="1"/>
  <c r="F62" i="5" s="1"/>
  <c r="T54" i="1"/>
  <c r="F58" i="5" s="1"/>
  <c r="T50" i="1"/>
  <c r="F54" i="5" s="1"/>
  <c r="T46" i="1"/>
  <c r="F50" i="5" s="1"/>
  <c r="T42" i="1"/>
  <c r="F46" i="5" s="1"/>
  <c r="T38" i="1"/>
  <c r="F42" i="5" s="1"/>
  <c r="T34" i="1"/>
  <c r="T30" i="1"/>
  <c r="T26" i="1"/>
  <c r="T22" i="1"/>
  <c r="F26" i="5" s="1"/>
  <c r="T18" i="1"/>
  <c r="F22" i="5" s="1"/>
  <c r="T14" i="1"/>
  <c r="F18" i="5" s="1"/>
  <c r="T10" i="1"/>
  <c r="F14" i="5" s="1"/>
  <c r="T6" i="1"/>
  <c r="F10" i="5" s="1"/>
  <c r="T2" i="1"/>
  <c r="AB95" i="1"/>
  <c r="T329" i="1"/>
  <c r="F333" i="5" s="1"/>
  <c r="T325" i="1"/>
  <c r="F329" i="5" s="1"/>
  <c r="T321" i="1"/>
  <c r="F325" i="5" s="1"/>
  <c r="T317" i="1"/>
  <c r="F321" i="5" s="1"/>
  <c r="T313" i="1"/>
  <c r="F317" i="5" s="1"/>
  <c r="T309" i="1"/>
  <c r="F313" i="5" s="1"/>
  <c r="T305" i="1"/>
  <c r="F309" i="5" s="1"/>
  <c r="T301" i="1"/>
  <c r="F305" i="5" s="1"/>
  <c r="T297" i="1"/>
  <c r="F301" i="5" s="1"/>
  <c r="T293" i="1"/>
  <c r="F297" i="5" s="1"/>
  <c r="T289" i="1"/>
  <c r="F293" i="5" s="1"/>
  <c r="T285" i="1"/>
  <c r="T281" i="1"/>
  <c r="F285" i="5" s="1"/>
  <c r="T277" i="1"/>
  <c r="F281" i="5" s="1"/>
  <c r="T273" i="1"/>
  <c r="F277" i="5" s="1"/>
  <c r="T269" i="1"/>
  <c r="F273" i="5" s="1"/>
  <c r="T265" i="1"/>
  <c r="F269" i="5" s="1"/>
  <c r="T261" i="1"/>
  <c r="F265" i="5" s="1"/>
  <c r="T253" i="1"/>
  <c r="T249" i="1"/>
  <c r="F253" i="5" s="1"/>
  <c r="T245" i="1"/>
  <c r="F249" i="5" s="1"/>
  <c r="T237" i="1"/>
  <c r="F241" i="5" s="1"/>
  <c r="T233" i="1"/>
  <c r="F237" i="5" s="1"/>
  <c r="T229" i="1"/>
  <c r="F233" i="5" s="1"/>
  <c r="T225" i="1"/>
  <c r="F229" i="5" s="1"/>
  <c r="T221" i="1"/>
  <c r="F225" i="5" s="1"/>
  <c r="T217" i="1"/>
  <c r="F221" i="5" s="1"/>
  <c r="T213" i="1"/>
  <c r="F217" i="5" s="1"/>
  <c r="T209" i="1"/>
  <c r="F213" i="5" s="1"/>
  <c r="T205" i="1"/>
  <c r="F209" i="5" s="1"/>
  <c r="T201" i="1"/>
  <c r="F205" i="5" s="1"/>
  <c r="T197" i="1"/>
  <c r="F201" i="5" s="1"/>
  <c r="T193" i="1"/>
  <c r="F197" i="5" s="1"/>
  <c r="T189" i="1"/>
  <c r="F193" i="5" s="1"/>
  <c r="T185" i="1"/>
  <c r="F189" i="5" s="1"/>
  <c r="T181" i="1"/>
  <c r="F185" i="5" s="1"/>
  <c r="T177" i="1"/>
  <c r="F181" i="5" s="1"/>
  <c r="T173" i="1"/>
  <c r="F177" i="5" s="1"/>
  <c r="T169" i="1"/>
  <c r="F173" i="5" s="1"/>
  <c r="T165" i="1"/>
  <c r="F169" i="5" s="1"/>
  <c r="T161" i="1"/>
  <c r="F165" i="5" s="1"/>
  <c r="T157" i="1"/>
  <c r="T153" i="1"/>
  <c r="F157" i="5" s="1"/>
  <c r="T149" i="1"/>
  <c r="F153" i="5" s="1"/>
  <c r="T145" i="1"/>
  <c r="F149" i="5" s="1"/>
  <c r="T141" i="1"/>
  <c r="F145" i="5" s="1"/>
  <c r="T137" i="1"/>
  <c r="F141" i="5" s="1"/>
  <c r="T133" i="1"/>
  <c r="F137" i="5" s="1"/>
  <c r="T125" i="1"/>
  <c r="F129" i="5" s="1"/>
  <c r="T121" i="1"/>
  <c r="T117" i="1"/>
  <c r="F121" i="5" s="1"/>
  <c r="T109" i="1"/>
  <c r="F113" i="5" s="1"/>
  <c r="T105" i="1"/>
  <c r="F109" i="5" s="1"/>
  <c r="T101" i="1"/>
  <c r="F105" i="5" s="1"/>
  <c r="T97" i="1"/>
  <c r="F101" i="5" s="1"/>
  <c r="T93" i="1"/>
  <c r="F97" i="5" s="1"/>
  <c r="T89" i="1"/>
  <c r="F93" i="5" s="1"/>
  <c r="T85" i="1"/>
  <c r="T81" i="1"/>
  <c r="F85" i="5" s="1"/>
  <c r="T77" i="1"/>
  <c r="F81" i="5" s="1"/>
  <c r="T73" i="1"/>
  <c r="F77" i="5" s="1"/>
  <c r="T69" i="1"/>
  <c r="F73" i="5" s="1"/>
  <c r="T65" i="1"/>
  <c r="F69" i="5" s="1"/>
  <c r="T61" i="1"/>
  <c r="F65" i="5" s="1"/>
  <c r="T57" i="1"/>
  <c r="F61" i="5" s="1"/>
  <c r="T53" i="1"/>
  <c r="F57" i="5" s="1"/>
  <c r="T49" i="1"/>
  <c r="F53" i="5" s="1"/>
  <c r="T45" i="1"/>
  <c r="F49" i="5" s="1"/>
  <c r="T41" i="1"/>
  <c r="F45" i="5" s="1"/>
  <c r="T37" i="1"/>
  <c r="F41" i="5" s="1"/>
  <c r="T33" i="1"/>
  <c r="F37" i="5" s="1"/>
  <c r="T29" i="1"/>
  <c r="T25" i="1"/>
  <c r="F29" i="5" s="1"/>
  <c r="T21" i="1"/>
  <c r="F25" i="5" s="1"/>
  <c r="T17" i="1"/>
  <c r="F21" i="5" s="1"/>
  <c r="T13" i="1"/>
  <c r="T9" i="1"/>
  <c r="F13" i="5" s="1"/>
  <c r="T5" i="1"/>
  <c r="F9" i="5" s="1"/>
  <c r="AB155" i="1"/>
  <c r="AB41" i="1"/>
  <c r="AB12" i="1"/>
  <c r="J304" i="5"/>
  <c r="AD321" i="1"/>
  <c r="AD309" i="1"/>
  <c r="AD273" i="1"/>
  <c r="AD261" i="1"/>
  <c r="AD249" i="1"/>
  <c r="AD237" i="1"/>
  <c r="AD221" i="1"/>
  <c r="AD205" i="1"/>
  <c r="AD85" i="1"/>
  <c r="AD57" i="1"/>
  <c r="AD41" i="1"/>
  <c r="AB44" i="1"/>
  <c r="J48" i="5"/>
  <c r="J16" i="5"/>
  <c r="AB327" i="1"/>
  <c r="E331" i="5"/>
  <c r="J331" i="5" s="1"/>
  <c r="AB294" i="1"/>
  <c r="AB263" i="1"/>
  <c r="AB328" i="1"/>
  <c r="AB304" i="1"/>
  <c r="AB283" i="1"/>
  <c r="J287" i="5"/>
  <c r="AB87" i="1"/>
  <c r="AB300" i="1"/>
  <c r="AB18" i="1"/>
  <c r="X220" i="1"/>
  <c r="R220" i="1" s="1"/>
  <c r="X212" i="1"/>
  <c r="Q212" i="1" s="1"/>
  <c r="X312" i="1"/>
  <c r="P312" i="1" s="1"/>
  <c r="X60" i="1"/>
  <c r="AG60" i="1" s="1"/>
  <c r="X280" i="1"/>
  <c r="O280" i="1" s="1"/>
  <c r="AF318" i="1"/>
  <c r="AF282" i="1"/>
  <c r="AF270" i="1"/>
  <c r="AF254" i="1"/>
  <c r="AF242" i="1"/>
  <c r="AF230" i="1"/>
  <c r="AF218" i="1"/>
  <c r="AF206" i="1"/>
  <c r="AF190" i="1"/>
  <c r="AF178" i="1"/>
  <c r="AF166" i="1"/>
  <c r="AF158" i="1"/>
  <c r="AF146" i="1"/>
  <c r="AF130" i="1"/>
  <c r="AF118" i="1"/>
  <c r="AF106" i="1"/>
  <c r="AF94" i="1"/>
  <c r="AF82" i="1"/>
  <c r="AF70" i="1"/>
  <c r="AF58" i="1"/>
  <c r="AF46" i="1"/>
  <c r="AF34" i="1"/>
  <c r="AF22" i="1"/>
  <c r="AF10" i="1"/>
  <c r="AF326" i="1"/>
  <c r="AF314" i="1"/>
  <c r="AF302" i="1"/>
  <c r="AF290" i="1"/>
  <c r="AF278" i="1"/>
  <c r="AF262" i="1"/>
  <c r="AF250" i="1"/>
  <c r="AF238" i="1"/>
  <c r="AF226" i="1"/>
  <c r="AF214" i="1"/>
  <c r="AF202" i="1"/>
  <c r="AF194" i="1"/>
  <c r="AF182" i="1"/>
  <c r="AF170" i="1"/>
  <c r="AF162" i="1"/>
  <c r="AF150" i="1"/>
  <c r="AF138" i="1"/>
  <c r="AF126" i="1"/>
  <c r="AF114" i="1"/>
  <c r="AF102" i="1"/>
  <c r="AF90" i="1"/>
  <c r="AF78" i="1"/>
  <c r="AF66" i="1"/>
  <c r="AF54" i="1"/>
  <c r="AF42" i="1"/>
  <c r="AF30" i="1"/>
  <c r="AF6" i="1"/>
  <c r="AF2" i="1"/>
  <c r="AF322" i="1"/>
  <c r="AF310" i="1"/>
  <c r="AF306" i="1"/>
  <c r="AF298" i="1"/>
  <c r="AF286" i="1"/>
  <c r="AF274" i="1"/>
  <c r="AF266" i="1"/>
  <c r="AF258" i="1"/>
  <c r="AF246" i="1"/>
  <c r="AF234" i="1"/>
  <c r="AF222" i="1"/>
  <c r="AF210" i="1"/>
  <c r="AF198" i="1"/>
  <c r="AF186" i="1"/>
  <c r="AF174" i="1"/>
  <c r="AF142" i="1"/>
  <c r="AF134" i="1"/>
  <c r="AF122" i="1"/>
  <c r="AF110" i="1"/>
  <c r="AF98" i="1"/>
  <c r="AF86" i="1"/>
  <c r="AF74" i="1"/>
  <c r="AF62" i="1"/>
  <c r="AF50" i="1"/>
  <c r="AF38" i="1"/>
  <c r="AF26" i="1"/>
  <c r="AF14" i="1"/>
  <c r="X29" i="1"/>
  <c r="AG29" i="1" s="1"/>
  <c r="X17" i="1"/>
  <c r="R17" i="1" s="1"/>
  <c r="X9" i="1"/>
  <c r="O9" i="1" s="1"/>
  <c r="X33" i="1"/>
  <c r="R33" i="1" s="1"/>
  <c r="X21" i="1"/>
  <c r="O21" i="1" s="1"/>
  <c r="X13" i="1"/>
  <c r="AG13" i="1" s="1"/>
  <c r="X5" i="1"/>
  <c r="R5" i="1" s="1"/>
  <c r="X37" i="1"/>
  <c r="R37" i="1" s="1"/>
  <c r="X25" i="1"/>
  <c r="AG25" i="1" s="1"/>
  <c r="AD189" i="1"/>
  <c r="AD149" i="1"/>
  <c r="AD113" i="1"/>
  <c r="AD97" i="1"/>
  <c r="AD73" i="1"/>
  <c r="AD65" i="1"/>
  <c r="X320" i="1"/>
  <c r="Q320" i="1" s="1"/>
  <c r="X292" i="1"/>
  <c r="AG292" i="1" s="1"/>
  <c r="X268" i="1"/>
  <c r="AG268" i="1" s="1"/>
  <c r="X256" i="1"/>
  <c r="R256" i="1" s="1"/>
  <c r="X244" i="1"/>
  <c r="AG244" i="1" s="1"/>
  <c r="X232" i="1"/>
  <c r="P232" i="1" s="1"/>
  <c r="X208" i="1"/>
  <c r="R208" i="1" s="1"/>
  <c r="X196" i="1"/>
  <c r="O196" i="1" s="1"/>
  <c r="X184" i="1"/>
  <c r="AG184" i="1" s="1"/>
  <c r="X172" i="1"/>
  <c r="Q172" i="1" s="1"/>
  <c r="X164" i="1"/>
  <c r="R164" i="1" s="1"/>
  <c r="X152" i="1"/>
  <c r="AG152" i="1" s="1"/>
  <c r="X140" i="1"/>
  <c r="R140" i="1" s="1"/>
  <c r="X128" i="1"/>
  <c r="R128" i="1" s="1"/>
  <c r="X116" i="1"/>
  <c r="O116" i="1" s="1"/>
  <c r="X104" i="1"/>
  <c r="O104" i="1" s="1"/>
  <c r="X92" i="1"/>
  <c r="R92" i="1" s="1"/>
  <c r="X80" i="1"/>
  <c r="AG80" i="1" s="1"/>
  <c r="X68" i="1"/>
  <c r="R68" i="1" s="1"/>
  <c r="X40" i="1"/>
  <c r="AG40" i="1" s="1"/>
  <c r="X28" i="1"/>
  <c r="O28" i="1" s="1"/>
  <c r="X8" i="1"/>
  <c r="R8" i="1" s="1"/>
  <c r="X4" i="1"/>
  <c r="R4" i="1" s="1"/>
  <c r="AD161" i="1"/>
  <c r="AD153" i="1"/>
  <c r="AD145" i="1"/>
  <c r="AD137" i="1"/>
  <c r="AD105" i="1"/>
  <c r="AD69" i="1"/>
  <c r="AD37" i="1"/>
  <c r="AD25" i="1"/>
  <c r="X316" i="1"/>
  <c r="AG316" i="1" s="1"/>
  <c r="X308" i="1"/>
  <c r="AG308" i="1" s="1"/>
  <c r="X296" i="1"/>
  <c r="AG296" i="1" s="1"/>
  <c r="X284" i="1"/>
  <c r="AG284" i="1" s="1"/>
  <c r="X272" i="1"/>
  <c r="AG272" i="1" s="1"/>
  <c r="X260" i="1"/>
  <c r="P260" i="1" s="1"/>
  <c r="X248" i="1"/>
  <c r="AG248" i="1" s="1"/>
  <c r="X236" i="1"/>
  <c r="N236" i="1" s="1"/>
  <c r="X224" i="1"/>
  <c r="AG224" i="1" s="1"/>
  <c r="X200" i="1"/>
  <c r="AG200" i="1" s="1"/>
  <c r="X188" i="1"/>
  <c r="Q188" i="1" s="1"/>
  <c r="X176" i="1"/>
  <c r="R176" i="1" s="1"/>
  <c r="X160" i="1"/>
  <c r="AG160" i="1" s="1"/>
  <c r="X148" i="1"/>
  <c r="AG148" i="1" s="1"/>
  <c r="X132" i="1"/>
  <c r="AG132" i="1" s="1"/>
  <c r="X120" i="1"/>
  <c r="R120" i="1" s="1"/>
  <c r="X108" i="1"/>
  <c r="N108" i="1" s="1"/>
  <c r="X96" i="1"/>
  <c r="AG96" i="1" s="1"/>
  <c r="X84" i="1"/>
  <c r="AG84" i="1" s="1"/>
  <c r="X72" i="1"/>
  <c r="N72" i="1" s="1"/>
  <c r="X64" i="1"/>
  <c r="R64" i="1" s="1"/>
  <c r="X56" i="1"/>
  <c r="R56" i="1" s="1"/>
  <c r="X36" i="1"/>
  <c r="O36" i="1" s="1"/>
  <c r="X24" i="1"/>
  <c r="AG24" i="1" s="1"/>
  <c r="AD217" i="1"/>
  <c r="AD213" i="1"/>
  <c r="AD193" i="1"/>
  <c r="AD185" i="1"/>
  <c r="AD177" i="1"/>
  <c r="AD133" i="1"/>
  <c r="AD125" i="1"/>
  <c r="AD121" i="1"/>
  <c r="AD109" i="1"/>
  <c r="AD101" i="1"/>
  <c r="AD93" i="1"/>
  <c r="AD89" i="1"/>
  <c r="AD77" i="1"/>
  <c r="AD49" i="1"/>
  <c r="AD29" i="1"/>
  <c r="AD21" i="1"/>
  <c r="X324" i="1"/>
  <c r="R324" i="1" s="1"/>
  <c r="X288" i="1"/>
  <c r="P288" i="1" s="1"/>
  <c r="X276" i="1"/>
  <c r="R276" i="1" s="1"/>
  <c r="X264" i="1"/>
  <c r="R264" i="1" s="1"/>
  <c r="X252" i="1"/>
  <c r="R252" i="1" s="1"/>
  <c r="X240" i="1"/>
  <c r="R240" i="1" s="1"/>
  <c r="X228" i="1"/>
  <c r="AG228" i="1" s="1"/>
  <c r="X216" i="1"/>
  <c r="R216" i="1" s="1"/>
  <c r="X204" i="1"/>
  <c r="P204" i="1" s="1"/>
  <c r="AA204" i="1" s="1"/>
  <c r="I208" i="5" s="1"/>
  <c r="X192" i="1"/>
  <c r="R192" i="1" s="1"/>
  <c r="X180" i="1"/>
  <c r="AG180" i="1" s="1"/>
  <c r="X168" i="1"/>
  <c r="R168" i="1" s="1"/>
  <c r="X156" i="1"/>
  <c r="AG156" i="1" s="1"/>
  <c r="X144" i="1"/>
  <c r="R144" i="1" s="1"/>
  <c r="X136" i="1"/>
  <c r="AG136" i="1" s="1"/>
  <c r="X124" i="1"/>
  <c r="AG124" i="1" s="1"/>
  <c r="X112" i="1"/>
  <c r="R112" i="1" s="1"/>
  <c r="X100" i="1"/>
  <c r="O100" i="1" s="1"/>
  <c r="X88" i="1"/>
  <c r="R88" i="1" s="1"/>
  <c r="X76" i="1"/>
  <c r="R76" i="1" s="1"/>
  <c r="X52" i="1"/>
  <c r="R52" i="1" s="1"/>
  <c r="X20" i="1"/>
  <c r="R20" i="1" s="1"/>
  <c r="AD318" i="1"/>
  <c r="AD310" i="1"/>
  <c r="AD302" i="1"/>
  <c r="AD290" i="1"/>
  <c r="AD278" i="1"/>
  <c r="AD266" i="1"/>
  <c r="AD254" i="1"/>
  <c r="AD242" i="1"/>
  <c r="AD226" i="1"/>
  <c r="AD214" i="1"/>
  <c r="AD202" i="1"/>
  <c r="AD190" i="1"/>
  <c r="AD178" i="1"/>
  <c r="AD166" i="1"/>
  <c r="AD158" i="1"/>
  <c r="AD146" i="1"/>
  <c r="AD134" i="1"/>
  <c r="AD110" i="1"/>
  <c r="AD326" i="1"/>
  <c r="AD314" i="1"/>
  <c r="AD306" i="1"/>
  <c r="AD298" i="1"/>
  <c r="AD282" i="1"/>
  <c r="AD270" i="1"/>
  <c r="AD258" i="1"/>
  <c r="AD246" i="1"/>
  <c r="AD234" i="1"/>
  <c r="AD222" i="1"/>
  <c r="AD210" i="1"/>
  <c r="AD198" i="1"/>
  <c r="AD182" i="1"/>
  <c r="AD170" i="1"/>
  <c r="AD142" i="1"/>
  <c r="AD122" i="1"/>
  <c r="AD114" i="1"/>
  <c r="AD102" i="1"/>
  <c r="AD94" i="1"/>
  <c r="AD86" i="1"/>
  <c r="AD82" i="1"/>
  <c r="AD78" i="1"/>
  <c r="AD74" i="1"/>
  <c r="AD70" i="1"/>
  <c r="AD66" i="1"/>
  <c r="AD62" i="1"/>
  <c r="AD58" i="1"/>
  <c r="AD54" i="1"/>
  <c r="AD46" i="1"/>
  <c r="AD42" i="1"/>
  <c r="AD38" i="1"/>
  <c r="AD34" i="1"/>
  <c r="AD26" i="1"/>
  <c r="AD22" i="1"/>
  <c r="AD14" i="1"/>
  <c r="AD10" i="1"/>
  <c r="AD6" i="1"/>
  <c r="AD2" i="1"/>
  <c r="AD322" i="1"/>
  <c r="AD286" i="1"/>
  <c r="AD262" i="1"/>
  <c r="AD250" i="1"/>
  <c r="AD238" i="1"/>
  <c r="AD230" i="1"/>
  <c r="AD218" i="1"/>
  <c r="AD206" i="1"/>
  <c r="AD194" i="1"/>
  <c r="AD186" i="1"/>
  <c r="AD174" i="1"/>
  <c r="AD162" i="1"/>
  <c r="AD150" i="1"/>
  <c r="AD138" i="1"/>
  <c r="AD126" i="1"/>
  <c r="AD118" i="1"/>
  <c r="AD98" i="1"/>
  <c r="AD5" i="1"/>
  <c r="AD312" i="1"/>
  <c r="AD304" i="1"/>
  <c r="AD220" i="1"/>
  <c r="AD44" i="1"/>
  <c r="AD16" i="1"/>
  <c r="AD12" i="1"/>
  <c r="AD327" i="1"/>
  <c r="AD323" i="1"/>
  <c r="AD283" i="1"/>
  <c r="AD255" i="1"/>
  <c r="AD155" i="1"/>
  <c r="AD143" i="1"/>
  <c r="AD139" i="1"/>
  <c r="AD95" i="1"/>
  <c r="AD328" i="1"/>
  <c r="AD212" i="1"/>
  <c r="AD60" i="1"/>
  <c r="AD263" i="1"/>
  <c r="AD247" i="1"/>
  <c r="AD187" i="1"/>
  <c r="AD111" i="1"/>
  <c r="AD87" i="1"/>
  <c r="AD55" i="1"/>
  <c r="AD43" i="1"/>
  <c r="AD300" i="1"/>
  <c r="AD280" i="1"/>
  <c r="AD274" i="1"/>
  <c r="AD154" i="1"/>
  <c r="AD130" i="1"/>
  <c r="AD106" i="1"/>
  <c r="AD90" i="1"/>
  <c r="AD50" i="1"/>
  <c r="AD18" i="1"/>
  <c r="AG257" i="1"/>
  <c r="AG193" i="1"/>
  <c r="AG129" i="1"/>
  <c r="AG321" i="1"/>
  <c r="AG65" i="1"/>
  <c r="AG305" i="1"/>
  <c r="AG241" i="1"/>
  <c r="AG177" i="1"/>
  <c r="AG113" i="1"/>
  <c r="AG49" i="1"/>
  <c r="R329" i="1"/>
  <c r="AG329" i="1"/>
  <c r="R325" i="1"/>
  <c r="AG325" i="1"/>
  <c r="R317" i="1"/>
  <c r="AG317" i="1"/>
  <c r="R313" i="1"/>
  <c r="AG313" i="1"/>
  <c r="O309" i="1"/>
  <c r="AG309" i="1"/>
  <c r="R301" i="1"/>
  <c r="AG301" i="1"/>
  <c r="R297" i="1"/>
  <c r="AG297" i="1"/>
  <c r="R293" i="1"/>
  <c r="AG293" i="1"/>
  <c r="R285" i="1"/>
  <c r="AG285" i="1"/>
  <c r="R281" i="1"/>
  <c r="AG281" i="1"/>
  <c r="R277" i="1"/>
  <c r="AG277" i="1"/>
  <c r="R269" i="1"/>
  <c r="AG269" i="1"/>
  <c r="O265" i="1"/>
  <c r="AG265" i="1"/>
  <c r="R261" i="1"/>
  <c r="AG261" i="1"/>
  <c r="Q253" i="1"/>
  <c r="AG253" i="1"/>
  <c r="R249" i="1"/>
  <c r="AG249" i="1"/>
  <c r="R245" i="1"/>
  <c r="AG245" i="1"/>
  <c r="R237" i="1"/>
  <c r="AG237" i="1"/>
  <c r="R233" i="1"/>
  <c r="AG233" i="1"/>
  <c r="R229" i="1"/>
  <c r="AG229" i="1"/>
  <c r="R221" i="1"/>
  <c r="AG221" i="1"/>
  <c r="R217" i="1"/>
  <c r="AG217" i="1"/>
  <c r="R213" i="1"/>
  <c r="AG213" i="1"/>
  <c r="R205" i="1"/>
  <c r="AG205" i="1"/>
  <c r="R201" i="1"/>
  <c r="AG201" i="1"/>
  <c r="R197" i="1"/>
  <c r="AG197" i="1"/>
  <c r="R189" i="1"/>
  <c r="AG189" i="1"/>
  <c r="O185" i="1"/>
  <c r="AG185" i="1"/>
  <c r="P181" i="1"/>
  <c r="AG181" i="1"/>
  <c r="R173" i="1"/>
  <c r="AG173" i="1"/>
  <c r="O169" i="1"/>
  <c r="AG169" i="1"/>
  <c r="R165" i="1"/>
  <c r="AG165" i="1"/>
  <c r="R157" i="1"/>
  <c r="AG157" i="1"/>
  <c r="R153" i="1"/>
  <c r="AG153" i="1"/>
  <c r="R149" i="1"/>
  <c r="AG149" i="1"/>
  <c r="R141" i="1"/>
  <c r="AG141" i="1"/>
  <c r="R133" i="1"/>
  <c r="AG133" i="1"/>
  <c r="R125" i="1"/>
  <c r="AG125" i="1"/>
  <c r="O121" i="1"/>
  <c r="AG121" i="1"/>
  <c r="R117" i="1"/>
  <c r="AG117" i="1"/>
  <c r="O109" i="1"/>
  <c r="AG109" i="1"/>
  <c r="R105" i="1"/>
  <c r="AG105" i="1"/>
  <c r="R101" i="1"/>
  <c r="AG101" i="1"/>
  <c r="R93" i="1"/>
  <c r="AG93" i="1"/>
  <c r="R89" i="1"/>
  <c r="AG89" i="1"/>
  <c r="R85" i="1"/>
  <c r="AG85" i="1"/>
  <c r="R77" i="1"/>
  <c r="AG77" i="1"/>
  <c r="R73" i="1"/>
  <c r="AG73" i="1"/>
  <c r="R69" i="1"/>
  <c r="AG69" i="1"/>
  <c r="R61" i="1"/>
  <c r="AG61" i="1"/>
  <c r="R57" i="1"/>
  <c r="AG57" i="1"/>
  <c r="P53" i="1"/>
  <c r="AG53" i="1"/>
  <c r="R45" i="1"/>
  <c r="AG45" i="1"/>
  <c r="O41" i="1"/>
  <c r="AG41" i="1"/>
  <c r="AG289" i="1"/>
  <c r="AG225" i="1"/>
  <c r="AG161" i="1"/>
  <c r="AG97" i="1"/>
  <c r="R328" i="1"/>
  <c r="AG328" i="1"/>
  <c r="R304" i="1"/>
  <c r="AG304" i="1"/>
  <c r="R300" i="1"/>
  <c r="AG300" i="1"/>
  <c r="R44" i="1"/>
  <c r="AG44" i="1"/>
  <c r="R12" i="1"/>
  <c r="AG12" i="1"/>
  <c r="AG273" i="1"/>
  <c r="AG209" i="1"/>
  <c r="AG145" i="1"/>
  <c r="AG81" i="1"/>
  <c r="R193" i="1"/>
  <c r="R81" i="1"/>
  <c r="R253" i="1"/>
  <c r="R109" i="1"/>
  <c r="X48" i="1"/>
  <c r="AG48" i="1" s="1"/>
  <c r="X16" i="1"/>
  <c r="R265" i="1"/>
  <c r="R185" i="1"/>
  <c r="R169" i="1"/>
  <c r="R137" i="1"/>
  <c r="R121" i="1"/>
  <c r="R41" i="1"/>
  <c r="X32" i="1"/>
  <c r="AG32" i="1" s="1"/>
  <c r="R309" i="1"/>
  <c r="R181" i="1"/>
  <c r="R53" i="1"/>
  <c r="X327" i="1"/>
  <c r="X323" i="1"/>
  <c r="X319" i="1"/>
  <c r="X315" i="1"/>
  <c r="AG315" i="1" s="1"/>
  <c r="X311" i="1"/>
  <c r="X307" i="1"/>
  <c r="X303" i="1"/>
  <c r="X299" i="1"/>
  <c r="AG299" i="1" s="1"/>
  <c r="X295" i="1"/>
  <c r="X291" i="1"/>
  <c r="AG291" i="1" s="1"/>
  <c r="X287" i="1"/>
  <c r="X283" i="1"/>
  <c r="AG283" i="1" s="1"/>
  <c r="X279" i="1"/>
  <c r="X275" i="1"/>
  <c r="X271" i="1"/>
  <c r="X267" i="1"/>
  <c r="AG267" i="1" s="1"/>
  <c r="X263" i="1"/>
  <c r="X259" i="1"/>
  <c r="X255" i="1"/>
  <c r="N255" i="1" s="1"/>
  <c r="X251" i="1"/>
  <c r="AG251" i="1" s="1"/>
  <c r="X247" i="1"/>
  <c r="X243" i="1"/>
  <c r="AG243" i="1" s="1"/>
  <c r="X239" i="1"/>
  <c r="X235" i="1"/>
  <c r="AG235" i="1" s="1"/>
  <c r="X231" i="1"/>
  <c r="X227" i="1"/>
  <c r="AG227" i="1" s="1"/>
  <c r="X223" i="1"/>
  <c r="X219" i="1"/>
  <c r="AG219" i="1" s="1"/>
  <c r="X215" i="1"/>
  <c r="X211" i="1"/>
  <c r="AG211" i="1" s="1"/>
  <c r="X207" i="1"/>
  <c r="X203" i="1"/>
  <c r="AG203" i="1" s="1"/>
  <c r="X199" i="1"/>
  <c r="X195" i="1"/>
  <c r="X191" i="1"/>
  <c r="X187" i="1"/>
  <c r="AG187" i="1" s="1"/>
  <c r="X183" i="1"/>
  <c r="X179" i="1"/>
  <c r="AG179" i="1" s="1"/>
  <c r="X175" i="1"/>
  <c r="X171" i="1"/>
  <c r="AG171" i="1" s="1"/>
  <c r="X167" i="1"/>
  <c r="Q167" i="1" s="1"/>
  <c r="X163" i="1"/>
  <c r="AG163" i="1" s="1"/>
  <c r="X159" i="1"/>
  <c r="X155" i="1"/>
  <c r="AG155" i="1" s="1"/>
  <c r="X151" i="1"/>
  <c r="X147" i="1"/>
  <c r="AG147" i="1" s="1"/>
  <c r="X143" i="1"/>
  <c r="X139" i="1"/>
  <c r="AG139" i="1" s="1"/>
  <c r="X135" i="1"/>
  <c r="X131" i="1"/>
  <c r="AG131" i="1" s="1"/>
  <c r="X127" i="1"/>
  <c r="X123" i="1"/>
  <c r="X119" i="1"/>
  <c r="X115" i="1"/>
  <c r="AG115" i="1" s="1"/>
  <c r="X111" i="1"/>
  <c r="X107" i="1"/>
  <c r="X103" i="1"/>
  <c r="X99" i="1"/>
  <c r="AG99" i="1" s="1"/>
  <c r="X95" i="1"/>
  <c r="X91" i="1"/>
  <c r="O91" i="1" s="1"/>
  <c r="X87" i="1"/>
  <c r="X83" i="1"/>
  <c r="AG83" i="1" s="1"/>
  <c r="X79" i="1"/>
  <c r="X75" i="1"/>
  <c r="X71" i="1"/>
  <c r="X67" i="1"/>
  <c r="AG67" i="1" s="1"/>
  <c r="X63" i="1"/>
  <c r="X59" i="1"/>
  <c r="X55" i="1"/>
  <c r="X51" i="1"/>
  <c r="AG51" i="1" s="1"/>
  <c r="X47" i="1"/>
  <c r="X43" i="1"/>
  <c r="AG43" i="1" s="1"/>
  <c r="X39" i="1"/>
  <c r="X35" i="1"/>
  <c r="AG35" i="1" s="1"/>
  <c r="X31" i="1"/>
  <c r="X27" i="1"/>
  <c r="AG27" i="1" s="1"/>
  <c r="X23" i="1"/>
  <c r="X19" i="1"/>
  <c r="AG19" i="1" s="1"/>
  <c r="X15" i="1"/>
  <c r="X11" i="1"/>
  <c r="AG11" i="1" s="1"/>
  <c r="X7" i="1"/>
  <c r="X3" i="1"/>
  <c r="AG3" i="1" s="1"/>
  <c r="X326" i="1"/>
  <c r="X322" i="1"/>
  <c r="X318" i="1"/>
  <c r="X314" i="1"/>
  <c r="AG314" i="1" s="1"/>
  <c r="X310" i="1"/>
  <c r="X306" i="1"/>
  <c r="X302" i="1"/>
  <c r="X298" i="1"/>
  <c r="AG298" i="1" s="1"/>
  <c r="X294" i="1"/>
  <c r="X290" i="1"/>
  <c r="AG290" i="1" s="1"/>
  <c r="X286" i="1"/>
  <c r="X282" i="1"/>
  <c r="AG282" i="1" s="1"/>
  <c r="X278" i="1"/>
  <c r="X274" i="1"/>
  <c r="AG274" i="1" s="1"/>
  <c r="X270" i="1"/>
  <c r="X266" i="1"/>
  <c r="AG266" i="1" s="1"/>
  <c r="X262" i="1"/>
  <c r="X258" i="1"/>
  <c r="AG258" i="1" s="1"/>
  <c r="X254" i="1"/>
  <c r="X250" i="1"/>
  <c r="AG250" i="1" s="1"/>
  <c r="X246" i="1"/>
  <c r="X242" i="1"/>
  <c r="X238" i="1"/>
  <c r="X234" i="1"/>
  <c r="AG234" i="1" s="1"/>
  <c r="X230" i="1"/>
  <c r="X226" i="1"/>
  <c r="X222" i="1"/>
  <c r="X218" i="1"/>
  <c r="X214" i="1"/>
  <c r="X210" i="1"/>
  <c r="AG210" i="1" s="1"/>
  <c r="X206" i="1"/>
  <c r="X202" i="1"/>
  <c r="AG202" i="1" s="1"/>
  <c r="X198" i="1"/>
  <c r="X194" i="1"/>
  <c r="AG194" i="1" s="1"/>
  <c r="X190" i="1"/>
  <c r="X186" i="1"/>
  <c r="AG186" i="1" s="1"/>
  <c r="X182" i="1"/>
  <c r="X178" i="1"/>
  <c r="AG178" i="1" s="1"/>
  <c r="X174" i="1"/>
  <c r="X170" i="1"/>
  <c r="AG170" i="1" s="1"/>
  <c r="X166" i="1"/>
  <c r="X162" i="1"/>
  <c r="AG162" i="1" s="1"/>
  <c r="X158" i="1"/>
  <c r="X154" i="1"/>
  <c r="AG154" i="1" s="1"/>
  <c r="X150" i="1"/>
  <c r="X146" i="1"/>
  <c r="AG146" i="1" s="1"/>
  <c r="X142" i="1"/>
  <c r="X138" i="1"/>
  <c r="AG138" i="1" s="1"/>
  <c r="X134" i="1"/>
  <c r="X130" i="1"/>
  <c r="AG130" i="1" s="1"/>
  <c r="X126" i="1"/>
  <c r="X122" i="1"/>
  <c r="AG122" i="1" s="1"/>
  <c r="X118" i="1"/>
  <c r="X114" i="1"/>
  <c r="AG114" i="1" s="1"/>
  <c r="X110" i="1"/>
  <c r="X106" i="1"/>
  <c r="AG106" i="1" s="1"/>
  <c r="X102" i="1"/>
  <c r="X98" i="1"/>
  <c r="AG98" i="1" s="1"/>
  <c r="X94" i="1"/>
  <c r="X90" i="1"/>
  <c r="AG90" i="1" s="1"/>
  <c r="X86" i="1"/>
  <c r="X82" i="1"/>
  <c r="N82" i="1" s="1"/>
  <c r="Y82" i="1" s="1"/>
  <c r="E86" i="5" s="1"/>
  <c r="X78" i="1"/>
  <c r="X74" i="1"/>
  <c r="AG74" i="1" s="1"/>
  <c r="X70" i="1"/>
  <c r="X66" i="1"/>
  <c r="AG66" i="1" s="1"/>
  <c r="X62" i="1"/>
  <c r="X58" i="1"/>
  <c r="AG58" i="1" s="1"/>
  <c r="X54" i="1"/>
  <c r="X50" i="1"/>
  <c r="AG50" i="1" s="1"/>
  <c r="X46" i="1"/>
  <c r="X42" i="1"/>
  <c r="AG42" i="1" s="1"/>
  <c r="X38" i="1"/>
  <c r="X34" i="1"/>
  <c r="AG34" i="1" s="1"/>
  <c r="X30" i="1"/>
  <c r="X26" i="1"/>
  <c r="N26" i="1" s="1"/>
  <c r="Y26" i="1" s="1"/>
  <c r="X22" i="1"/>
  <c r="X18" i="1"/>
  <c r="AG18" i="1" s="1"/>
  <c r="X14" i="1"/>
  <c r="X10" i="1"/>
  <c r="AG10" i="1" s="1"/>
  <c r="X6" i="1"/>
  <c r="X2" i="1"/>
  <c r="AG2" i="1" s="1"/>
  <c r="O321" i="1"/>
  <c r="Q321" i="1"/>
  <c r="Q297" i="1"/>
  <c r="O297" i="1"/>
  <c r="P297" i="1"/>
  <c r="Q285" i="1"/>
  <c r="O285" i="1"/>
  <c r="P273" i="1"/>
  <c r="Q273" i="1"/>
  <c r="O273" i="1"/>
  <c r="Q261" i="1"/>
  <c r="O261" i="1"/>
  <c r="Q249" i="1"/>
  <c r="P237" i="1"/>
  <c r="AA237" i="1" s="1"/>
  <c r="I241" i="5" s="1"/>
  <c r="Q237" i="1"/>
  <c r="O237" i="1"/>
  <c r="Q225" i="1"/>
  <c r="P225" i="1"/>
  <c r="O225" i="1"/>
  <c r="Q213" i="1"/>
  <c r="O213" i="1"/>
  <c r="Q201" i="1"/>
  <c r="P201" i="1"/>
  <c r="Q189" i="1"/>
  <c r="O189" i="1"/>
  <c r="Q177" i="1"/>
  <c r="O177" i="1"/>
  <c r="Q165" i="1"/>
  <c r="O165" i="1"/>
  <c r="P165" i="1"/>
  <c r="AA165" i="1" s="1"/>
  <c r="I169" i="5" s="1"/>
  <c r="Q153" i="1"/>
  <c r="Q125" i="1"/>
  <c r="O125" i="1"/>
  <c r="Q97" i="1"/>
  <c r="O97" i="1"/>
  <c r="Q85" i="1"/>
  <c r="O85" i="1"/>
  <c r="Q73" i="1"/>
  <c r="Q61" i="1"/>
  <c r="P61" i="1"/>
  <c r="O61" i="1"/>
  <c r="Q49" i="1"/>
  <c r="O201" i="1"/>
  <c r="O137" i="1"/>
  <c r="Q137" i="1"/>
  <c r="Q300" i="1"/>
  <c r="P300" i="1"/>
  <c r="O300" i="1"/>
  <c r="O249" i="1"/>
  <c r="Q329" i="1"/>
  <c r="O329" i="1"/>
  <c r="Q317" i="1"/>
  <c r="O317" i="1"/>
  <c r="O305" i="1"/>
  <c r="Q305" i="1"/>
  <c r="Q293" i="1"/>
  <c r="O293" i="1"/>
  <c r="P293" i="1"/>
  <c r="AA293" i="1" s="1"/>
  <c r="I297" i="5" s="1"/>
  <c r="Q281" i="1"/>
  <c r="O281" i="1"/>
  <c r="Q269" i="1"/>
  <c r="O269" i="1"/>
  <c r="Q257" i="1"/>
  <c r="O257" i="1"/>
  <c r="Z257" i="1" s="1"/>
  <c r="G261" i="5" s="1"/>
  <c r="Q245" i="1"/>
  <c r="O245" i="1"/>
  <c r="Q233" i="1"/>
  <c r="P221" i="1"/>
  <c r="Q221" i="1"/>
  <c r="O221" i="1"/>
  <c r="P209" i="1"/>
  <c r="Q209" i="1"/>
  <c r="O209" i="1"/>
  <c r="Q197" i="1"/>
  <c r="O197" i="1"/>
  <c r="P197" i="1"/>
  <c r="Q185" i="1"/>
  <c r="Q173" i="1"/>
  <c r="P173" i="1"/>
  <c r="AA173" i="1" s="1"/>
  <c r="I177" i="5" s="1"/>
  <c r="O173" i="1"/>
  <c r="O161" i="1"/>
  <c r="Q161" i="1"/>
  <c r="Q149" i="1"/>
  <c r="O149" i="1"/>
  <c r="Q141" i="1"/>
  <c r="P141" i="1"/>
  <c r="AA141" i="1" s="1"/>
  <c r="I145" i="5" s="1"/>
  <c r="O141" i="1"/>
  <c r="Q129" i="1"/>
  <c r="P129" i="1"/>
  <c r="O129" i="1"/>
  <c r="Q117" i="1"/>
  <c r="O117" i="1"/>
  <c r="P117" i="1"/>
  <c r="Q105" i="1"/>
  <c r="Q93" i="1"/>
  <c r="O93" i="1"/>
  <c r="Q69" i="1"/>
  <c r="O69" i="1"/>
  <c r="Q57" i="1"/>
  <c r="P57" i="1"/>
  <c r="O57" i="1"/>
  <c r="P45" i="1"/>
  <c r="O45" i="1"/>
  <c r="Q45" i="1"/>
  <c r="Q328" i="1"/>
  <c r="P328" i="1"/>
  <c r="Q304" i="1"/>
  <c r="P304" i="1"/>
  <c r="O233" i="1"/>
  <c r="O105" i="1"/>
  <c r="Q109" i="1"/>
  <c r="Q325" i="1"/>
  <c r="O325" i="1"/>
  <c r="Q313" i="1"/>
  <c r="O313" i="1"/>
  <c r="Q301" i="1"/>
  <c r="O301" i="1"/>
  <c r="Q289" i="1"/>
  <c r="O289" i="1"/>
  <c r="O277" i="1"/>
  <c r="Q277" i="1"/>
  <c r="Q265" i="1"/>
  <c r="P265" i="1"/>
  <c r="AA265" i="1" s="1"/>
  <c r="I269" i="5" s="1"/>
  <c r="O253" i="1"/>
  <c r="Q241" i="1"/>
  <c r="O241" i="1"/>
  <c r="Z241" i="1" s="1"/>
  <c r="G245" i="5" s="1"/>
  <c r="Q229" i="1"/>
  <c r="O229" i="1"/>
  <c r="Q217" i="1"/>
  <c r="P205" i="1"/>
  <c r="Q205" i="1"/>
  <c r="O205" i="1"/>
  <c r="O193" i="1"/>
  <c r="O181" i="1"/>
  <c r="Q181" i="1"/>
  <c r="P169" i="1"/>
  <c r="Q169" i="1"/>
  <c r="Q157" i="1"/>
  <c r="O157" i="1"/>
  <c r="Q145" i="1"/>
  <c r="O145" i="1"/>
  <c r="Q133" i="1"/>
  <c r="O133" i="1"/>
  <c r="Q121" i="1"/>
  <c r="Q113" i="1"/>
  <c r="O113" i="1"/>
  <c r="Q101" i="1"/>
  <c r="O101" i="1"/>
  <c r="Q89" i="1"/>
  <c r="Q77" i="1"/>
  <c r="O77" i="1"/>
  <c r="Q65" i="1"/>
  <c r="O65" i="1"/>
  <c r="Q53" i="1"/>
  <c r="O53" i="1"/>
  <c r="P41" i="1"/>
  <c r="Q41" i="1"/>
  <c r="O73" i="1"/>
  <c r="P81" i="1"/>
  <c r="Q309" i="1"/>
  <c r="O328" i="1"/>
  <c r="O304" i="1"/>
  <c r="O217" i="1"/>
  <c r="O153" i="1"/>
  <c r="O89" i="1"/>
  <c r="O49" i="1"/>
  <c r="Q81" i="1"/>
  <c r="Q44" i="1"/>
  <c r="O44" i="1"/>
  <c r="Q12" i="1"/>
  <c r="P12" i="1"/>
  <c r="O12" i="1"/>
  <c r="P44" i="1"/>
  <c r="N325" i="1"/>
  <c r="N313" i="1"/>
  <c r="N301" i="1"/>
  <c r="N289" i="1"/>
  <c r="N277" i="1"/>
  <c r="N265" i="1"/>
  <c r="Y265" i="1" s="1"/>
  <c r="E269" i="5" s="1"/>
  <c r="N253" i="1"/>
  <c r="N241" i="1"/>
  <c r="N229" i="1"/>
  <c r="N217" i="1"/>
  <c r="N205" i="1"/>
  <c r="Y205" i="1" s="1"/>
  <c r="E209" i="5" s="1"/>
  <c r="N193" i="1"/>
  <c r="N181" i="1"/>
  <c r="Y181" i="1" s="1"/>
  <c r="E185" i="5" s="1"/>
  <c r="N173" i="1"/>
  <c r="Y173" i="1" s="1"/>
  <c r="E177" i="5" s="1"/>
  <c r="N161" i="1"/>
  <c r="N149" i="1"/>
  <c r="N137" i="1"/>
  <c r="N125" i="1"/>
  <c r="N113" i="1"/>
  <c r="N101" i="1"/>
  <c r="N85" i="1"/>
  <c r="N73" i="1"/>
  <c r="N61" i="1"/>
  <c r="Y61" i="1" s="1"/>
  <c r="E65" i="5" s="1"/>
  <c r="N49" i="1"/>
  <c r="N328" i="1"/>
  <c r="N304" i="1"/>
  <c r="N300" i="1"/>
  <c r="N44" i="1"/>
  <c r="N12" i="1"/>
  <c r="N321" i="1"/>
  <c r="N309" i="1"/>
  <c r="N297" i="1"/>
  <c r="Y297" i="1" s="1"/>
  <c r="E301" i="5" s="1"/>
  <c r="N281" i="1"/>
  <c r="N269" i="1"/>
  <c r="N257" i="1"/>
  <c r="N245" i="1"/>
  <c r="N233" i="1"/>
  <c r="N221" i="1"/>
  <c r="N209" i="1"/>
  <c r="Y209" i="1" s="1"/>
  <c r="E213" i="5" s="1"/>
  <c r="N197" i="1"/>
  <c r="Y197" i="1" s="1"/>
  <c r="E201" i="5" s="1"/>
  <c r="N185" i="1"/>
  <c r="N169" i="1"/>
  <c r="Y169" i="1" s="1"/>
  <c r="E173" i="5" s="1"/>
  <c r="N157" i="1"/>
  <c r="N145" i="1"/>
  <c r="N129" i="1"/>
  <c r="Y129" i="1" s="1"/>
  <c r="E133" i="5" s="1"/>
  <c r="N117" i="1"/>
  <c r="Y117" i="1" s="1"/>
  <c r="E121" i="5" s="1"/>
  <c r="N105" i="1"/>
  <c r="N93" i="1"/>
  <c r="N81" i="1"/>
  <c r="N65" i="1"/>
  <c r="N53" i="1"/>
  <c r="Y53" i="1" s="1"/>
  <c r="E57" i="5" s="1"/>
  <c r="N41" i="1"/>
  <c r="N329" i="1"/>
  <c r="N317" i="1"/>
  <c r="N305" i="1"/>
  <c r="N293" i="1"/>
  <c r="Y293" i="1" s="1"/>
  <c r="E297" i="5" s="1"/>
  <c r="N285" i="1"/>
  <c r="N273" i="1"/>
  <c r="Y273" i="1" s="1"/>
  <c r="E277" i="5" s="1"/>
  <c r="N261" i="1"/>
  <c r="N249" i="1"/>
  <c r="N237" i="1"/>
  <c r="Y237" i="1" s="1"/>
  <c r="E241" i="5" s="1"/>
  <c r="N225" i="1"/>
  <c r="N213" i="1"/>
  <c r="N201" i="1"/>
  <c r="Y201" i="1" s="1"/>
  <c r="E205" i="5" s="1"/>
  <c r="N189" i="1"/>
  <c r="N177" i="1"/>
  <c r="N165" i="1"/>
  <c r="Y165" i="1" s="1"/>
  <c r="E169" i="5" s="1"/>
  <c r="N153" i="1"/>
  <c r="N141" i="1"/>
  <c r="Y141" i="1" s="1"/>
  <c r="E145" i="5" s="1"/>
  <c r="N133" i="1"/>
  <c r="N121" i="1"/>
  <c r="N109" i="1"/>
  <c r="N97" i="1"/>
  <c r="N89" i="1"/>
  <c r="N77" i="1"/>
  <c r="N69" i="1"/>
  <c r="N57" i="1"/>
  <c r="Y57" i="1" s="1"/>
  <c r="E61" i="5" s="1"/>
  <c r="N45" i="1"/>
  <c r="Y45" i="1" s="1"/>
  <c r="E49" i="5" s="1"/>
  <c r="J2" i="1"/>
  <c r="J3" i="1"/>
  <c r="J4" i="1"/>
  <c r="J5" i="1"/>
  <c r="J6" i="1"/>
  <c r="J7" i="1"/>
  <c r="J8" i="1"/>
  <c r="J9" i="1"/>
  <c r="J10" i="1"/>
  <c r="J11"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G251" i="5" l="1"/>
  <c r="J251" i="5" s="1"/>
  <c r="J85" i="5"/>
  <c r="J134" i="5"/>
  <c r="J224" i="5"/>
  <c r="J225" i="5"/>
  <c r="J298" i="5"/>
  <c r="J45" i="5"/>
  <c r="J159" i="5"/>
  <c r="AA169" i="1"/>
  <c r="I173" i="5" s="1"/>
  <c r="AA57" i="1"/>
  <c r="I61" i="5" s="1"/>
  <c r="AA117" i="1"/>
  <c r="I121" i="5" s="1"/>
  <c r="AA129" i="1"/>
  <c r="I133" i="5" s="1"/>
  <c r="AA260" i="1"/>
  <c r="I264" i="5" s="1"/>
  <c r="AA197" i="1"/>
  <c r="I201" i="5" s="1"/>
  <c r="AA297" i="1"/>
  <c r="I301" i="5" s="1"/>
  <c r="AA53" i="1"/>
  <c r="I57" i="5" s="1"/>
  <c r="AA181" i="1"/>
  <c r="I185" i="5" s="1"/>
  <c r="AA201" i="1"/>
  <c r="I205" i="5" s="1"/>
  <c r="AA273" i="1"/>
  <c r="I277" i="5" s="1"/>
  <c r="AA288" i="1"/>
  <c r="I292" i="5" s="1"/>
  <c r="AA205" i="1"/>
  <c r="I209" i="5" s="1"/>
  <c r="AA45" i="1"/>
  <c r="I49" i="5" s="1"/>
  <c r="AA209" i="1"/>
  <c r="I213" i="5" s="1"/>
  <c r="F328" i="5"/>
  <c r="Z21" i="1"/>
  <c r="G25" i="5" s="1"/>
  <c r="Z49" i="1"/>
  <c r="G53" i="5" s="1"/>
  <c r="Z57" i="1"/>
  <c r="Z65" i="1"/>
  <c r="G69" i="5" s="1"/>
  <c r="Z73" i="1"/>
  <c r="G77" i="5" s="1"/>
  <c r="Z89" i="1"/>
  <c r="G93" i="5" s="1"/>
  <c r="Z145" i="1"/>
  <c r="G149" i="5" s="1"/>
  <c r="Z161" i="1"/>
  <c r="G165" i="5" s="1"/>
  <c r="Z169" i="1"/>
  <c r="Z177" i="1"/>
  <c r="G181" i="5" s="1"/>
  <c r="Z185" i="1"/>
  <c r="G189" i="5" s="1"/>
  <c r="Z193" i="1"/>
  <c r="G197" i="5" s="1"/>
  <c r="Z201" i="1"/>
  <c r="G205" i="5" s="1"/>
  <c r="Z209" i="1"/>
  <c r="G213" i="5" s="1"/>
  <c r="Z217" i="1"/>
  <c r="G221" i="5" s="1"/>
  <c r="Z237" i="1"/>
  <c r="Z245" i="1"/>
  <c r="G249" i="5" s="1"/>
  <c r="Z261" i="1"/>
  <c r="G265" i="5" s="1"/>
  <c r="Z269" i="1"/>
  <c r="G273" i="5" s="1"/>
  <c r="Z277" i="1"/>
  <c r="G281" i="5" s="1"/>
  <c r="Z285" i="1"/>
  <c r="Z293" i="1"/>
  <c r="G297" i="5" s="1"/>
  <c r="Z309" i="1"/>
  <c r="G313" i="5" s="1"/>
  <c r="Z317" i="1"/>
  <c r="G321" i="5" s="1"/>
  <c r="Z325" i="1"/>
  <c r="G329" i="5" s="1"/>
  <c r="Z196" i="1"/>
  <c r="G200" i="5" s="1"/>
  <c r="Z104" i="1"/>
  <c r="G108" i="5" s="1"/>
  <c r="Z97" i="1"/>
  <c r="G101" i="5" s="1"/>
  <c r="Z105" i="1"/>
  <c r="G109" i="5" s="1"/>
  <c r="Z113" i="1"/>
  <c r="G117" i="5" s="1"/>
  <c r="Z121" i="1"/>
  <c r="Z129" i="1"/>
  <c r="G133" i="5" s="1"/>
  <c r="Z137" i="1"/>
  <c r="G141" i="5" s="1"/>
  <c r="Z153" i="1"/>
  <c r="G157" i="5" s="1"/>
  <c r="Z229" i="1"/>
  <c r="G233" i="5" s="1"/>
  <c r="Z36" i="1"/>
  <c r="G40" i="5" s="1"/>
  <c r="Z100" i="1"/>
  <c r="G104" i="5" s="1"/>
  <c r="Z116" i="1"/>
  <c r="Z28" i="1"/>
  <c r="G32" i="5" s="1"/>
  <c r="Z91" i="1"/>
  <c r="G95" i="5" s="1"/>
  <c r="Z93" i="1"/>
  <c r="G97" i="5" s="1"/>
  <c r="Z101" i="1"/>
  <c r="G105" i="5" s="1"/>
  <c r="Z109" i="1"/>
  <c r="G113" i="5" s="1"/>
  <c r="Z117" i="1"/>
  <c r="Z125" i="1"/>
  <c r="G129" i="5" s="1"/>
  <c r="Z133" i="1"/>
  <c r="G137" i="5" s="1"/>
  <c r="Z141" i="1"/>
  <c r="Z149" i="1"/>
  <c r="G153" i="5" s="1"/>
  <c r="Z165" i="1"/>
  <c r="G169" i="5" s="1"/>
  <c r="Z181" i="1"/>
  <c r="G185" i="5" s="1"/>
  <c r="Z189" i="1"/>
  <c r="G193" i="5" s="1"/>
  <c r="Z197" i="1"/>
  <c r="G201" i="5" s="1"/>
  <c r="Z205" i="1"/>
  <c r="G209" i="5" s="1"/>
  <c r="Z213" i="1"/>
  <c r="G217" i="5" s="1"/>
  <c r="Z233" i="1"/>
  <c r="G237" i="5" s="1"/>
  <c r="Z249" i="1"/>
  <c r="G253" i="5" s="1"/>
  <c r="Z265" i="1"/>
  <c r="G269" i="5" s="1"/>
  <c r="Z273" i="1"/>
  <c r="Z281" i="1"/>
  <c r="G285" i="5" s="1"/>
  <c r="Z289" i="1"/>
  <c r="G293" i="5" s="1"/>
  <c r="Z297" i="1"/>
  <c r="G301" i="5" s="1"/>
  <c r="Z305" i="1"/>
  <c r="G309" i="5" s="1"/>
  <c r="Z313" i="1"/>
  <c r="G317" i="5" s="1"/>
  <c r="Z321" i="1"/>
  <c r="G325" i="5" s="1"/>
  <c r="Z329" i="1"/>
  <c r="G333" i="5" s="1"/>
  <c r="F330" i="5"/>
  <c r="Z9" i="1"/>
  <c r="G13" i="5" s="1"/>
  <c r="Z45" i="1"/>
  <c r="G49" i="5" s="1"/>
  <c r="Z53" i="1"/>
  <c r="Z61" i="1"/>
  <c r="Z69" i="1"/>
  <c r="G73" i="5" s="1"/>
  <c r="Z77" i="1"/>
  <c r="G81" i="5" s="1"/>
  <c r="Z173" i="1"/>
  <c r="AE2" i="1"/>
  <c r="AH2" i="1" s="1"/>
  <c r="AI2" i="1" s="1"/>
  <c r="Y233" i="1"/>
  <c r="E237" i="5" s="1"/>
  <c r="Y281" i="1"/>
  <c r="E285" i="5" s="1"/>
  <c r="Y137" i="1"/>
  <c r="E141" i="5" s="1"/>
  <c r="Y229" i="1"/>
  <c r="E233" i="5" s="1"/>
  <c r="Y97" i="1"/>
  <c r="E101" i="5" s="1"/>
  <c r="Y189" i="1"/>
  <c r="E193" i="5" s="1"/>
  <c r="Y285" i="1"/>
  <c r="Y329" i="1"/>
  <c r="E333" i="5" s="1"/>
  <c r="Y185" i="1"/>
  <c r="E189" i="5" s="1"/>
  <c r="Y277" i="1"/>
  <c r="E281" i="5" s="1"/>
  <c r="Y325" i="1"/>
  <c r="E329" i="5" s="1"/>
  <c r="Y255" i="1"/>
  <c r="E259" i="5" s="1"/>
  <c r="Y153" i="1"/>
  <c r="E157" i="5" s="1"/>
  <c r="Y69" i="1"/>
  <c r="E73" i="5" s="1"/>
  <c r="Y109" i="1"/>
  <c r="E113" i="5" s="1"/>
  <c r="Y93" i="1"/>
  <c r="E97" i="5" s="1"/>
  <c r="Y145" i="1"/>
  <c r="E149" i="5" s="1"/>
  <c r="Y245" i="1"/>
  <c r="E249" i="5" s="1"/>
  <c r="Y101" i="1"/>
  <c r="E105" i="5" s="1"/>
  <c r="Y193" i="1"/>
  <c r="E197" i="5" s="1"/>
  <c r="Y289" i="1"/>
  <c r="E293" i="5" s="1"/>
  <c r="Y72" i="1"/>
  <c r="E76" i="5" s="1"/>
  <c r="Y261" i="1"/>
  <c r="E265" i="5" s="1"/>
  <c r="Y305" i="1"/>
  <c r="E309" i="5" s="1"/>
  <c r="Y113" i="1"/>
  <c r="E117" i="5" s="1"/>
  <c r="Y161" i="1"/>
  <c r="E165" i="5" s="1"/>
  <c r="Y249" i="1"/>
  <c r="E253" i="5" s="1"/>
  <c r="Y49" i="1"/>
  <c r="E53" i="5" s="1"/>
  <c r="Y149" i="1"/>
  <c r="E153" i="5" s="1"/>
  <c r="Y241" i="1"/>
  <c r="E245" i="5" s="1"/>
  <c r="Y108" i="1"/>
  <c r="E112" i="5" s="1"/>
  <c r="Y77" i="1"/>
  <c r="E81" i="5" s="1"/>
  <c r="Y121" i="1"/>
  <c r="Y213" i="1"/>
  <c r="E217" i="5" s="1"/>
  <c r="Y105" i="1"/>
  <c r="E109" i="5" s="1"/>
  <c r="Y257" i="1"/>
  <c r="E261" i="5" s="1"/>
  <c r="Y309" i="1"/>
  <c r="E313" i="5" s="1"/>
  <c r="Y89" i="1"/>
  <c r="E93" i="5" s="1"/>
  <c r="Y133" i="1"/>
  <c r="E137" i="5" s="1"/>
  <c r="Y177" i="1"/>
  <c r="E181" i="5" s="1"/>
  <c r="Y317" i="1"/>
  <c r="E321" i="5" s="1"/>
  <c r="Y65" i="1"/>
  <c r="E69" i="5" s="1"/>
  <c r="Y269" i="1"/>
  <c r="E273" i="5" s="1"/>
  <c r="Y321" i="1"/>
  <c r="E325" i="5" s="1"/>
  <c r="Y73" i="1"/>
  <c r="E77" i="5" s="1"/>
  <c r="Y125" i="1"/>
  <c r="E129" i="5" s="1"/>
  <c r="Y217" i="1"/>
  <c r="E221" i="5" s="1"/>
  <c r="Y313" i="1"/>
  <c r="E317" i="5" s="1"/>
  <c r="Q60" i="1"/>
  <c r="Y236" i="1"/>
  <c r="E240" i="5" s="1"/>
  <c r="R60" i="1"/>
  <c r="AG21" i="1"/>
  <c r="P60" i="1"/>
  <c r="AG212" i="1"/>
  <c r="N212" i="1"/>
  <c r="O212" i="1"/>
  <c r="N29" i="1"/>
  <c r="P212" i="1"/>
  <c r="R212" i="1"/>
  <c r="R29" i="1"/>
  <c r="N60" i="1"/>
  <c r="O60" i="1"/>
  <c r="AB143" i="1"/>
  <c r="J147" i="5"/>
  <c r="AB30" i="1"/>
  <c r="AB111" i="1"/>
  <c r="J115" i="5"/>
  <c r="AB55" i="1"/>
  <c r="AB212" i="1"/>
  <c r="J216" i="5"/>
  <c r="AB157" i="1"/>
  <c r="AB301" i="1"/>
  <c r="J305" i="5"/>
  <c r="AB106" i="1"/>
  <c r="J110" i="5"/>
  <c r="AB85" i="1"/>
  <c r="AB280" i="1"/>
  <c r="J284" i="5"/>
  <c r="AB60" i="1"/>
  <c r="J64" i="5"/>
  <c r="AB312" i="1"/>
  <c r="J316" i="5"/>
  <c r="J297" i="5"/>
  <c r="O220" i="1"/>
  <c r="O130" i="1"/>
  <c r="AB253" i="1"/>
  <c r="AB187" i="1"/>
  <c r="AB16" i="1"/>
  <c r="AB221" i="1"/>
  <c r="AB247" i="1"/>
  <c r="AB90" i="1"/>
  <c r="AB130" i="1"/>
  <c r="R13" i="1"/>
  <c r="AB220" i="1"/>
  <c r="AB81" i="1"/>
  <c r="N312" i="1"/>
  <c r="AG312" i="1"/>
  <c r="Q312" i="1"/>
  <c r="AG5" i="1"/>
  <c r="O312" i="1"/>
  <c r="R312" i="1"/>
  <c r="P280" i="1"/>
  <c r="AG280" i="1"/>
  <c r="N21" i="1"/>
  <c r="O29" i="1"/>
  <c r="Z29" i="1" s="1"/>
  <c r="Q280" i="1"/>
  <c r="Q220" i="1"/>
  <c r="Q25" i="1"/>
  <c r="R280" i="1"/>
  <c r="R21" i="1"/>
  <c r="N220" i="1"/>
  <c r="N280" i="1"/>
  <c r="Q29" i="1"/>
  <c r="Q21" i="1"/>
  <c r="AG220" i="1"/>
  <c r="R25" i="1"/>
  <c r="R200" i="1"/>
  <c r="N5" i="1"/>
  <c r="AG17" i="1"/>
  <c r="O5" i="1"/>
  <c r="Z5" i="1" s="1"/>
  <c r="G9" i="5" s="1"/>
  <c r="N13" i="1"/>
  <c r="O13" i="1"/>
  <c r="Z13" i="1" s="1"/>
  <c r="O17" i="1"/>
  <c r="P17" i="1"/>
  <c r="Q240" i="1"/>
  <c r="N17" i="1"/>
  <c r="Y17" i="1" s="1"/>
  <c r="E21" i="5" s="1"/>
  <c r="Q104" i="1"/>
  <c r="Q17" i="1"/>
  <c r="O236" i="1"/>
  <c r="Z236" i="1" s="1"/>
  <c r="G240" i="5" s="1"/>
  <c r="Q13" i="1"/>
  <c r="O52" i="1"/>
  <c r="Z52" i="1" s="1"/>
  <c r="G56" i="5" s="1"/>
  <c r="O108" i="1"/>
  <c r="Z108" i="1" s="1"/>
  <c r="G112" i="5" s="1"/>
  <c r="O244" i="1"/>
  <c r="Z244" i="1" s="1"/>
  <c r="G248" i="5" s="1"/>
  <c r="O144" i="1"/>
  <c r="Z144" i="1" s="1"/>
  <c r="G148" i="5" s="1"/>
  <c r="O37" i="1"/>
  <c r="Z37" i="1" s="1"/>
  <c r="G41" i="5" s="1"/>
  <c r="R180" i="1"/>
  <c r="AG37" i="1"/>
  <c r="N37" i="1"/>
  <c r="Q80" i="1"/>
  <c r="P252" i="1"/>
  <c r="Q37" i="1"/>
  <c r="Q5" i="1"/>
  <c r="N56" i="1"/>
  <c r="Y56" i="1" s="1"/>
  <c r="E60" i="5" s="1"/>
  <c r="Q260" i="1"/>
  <c r="Q140" i="1"/>
  <c r="O276" i="1"/>
  <c r="Z276" i="1" s="1"/>
  <c r="G280" i="5" s="1"/>
  <c r="R84" i="1"/>
  <c r="AG236" i="1"/>
  <c r="R296" i="1"/>
  <c r="N104" i="1"/>
  <c r="N268" i="1"/>
  <c r="Q56" i="1"/>
  <c r="P84" i="1"/>
  <c r="AG172" i="1"/>
  <c r="R268" i="1"/>
  <c r="N25" i="1"/>
  <c r="O33" i="1"/>
  <c r="AG9" i="1"/>
  <c r="Q9" i="1"/>
  <c r="Q33" i="1"/>
  <c r="AG33" i="1"/>
  <c r="R9" i="1"/>
  <c r="N9" i="1"/>
  <c r="N33" i="1"/>
  <c r="Y33" i="1" s="1"/>
  <c r="E37" i="5" s="1"/>
  <c r="P33" i="1"/>
  <c r="O25" i="1"/>
  <c r="Z25" i="1" s="1"/>
  <c r="G29" i="5" s="1"/>
  <c r="Q152" i="1"/>
  <c r="Q308" i="1"/>
  <c r="R148" i="1"/>
  <c r="O136" i="1"/>
  <c r="Q100" i="1"/>
  <c r="O168" i="1"/>
  <c r="N36" i="1"/>
  <c r="N244" i="1"/>
  <c r="Q28" i="1"/>
  <c r="P116" i="1"/>
  <c r="Q216" i="1"/>
  <c r="Q196" i="1"/>
  <c r="AG116" i="1"/>
  <c r="N196" i="1"/>
  <c r="Q288" i="1"/>
  <c r="R80" i="1"/>
  <c r="R244" i="1"/>
  <c r="AG288" i="1"/>
  <c r="N28" i="1"/>
  <c r="N80" i="1"/>
  <c r="N116" i="1"/>
  <c r="Y116" i="1" s="1"/>
  <c r="N144" i="1"/>
  <c r="Q36" i="1"/>
  <c r="Q52" i="1"/>
  <c r="O72" i="1"/>
  <c r="Z72" i="1" s="1"/>
  <c r="G76" i="5" s="1"/>
  <c r="O112" i="1"/>
  <c r="Z112" i="1" s="1"/>
  <c r="G116" i="5" s="1"/>
  <c r="Q116" i="1"/>
  <c r="Q144" i="1"/>
  <c r="Q244" i="1"/>
  <c r="O180" i="1"/>
  <c r="Z180" i="1" s="1"/>
  <c r="G184" i="5" s="1"/>
  <c r="Q252" i="1"/>
  <c r="AG28" i="1"/>
  <c r="AG52" i="1"/>
  <c r="AG72" i="1"/>
  <c r="R116" i="1"/>
  <c r="R160" i="1"/>
  <c r="AG196" i="1"/>
  <c r="R248" i="1"/>
  <c r="R272" i="1"/>
  <c r="R288" i="1"/>
  <c r="AG320" i="1"/>
  <c r="N52" i="1"/>
  <c r="Q72" i="1"/>
  <c r="Q112" i="1"/>
  <c r="O320" i="1"/>
  <c r="Z320" i="1" s="1"/>
  <c r="G324" i="5" s="1"/>
  <c r="Q180" i="1"/>
  <c r="R28" i="1"/>
  <c r="R72" i="1"/>
  <c r="AG112" i="1"/>
  <c r="AG144" i="1"/>
  <c r="R196" i="1"/>
  <c r="AG216" i="1"/>
  <c r="AG252" i="1"/>
  <c r="R320" i="1"/>
  <c r="N112" i="1"/>
  <c r="N180" i="1"/>
  <c r="N216" i="1"/>
  <c r="N252" i="1"/>
  <c r="Y252" i="1" s="1"/>
  <c r="E256" i="5" s="1"/>
  <c r="N288" i="1"/>
  <c r="Y288" i="1" s="1"/>
  <c r="E292" i="5" s="1"/>
  <c r="N320" i="1"/>
  <c r="O80" i="1"/>
  <c r="Z80" i="1" s="1"/>
  <c r="G84" i="5" s="1"/>
  <c r="Q160" i="1"/>
  <c r="O288" i="1"/>
  <c r="Z288" i="1" s="1"/>
  <c r="G292" i="5" s="1"/>
  <c r="O216" i="1"/>
  <c r="Z216" i="1" s="1"/>
  <c r="G220" i="5" s="1"/>
  <c r="P272" i="1"/>
  <c r="O252" i="1"/>
  <c r="Z252" i="1" s="1"/>
  <c r="G256" i="5" s="1"/>
  <c r="N96" i="1"/>
  <c r="N308" i="1"/>
  <c r="Q200" i="1"/>
  <c r="Q292" i="1"/>
  <c r="Q204" i="1"/>
  <c r="R292" i="1"/>
  <c r="R136" i="1"/>
  <c r="R184" i="1"/>
  <c r="N24" i="1"/>
  <c r="Y24" i="1" s="1"/>
  <c r="E28" i="5" s="1"/>
  <c r="N232" i="1"/>
  <c r="Y232" i="1" s="1"/>
  <c r="E236" i="5" s="1"/>
  <c r="O64" i="1"/>
  <c r="Z64" i="1" s="1"/>
  <c r="G68" i="5" s="1"/>
  <c r="N148" i="1"/>
  <c r="Q8" i="1"/>
  <c r="O24" i="1"/>
  <c r="Z24" i="1" s="1"/>
  <c r="G28" i="5" s="1"/>
  <c r="Q232" i="1"/>
  <c r="N184" i="1"/>
  <c r="N204" i="1"/>
  <c r="Y204" i="1" s="1"/>
  <c r="E208" i="5" s="1"/>
  <c r="N292" i="1"/>
  <c r="Q24" i="1"/>
  <c r="O68" i="1"/>
  <c r="O96" i="1"/>
  <c r="Z96" i="1" s="1"/>
  <c r="Q136" i="1"/>
  <c r="O148" i="1"/>
  <c r="Z148" i="1" s="1"/>
  <c r="G152" i="5" s="1"/>
  <c r="O184" i="1"/>
  <c r="Z184" i="1" s="1"/>
  <c r="G188" i="5" s="1"/>
  <c r="Q168" i="1"/>
  <c r="O292" i="1"/>
  <c r="Z292" i="1" s="1"/>
  <c r="G296" i="5" s="1"/>
  <c r="AG100" i="1"/>
  <c r="AG204" i="1"/>
  <c r="AG232" i="1"/>
  <c r="N8" i="1"/>
  <c r="N68" i="1"/>
  <c r="Y68" i="1" s="1"/>
  <c r="E72" i="5" s="1"/>
  <c r="N100" i="1"/>
  <c r="N152" i="1"/>
  <c r="P136" i="1"/>
  <c r="P68" i="1"/>
  <c r="Q96" i="1"/>
  <c r="Q148" i="1"/>
  <c r="Q184" i="1"/>
  <c r="O204" i="1"/>
  <c r="Z204" i="1" s="1"/>
  <c r="G208" i="5" s="1"/>
  <c r="O232" i="1"/>
  <c r="Z232" i="1" s="1"/>
  <c r="G236" i="5" s="1"/>
  <c r="R24" i="1"/>
  <c r="R308" i="1"/>
  <c r="R96" i="1"/>
  <c r="AG8" i="1"/>
  <c r="AG68" i="1"/>
  <c r="R100" i="1"/>
  <c r="AG168" i="1"/>
  <c r="R204" i="1"/>
  <c r="R232" i="1"/>
  <c r="N136" i="1"/>
  <c r="Y136" i="1" s="1"/>
  <c r="E140" i="5" s="1"/>
  <c r="N168" i="1"/>
  <c r="Y168" i="1" s="1"/>
  <c r="E172" i="5" s="1"/>
  <c r="N200" i="1"/>
  <c r="O8" i="1"/>
  <c r="Z8" i="1" s="1"/>
  <c r="G12" i="5" s="1"/>
  <c r="Q68" i="1"/>
  <c r="O152" i="1"/>
  <c r="Z152" i="1" s="1"/>
  <c r="G156" i="5" s="1"/>
  <c r="O200" i="1"/>
  <c r="Z200" i="1" s="1"/>
  <c r="G204" i="5" s="1"/>
  <c r="P168" i="1"/>
  <c r="P24" i="1"/>
  <c r="O308" i="1"/>
  <c r="Z308" i="1" s="1"/>
  <c r="G312" i="5" s="1"/>
  <c r="R152" i="1"/>
  <c r="N324" i="1"/>
  <c r="Q76" i="1"/>
  <c r="Q284" i="1"/>
  <c r="Q164" i="1"/>
  <c r="O128" i="1"/>
  <c r="Z128" i="1" s="1"/>
  <c r="G132" i="5" s="1"/>
  <c r="N176" i="1"/>
  <c r="N124" i="1"/>
  <c r="O156" i="1"/>
  <c r="Z156" i="1" s="1"/>
  <c r="G160" i="5" s="1"/>
  <c r="R156" i="1"/>
  <c r="N228" i="1"/>
  <c r="O120" i="1"/>
  <c r="Z120" i="1" s="1"/>
  <c r="G124" i="5" s="1"/>
  <c r="O256" i="1"/>
  <c r="Z256" i="1" s="1"/>
  <c r="G260" i="5" s="1"/>
  <c r="N88" i="1"/>
  <c r="N240" i="1"/>
  <c r="N260" i="1"/>
  <c r="Y260" i="1" s="1"/>
  <c r="E264" i="5" s="1"/>
  <c r="O4" i="1"/>
  <c r="O88" i="1"/>
  <c r="Z88" i="1" s="1"/>
  <c r="G92" i="5" s="1"/>
  <c r="Q236" i="1"/>
  <c r="Q276" i="1"/>
  <c r="AG88" i="1"/>
  <c r="AG104" i="1"/>
  <c r="R172" i="1"/>
  <c r="R236" i="1"/>
  <c r="AG260" i="1"/>
  <c r="N140" i="1"/>
  <c r="P4" i="1"/>
  <c r="P56" i="1"/>
  <c r="Q88" i="1"/>
  <c r="O296" i="1"/>
  <c r="Z296" i="1" s="1"/>
  <c r="G300" i="5" s="1"/>
  <c r="O268" i="1"/>
  <c r="Z268" i="1" s="1"/>
  <c r="G272" i="5" s="1"/>
  <c r="O260" i="1"/>
  <c r="Z260" i="1" s="1"/>
  <c r="G264" i="5" s="1"/>
  <c r="O172" i="1"/>
  <c r="Z172" i="1" s="1"/>
  <c r="G176" i="5" s="1"/>
  <c r="AG4" i="1"/>
  <c r="AG56" i="1"/>
  <c r="R104" i="1"/>
  <c r="AG140" i="1"/>
  <c r="AG240" i="1"/>
  <c r="R260" i="1"/>
  <c r="AG276" i="1"/>
  <c r="N4" i="1"/>
  <c r="Y4" i="1" s="1"/>
  <c r="E8" i="5" s="1"/>
  <c r="N172" i="1"/>
  <c r="N276" i="1"/>
  <c r="Q4" i="1"/>
  <c r="O56" i="1"/>
  <c r="O140" i="1"/>
  <c r="Z140" i="1" s="1"/>
  <c r="G144" i="5" s="1"/>
  <c r="Q268" i="1"/>
  <c r="O240" i="1"/>
  <c r="Z240" i="1" s="1"/>
  <c r="G244" i="5" s="1"/>
  <c r="R132" i="1"/>
  <c r="N92" i="1"/>
  <c r="N256" i="1"/>
  <c r="N264" i="1"/>
  <c r="Q120" i="1"/>
  <c r="Q128" i="1"/>
  <c r="Q256" i="1"/>
  <c r="O176" i="1"/>
  <c r="Z176" i="1" s="1"/>
  <c r="O192" i="1"/>
  <c r="Z192" i="1" s="1"/>
  <c r="G196" i="5" s="1"/>
  <c r="O264" i="1"/>
  <c r="Z264" i="1" s="1"/>
  <c r="G268" i="5" s="1"/>
  <c r="AG92" i="1"/>
  <c r="AG324" i="1"/>
  <c r="N40" i="1"/>
  <c r="N76" i="1"/>
  <c r="N120" i="1"/>
  <c r="N128" i="1"/>
  <c r="N164" i="1"/>
  <c r="Y164" i="1" s="1"/>
  <c r="N284" i="1"/>
  <c r="O40" i="1"/>
  <c r="Z40" i="1" s="1"/>
  <c r="G44" i="5" s="1"/>
  <c r="O92" i="1"/>
  <c r="Z92" i="1" s="1"/>
  <c r="G96" i="5" s="1"/>
  <c r="O124" i="1"/>
  <c r="Z124" i="1" s="1"/>
  <c r="G128" i="5" s="1"/>
  <c r="O164" i="1"/>
  <c r="Z164" i="1" s="1"/>
  <c r="O208" i="1"/>
  <c r="Z208" i="1" s="1"/>
  <c r="G212" i="5" s="1"/>
  <c r="O228" i="1"/>
  <c r="Z228" i="1" s="1"/>
  <c r="G232" i="5" s="1"/>
  <c r="Q176" i="1"/>
  <c r="Q192" i="1"/>
  <c r="Q264" i="1"/>
  <c r="R124" i="1"/>
  <c r="AG128" i="1"/>
  <c r="AG176" i="1"/>
  <c r="AG264" i="1"/>
  <c r="N156" i="1"/>
  <c r="N192" i="1"/>
  <c r="N208" i="1"/>
  <c r="Q40" i="1"/>
  <c r="O76" i="1"/>
  <c r="Z76" i="1" s="1"/>
  <c r="G80" i="5" s="1"/>
  <c r="Q92" i="1"/>
  <c r="Q124" i="1"/>
  <c r="P164" i="1"/>
  <c r="Q208" i="1"/>
  <c r="Q228" i="1"/>
  <c r="O324" i="1"/>
  <c r="Z324" i="1" s="1"/>
  <c r="Q324" i="1"/>
  <c r="R40" i="1"/>
  <c r="R228" i="1"/>
  <c r="AG256" i="1"/>
  <c r="R284" i="1"/>
  <c r="AG76" i="1"/>
  <c r="Q156" i="1"/>
  <c r="O284" i="1"/>
  <c r="Z284" i="1" s="1"/>
  <c r="G288" i="5" s="1"/>
  <c r="AG120" i="1"/>
  <c r="AG164" i="1"/>
  <c r="AG192" i="1"/>
  <c r="AG208" i="1"/>
  <c r="R224" i="1"/>
  <c r="N20" i="1"/>
  <c r="N64" i="1"/>
  <c r="N160" i="1"/>
  <c r="N224" i="1"/>
  <c r="Y224" i="1" s="1"/>
  <c r="E228" i="5" s="1"/>
  <c r="N248" i="1"/>
  <c r="Y248" i="1" s="1"/>
  <c r="E252" i="5" s="1"/>
  <c r="N272" i="1"/>
  <c r="Y272" i="1" s="1"/>
  <c r="E276" i="5" s="1"/>
  <c r="N296" i="1"/>
  <c r="O20" i="1"/>
  <c r="Z20" i="1" s="1"/>
  <c r="G24" i="5" s="1"/>
  <c r="Q64" i="1"/>
  <c r="Q84" i="1"/>
  <c r="Q108" i="1"/>
  <c r="O132" i="1"/>
  <c r="Z132" i="1" s="1"/>
  <c r="O224" i="1"/>
  <c r="Z224" i="1" s="1"/>
  <c r="G228" i="5" s="1"/>
  <c r="O248" i="1"/>
  <c r="Q272" i="1"/>
  <c r="R316" i="1"/>
  <c r="AG20" i="1"/>
  <c r="AG36" i="1"/>
  <c r="AG64" i="1"/>
  <c r="AG108" i="1"/>
  <c r="AG188" i="1"/>
  <c r="Q20" i="1"/>
  <c r="Q132" i="1"/>
  <c r="P224" i="1"/>
  <c r="P248" i="1"/>
  <c r="O188" i="1"/>
  <c r="Z188" i="1" s="1"/>
  <c r="G192" i="5" s="1"/>
  <c r="O316" i="1"/>
  <c r="Z316" i="1" s="1"/>
  <c r="G320" i="5" s="1"/>
  <c r="R36" i="1"/>
  <c r="R108" i="1"/>
  <c r="R188" i="1"/>
  <c r="N84" i="1"/>
  <c r="Y84" i="1" s="1"/>
  <c r="E88" i="5" s="1"/>
  <c r="N132" i="1"/>
  <c r="N188" i="1"/>
  <c r="N316" i="1"/>
  <c r="P35" i="1"/>
  <c r="O84" i="1"/>
  <c r="Z84" i="1" s="1"/>
  <c r="G88" i="5" s="1"/>
  <c r="O160" i="1"/>
  <c r="Z160" i="1" s="1"/>
  <c r="G164" i="5" s="1"/>
  <c r="Q224" i="1"/>
  <c r="Q296" i="1"/>
  <c r="Q248" i="1"/>
  <c r="O272" i="1"/>
  <c r="Z272" i="1" s="1"/>
  <c r="G276" i="5" s="1"/>
  <c r="Q316" i="1"/>
  <c r="P138" i="1"/>
  <c r="N34" i="1"/>
  <c r="N58" i="1"/>
  <c r="N50" i="1"/>
  <c r="Q274" i="1"/>
  <c r="N2" i="1"/>
  <c r="N18" i="1"/>
  <c r="N98" i="1"/>
  <c r="Y98" i="1" s="1"/>
  <c r="E102" i="5" s="1"/>
  <c r="N122" i="1"/>
  <c r="O219" i="1"/>
  <c r="Z219" i="1" s="1"/>
  <c r="G223" i="5" s="1"/>
  <c r="N66" i="1"/>
  <c r="Y66" i="1" s="1"/>
  <c r="E70" i="5" s="1"/>
  <c r="N90" i="1"/>
  <c r="N114" i="1"/>
  <c r="Y114" i="1" s="1"/>
  <c r="E118" i="5" s="1"/>
  <c r="Q154" i="1"/>
  <c r="O267" i="1"/>
  <c r="Z267" i="1" s="1"/>
  <c r="G271" i="5" s="1"/>
  <c r="Q42" i="1"/>
  <c r="Q3" i="1"/>
  <c r="N10" i="1"/>
  <c r="Y10" i="1" s="1"/>
  <c r="E14" i="5" s="1"/>
  <c r="N42" i="1"/>
  <c r="Y42" i="1" s="1"/>
  <c r="E46" i="5" s="1"/>
  <c r="N74" i="1"/>
  <c r="N106" i="1"/>
  <c r="Q98" i="1"/>
  <c r="Q19" i="1"/>
  <c r="O154" i="1"/>
  <c r="Q162" i="1"/>
  <c r="Q27" i="1"/>
  <c r="O32" i="1"/>
  <c r="Z32" i="1" s="1"/>
  <c r="G36" i="5" s="1"/>
  <c r="Q6" i="1"/>
  <c r="AG6" i="1"/>
  <c r="R14" i="1"/>
  <c r="AG14" i="1"/>
  <c r="Q22" i="1"/>
  <c r="AG22" i="1"/>
  <c r="P30" i="1"/>
  <c r="AG30" i="1"/>
  <c r="O38" i="1"/>
  <c r="Z38" i="1" s="1"/>
  <c r="G42" i="5" s="1"/>
  <c r="AG38" i="1"/>
  <c r="Q46" i="1"/>
  <c r="AG46" i="1"/>
  <c r="Q54" i="1"/>
  <c r="AG54" i="1"/>
  <c r="O62" i="1"/>
  <c r="Z62" i="1" s="1"/>
  <c r="G66" i="5" s="1"/>
  <c r="AG62" i="1"/>
  <c r="Q70" i="1"/>
  <c r="AG70" i="1"/>
  <c r="Q78" i="1"/>
  <c r="AG78" i="1"/>
  <c r="O86" i="1"/>
  <c r="Z86" i="1" s="1"/>
  <c r="AG86" i="1"/>
  <c r="Q94" i="1"/>
  <c r="AG94" i="1"/>
  <c r="O102" i="1"/>
  <c r="Z102" i="1" s="1"/>
  <c r="AG102" i="1"/>
  <c r="Q110" i="1"/>
  <c r="AG110" i="1"/>
  <c r="O118" i="1"/>
  <c r="Z118" i="1" s="1"/>
  <c r="G122" i="5" s="1"/>
  <c r="AG118" i="1"/>
  <c r="P126" i="1"/>
  <c r="AG126" i="1"/>
  <c r="N134" i="1"/>
  <c r="AG134" i="1"/>
  <c r="Q142" i="1"/>
  <c r="AG142" i="1"/>
  <c r="R150" i="1"/>
  <c r="AG150" i="1"/>
  <c r="Q158" i="1"/>
  <c r="AG158" i="1"/>
  <c r="N166" i="1"/>
  <c r="AG166" i="1"/>
  <c r="Q174" i="1"/>
  <c r="AG174" i="1"/>
  <c r="N182" i="1"/>
  <c r="AG182" i="1"/>
  <c r="R190" i="1"/>
  <c r="AG190" i="1"/>
  <c r="N198" i="1"/>
  <c r="Y198" i="1" s="1"/>
  <c r="E202" i="5" s="1"/>
  <c r="AG198" i="1"/>
  <c r="N206" i="1"/>
  <c r="AG206" i="1"/>
  <c r="Q214" i="1"/>
  <c r="AG214" i="1"/>
  <c r="R222" i="1"/>
  <c r="AG222" i="1"/>
  <c r="N230" i="1"/>
  <c r="AG230" i="1"/>
  <c r="O238" i="1"/>
  <c r="Z238" i="1" s="1"/>
  <c r="G242" i="5" s="1"/>
  <c r="AG238" i="1"/>
  <c r="O246" i="1"/>
  <c r="Z246" i="1" s="1"/>
  <c r="AG246" i="1"/>
  <c r="R254" i="1"/>
  <c r="AG254" i="1"/>
  <c r="N262" i="1"/>
  <c r="Y262" i="1" s="1"/>
  <c r="E266" i="5" s="1"/>
  <c r="AG262" i="1"/>
  <c r="N270" i="1"/>
  <c r="AG270" i="1"/>
  <c r="Q278" i="1"/>
  <c r="AG278" i="1"/>
  <c r="R286" i="1"/>
  <c r="AG286" i="1"/>
  <c r="Q294" i="1"/>
  <c r="AG294" i="1"/>
  <c r="N302" i="1"/>
  <c r="AG302" i="1"/>
  <c r="P310" i="1"/>
  <c r="AG310" i="1"/>
  <c r="R318" i="1"/>
  <c r="AG318" i="1"/>
  <c r="O326" i="1"/>
  <c r="Z326" i="1" s="1"/>
  <c r="AG326" i="1"/>
  <c r="R7" i="1"/>
  <c r="AG7" i="1"/>
  <c r="R15" i="1"/>
  <c r="AG15" i="1"/>
  <c r="R23" i="1"/>
  <c r="AG23" i="1"/>
  <c r="R31" i="1"/>
  <c r="AG31" i="1"/>
  <c r="Q39" i="1"/>
  <c r="AG39" i="1"/>
  <c r="R47" i="1"/>
  <c r="AG47" i="1"/>
  <c r="Q55" i="1"/>
  <c r="AG55" i="1"/>
  <c r="R63" i="1"/>
  <c r="AG63" i="1"/>
  <c r="Q71" i="1"/>
  <c r="AG71" i="1"/>
  <c r="R79" i="1"/>
  <c r="AG79" i="1"/>
  <c r="P87" i="1"/>
  <c r="AG87" i="1"/>
  <c r="R95" i="1"/>
  <c r="AG95" i="1"/>
  <c r="Q103" i="1"/>
  <c r="AG103" i="1"/>
  <c r="R111" i="1"/>
  <c r="AG111" i="1"/>
  <c r="Q119" i="1"/>
  <c r="AG119" i="1"/>
  <c r="R127" i="1"/>
  <c r="AG127" i="1"/>
  <c r="Q135" i="1"/>
  <c r="AG135" i="1"/>
  <c r="R143" i="1"/>
  <c r="AG143" i="1"/>
  <c r="N151" i="1"/>
  <c r="AG151" i="1"/>
  <c r="R159" i="1"/>
  <c r="AG159" i="1"/>
  <c r="P167" i="1"/>
  <c r="AG167" i="1"/>
  <c r="R175" i="1"/>
  <c r="AG175" i="1"/>
  <c r="Q183" i="1"/>
  <c r="AG183" i="1"/>
  <c r="O191" i="1"/>
  <c r="Z191" i="1" s="1"/>
  <c r="G195" i="5" s="1"/>
  <c r="AG191" i="1"/>
  <c r="N199" i="1"/>
  <c r="AG199" i="1"/>
  <c r="N207" i="1"/>
  <c r="AG207" i="1"/>
  <c r="Q215" i="1"/>
  <c r="AG215" i="1"/>
  <c r="P223" i="1"/>
  <c r="AG223" i="1"/>
  <c r="Q231" i="1"/>
  <c r="AG231" i="1"/>
  <c r="N239" i="1"/>
  <c r="Y239" i="1" s="1"/>
  <c r="E243" i="5" s="1"/>
  <c r="AG239" i="1"/>
  <c r="N247" i="1"/>
  <c r="AG247" i="1"/>
  <c r="O255" i="1"/>
  <c r="Z255" i="1" s="1"/>
  <c r="G259" i="5" s="1"/>
  <c r="AG255" i="1"/>
  <c r="Q263" i="1"/>
  <c r="AG263" i="1"/>
  <c r="N271" i="1"/>
  <c r="AG271" i="1"/>
  <c r="Q279" i="1"/>
  <c r="AG279" i="1"/>
  <c r="N287" i="1"/>
  <c r="Y287" i="1" s="1"/>
  <c r="E291" i="5" s="1"/>
  <c r="AG287" i="1"/>
  <c r="Q295" i="1"/>
  <c r="AG295" i="1"/>
  <c r="N303" i="1"/>
  <c r="AG303" i="1"/>
  <c r="N311" i="1"/>
  <c r="AG311" i="1"/>
  <c r="O319" i="1"/>
  <c r="Z319" i="1" s="1"/>
  <c r="G323" i="5" s="1"/>
  <c r="AG319" i="1"/>
  <c r="Q327" i="1"/>
  <c r="AG327" i="1"/>
  <c r="R16" i="1"/>
  <c r="AG16" i="1"/>
  <c r="O26" i="1"/>
  <c r="Z26" i="1" s="1"/>
  <c r="AG26" i="1"/>
  <c r="Q82" i="1"/>
  <c r="AG82" i="1"/>
  <c r="O218" i="1"/>
  <c r="Z218" i="1" s="1"/>
  <c r="G222" i="5" s="1"/>
  <c r="AG218" i="1"/>
  <c r="Q226" i="1"/>
  <c r="AG226" i="1"/>
  <c r="Q242" i="1"/>
  <c r="AG242" i="1"/>
  <c r="Q306" i="1"/>
  <c r="AG306" i="1"/>
  <c r="Q322" i="1"/>
  <c r="AG322" i="1"/>
  <c r="O59" i="1"/>
  <c r="Z59" i="1" s="1"/>
  <c r="G63" i="5" s="1"/>
  <c r="AG59" i="1"/>
  <c r="N75" i="1"/>
  <c r="Y75" i="1" s="1"/>
  <c r="E79" i="5" s="1"/>
  <c r="AG75" i="1"/>
  <c r="N91" i="1"/>
  <c r="AG91" i="1"/>
  <c r="N107" i="1"/>
  <c r="Y107" i="1" s="1"/>
  <c r="E111" i="5" s="1"/>
  <c r="AG107" i="1"/>
  <c r="N123" i="1"/>
  <c r="AG123" i="1"/>
  <c r="R195" i="1"/>
  <c r="AG195" i="1"/>
  <c r="R259" i="1"/>
  <c r="AG259" i="1"/>
  <c r="R275" i="1"/>
  <c r="AG275" i="1"/>
  <c r="R307" i="1"/>
  <c r="AG307" i="1"/>
  <c r="R323" i="1"/>
  <c r="AG323" i="1"/>
  <c r="O127" i="1"/>
  <c r="Z127" i="1" s="1"/>
  <c r="G131" i="5" s="1"/>
  <c r="Q182" i="1"/>
  <c r="N6" i="1"/>
  <c r="Y6" i="1" s="1"/>
  <c r="E10" i="5" s="1"/>
  <c r="N14" i="1"/>
  <c r="N22" i="1"/>
  <c r="N30" i="1"/>
  <c r="N38" i="1"/>
  <c r="N46" i="1"/>
  <c r="Y46" i="1" s="1"/>
  <c r="E50" i="5" s="1"/>
  <c r="N54" i="1"/>
  <c r="N62" i="1"/>
  <c r="N70" i="1"/>
  <c r="N78" i="1"/>
  <c r="N86" i="1"/>
  <c r="N94" i="1"/>
  <c r="N102" i="1"/>
  <c r="N110" i="1"/>
  <c r="N118" i="1"/>
  <c r="N126" i="1"/>
  <c r="Y126" i="1" s="1"/>
  <c r="E130" i="5" s="1"/>
  <c r="N103" i="1"/>
  <c r="Q126" i="1"/>
  <c r="N254" i="1"/>
  <c r="N231" i="1"/>
  <c r="P6" i="1"/>
  <c r="Q87" i="1"/>
  <c r="N135" i="1"/>
  <c r="N263" i="1"/>
  <c r="Q262" i="1"/>
  <c r="P214" i="1"/>
  <c r="O262" i="1"/>
  <c r="P15" i="1"/>
  <c r="P111" i="1"/>
  <c r="Q199" i="1"/>
  <c r="O16" i="1"/>
  <c r="P287" i="1"/>
  <c r="N158" i="1"/>
  <c r="N286" i="1"/>
  <c r="N7" i="1"/>
  <c r="Y7" i="1" s="1"/>
  <c r="E11" i="5" s="1"/>
  <c r="N190" i="1"/>
  <c r="N318" i="1"/>
  <c r="Y318" i="1" s="1"/>
  <c r="E322" i="5" s="1"/>
  <c r="N39" i="1"/>
  <c r="Y39" i="1" s="1"/>
  <c r="E43" i="5" s="1"/>
  <c r="N167" i="1"/>
  <c r="Y167" i="1" s="1"/>
  <c r="E171" i="5" s="1"/>
  <c r="N295" i="1"/>
  <c r="O175" i="1"/>
  <c r="Z175" i="1" s="1"/>
  <c r="G179" i="5" s="1"/>
  <c r="Q47" i="1"/>
  <c r="Q127" i="1"/>
  <c r="Q247" i="1"/>
  <c r="O94" i="1"/>
  <c r="Z94" i="1" s="1"/>
  <c r="G98" i="5" s="1"/>
  <c r="O287" i="1"/>
  <c r="Z287" i="1" s="1"/>
  <c r="G291" i="5" s="1"/>
  <c r="N222" i="1"/>
  <c r="Y222" i="1" s="1"/>
  <c r="E226" i="5" s="1"/>
  <c r="N71" i="1"/>
  <c r="N327" i="1"/>
  <c r="N16" i="1"/>
  <c r="O63" i="1"/>
  <c r="Z63" i="1" s="1"/>
  <c r="G67" i="5" s="1"/>
  <c r="O239" i="1"/>
  <c r="Q310" i="1"/>
  <c r="O134" i="1"/>
  <c r="Z134" i="1" s="1"/>
  <c r="G138" i="5" s="1"/>
  <c r="O294" i="1"/>
  <c r="Q23" i="1"/>
  <c r="Q151" i="1"/>
  <c r="O270" i="1"/>
  <c r="Z270" i="1" s="1"/>
  <c r="G274" i="5" s="1"/>
  <c r="N150" i="1"/>
  <c r="N214" i="1"/>
  <c r="Y214" i="1" s="1"/>
  <c r="E218" i="5" s="1"/>
  <c r="N246" i="1"/>
  <c r="Y246" i="1" s="1"/>
  <c r="N278" i="1"/>
  <c r="Y278" i="1" s="1"/>
  <c r="E282" i="5" s="1"/>
  <c r="N310" i="1"/>
  <c r="Y310" i="1" s="1"/>
  <c r="E314" i="5" s="1"/>
  <c r="N31" i="1"/>
  <c r="N63" i="1"/>
  <c r="N95" i="1"/>
  <c r="N127" i="1"/>
  <c r="N159" i="1"/>
  <c r="Y159" i="1" s="1"/>
  <c r="E163" i="5" s="1"/>
  <c r="N191" i="1"/>
  <c r="N223" i="1"/>
  <c r="Y223" i="1" s="1"/>
  <c r="E227" i="5" s="1"/>
  <c r="N319" i="1"/>
  <c r="O79" i="1"/>
  <c r="O143" i="1"/>
  <c r="Q14" i="1"/>
  <c r="P46" i="1"/>
  <c r="P198" i="1"/>
  <c r="Q230" i="1"/>
  <c r="P239" i="1"/>
  <c r="O150" i="1"/>
  <c r="Z150" i="1" s="1"/>
  <c r="O302" i="1"/>
  <c r="Z302" i="1" s="1"/>
  <c r="G306" i="5" s="1"/>
  <c r="P7" i="1"/>
  <c r="Q15" i="1"/>
  <c r="P39" i="1"/>
  <c r="P55" i="1"/>
  <c r="P79" i="1"/>
  <c r="P95" i="1"/>
  <c r="Q111" i="1"/>
  <c r="P159" i="1"/>
  <c r="P175" i="1"/>
  <c r="P215" i="1"/>
  <c r="P263" i="1"/>
  <c r="Q311" i="1"/>
  <c r="Q16" i="1"/>
  <c r="Q134" i="1"/>
  <c r="Q166" i="1"/>
  <c r="O206" i="1"/>
  <c r="Z206" i="1" s="1"/>
  <c r="Q190" i="1"/>
  <c r="O303" i="1"/>
  <c r="Z303" i="1" s="1"/>
  <c r="G307" i="5" s="1"/>
  <c r="N142" i="1"/>
  <c r="N174" i="1"/>
  <c r="Y174" i="1" s="1"/>
  <c r="E178" i="5" s="1"/>
  <c r="N238" i="1"/>
  <c r="N23" i="1"/>
  <c r="Y23" i="1" s="1"/>
  <c r="N55" i="1"/>
  <c r="N87" i="1"/>
  <c r="N119" i="1"/>
  <c r="Y119" i="1" s="1"/>
  <c r="E123" i="5" s="1"/>
  <c r="N183" i="1"/>
  <c r="N215" i="1"/>
  <c r="Y215" i="1" s="1"/>
  <c r="E219" i="5" s="1"/>
  <c r="N279" i="1"/>
  <c r="Q62" i="1"/>
  <c r="O7" i="1"/>
  <c r="O95" i="1"/>
  <c r="O207" i="1"/>
  <c r="Z207" i="1" s="1"/>
  <c r="G211" i="5" s="1"/>
  <c r="O271" i="1"/>
  <c r="Z271" i="1" s="1"/>
  <c r="G275" i="5" s="1"/>
  <c r="Q30" i="1"/>
  <c r="P174" i="1"/>
  <c r="Q198" i="1"/>
  <c r="O23" i="1"/>
  <c r="Z23" i="1" s="1"/>
  <c r="O278" i="1"/>
  <c r="O318" i="1"/>
  <c r="Q7" i="1"/>
  <c r="O31" i="1"/>
  <c r="Z31" i="1" s="1"/>
  <c r="G35" i="5" s="1"/>
  <c r="Q79" i="1"/>
  <c r="Q95" i="1"/>
  <c r="P119" i="1"/>
  <c r="P143" i="1"/>
  <c r="Q159" i="1"/>
  <c r="Q175" i="1"/>
  <c r="Q246" i="1"/>
  <c r="N294" i="1"/>
  <c r="N326" i="1"/>
  <c r="N15" i="1"/>
  <c r="Y15" i="1" s="1"/>
  <c r="E19" i="5" s="1"/>
  <c r="N47" i="1"/>
  <c r="N79" i="1"/>
  <c r="Y79" i="1" s="1"/>
  <c r="E83" i="5" s="1"/>
  <c r="N111" i="1"/>
  <c r="N143" i="1"/>
  <c r="N175" i="1"/>
  <c r="Y175" i="1" s="1"/>
  <c r="E179" i="5" s="1"/>
  <c r="Q118" i="1"/>
  <c r="O14" i="1"/>
  <c r="Z14" i="1" s="1"/>
  <c r="G18" i="5" s="1"/>
  <c r="O111" i="1"/>
  <c r="O159" i="1"/>
  <c r="Z159" i="1" s="1"/>
  <c r="G163" i="5" s="1"/>
  <c r="O223" i="1"/>
  <c r="O286" i="1"/>
  <c r="Z286" i="1" s="1"/>
  <c r="O15" i="1"/>
  <c r="P23" i="1"/>
  <c r="Q31" i="1"/>
  <c r="O47" i="1"/>
  <c r="Z47" i="1" s="1"/>
  <c r="Q63" i="1"/>
  <c r="Q143" i="1"/>
  <c r="O254" i="1"/>
  <c r="Z254" i="1" s="1"/>
  <c r="G258" i="5" s="1"/>
  <c r="O18" i="1"/>
  <c r="R18" i="1"/>
  <c r="Q18" i="1"/>
  <c r="O34" i="1"/>
  <c r="Z34" i="1" s="1"/>
  <c r="R34" i="1"/>
  <c r="Q34" i="1"/>
  <c r="R58" i="1"/>
  <c r="Q58" i="1"/>
  <c r="O58" i="1"/>
  <c r="Z58" i="1" s="1"/>
  <c r="G62" i="5" s="1"/>
  <c r="Q66" i="1"/>
  <c r="R66" i="1"/>
  <c r="P66" i="1"/>
  <c r="O66" i="1"/>
  <c r="R90" i="1"/>
  <c r="Q90" i="1"/>
  <c r="O98" i="1"/>
  <c r="Z98" i="1" s="1"/>
  <c r="G102" i="5" s="1"/>
  <c r="R98" i="1"/>
  <c r="Q114" i="1"/>
  <c r="R114" i="1"/>
  <c r="O114" i="1"/>
  <c r="P114" i="1"/>
  <c r="Q130" i="1"/>
  <c r="R130" i="1"/>
  <c r="N130" i="1"/>
  <c r="Q138" i="1"/>
  <c r="R138" i="1"/>
  <c r="O138" i="1"/>
  <c r="Z138" i="1" s="1"/>
  <c r="G142" i="5" s="1"/>
  <c r="N138" i="1"/>
  <c r="Y138" i="1" s="1"/>
  <c r="E142" i="5" s="1"/>
  <c r="R154" i="1"/>
  <c r="N154" i="1"/>
  <c r="Q178" i="1"/>
  <c r="R178" i="1"/>
  <c r="N178" i="1"/>
  <c r="O194" i="1"/>
  <c r="Z194" i="1" s="1"/>
  <c r="G198" i="5" s="1"/>
  <c r="R194" i="1"/>
  <c r="N194" i="1"/>
  <c r="O210" i="1"/>
  <c r="Z210" i="1" s="1"/>
  <c r="G214" i="5" s="1"/>
  <c r="R210" i="1"/>
  <c r="N210" i="1"/>
  <c r="Q234" i="1"/>
  <c r="R234" i="1"/>
  <c r="O234" i="1"/>
  <c r="Z234" i="1" s="1"/>
  <c r="G238" i="5" s="1"/>
  <c r="N234" i="1"/>
  <c r="Q250" i="1"/>
  <c r="R250" i="1"/>
  <c r="N250" i="1"/>
  <c r="Q266" i="1"/>
  <c r="R266" i="1"/>
  <c r="O266" i="1"/>
  <c r="Z266" i="1" s="1"/>
  <c r="G270" i="5" s="1"/>
  <c r="N266" i="1"/>
  <c r="Q282" i="1"/>
  <c r="R282" i="1"/>
  <c r="O282" i="1"/>
  <c r="Z282" i="1" s="1"/>
  <c r="G286" i="5" s="1"/>
  <c r="N282" i="1"/>
  <c r="Q298" i="1"/>
  <c r="R298" i="1"/>
  <c r="N298" i="1"/>
  <c r="Y298" i="1" s="1"/>
  <c r="O298" i="1"/>
  <c r="Q314" i="1"/>
  <c r="R314" i="1"/>
  <c r="N314" i="1"/>
  <c r="O3" i="1"/>
  <c r="R3" i="1"/>
  <c r="P3" i="1"/>
  <c r="O11" i="1"/>
  <c r="Z11" i="1" s="1"/>
  <c r="G15" i="5" s="1"/>
  <c r="R11" i="1"/>
  <c r="P11" i="1"/>
  <c r="O27" i="1"/>
  <c r="Z27" i="1" s="1"/>
  <c r="G31" i="5" s="1"/>
  <c r="R27" i="1"/>
  <c r="R43" i="1"/>
  <c r="Q43" i="1"/>
  <c r="O67" i="1"/>
  <c r="Z67" i="1" s="1"/>
  <c r="G71" i="5" s="1"/>
  <c r="R67" i="1"/>
  <c r="Q67" i="1"/>
  <c r="O83" i="1"/>
  <c r="Z83" i="1" s="1"/>
  <c r="G87" i="5" s="1"/>
  <c r="R83" i="1"/>
  <c r="Q83" i="1"/>
  <c r="O99" i="1"/>
  <c r="Z99" i="1" s="1"/>
  <c r="G103" i="5" s="1"/>
  <c r="R99" i="1"/>
  <c r="Q99" i="1"/>
  <c r="O115" i="1"/>
  <c r="Z115" i="1" s="1"/>
  <c r="G119" i="5" s="1"/>
  <c r="R115" i="1"/>
  <c r="Q115" i="1"/>
  <c r="O131" i="1"/>
  <c r="Z131" i="1" s="1"/>
  <c r="G135" i="5" s="1"/>
  <c r="R131" i="1"/>
  <c r="Q131" i="1"/>
  <c r="R139" i="1"/>
  <c r="Q139" i="1"/>
  <c r="P139" i="1"/>
  <c r="O139" i="1"/>
  <c r="Z139" i="1" s="1"/>
  <c r="R155" i="1"/>
  <c r="Q155" i="1"/>
  <c r="R171" i="1"/>
  <c r="Q171" i="1"/>
  <c r="R187" i="1"/>
  <c r="Q187" i="1"/>
  <c r="O187" i="1"/>
  <c r="R211" i="1"/>
  <c r="R227" i="1"/>
  <c r="R235" i="1"/>
  <c r="Q235" i="1"/>
  <c r="P235" i="1"/>
  <c r="R251" i="1"/>
  <c r="Q251" i="1"/>
  <c r="O251" i="1"/>
  <c r="Z251" i="1" s="1"/>
  <c r="G255" i="5" s="1"/>
  <c r="O283" i="1"/>
  <c r="R283" i="1"/>
  <c r="Q283" i="1"/>
  <c r="P283" i="1"/>
  <c r="R291" i="1"/>
  <c r="P291" i="1"/>
  <c r="O299" i="1"/>
  <c r="Z299" i="1" s="1"/>
  <c r="G303" i="5" s="1"/>
  <c r="R299" i="1"/>
  <c r="Q299" i="1"/>
  <c r="P299" i="1"/>
  <c r="O315" i="1"/>
  <c r="R315" i="1"/>
  <c r="Q315" i="1"/>
  <c r="P315" i="1"/>
  <c r="N11" i="1"/>
  <c r="Y11" i="1" s="1"/>
  <c r="E15" i="5" s="1"/>
  <c r="N27" i="1"/>
  <c r="Y27" i="1" s="1"/>
  <c r="E31" i="5" s="1"/>
  <c r="N43" i="1"/>
  <c r="N59" i="1"/>
  <c r="N139" i="1"/>
  <c r="N155" i="1"/>
  <c r="N171" i="1"/>
  <c r="N187" i="1"/>
  <c r="N211" i="1"/>
  <c r="N227" i="1"/>
  <c r="N251" i="1"/>
  <c r="N283" i="1"/>
  <c r="P259" i="1"/>
  <c r="P82" i="1"/>
  <c r="P226" i="1"/>
  <c r="R32" i="1"/>
  <c r="N32" i="1"/>
  <c r="R48" i="1"/>
  <c r="O48" i="1"/>
  <c r="N48" i="1"/>
  <c r="Y48" i="1" s="1"/>
  <c r="E52" i="5" s="1"/>
  <c r="P48" i="1"/>
  <c r="O43" i="1"/>
  <c r="O90" i="1"/>
  <c r="Q194" i="1"/>
  <c r="Q210" i="1"/>
  <c r="P323" i="1"/>
  <c r="O155" i="1"/>
  <c r="Q32" i="1"/>
  <c r="P298" i="1"/>
  <c r="O2" i="1"/>
  <c r="R2" i="1"/>
  <c r="Q2" i="1"/>
  <c r="R10" i="1"/>
  <c r="Q10" i="1"/>
  <c r="P10" i="1"/>
  <c r="R26" i="1"/>
  <c r="Q26" i="1"/>
  <c r="R42" i="1"/>
  <c r="O42" i="1"/>
  <c r="Q50" i="1"/>
  <c r="R50" i="1"/>
  <c r="Q74" i="1"/>
  <c r="R74" i="1"/>
  <c r="O74" i="1"/>
  <c r="Z74" i="1" s="1"/>
  <c r="G78" i="5" s="1"/>
  <c r="O82" i="1"/>
  <c r="Z82" i="1" s="1"/>
  <c r="G86" i="5" s="1"/>
  <c r="R82" i="1"/>
  <c r="R106" i="1"/>
  <c r="Q106" i="1"/>
  <c r="O106" i="1"/>
  <c r="Q122" i="1"/>
  <c r="R122" i="1"/>
  <c r="O146" i="1"/>
  <c r="Z146" i="1" s="1"/>
  <c r="G150" i="5" s="1"/>
  <c r="R146" i="1"/>
  <c r="Q146" i="1"/>
  <c r="N146" i="1"/>
  <c r="O162" i="1"/>
  <c r="Z162" i="1" s="1"/>
  <c r="G166" i="5" s="1"/>
  <c r="R162" i="1"/>
  <c r="N162" i="1"/>
  <c r="Y162" i="1" s="1"/>
  <c r="E166" i="5" s="1"/>
  <c r="R170" i="1"/>
  <c r="Q170" i="1"/>
  <c r="O170" i="1"/>
  <c r="Z170" i="1" s="1"/>
  <c r="G174" i="5" s="1"/>
  <c r="N170" i="1"/>
  <c r="Y170" i="1" s="1"/>
  <c r="E174" i="5" s="1"/>
  <c r="P170" i="1"/>
  <c r="Q186" i="1"/>
  <c r="R186" i="1"/>
  <c r="N186" i="1"/>
  <c r="Q202" i="1"/>
  <c r="R202" i="1"/>
  <c r="O202" i="1"/>
  <c r="Z202" i="1" s="1"/>
  <c r="G206" i="5" s="1"/>
  <c r="N202" i="1"/>
  <c r="Y202" i="1" s="1"/>
  <c r="E206" i="5" s="1"/>
  <c r="P202" i="1"/>
  <c r="Q218" i="1"/>
  <c r="R218" i="1"/>
  <c r="N218" i="1"/>
  <c r="O226" i="1"/>
  <c r="R226" i="1"/>
  <c r="N226" i="1"/>
  <c r="Y226" i="1" s="1"/>
  <c r="E230" i="5" s="1"/>
  <c r="O242" i="1"/>
  <c r="Z242" i="1" s="1"/>
  <c r="G246" i="5" s="1"/>
  <c r="R242" i="1"/>
  <c r="N242" i="1"/>
  <c r="O258" i="1"/>
  <c r="Z258" i="1" s="1"/>
  <c r="G262" i="5" s="1"/>
  <c r="R258" i="1"/>
  <c r="Q258" i="1"/>
  <c r="N258" i="1"/>
  <c r="O274" i="1"/>
  <c r="Z274" i="1" s="1"/>
  <c r="G278" i="5" s="1"/>
  <c r="R274" i="1"/>
  <c r="N274" i="1"/>
  <c r="O290" i="1"/>
  <c r="Z290" i="1" s="1"/>
  <c r="G294" i="5" s="1"/>
  <c r="R290" i="1"/>
  <c r="Q290" i="1"/>
  <c r="N290" i="1"/>
  <c r="Y290" i="1" s="1"/>
  <c r="E294" i="5" s="1"/>
  <c r="P290" i="1"/>
  <c r="O306" i="1"/>
  <c r="Z306" i="1" s="1"/>
  <c r="G310" i="5" s="1"/>
  <c r="R306" i="1"/>
  <c r="N306" i="1"/>
  <c r="O322" i="1"/>
  <c r="Z322" i="1" s="1"/>
  <c r="G326" i="5" s="1"/>
  <c r="R322" i="1"/>
  <c r="N322" i="1"/>
  <c r="O19" i="1"/>
  <c r="Z19" i="1" s="1"/>
  <c r="G23" i="5" s="1"/>
  <c r="R19" i="1"/>
  <c r="R35" i="1"/>
  <c r="O35" i="1"/>
  <c r="Q35" i="1"/>
  <c r="R51" i="1"/>
  <c r="Q51" i="1"/>
  <c r="P51" i="1"/>
  <c r="R59" i="1"/>
  <c r="Q59" i="1"/>
  <c r="R75" i="1"/>
  <c r="Q75" i="1"/>
  <c r="P75" i="1"/>
  <c r="O75" i="1"/>
  <c r="Z75" i="1" s="1"/>
  <c r="G79" i="5" s="1"/>
  <c r="R91" i="1"/>
  <c r="Q91" i="1"/>
  <c r="R107" i="1"/>
  <c r="Q107" i="1"/>
  <c r="P107" i="1"/>
  <c r="O107" i="1"/>
  <c r="Z107" i="1" s="1"/>
  <c r="G111" i="5" s="1"/>
  <c r="R123" i="1"/>
  <c r="Q123" i="1"/>
  <c r="O147" i="1"/>
  <c r="Z147" i="1" s="1"/>
  <c r="G151" i="5" s="1"/>
  <c r="R147" i="1"/>
  <c r="Q147" i="1"/>
  <c r="O163" i="1"/>
  <c r="Z163" i="1" s="1"/>
  <c r="G167" i="5" s="1"/>
  <c r="R163" i="1"/>
  <c r="Q163" i="1"/>
  <c r="O179" i="1"/>
  <c r="Z179" i="1" s="1"/>
  <c r="G183" i="5" s="1"/>
  <c r="R179" i="1"/>
  <c r="Q179" i="1"/>
  <c r="R203" i="1"/>
  <c r="Q203" i="1"/>
  <c r="O203" i="1"/>
  <c r="Z203" i="1" s="1"/>
  <c r="G207" i="5" s="1"/>
  <c r="P203" i="1"/>
  <c r="R219" i="1"/>
  <c r="Q219" i="1"/>
  <c r="R243" i="1"/>
  <c r="R267" i="1"/>
  <c r="Q267" i="1"/>
  <c r="N3" i="1"/>
  <c r="Y3" i="1" s="1"/>
  <c r="E7" i="5" s="1"/>
  <c r="N19" i="1"/>
  <c r="N35" i="1"/>
  <c r="Y35" i="1" s="1"/>
  <c r="E39" i="5" s="1"/>
  <c r="N51" i="1"/>
  <c r="Y51" i="1" s="1"/>
  <c r="E55" i="5" s="1"/>
  <c r="N67" i="1"/>
  <c r="N83" i="1"/>
  <c r="N99" i="1"/>
  <c r="N115" i="1"/>
  <c r="N131" i="1"/>
  <c r="N147" i="1"/>
  <c r="N163" i="1"/>
  <c r="N179" i="1"/>
  <c r="N195" i="1"/>
  <c r="N203" i="1"/>
  <c r="Y203" i="1" s="1"/>
  <c r="E207" i="5" s="1"/>
  <c r="N219" i="1"/>
  <c r="N235" i="1"/>
  <c r="Y235" i="1" s="1"/>
  <c r="N243" i="1"/>
  <c r="N259" i="1"/>
  <c r="Y259" i="1" s="1"/>
  <c r="E263" i="5" s="1"/>
  <c r="N267" i="1"/>
  <c r="N275" i="1"/>
  <c r="N291" i="1"/>
  <c r="Y291" i="1" s="1"/>
  <c r="E295" i="5" s="1"/>
  <c r="N299" i="1"/>
  <c r="Y299" i="1" s="1"/>
  <c r="E303" i="5" s="1"/>
  <c r="N307" i="1"/>
  <c r="N315" i="1"/>
  <c r="Y315" i="1" s="1"/>
  <c r="E319" i="5" s="1"/>
  <c r="N323" i="1"/>
  <c r="O122" i="1"/>
  <c r="Z122" i="1" s="1"/>
  <c r="G126" i="5" s="1"/>
  <c r="O250" i="1"/>
  <c r="Z250" i="1" s="1"/>
  <c r="G254" i="5" s="1"/>
  <c r="O51" i="1"/>
  <c r="Z51" i="1" s="1"/>
  <c r="G55" i="5" s="1"/>
  <c r="O235" i="1"/>
  <c r="Z235" i="1" s="1"/>
  <c r="O314" i="1"/>
  <c r="Z314" i="1" s="1"/>
  <c r="G318" i="5" s="1"/>
  <c r="O178" i="1"/>
  <c r="Z178" i="1" s="1"/>
  <c r="G182" i="5" s="1"/>
  <c r="O50" i="1"/>
  <c r="O186" i="1"/>
  <c r="Z186" i="1" s="1"/>
  <c r="G190" i="5" s="1"/>
  <c r="O10" i="1"/>
  <c r="Z10" i="1" s="1"/>
  <c r="G14" i="5" s="1"/>
  <c r="P26" i="1"/>
  <c r="P42" i="1"/>
  <c r="P98" i="1"/>
  <c r="P154" i="1"/>
  <c r="P162" i="1"/>
  <c r="O123" i="1"/>
  <c r="Z123" i="1" s="1"/>
  <c r="G127" i="5" s="1"/>
  <c r="O171" i="1"/>
  <c r="Z171" i="1" s="1"/>
  <c r="G175" i="5" s="1"/>
  <c r="Q11" i="1"/>
  <c r="P27" i="1"/>
  <c r="P43" i="1"/>
  <c r="Q48" i="1"/>
  <c r="P50" i="1"/>
  <c r="O6" i="1"/>
  <c r="Z6" i="1" s="1"/>
  <c r="G10" i="5" s="1"/>
  <c r="R6" i="1"/>
  <c r="O22" i="1"/>
  <c r="Z22" i="1" s="1"/>
  <c r="G26" i="5" s="1"/>
  <c r="R22" i="1"/>
  <c r="O30" i="1"/>
  <c r="R30" i="1"/>
  <c r="Q38" i="1"/>
  <c r="R38" i="1"/>
  <c r="O46" i="1"/>
  <c r="R46" i="1"/>
  <c r="O54" i="1"/>
  <c r="Z54" i="1" s="1"/>
  <c r="G58" i="5" s="1"/>
  <c r="R54" i="1"/>
  <c r="R62" i="1"/>
  <c r="O70" i="1"/>
  <c r="Z70" i="1" s="1"/>
  <c r="G74" i="5" s="1"/>
  <c r="R70" i="1"/>
  <c r="O78" i="1"/>
  <c r="Z78" i="1" s="1"/>
  <c r="G82" i="5" s="1"/>
  <c r="R78" i="1"/>
  <c r="Q86" i="1"/>
  <c r="R86" i="1"/>
  <c r="R94" i="1"/>
  <c r="Q102" i="1"/>
  <c r="R102" i="1"/>
  <c r="O110" i="1"/>
  <c r="Z110" i="1" s="1"/>
  <c r="G114" i="5" s="1"/>
  <c r="R110" i="1"/>
  <c r="R118" i="1"/>
  <c r="O126" i="1"/>
  <c r="R126" i="1"/>
  <c r="R134" i="1"/>
  <c r="O142" i="1"/>
  <c r="Z142" i="1" s="1"/>
  <c r="G146" i="5" s="1"/>
  <c r="R142" i="1"/>
  <c r="O158" i="1"/>
  <c r="Z158" i="1" s="1"/>
  <c r="G162" i="5" s="1"/>
  <c r="R158" i="1"/>
  <c r="O166" i="1"/>
  <c r="Z166" i="1" s="1"/>
  <c r="G170" i="5" s="1"/>
  <c r="R166" i="1"/>
  <c r="O174" i="1"/>
  <c r="R174" i="1"/>
  <c r="O182" i="1"/>
  <c r="Z182" i="1" s="1"/>
  <c r="G186" i="5" s="1"/>
  <c r="R182" i="1"/>
  <c r="O198" i="1"/>
  <c r="Z198" i="1" s="1"/>
  <c r="G202" i="5" s="1"/>
  <c r="R198" i="1"/>
  <c r="Q206" i="1"/>
  <c r="R206" i="1"/>
  <c r="O214" i="1"/>
  <c r="R214" i="1"/>
  <c r="O230" i="1"/>
  <c r="Z230" i="1" s="1"/>
  <c r="G234" i="5" s="1"/>
  <c r="R230" i="1"/>
  <c r="Q238" i="1"/>
  <c r="R238" i="1"/>
  <c r="P246" i="1"/>
  <c r="R246" i="1"/>
  <c r="P262" i="1"/>
  <c r="R262" i="1"/>
  <c r="Q270" i="1"/>
  <c r="R270" i="1"/>
  <c r="P278" i="1"/>
  <c r="R278" i="1"/>
  <c r="P294" i="1"/>
  <c r="R294" i="1"/>
  <c r="Q302" i="1"/>
  <c r="R302" i="1"/>
  <c r="O310" i="1"/>
  <c r="Z310" i="1" s="1"/>
  <c r="G314" i="5" s="1"/>
  <c r="R310" i="1"/>
  <c r="Q326" i="1"/>
  <c r="R326" i="1"/>
  <c r="O39" i="1"/>
  <c r="Z39" i="1" s="1"/>
  <c r="G43" i="5" s="1"/>
  <c r="R39" i="1"/>
  <c r="O55" i="1"/>
  <c r="R55" i="1"/>
  <c r="O71" i="1"/>
  <c r="Z71" i="1" s="1"/>
  <c r="G75" i="5" s="1"/>
  <c r="R71" i="1"/>
  <c r="O87" i="1"/>
  <c r="R87" i="1"/>
  <c r="O103" i="1"/>
  <c r="Z103" i="1" s="1"/>
  <c r="G107" i="5" s="1"/>
  <c r="R103" i="1"/>
  <c r="O119" i="1"/>
  <c r="Z119" i="1" s="1"/>
  <c r="G123" i="5" s="1"/>
  <c r="R119" i="1"/>
  <c r="O135" i="1"/>
  <c r="Z135" i="1" s="1"/>
  <c r="G139" i="5" s="1"/>
  <c r="R135" i="1"/>
  <c r="O151" i="1"/>
  <c r="Z151" i="1" s="1"/>
  <c r="G155" i="5" s="1"/>
  <c r="R151" i="1"/>
  <c r="O167" i="1"/>
  <c r="R167" i="1"/>
  <c r="O183" i="1"/>
  <c r="Z183" i="1" s="1"/>
  <c r="G187" i="5" s="1"/>
  <c r="R183" i="1"/>
  <c r="Q191" i="1"/>
  <c r="R191" i="1"/>
  <c r="O199" i="1"/>
  <c r="Z199" i="1" s="1"/>
  <c r="G203" i="5" s="1"/>
  <c r="R199" i="1"/>
  <c r="Q207" i="1"/>
  <c r="R207" i="1"/>
  <c r="O215" i="1"/>
  <c r="R215" i="1"/>
  <c r="Q223" i="1"/>
  <c r="R223" i="1"/>
  <c r="O231" i="1"/>
  <c r="Z231" i="1" s="1"/>
  <c r="G235" i="5" s="1"/>
  <c r="R231" i="1"/>
  <c r="Q239" i="1"/>
  <c r="R239" i="1"/>
  <c r="O247" i="1"/>
  <c r="R247" i="1"/>
  <c r="Q255" i="1"/>
  <c r="R255" i="1"/>
  <c r="O263" i="1"/>
  <c r="R263" i="1"/>
  <c r="Q271" i="1"/>
  <c r="R271" i="1"/>
  <c r="O279" i="1"/>
  <c r="Z279" i="1" s="1"/>
  <c r="G283" i="5" s="1"/>
  <c r="R279" i="1"/>
  <c r="Q287" i="1"/>
  <c r="R287" i="1"/>
  <c r="O295" i="1"/>
  <c r="Z295" i="1" s="1"/>
  <c r="G299" i="5" s="1"/>
  <c r="R295" i="1"/>
  <c r="Q303" i="1"/>
  <c r="R303" i="1"/>
  <c r="O311" i="1"/>
  <c r="Z311" i="1" s="1"/>
  <c r="G315" i="5" s="1"/>
  <c r="R311" i="1"/>
  <c r="Q319" i="1"/>
  <c r="R319" i="1"/>
  <c r="O327" i="1"/>
  <c r="R327" i="1"/>
  <c r="Q195" i="1"/>
  <c r="O195" i="1"/>
  <c r="Z195" i="1" s="1"/>
  <c r="G199" i="5" s="1"/>
  <c r="Q211" i="1"/>
  <c r="O211" i="1"/>
  <c r="Z211" i="1" s="1"/>
  <c r="G215" i="5" s="1"/>
  <c r="Q227" i="1"/>
  <c r="O227" i="1"/>
  <c r="Z227" i="1" s="1"/>
  <c r="G231" i="5" s="1"/>
  <c r="Q243" i="1"/>
  <c r="O243" i="1"/>
  <c r="Z243" i="1" s="1"/>
  <c r="G247" i="5" s="1"/>
  <c r="Q259" i="1"/>
  <c r="O259" i="1"/>
  <c r="Q275" i="1"/>
  <c r="O275" i="1"/>
  <c r="Z275" i="1" s="1"/>
  <c r="G279" i="5" s="1"/>
  <c r="Q291" i="1"/>
  <c r="O291" i="1"/>
  <c r="Q307" i="1"/>
  <c r="O307" i="1"/>
  <c r="Z307" i="1" s="1"/>
  <c r="Q323" i="1"/>
  <c r="O323" i="1"/>
  <c r="Z323" i="1" s="1"/>
  <c r="Q150" i="1"/>
  <c r="O190" i="1"/>
  <c r="Z190" i="1" s="1"/>
  <c r="O222" i="1"/>
  <c r="Z222" i="1" s="1"/>
  <c r="G226" i="5" s="1"/>
  <c r="Q222" i="1"/>
  <c r="P222" i="1"/>
  <c r="Q254" i="1"/>
  <c r="Q286" i="1"/>
  <c r="Q318" i="1"/>
  <c r="P318" i="1"/>
  <c r="V329" i="1"/>
  <c r="V322" i="1"/>
  <c r="AE322" i="1"/>
  <c r="V321" i="1"/>
  <c r="V260" i="1"/>
  <c r="V259" i="1"/>
  <c r="V258" i="1"/>
  <c r="V257" i="1"/>
  <c r="V256" i="1"/>
  <c r="V255" i="1"/>
  <c r="AE255" i="1"/>
  <c r="V254" i="1"/>
  <c r="AE254" i="1"/>
  <c r="V253" i="1"/>
  <c r="AE253" i="1"/>
  <c r="AH253" i="1" s="1"/>
  <c r="AI253" i="1" s="1"/>
  <c r="K257" i="5" s="1"/>
  <c r="N257" i="5" s="1"/>
  <c r="V252" i="1"/>
  <c r="V251" i="1"/>
  <c r="V250" i="1"/>
  <c r="V249" i="1"/>
  <c r="V248" i="1"/>
  <c r="V247" i="1"/>
  <c r="AE247" i="1"/>
  <c r="V246" i="1"/>
  <c r="V245" i="1"/>
  <c r="V244" i="1"/>
  <c r="V243" i="1"/>
  <c r="V242" i="1"/>
  <c r="AE242" i="1"/>
  <c r="V241" i="1"/>
  <c r="V221" i="1"/>
  <c r="AE221" i="1"/>
  <c r="AH221" i="1" s="1"/>
  <c r="AI221" i="1" s="1"/>
  <c r="K225" i="5" s="1"/>
  <c r="N225" i="5" s="1"/>
  <c r="V181" i="1"/>
  <c r="V180" i="1"/>
  <c r="V179" i="1"/>
  <c r="V178" i="1"/>
  <c r="V177" i="1"/>
  <c r="V176" i="1"/>
  <c r="V175" i="1"/>
  <c r="AE175" i="1"/>
  <c r="V174" i="1"/>
  <c r="AE174" i="1"/>
  <c r="V173" i="1"/>
  <c r="V172" i="1"/>
  <c r="V171" i="1"/>
  <c r="V170" i="1"/>
  <c r="V169" i="1"/>
  <c r="V168" i="1"/>
  <c r="V167" i="1"/>
  <c r="V166" i="1"/>
  <c r="V165" i="1"/>
  <c r="V164" i="1"/>
  <c r="V163" i="1"/>
  <c r="V162" i="1"/>
  <c r="V101" i="1"/>
  <c r="V100" i="1"/>
  <c r="V99" i="1"/>
  <c r="V98" i="1"/>
  <c r="V97" i="1"/>
  <c r="V96" i="1"/>
  <c r="V95" i="1"/>
  <c r="AE95" i="1"/>
  <c r="V94" i="1"/>
  <c r="AE94" i="1"/>
  <c r="V93" i="1"/>
  <c r="V92" i="1"/>
  <c r="V91" i="1"/>
  <c r="AE91" i="1"/>
  <c r="V90" i="1"/>
  <c r="AE90" i="1"/>
  <c r="AH90" i="1" s="1"/>
  <c r="AI90" i="1" s="1"/>
  <c r="K94" i="5" s="1"/>
  <c r="N94" i="5" s="1"/>
  <c r="V89" i="1"/>
  <c r="V88" i="1"/>
  <c r="V87" i="1"/>
  <c r="AE87" i="1"/>
  <c r="V86" i="1"/>
  <c r="V85" i="1"/>
  <c r="AE85" i="1"/>
  <c r="AH85" i="1" s="1"/>
  <c r="AI85" i="1" s="1"/>
  <c r="K89" i="5" s="1"/>
  <c r="N89" i="5" s="1"/>
  <c r="V84" i="1"/>
  <c r="V83" i="1"/>
  <c r="V82" i="1"/>
  <c r="V81" i="1"/>
  <c r="AE81" i="1"/>
  <c r="AH81" i="1" s="1"/>
  <c r="AI81" i="1" s="1"/>
  <c r="K85" i="5" s="1"/>
  <c r="N85" i="5" s="1"/>
  <c r="V21" i="1"/>
  <c r="V20" i="1"/>
  <c r="V19" i="1"/>
  <c r="V18" i="1"/>
  <c r="AE18" i="1"/>
  <c r="AH18" i="1" s="1"/>
  <c r="AI18" i="1" s="1"/>
  <c r="K22" i="5" s="1"/>
  <c r="N22" i="5" s="1"/>
  <c r="V17" i="1"/>
  <c r="V16" i="1"/>
  <c r="AE16" i="1"/>
  <c r="V15" i="1"/>
  <c r="V14" i="1"/>
  <c r="V13" i="1"/>
  <c r="V12" i="1"/>
  <c r="AE12" i="1"/>
  <c r="AH12" i="1" s="1"/>
  <c r="AI12" i="1" s="1"/>
  <c r="K16" i="5" s="1"/>
  <c r="N16" i="5" s="1"/>
  <c r="V11" i="1"/>
  <c r="V10" i="1"/>
  <c r="V9" i="1"/>
  <c r="V8" i="1"/>
  <c r="V7" i="1"/>
  <c r="V6" i="1"/>
  <c r="AE6" i="1"/>
  <c r="V5" i="1"/>
  <c r="V4" i="1"/>
  <c r="V3" i="1"/>
  <c r="V2" i="1"/>
  <c r="V324" i="1"/>
  <c r="V323" i="1"/>
  <c r="AE323" i="1"/>
  <c r="V280" i="1"/>
  <c r="AE280" i="1"/>
  <c r="V279" i="1"/>
  <c r="AE279" i="1"/>
  <c r="V278" i="1"/>
  <c r="AE278" i="1"/>
  <c r="V277" i="1"/>
  <c r="V276" i="1"/>
  <c r="V275" i="1"/>
  <c r="AE275" i="1"/>
  <c r="V274" i="1"/>
  <c r="AE274" i="1"/>
  <c r="AH274" i="1" s="1"/>
  <c r="AI274" i="1" s="1"/>
  <c r="K278" i="5" s="1"/>
  <c r="N278" i="5" s="1"/>
  <c r="V273" i="1"/>
  <c r="V272" i="1"/>
  <c r="V271" i="1"/>
  <c r="V270" i="1"/>
  <c r="AE270" i="1"/>
  <c r="V269" i="1"/>
  <c r="V268" i="1"/>
  <c r="V267" i="1"/>
  <c r="V266" i="1"/>
  <c r="V265" i="1"/>
  <c r="V264" i="1"/>
  <c r="V263" i="1"/>
  <c r="AE263" i="1"/>
  <c r="V262" i="1"/>
  <c r="AE262" i="1"/>
  <c r="V261" i="1"/>
  <c r="V200" i="1"/>
  <c r="V199" i="1"/>
  <c r="AE199" i="1"/>
  <c r="V198" i="1"/>
  <c r="AE198" i="1"/>
  <c r="V197" i="1"/>
  <c r="V196" i="1"/>
  <c r="V195" i="1"/>
  <c r="AE195" i="1"/>
  <c r="V194" i="1"/>
  <c r="V193" i="1"/>
  <c r="V192" i="1"/>
  <c r="V191" i="1"/>
  <c r="V190" i="1"/>
  <c r="AE190" i="1"/>
  <c r="V189" i="1"/>
  <c r="V188" i="1"/>
  <c r="V187" i="1"/>
  <c r="AE187" i="1"/>
  <c r="AH187" i="1" s="1"/>
  <c r="AI187" i="1" s="1"/>
  <c r="K191" i="5" s="1"/>
  <c r="N191" i="5" s="1"/>
  <c r="V186" i="1"/>
  <c r="V185" i="1"/>
  <c r="V184" i="1"/>
  <c r="V183" i="1"/>
  <c r="AE183" i="1"/>
  <c r="V182" i="1"/>
  <c r="AE182" i="1"/>
  <c r="V121" i="1"/>
  <c r="V120" i="1"/>
  <c r="V119" i="1"/>
  <c r="AE119" i="1"/>
  <c r="V118" i="1"/>
  <c r="AE118" i="1"/>
  <c r="V117" i="1"/>
  <c r="V116" i="1"/>
  <c r="V115" i="1"/>
  <c r="V114" i="1"/>
  <c r="V113" i="1"/>
  <c r="V112" i="1"/>
  <c r="V110" i="1"/>
  <c r="AE110" i="1"/>
  <c r="V109" i="1"/>
  <c r="V108" i="1"/>
  <c r="V107" i="1"/>
  <c r="AE107" i="1"/>
  <c r="V106" i="1"/>
  <c r="AE106" i="1"/>
  <c r="AH106" i="1" s="1"/>
  <c r="AI106" i="1" s="1"/>
  <c r="K110" i="5" s="1"/>
  <c r="N110" i="5" s="1"/>
  <c r="V105" i="1"/>
  <c r="V104" i="1"/>
  <c r="V103" i="1"/>
  <c r="AE103" i="1"/>
  <c r="V102" i="1"/>
  <c r="V41" i="1"/>
  <c r="AE41" i="1"/>
  <c r="AH41" i="1" s="1"/>
  <c r="AI41" i="1" s="1"/>
  <c r="K45" i="5" s="1"/>
  <c r="N45" i="5" s="1"/>
  <c r="V40" i="1"/>
  <c r="V39" i="1"/>
  <c r="AE39" i="1"/>
  <c r="V38" i="1"/>
  <c r="V37" i="1"/>
  <c r="V36" i="1"/>
  <c r="V35" i="1"/>
  <c r="V34" i="1"/>
  <c r="V33" i="1"/>
  <c r="V32" i="1"/>
  <c r="V31" i="1"/>
  <c r="AE31" i="1"/>
  <c r="V30" i="1"/>
  <c r="AE30" i="1"/>
  <c r="AH30" i="1" s="1"/>
  <c r="V29" i="1"/>
  <c r="V28" i="1"/>
  <c r="V27" i="1"/>
  <c r="V26" i="1"/>
  <c r="V25" i="1"/>
  <c r="V24" i="1"/>
  <c r="V23" i="1"/>
  <c r="AE23" i="1"/>
  <c r="V22" i="1"/>
  <c r="V240" i="1"/>
  <c r="V239" i="1"/>
  <c r="V238" i="1"/>
  <c r="AE238" i="1"/>
  <c r="V237" i="1"/>
  <c r="V236" i="1"/>
  <c r="V235" i="1"/>
  <c r="V234" i="1"/>
  <c r="V233" i="1"/>
  <c r="V232" i="1"/>
  <c r="V231" i="1"/>
  <c r="AE231" i="1"/>
  <c r="V230" i="1"/>
  <c r="AE230" i="1"/>
  <c r="V229" i="1"/>
  <c r="V228" i="1"/>
  <c r="V227" i="1"/>
  <c r="V226" i="1"/>
  <c r="AE226" i="1"/>
  <c r="V225" i="1"/>
  <c r="AE225" i="1"/>
  <c r="AH225" i="1" s="1"/>
  <c r="AI225" i="1" s="1"/>
  <c r="K229" i="5" s="1"/>
  <c r="N229" i="5" s="1"/>
  <c r="V224" i="1"/>
  <c r="V223" i="1"/>
  <c r="V222" i="1"/>
  <c r="AE222" i="1"/>
  <c r="V161" i="1"/>
  <c r="V160" i="1"/>
  <c r="V159" i="1"/>
  <c r="V158" i="1"/>
  <c r="AE158" i="1"/>
  <c r="V157" i="1"/>
  <c r="AE157" i="1"/>
  <c r="AH157" i="1" s="1"/>
  <c r="AI157" i="1" s="1"/>
  <c r="K161" i="5" s="1"/>
  <c r="N161" i="5" s="1"/>
  <c r="V156" i="1"/>
  <c r="V155" i="1"/>
  <c r="AE155" i="1"/>
  <c r="AH155" i="1" s="1"/>
  <c r="AI155" i="1" s="1"/>
  <c r="K159" i="5" s="1"/>
  <c r="N159" i="5" s="1"/>
  <c r="V154" i="1"/>
  <c r="AE154" i="1"/>
  <c r="AH154" i="1" s="1"/>
  <c r="AI154" i="1" s="1"/>
  <c r="K158" i="5" s="1"/>
  <c r="N158" i="5" s="1"/>
  <c r="V153" i="1"/>
  <c r="V152" i="1"/>
  <c r="V151" i="1"/>
  <c r="AE151" i="1"/>
  <c r="V150" i="1"/>
  <c r="V149" i="1"/>
  <c r="V148" i="1"/>
  <c r="V147" i="1"/>
  <c r="V146" i="1"/>
  <c r="V145" i="1"/>
  <c r="V144" i="1"/>
  <c r="V143" i="1"/>
  <c r="AE143" i="1"/>
  <c r="V142" i="1"/>
  <c r="AE142" i="1"/>
  <c r="V80" i="1"/>
  <c r="V79" i="1"/>
  <c r="V78" i="1"/>
  <c r="AE78" i="1"/>
  <c r="V77" i="1"/>
  <c r="V76" i="1"/>
  <c r="V75" i="1"/>
  <c r="AE75" i="1"/>
  <c r="V74" i="1"/>
  <c r="V73" i="1"/>
  <c r="V72" i="1"/>
  <c r="V71" i="1"/>
  <c r="AE71" i="1"/>
  <c r="V70" i="1"/>
  <c r="V69" i="1"/>
  <c r="V68" i="1"/>
  <c r="V67" i="1"/>
  <c r="V66" i="1"/>
  <c r="V65" i="1"/>
  <c r="V64" i="1"/>
  <c r="V63" i="1"/>
  <c r="V62" i="1"/>
  <c r="AE62" i="1"/>
  <c r="V328" i="1"/>
  <c r="AE328" i="1"/>
  <c r="AH328" i="1" s="1"/>
  <c r="AI328" i="1" s="1"/>
  <c r="K332" i="5" s="1"/>
  <c r="N332" i="5" s="1"/>
  <c r="V327" i="1"/>
  <c r="AE327" i="1"/>
  <c r="AH327" i="1" s="1"/>
  <c r="V326" i="1"/>
  <c r="V311" i="1"/>
  <c r="AE311" i="1"/>
  <c r="V310" i="1"/>
  <c r="V309" i="1"/>
  <c r="V308" i="1"/>
  <c r="V307" i="1"/>
  <c r="V306" i="1"/>
  <c r="V305" i="1"/>
  <c r="V304" i="1"/>
  <c r="AE304" i="1"/>
  <c r="AH304" i="1" s="1"/>
  <c r="AI304" i="1" s="1"/>
  <c r="K308" i="5" s="1"/>
  <c r="N308" i="5" s="1"/>
  <c r="V303" i="1"/>
  <c r="V302" i="1"/>
  <c r="AE302" i="1"/>
  <c r="V301" i="1"/>
  <c r="AE301" i="1"/>
  <c r="AH301" i="1" s="1"/>
  <c r="AI301" i="1" s="1"/>
  <c r="K305" i="5" s="1"/>
  <c r="N305" i="5" s="1"/>
  <c r="V291" i="1"/>
  <c r="V290" i="1"/>
  <c r="V289" i="1"/>
  <c r="V288" i="1"/>
  <c r="V287" i="1"/>
  <c r="V286" i="1"/>
  <c r="AE286" i="1"/>
  <c r="V285" i="1"/>
  <c r="V284" i="1"/>
  <c r="V283" i="1"/>
  <c r="AE283" i="1"/>
  <c r="AH283" i="1" s="1"/>
  <c r="AI283" i="1" s="1"/>
  <c r="K287" i="5" s="1"/>
  <c r="N287" i="5" s="1"/>
  <c r="V282" i="1"/>
  <c r="V281" i="1"/>
  <c r="V211" i="1"/>
  <c r="V210" i="1"/>
  <c r="V209" i="1"/>
  <c r="V208" i="1"/>
  <c r="V207" i="1"/>
  <c r="V206" i="1"/>
  <c r="V205" i="1"/>
  <c r="V204" i="1"/>
  <c r="V203" i="1"/>
  <c r="V202" i="1"/>
  <c r="V201" i="1"/>
  <c r="V141" i="1"/>
  <c r="V140" i="1"/>
  <c r="V139" i="1"/>
  <c r="AE139" i="1"/>
  <c r="AH139" i="1" s="1"/>
  <c r="AI139" i="1" s="1"/>
  <c r="K143" i="5" s="1"/>
  <c r="N143" i="5" s="1"/>
  <c r="V138" i="1"/>
  <c r="V137" i="1"/>
  <c r="V136" i="1"/>
  <c r="V135" i="1"/>
  <c r="AE135" i="1"/>
  <c r="V134" i="1"/>
  <c r="V133" i="1"/>
  <c r="V132" i="1"/>
  <c r="V60" i="1"/>
  <c r="AE60" i="1"/>
  <c r="AH60" i="1" s="1"/>
  <c r="AI60" i="1" s="1"/>
  <c r="K64" i="5" s="1"/>
  <c r="N64" i="5" s="1"/>
  <c r="V58" i="1"/>
  <c r="V56" i="1"/>
  <c r="V54" i="1"/>
  <c r="V52" i="1"/>
  <c r="V50" i="1"/>
  <c r="AE50" i="1"/>
  <c r="AH50" i="1" s="1"/>
  <c r="AI50" i="1" s="1"/>
  <c r="K54" i="5" s="1"/>
  <c r="N54" i="5" s="1"/>
  <c r="V48" i="1"/>
  <c r="V46" i="1"/>
  <c r="V44" i="1"/>
  <c r="AE44" i="1"/>
  <c r="AH44" i="1" s="1"/>
  <c r="AI44" i="1" s="1"/>
  <c r="K48" i="5" s="1"/>
  <c r="N48" i="5" s="1"/>
  <c r="V42" i="1"/>
  <c r="V325" i="1"/>
  <c r="V320" i="1"/>
  <c r="V319" i="1"/>
  <c r="V318" i="1"/>
  <c r="AE318" i="1"/>
  <c r="V317" i="1"/>
  <c r="V316" i="1"/>
  <c r="V315" i="1"/>
  <c r="V314" i="1"/>
  <c r="V313" i="1"/>
  <c r="V312" i="1"/>
  <c r="AE312" i="1"/>
  <c r="V300" i="1"/>
  <c r="AE300" i="1"/>
  <c r="AH300" i="1" s="1"/>
  <c r="AI300" i="1" s="1"/>
  <c r="K304" i="5" s="1"/>
  <c r="N304" i="5" s="1"/>
  <c r="V299" i="1"/>
  <c r="V298" i="1"/>
  <c r="V297" i="1"/>
  <c r="V296" i="1"/>
  <c r="V295" i="1"/>
  <c r="AE295" i="1"/>
  <c r="V294" i="1"/>
  <c r="AE294" i="1"/>
  <c r="V293" i="1"/>
  <c r="V292" i="1"/>
  <c r="V220" i="1"/>
  <c r="AE220" i="1"/>
  <c r="V219" i="1"/>
  <c r="V218" i="1"/>
  <c r="AE218" i="1"/>
  <c r="V217" i="1"/>
  <c r="V216" i="1"/>
  <c r="V215" i="1"/>
  <c r="AE215" i="1"/>
  <c r="V214" i="1"/>
  <c r="V213" i="1"/>
  <c r="V212" i="1"/>
  <c r="AE212" i="1"/>
  <c r="V131" i="1"/>
  <c r="V130" i="1"/>
  <c r="AE130" i="1"/>
  <c r="AH130" i="1" s="1"/>
  <c r="AI130" i="1" s="1"/>
  <c r="K134" i="5" s="1"/>
  <c r="N134" i="5" s="1"/>
  <c r="V129" i="1"/>
  <c r="V128" i="1"/>
  <c r="V127" i="1"/>
  <c r="V126" i="1"/>
  <c r="AE126" i="1"/>
  <c r="V125" i="1"/>
  <c r="V124" i="1"/>
  <c r="V123" i="1"/>
  <c r="V122" i="1"/>
  <c r="V111" i="1"/>
  <c r="AE111" i="1"/>
  <c r="V61" i="1"/>
  <c r="V59" i="1"/>
  <c r="V57" i="1"/>
  <c r="V55" i="1"/>
  <c r="AE55" i="1"/>
  <c r="V53" i="1"/>
  <c r="V51" i="1"/>
  <c r="V49" i="1"/>
  <c r="V47" i="1"/>
  <c r="V45" i="1"/>
  <c r="V43" i="1"/>
  <c r="AE43" i="1"/>
  <c r="AH43" i="1" s="1"/>
  <c r="AI43" i="1" s="1"/>
  <c r="K47" i="5" s="1"/>
  <c r="N47" i="5" s="1"/>
  <c r="J65" i="5" l="1"/>
  <c r="G65" i="5"/>
  <c r="J277" i="5"/>
  <c r="G277" i="5"/>
  <c r="J177" i="5"/>
  <c r="G177" i="5"/>
  <c r="J57" i="5"/>
  <c r="G57" i="5"/>
  <c r="AB169" i="1"/>
  <c r="G173" i="5"/>
  <c r="J121" i="5"/>
  <c r="G121" i="5"/>
  <c r="AB237" i="1"/>
  <c r="G241" i="5"/>
  <c r="AB141" i="1"/>
  <c r="G145" i="5"/>
  <c r="J61" i="5"/>
  <c r="G61" i="5"/>
  <c r="J269" i="5"/>
  <c r="J185" i="5"/>
  <c r="J209" i="5"/>
  <c r="J201" i="5"/>
  <c r="J49" i="5"/>
  <c r="J301" i="5"/>
  <c r="J241" i="5"/>
  <c r="J205" i="5"/>
  <c r="J169" i="5"/>
  <c r="AB209" i="1"/>
  <c r="AB129" i="1"/>
  <c r="AA290" i="1"/>
  <c r="I294" i="5" s="1"/>
  <c r="AA315" i="1"/>
  <c r="I319" i="5" s="1"/>
  <c r="AA291" i="1"/>
  <c r="I295" i="5" s="1"/>
  <c r="AA11" i="1"/>
  <c r="I15" i="5" s="1"/>
  <c r="AA23" i="1"/>
  <c r="AA119" i="1"/>
  <c r="I123" i="5" s="1"/>
  <c r="AA198" i="1"/>
  <c r="I202" i="5" s="1"/>
  <c r="AA287" i="1"/>
  <c r="I291" i="5" s="1"/>
  <c r="AA15" i="1"/>
  <c r="I19" i="5" s="1"/>
  <c r="AA138" i="1"/>
  <c r="I142" i="5" s="1"/>
  <c r="AA35" i="1"/>
  <c r="I39" i="5" s="1"/>
  <c r="AA168" i="1"/>
  <c r="I172" i="5" s="1"/>
  <c r="AA318" i="1"/>
  <c r="I322" i="5" s="1"/>
  <c r="AA222" i="1"/>
  <c r="I226" i="5" s="1"/>
  <c r="AA278" i="1"/>
  <c r="I282" i="5" s="1"/>
  <c r="AA262" i="1"/>
  <c r="I266" i="5" s="1"/>
  <c r="AA98" i="1"/>
  <c r="I102" i="5" s="1"/>
  <c r="AA75" i="1"/>
  <c r="I79" i="5" s="1"/>
  <c r="AA202" i="1"/>
  <c r="I206" i="5" s="1"/>
  <c r="AA10" i="1"/>
  <c r="I14" i="5" s="1"/>
  <c r="AA226" i="1"/>
  <c r="I230" i="5" s="1"/>
  <c r="AA235" i="1"/>
  <c r="AA174" i="1"/>
  <c r="I178" i="5" s="1"/>
  <c r="AA39" i="1"/>
  <c r="I43" i="5" s="1"/>
  <c r="AA223" i="1"/>
  <c r="I227" i="5" s="1"/>
  <c r="AA310" i="1"/>
  <c r="I314" i="5" s="1"/>
  <c r="AA116" i="1"/>
  <c r="AB116" i="1" s="1"/>
  <c r="AA42" i="1"/>
  <c r="I46" i="5" s="1"/>
  <c r="AA51" i="1"/>
  <c r="AA82" i="1"/>
  <c r="I86" i="5" s="1"/>
  <c r="AA139" i="1"/>
  <c r="AB139" i="1" s="1"/>
  <c r="AA114" i="1"/>
  <c r="I118" i="5" s="1"/>
  <c r="AA215" i="1"/>
  <c r="I219" i="5" s="1"/>
  <c r="AA239" i="1"/>
  <c r="I243" i="5" s="1"/>
  <c r="AA214" i="1"/>
  <c r="I218" i="5" s="1"/>
  <c r="AA248" i="1"/>
  <c r="I252" i="5" s="1"/>
  <c r="AA56" i="1"/>
  <c r="I60" i="5" s="1"/>
  <c r="AA68" i="1"/>
  <c r="I72" i="5" s="1"/>
  <c r="AA272" i="1"/>
  <c r="I276" i="5" s="1"/>
  <c r="AA33" i="1"/>
  <c r="I37" i="5" s="1"/>
  <c r="AA84" i="1"/>
  <c r="I88" i="5" s="1"/>
  <c r="AA27" i="1"/>
  <c r="I31" i="5" s="1"/>
  <c r="AA162" i="1"/>
  <c r="I166" i="5" s="1"/>
  <c r="AA203" i="1"/>
  <c r="I207" i="5" s="1"/>
  <c r="AA107" i="1"/>
  <c r="I111" i="5" s="1"/>
  <c r="AA298" i="1"/>
  <c r="AA48" i="1"/>
  <c r="I52" i="5" s="1"/>
  <c r="AA259" i="1"/>
  <c r="I263" i="5" s="1"/>
  <c r="AA3" i="1"/>
  <c r="I7" i="5" s="1"/>
  <c r="AA66" i="1"/>
  <c r="I70" i="5" s="1"/>
  <c r="AA175" i="1"/>
  <c r="I179" i="5" s="1"/>
  <c r="AA79" i="1"/>
  <c r="I83" i="5" s="1"/>
  <c r="AA6" i="1"/>
  <c r="I10" i="5" s="1"/>
  <c r="AA167" i="1"/>
  <c r="I171" i="5" s="1"/>
  <c r="AA126" i="1"/>
  <c r="I130" i="5" s="1"/>
  <c r="AA224" i="1"/>
  <c r="I228" i="5" s="1"/>
  <c r="AA164" i="1"/>
  <c r="AA4" i="1"/>
  <c r="I8" i="5" s="1"/>
  <c r="AA24" i="1"/>
  <c r="I28" i="5" s="1"/>
  <c r="AA136" i="1"/>
  <c r="I140" i="5" s="1"/>
  <c r="AA252" i="1"/>
  <c r="I256" i="5" s="1"/>
  <c r="AA17" i="1"/>
  <c r="I21" i="5" s="1"/>
  <c r="AB197" i="1"/>
  <c r="K6" i="5"/>
  <c r="N6" i="5" s="1"/>
  <c r="J213" i="5"/>
  <c r="J145" i="5"/>
  <c r="J173" i="5"/>
  <c r="AB181" i="1"/>
  <c r="J133" i="5"/>
  <c r="AB173" i="1"/>
  <c r="Z318" i="1"/>
  <c r="G322" i="5" s="1"/>
  <c r="AB293" i="1"/>
  <c r="Z174" i="1"/>
  <c r="Z126" i="1"/>
  <c r="G130" i="5" s="1"/>
  <c r="Z248" i="1"/>
  <c r="G252" i="5" s="1"/>
  <c r="J86" i="5"/>
  <c r="J179" i="5"/>
  <c r="Z278" i="1"/>
  <c r="G282" i="5" s="1"/>
  <c r="Z42" i="1"/>
  <c r="G46" i="5" s="1"/>
  <c r="Z33" i="1"/>
  <c r="G37" i="5" s="1"/>
  <c r="Z48" i="1"/>
  <c r="G52" i="5" s="1"/>
  <c r="Z167" i="1"/>
  <c r="Z7" i="1"/>
  <c r="Z214" i="1"/>
  <c r="Z3" i="1"/>
  <c r="G7" i="5" s="1"/>
  <c r="Z68" i="1"/>
  <c r="G72" i="5" s="1"/>
  <c r="Z4" i="1"/>
  <c r="G8" i="5" s="1"/>
  <c r="Z298" i="1"/>
  <c r="Z50" i="1"/>
  <c r="Z17" i="1"/>
  <c r="Z226" i="1"/>
  <c r="G230" i="5" s="1"/>
  <c r="Z259" i="1"/>
  <c r="G263" i="5" s="1"/>
  <c r="Z56" i="1"/>
  <c r="G60" i="5" s="1"/>
  <c r="J314" i="5"/>
  <c r="J174" i="5"/>
  <c r="J303" i="5"/>
  <c r="J28" i="5"/>
  <c r="J207" i="5"/>
  <c r="J79" i="5"/>
  <c r="J142" i="5"/>
  <c r="J163" i="5"/>
  <c r="J292" i="5"/>
  <c r="Z291" i="1"/>
  <c r="G295" i="5" s="1"/>
  <c r="Z262" i="1"/>
  <c r="G266" i="5" s="1"/>
  <c r="Z114" i="1"/>
  <c r="Z66" i="1"/>
  <c r="G70" i="5" s="1"/>
  <c r="Z239" i="1"/>
  <c r="G243" i="5" s="1"/>
  <c r="Z79" i="1"/>
  <c r="G83" i="5" s="1"/>
  <c r="Z15" i="1"/>
  <c r="G19" i="5" s="1"/>
  <c r="Z46" i="1"/>
  <c r="Z315" i="1"/>
  <c r="Z215" i="1"/>
  <c r="G219" i="5" s="1"/>
  <c r="Z223" i="1"/>
  <c r="G227" i="5" s="1"/>
  <c r="Z35" i="1"/>
  <c r="Z168" i="1"/>
  <c r="G172" i="5" s="1"/>
  <c r="Z136" i="1"/>
  <c r="G140" i="5" s="1"/>
  <c r="AB205" i="1"/>
  <c r="AB201" i="1"/>
  <c r="AB165" i="1"/>
  <c r="AB117" i="1"/>
  <c r="AB57" i="1"/>
  <c r="AB273" i="1"/>
  <c r="AB61" i="1"/>
  <c r="AB204" i="1"/>
  <c r="AB15" i="1"/>
  <c r="AB265" i="1"/>
  <c r="AB287" i="1"/>
  <c r="J236" i="5"/>
  <c r="AB232" i="1"/>
  <c r="AB107" i="1"/>
  <c r="AB222" i="1"/>
  <c r="AB26" i="1"/>
  <c r="AB260" i="1"/>
  <c r="Y179" i="1"/>
  <c r="E183" i="5" s="1"/>
  <c r="Y322" i="1"/>
  <c r="E326" i="5" s="1"/>
  <c r="Y218" i="1"/>
  <c r="E222" i="5" s="1"/>
  <c r="Y314" i="1"/>
  <c r="E318" i="5" s="1"/>
  <c r="Y40" i="1"/>
  <c r="E44" i="5" s="1"/>
  <c r="Y148" i="1"/>
  <c r="E152" i="5" s="1"/>
  <c r="Y268" i="1"/>
  <c r="E272" i="5" s="1"/>
  <c r="Y307" i="1"/>
  <c r="Y267" i="1"/>
  <c r="E271" i="5" s="1"/>
  <c r="Y219" i="1"/>
  <c r="E223" i="5" s="1"/>
  <c r="Y163" i="1"/>
  <c r="E167" i="5" s="1"/>
  <c r="Y99" i="1"/>
  <c r="E103" i="5" s="1"/>
  <c r="Y32" i="1"/>
  <c r="E36" i="5" s="1"/>
  <c r="Y211" i="1"/>
  <c r="E215" i="5" s="1"/>
  <c r="Y194" i="1"/>
  <c r="E198" i="5" s="1"/>
  <c r="Y238" i="1"/>
  <c r="E242" i="5" s="1"/>
  <c r="Y191" i="1"/>
  <c r="E195" i="5" s="1"/>
  <c r="Y63" i="1"/>
  <c r="E67" i="5" s="1"/>
  <c r="Y158" i="1"/>
  <c r="E162" i="5" s="1"/>
  <c r="Y103" i="1"/>
  <c r="E107" i="5" s="1"/>
  <c r="Y102" i="1"/>
  <c r="Y70" i="1"/>
  <c r="E74" i="5" s="1"/>
  <c r="Y38" i="1"/>
  <c r="E42" i="5" s="1"/>
  <c r="Y311" i="1"/>
  <c r="E315" i="5" s="1"/>
  <c r="Y199" i="1"/>
  <c r="E203" i="5" s="1"/>
  <c r="Y151" i="1"/>
  <c r="E155" i="5" s="1"/>
  <c r="Y302" i="1"/>
  <c r="E306" i="5" s="1"/>
  <c r="Y270" i="1"/>
  <c r="E274" i="5" s="1"/>
  <c r="Y206" i="1"/>
  <c r="Y58" i="1"/>
  <c r="E62" i="5" s="1"/>
  <c r="Y188" i="1"/>
  <c r="E192" i="5" s="1"/>
  <c r="Y20" i="1"/>
  <c r="E24" i="5" s="1"/>
  <c r="Y156" i="1"/>
  <c r="E160" i="5" s="1"/>
  <c r="Y128" i="1"/>
  <c r="E132" i="5" s="1"/>
  <c r="Y264" i="1"/>
  <c r="E268" i="5" s="1"/>
  <c r="Y124" i="1"/>
  <c r="E128" i="5" s="1"/>
  <c r="Y216" i="1"/>
  <c r="E220" i="5" s="1"/>
  <c r="Y104" i="1"/>
  <c r="E108" i="5" s="1"/>
  <c r="Y21" i="1"/>
  <c r="E25" i="5" s="1"/>
  <c r="AB98" i="1"/>
  <c r="AB246" i="1"/>
  <c r="AB290" i="1"/>
  <c r="AB23" i="1"/>
  <c r="AB224" i="1"/>
  <c r="AB68" i="1"/>
  <c r="AB297" i="1"/>
  <c r="AB11" i="1"/>
  <c r="AB170" i="1"/>
  <c r="AB119" i="1"/>
  <c r="Z2" i="1"/>
  <c r="Y227" i="1"/>
  <c r="E231" i="5" s="1"/>
  <c r="Y178" i="1"/>
  <c r="E182" i="5" s="1"/>
  <c r="Y183" i="1"/>
  <c r="E187" i="5" s="1"/>
  <c r="Y110" i="1"/>
  <c r="E114" i="5" s="1"/>
  <c r="Y100" i="1"/>
  <c r="E104" i="5" s="1"/>
  <c r="Y184" i="1"/>
  <c r="E188" i="5" s="1"/>
  <c r="Y196" i="1"/>
  <c r="E200" i="5" s="1"/>
  <c r="Y13" i="1"/>
  <c r="AB27" i="1"/>
  <c r="Y147" i="1"/>
  <c r="E151" i="5" s="1"/>
  <c r="Y83" i="1"/>
  <c r="E87" i="5" s="1"/>
  <c r="Y19" i="1"/>
  <c r="E23" i="5" s="1"/>
  <c r="Y258" i="1"/>
  <c r="E262" i="5" s="1"/>
  <c r="Y242" i="1"/>
  <c r="E246" i="5" s="1"/>
  <c r="Y59" i="1"/>
  <c r="E63" i="5" s="1"/>
  <c r="Y234" i="1"/>
  <c r="E238" i="5" s="1"/>
  <c r="Y210" i="1"/>
  <c r="E214" i="5" s="1"/>
  <c r="Y47" i="1"/>
  <c r="Y279" i="1"/>
  <c r="E283" i="5" s="1"/>
  <c r="Y31" i="1"/>
  <c r="E35" i="5" s="1"/>
  <c r="Y71" i="1"/>
  <c r="E75" i="5" s="1"/>
  <c r="Y295" i="1"/>
  <c r="E299" i="5" s="1"/>
  <c r="Y190" i="1"/>
  <c r="Y231" i="1"/>
  <c r="E235" i="5" s="1"/>
  <c r="Y94" i="1"/>
  <c r="E98" i="5" s="1"/>
  <c r="Y62" i="1"/>
  <c r="E66" i="5" s="1"/>
  <c r="Y2" i="1"/>
  <c r="Y34" i="1"/>
  <c r="Y132" i="1"/>
  <c r="Y120" i="1"/>
  <c r="E124" i="5" s="1"/>
  <c r="Y256" i="1"/>
  <c r="E260" i="5" s="1"/>
  <c r="Y276" i="1"/>
  <c r="E280" i="5" s="1"/>
  <c r="Y240" i="1"/>
  <c r="E244" i="5" s="1"/>
  <c r="Y228" i="1"/>
  <c r="E232" i="5" s="1"/>
  <c r="Y176" i="1"/>
  <c r="Y8" i="1"/>
  <c r="E12" i="5" s="1"/>
  <c r="Y292" i="1"/>
  <c r="E296" i="5" s="1"/>
  <c r="Y308" i="1"/>
  <c r="E312" i="5" s="1"/>
  <c r="Y320" i="1"/>
  <c r="E324" i="5" s="1"/>
  <c r="Y180" i="1"/>
  <c r="E184" i="5" s="1"/>
  <c r="Y80" i="1"/>
  <c r="E84" i="5" s="1"/>
  <c r="Y244" i="1"/>
  <c r="E248" i="5" s="1"/>
  <c r="Y37" i="1"/>
  <c r="E41" i="5" s="1"/>
  <c r="AB45" i="1"/>
  <c r="AB310" i="1"/>
  <c r="AB82" i="1"/>
  <c r="AB288" i="1"/>
  <c r="J208" i="5"/>
  <c r="Y275" i="1"/>
  <c r="E279" i="5" s="1"/>
  <c r="Y115" i="1"/>
  <c r="E119" i="5" s="1"/>
  <c r="Y186" i="1"/>
  <c r="E190" i="5" s="1"/>
  <c r="Y326" i="1"/>
  <c r="E330" i="5" s="1"/>
  <c r="Y286" i="1"/>
  <c r="Y78" i="1"/>
  <c r="E82" i="5" s="1"/>
  <c r="Y14" i="1"/>
  <c r="E18" i="5" s="1"/>
  <c r="Y316" i="1"/>
  <c r="E320" i="5" s="1"/>
  <c r="Y64" i="1"/>
  <c r="E68" i="5" s="1"/>
  <c r="Y192" i="1"/>
  <c r="E196" i="5" s="1"/>
  <c r="Y200" i="1"/>
  <c r="E204" i="5" s="1"/>
  <c r="Y52" i="1"/>
  <c r="E56" i="5" s="1"/>
  <c r="Y144" i="1"/>
  <c r="E148" i="5" s="1"/>
  <c r="Y25" i="1"/>
  <c r="E29" i="5" s="1"/>
  <c r="Y243" i="1"/>
  <c r="E247" i="5" s="1"/>
  <c r="Y195" i="1"/>
  <c r="E199" i="5" s="1"/>
  <c r="Y131" i="1"/>
  <c r="E135" i="5" s="1"/>
  <c r="Y67" i="1"/>
  <c r="E71" i="5" s="1"/>
  <c r="Y306" i="1"/>
  <c r="E310" i="5" s="1"/>
  <c r="Y146" i="1"/>
  <c r="E150" i="5" s="1"/>
  <c r="Y251" i="1"/>
  <c r="E255" i="5" s="1"/>
  <c r="Y171" i="1"/>
  <c r="E175" i="5" s="1"/>
  <c r="Y282" i="1"/>
  <c r="E286" i="5" s="1"/>
  <c r="Y266" i="1"/>
  <c r="E270" i="5" s="1"/>
  <c r="Y250" i="1"/>
  <c r="E254" i="5" s="1"/>
  <c r="Y142" i="1"/>
  <c r="E146" i="5" s="1"/>
  <c r="Y319" i="1"/>
  <c r="E323" i="5" s="1"/>
  <c r="Y127" i="1"/>
  <c r="E131" i="5" s="1"/>
  <c r="Y150" i="1"/>
  <c r="Y135" i="1"/>
  <c r="E139" i="5" s="1"/>
  <c r="Y254" i="1"/>
  <c r="E258" i="5" s="1"/>
  <c r="Y118" i="1"/>
  <c r="E122" i="5" s="1"/>
  <c r="Y86" i="1"/>
  <c r="Y54" i="1"/>
  <c r="E58" i="5" s="1"/>
  <c r="Y22" i="1"/>
  <c r="E26" i="5" s="1"/>
  <c r="Y123" i="1"/>
  <c r="E127" i="5" s="1"/>
  <c r="Y91" i="1"/>
  <c r="E95" i="5" s="1"/>
  <c r="Y303" i="1"/>
  <c r="E307" i="5" s="1"/>
  <c r="Y271" i="1"/>
  <c r="E275" i="5" s="1"/>
  <c r="Y207" i="1"/>
  <c r="E211" i="5" s="1"/>
  <c r="G330" i="5"/>
  <c r="Y230" i="1"/>
  <c r="E234" i="5" s="1"/>
  <c r="Y182" i="1"/>
  <c r="E186" i="5" s="1"/>
  <c r="Y166" i="1"/>
  <c r="E170" i="5" s="1"/>
  <c r="Y134" i="1"/>
  <c r="E138" i="5" s="1"/>
  <c r="Y74" i="1"/>
  <c r="E78" i="5" s="1"/>
  <c r="Y122" i="1"/>
  <c r="E126" i="5" s="1"/>
  <c r="Y296" i="1"/>
  <c r="E300" i="5" s="1"/>
  <c r="Y160" i="1"/>
  <c r="E164" i="5" s="1"/>
  <c r="G328" i="5"/>
  <c r="Y208" i="1"/>
  <c r="E212" i="5" s="1"/>
  <c r="Y284" i="1"/>
  <c r="E288" i="5" s="1"/>
  <c r="Y76" i="1"/>
  <c r="E80" i="5" s="1"/>
  <c r="Y92" i="1"/>
  <c r="E96" i="5" s="1"/>
  <c r="Y172" i="1"/>
  <c r="E176" i="5" s="1"/>
  <c r="Y140" i="1"/>
  <c r="E144" i="5" s="1"/>
  <c r="Y88" i="1"/>
  <c r="E92" i="5" s="1"/>
  <c r="Y324" i="1"/>
  <c r="E328" i="5" s="1"/>
  <c r="Y152" i="1"/>
  <c r="E156" i="5" s="1"/>
  <c r="Y96" i="1"/>
  <c r="Y112" i="1"/>
  <c r="E116" i="5" s="1"/>
  <c r="Y28" i="1"/>
  <c r="E32" i="5" s="1"/>
  <c r="Y36" i="1"/>
  <c r="E40" i="5" s="1"/>
  <c r="Y9" i="1"/>
  <c r="E13" i="5" s="1"/>
  <c r="Y5" i="1"/>
  <c r="E9" i="5" s="1"/>
  <c r="AB53" i="1"/>
  <c r="AB84" i="1"/>
  <c r="AB164" i="1"/>
  <c r="AB252" i="1"/>
  <c r="AB235" i="1"/>
  <c r="AB159" i="1"/>
  <c r="AB10" i="1"/>
  <c r="AB75" i="1"/>
  <c r="AB6" i="1"/>
  <c r="AB299" i="1"/>
  <c r="AB203" i="1"/>
  <c r="AB323" i="1"/>
  <c r="Y29" i="1"/>
  <c r="AH212" i="1"/>
  <c r="AI212" i="1" s="1"/>
  <c r="K216" i="5" s="1"/>
  <c r="N216" i="5" s="1"/>
  <c r="AH263" i="1"/>
  <c r="AI263" i="1" s="1"/>
  <c r="K267" i="5" s="1"/>
  <c r="N267" i="5" s="1"/>
  <c r="AH87" i="1"/>
  <c r="AI87" i="1" s="1"/>
  <c r="K91" i="5" s="1"/>
  <c r="N91" i="5" s="1"/>
  <c r="AH247" i="1"/>
  <c r="AI247" i="1" s="1"/>
  <c r="K251" i="5" s="1"/>
  <c r="N251" i="5" s="1"/>
  <c r="AH55" i="1"/>
  <c r="AI55" i="1" s="1"/>
  <c r="K59" i="5" s="1"/>
  <c r="N59" i="5" s="1"/>
  <c r="AH312" i="1"/>
  <c r="AI312" i="1" s="1"/>
  <c r="K316" i="5" s="1"/>
  <c r="N316" i="5" s="1"/>
  <c r="AH323" i="1"/>
  <c r="AI323" i="1" s="1"/>
  <c r="K327" i="5" s="1"/>
  <c r="N327" i="5" s="1"/>
  <c r="AH220" i="1"/>
  <c r="AI220" i="1" s="1"/>
  <c r="K224" i="5" s="1"/>
  <c r="N224" i="5" s="1"/>
  <c r="AH111" i="1"/>
  <c r="AI111" i="1" s="1"/>
  <c r="K115" i="5" s="1"/>
  <c r="N115" i="5" s="1"/>
  <c r="AH143" i="1"/>
  <c r="AI143" i="1" s="1"/>
  <c r="K147" i="5" s="1"/>
  <c r="N147" i="5" s="1"/>
  <c r="AH280" i="1"/>
  <c r="AI280" i="1" s="1"/>
  <c r="K284" i="5" s="1"/>
  <c r="N284" i="5" s="1"/>
  <c r="AH294" i="1"/>
  <c r="AI294" i="1" s="1"/>
  <c r="K298" i="5" s="1"/>
  <c r="N298" i="5" s="1"/>
  <c r="AH16" i="1"/>
  <c r="AI16" i="1" s="1"/>
  <c r="K20" i="5" s="1"/>
  <c r="N20" i="5" s="1"/>
  <c r="AH95" i="1"/>
  <c r="AI95" i="1" s="1"/>
  <c r="K99" i="5" s="1"/>
  <c r="N99" i="5" s="1"/>
  <c r="AI327" i="1"/>
  <c r="K331" i="5" s="1"/>
  <c r="N331" i="5" s="1"/>
  <c r="AI30" i="1"/>
  <c r="K34" i="5" s="1"/>
  <c r="N34" i="5" s="1"/>
  <c r="AH255" i="1"/>
  <c r="AI255" i="1" s="1"/>
  <c r="K259" i="5" s="1"/>
  <c r="N259" i="5" s="1"/>
  <c r="AE4" i="1"/>
  <c r="AH4" i="1" s="1"/>
  <c r="AI4" i="1" s="1"/>
  <c r="K8" i="5" s="1"/>
  <c r="N8" i="5" s="1"/>
  <c r="AE8" i="1"/>
  <c r="AH8" i="1" s="1"/>
  <c r="AI8" i="1" s="1"/>
  <c r="K12" i="5" s="1"/>
  <c r="N12" i="5" s="1"/>
  <c r="AE10" i="1"/>
  <c r="AH10" i="1" s="1"/>
  <c r="AI10" i="1" s="1"/>
  <c r="K14" i="5" s="1"/>
  <c r="N14" i="5" s="1"/>
  <c r="AE14" i="1"/>
  <c r="AH14" i="1" s="1"/>
  <c r="AI14" i="1" s="1"/>
  <c r="K18" i="5" s="1"/>
  <c r="N18" i="5" s="1"/>
  <c r="AE20" i="1"/>
  <c r="AH20" i="1" s="1"/>
  <c r="AI20" i="1" s="1"/>
  <c r="K24" i="5" s="1"/>
  <c r="N24" i="5" s="1"/>
  <c r="AE83" i="1"/>
  <c r="AH83" i="1" s="1"/>
  <c r="AI83" i="1" s="1"/>
  <c r="K87" i="5" s="1"/>
  <c r="N87" i="5" s="1"/>
  <c r="AE89" i="1"/>
  <c r="AH89" i="1" s="1"/>
  <c r="AI89" i="1" s="1"/>
  <c r="K93" i="5" s="1"/>
  <c r="N93" i="5" s="1"/>
  <c r="AE93" i="1"/>
  <c r="AH93" i="1" s="1"/>
  <c r="AI93" i="1" s="1"/>
  <c r="K97" i="5" s="1"/>
  <c r="N97" i="5" s="1"/>
  <c r="AE97" i="1"/>
  <c r="AH97" i="1" s="1"/>
  <c r="AI97" i="1" s="1"/>
  <c r="K101" i="5" s="1"/>
  <c r="N101" i="5" s="1"/>
  <c r="AE99" i="1"/>
  <c r="AH99" i="1" s="1"/>
  <c r="AI99" i="1" s="1"/>
  <c r="K103" i="5" s="1"/>
  <c r="N103" i="5" s="1"/>
  <c r="AE101" i="1"/>
  <c r="AH101" i="1" s="1"/>
  <c r="AI101" i="1" s="1"/>
  <c r="K105" i="5" s="1"/>
  <c r="N105" i="5" s="1"/>
  <c r="AE163" i="1"/>
  <c r="AH163" i="1" s="1"/>
  <c r="AI163" i="1" s="1"/>
  <c r="K167" i="5" s="1"/>
  <c r="N167" i="5" s="1"/>
  <c r="AE165" i="1"/>
  <c r="AH165" i="1" s="1"/>
  <c r="AI165" i="1" s="1"/>
  <c r="K169" i="5" s="1"/>
  <c r="N169" i="5" s="1"/>
  <c r="AE167" i="1"/>
  <c r="AH167" i="1" s="1"/>
  <c r="AI167" i="1" s="1"/>
  <c r="K171" i="5" s="1"/>
  <c r="N171" i="5" s="1"/>
  <c r="AE169" i="1"/>
  <c r="AH169" i="1" s="1"/>
  <c r="AI169" i="1" s="1"/>
  <c r="K173" i="5" s="1"/>
  <c r="N173" i="5" s="1"/>
  <c r="AE171" i="1"/>
  <c r="AH171" i="1" s="1"/>
  <c r="AI171" i="1" s="1"/>
  <c r="K175" i="5" s="1"/>
  <c r="N175" i="5" s="1"/>
  <c r="AE173" i="1"/>
  <c r="AH173" i="1" s="1"/>
  <c r="AI173" i="1" s="1"/>
  <c r="K177" i="5" s="1"/>
  <c r="N177" i="5" s="1"/>
  <c r="AE177" i="1"/>
  <c r="AH177" i="1" s="1"/>
  <c r="AI177" i="1" s="1"/>
  <c r="K181" i="5" s="1"/>
  <c r="N181" i="5" s="1"/>
  <c r="AE179" i="1"/>
  <c r="AH179" i="1" s="1"/>
  <c r="AI179" i="1" s="1"/>
  <c r="K183" i="5" s="1"/>
  <c r="N183" i="5" s="1"/>
  <c r="AE181" i="1"/>
  <c r="AH181" i="1" s="1"/>
  <c r="AI181" i="1" s="1"/>
  <c r="K185" i="5" s="1"/>
  <c r="N185" i="5" s="1"/>
  <c r="AE241" i="1"/>
  <c r="AH241" i="1" s="1"/>
  <c r="AI241" i="1" s="1"/>
  <c r="K245" i="5" s="1"/>
  <c r="N245" i="5" s="1"/>
  <c r="AE243" i="1"/>
  <c r="AH243" i="1" s="1"/>
  <c r="AI243" i="1" s="1"/>
  <c r="K247" i="5" s="1"/>
  <c r="N247" i="5" s="1"/>
  <c r="AE245" i="1"/>
  <c r="AH245" i="1" s="1"/>
  <c r="AI245" i="1" s="1"/>
  <c r="K249" i="5" s="1"/>
  <c r="N249" i="5" s="1"/>
  <c r="AE249" i="1"/>
  <c r="AH249" i="1" s="1"/>
  <c r="AI249" i="1" s="1"/>
  <c r="K253" i="5" s="1"/>
  <c r="N253" i="5" s="1"/>
  <c r="AE251" i="1"/>
  <c r="AH251" i="1" s="1"/>
  <c r="AI251" i="1" s="1"/>
  <c r="K255" i="5" s="1"/>
  <c r="N255" i="5" s="1"/>
  <c r="AE257" i="1"/>
  <c r="AH257" i="1" s="1"/>
  <c r="AI257" i="1" s="1"/>
  <c r="K261" i="5" s="1"/>
  <c r="N261" i="5" s="1"/>
  <c r="AE259" i="1"/>
  <c r="AH259" i="1" s="1"/>
  <c r="AI259" i="1" s="1"/>
  <c r="K263" i="5" s="1"/>
  <c r="N263" i="5" s="1"/>
  <c r="AE321" i="1"/>
  <c r="AH321" i="1" s="1"/>
  <c r="AI321" i="1" s="1"/>
  <c r="K325" i="5" s="1"/>
  <c r="N325" i="5" s="1"/>
  <c r="AE329" i="1"/>
  <c r="AH329" i="1" s="1"/>
  <c r="AI329" i="1" s="1"/>
  <c r="K333" i="5" s="1"/>
  <c r="N333" i="5" s="1"/>
  <c r="AE45" i="1"/>
  <c r="AH45" i="1" s="1"/>
  <c r="AI45" i="1" s="1"/>
  <c r="K49" i="5" s="1"/>
  <c r="N49" i="5" s="1"/>
  <c r="AE49" i="1"/>
  <c r="AH49" i="1" s="1"/>
  <c r="AI49" i="1" s="1"/>
  <c r="K53" i="5" s="1"/>
  <c r="N53" i="5" s="1"/>
  <c r="AE53" i="1"/>
  <c r="AH53" i="1" s="1"/>
  <c r="AI53" i="1" s="1"/>
  <c r="K57" i="5" s="1"/>
  <c r="N57" i="5" s="1"/>
  <c r="AE57" i="1"/>
  <c r="AH57" i="1" s="1"/>
  <c r="AI57" i="1" s="1"/>
  <c r="K61" i="5" s="1"/>
  <c r="N61" i="5" s="1"/>
  <c r="AE61" i="1"/>
  <c r="AH61" i="1" s="1"/>
  <c r="AI61" i="1" s="1"/>
  <c r="K65" i="5" s="1"/>
  <c r="N65" i="5" s="1"/>
  <c r="AE122" i="1"/>
  <c r="AH122" i="1" s="1"/>
  <c r="AI122" i="1" s="1"/>
  <c r="K126" i="5" s="1"/>
  <c r="N126" i="5" s="1"/>
  <c r="AE124" i="1"/>
  <c r="AH124" i="1" s="1"/>
  <c r="AI124" i="1" s="1"/>
  <c r="K128" i="5" s="1"/>
  <c r="N128" i="5" s="1"/>
  <c r="AE128" i="1"/>
  <c r="AH128" i="1" s="1"/>
  <c r="AI128" i="1" s="1"/>
  <c r="K132" i="5" s="1"/>
  <c r="N132" i="5" s="1"/>
  <c r="AE214" i="1"/>
  <c r="AH214" i="1" s="1"/>
  <c r="AI214" i="1" s="1"/>
  <c r="K218" i="5" s="1"/>
  <c r="N218" i="5" s="1"/>
  <c r="AE216" i="1"/>
  <c r="AH216" i="1" s="1"/>
  <c r="AI216" i="1" s="1"/>
  <c r="K220" i="5" s="1"/>
  <c r="N220" i="5" s="1"/>
  <c r="AE293" i="1"/>
  <c r="AH293" i="1" s="1"/>
  <c r="AI293" i="1" s="1"/>
  <c r="K297" i="5" s="1"/>
  <c r="N297" i="5" s="1"/>
  <c r="AE297" i="1"/>
  <c r="AH297" i="1" s="1"/>
  <c r="AI297" i="1" s="1"/>
  <c r="K301" i="5" s="1"/>
  <c r="N301" i="5" s="1"/>
  <c r="AE299" i="1"/>
  <c r="AH299" i="1" s="1"/>
  <c r="AI299" i="1" s="1"/>
  <c r="K303" i="5" s="1"/>
  <c r="N303" i="5" s="1"/>
  <c r="AE314" i="1"/>
  <c r="AH314" i="1" s="1"/>
  <c r="AI314" i="1" s="1"/>
  <c r="K318" i="5" s="1"/>
  <c r="N318" i="5" s="1"/>
  <c r="AE316" i="1"/>
  <c r="AH316" i="1" s="1"/>
  <c r="AI316" i="1" s="1"/>
  <c r="K320" i="5" s="1"/>
  <c r="N320" i="5" s="1"/>
  <c r="AE320" i="1"/>
  <c r="AH320" i="1" s="1"/>
  <c r="AI320" i="1" s="1"/>
  <c r="K324" i="5" s="1"/>
  <c r="N324" i="5" s="1"/>
  <c r="AE42" i="1"/>
  <c r="AH42" i="1" s="1"/>
  <c r="AI42" i="1" s="1"/>
  <c r="K46" i="5" s="1"/>
  <c r="N46" i="5" s="1"/>
  <c r="AE46" i="1"/>
  <c r="AH46" i="1" s="1"/>
  <c r="AI46" i="1" s="1"/>
  <c r="K50" i="5" s="1"/>
  <c r="N50" i="5" s="1"/>
  <c r="AE54" i="1"/>
  <c r="AH54" i="1" s="1"/>
  <c r="AI54" i="1" s="1"/>
  <c r="K58" i="5" s="1"/>
  <c r="N58" i="5" s="1"/>
  <c r="AE58" i="1"/>
  <c r="AH58" i="1" s="1"/>
  <c r="AI58" i="1" s="1"/>
  <c r="K62" i="5" s="1"/>
  <c r="N62" i="5" s="1"/>
  <c r="AE132" i="1"/>
  <c r="AH132" i="1" s="1"/>
  <c r="AI132" i="1" s="1"/>
  <c r="K136" i="5" s="1"/>
  <c r="N136" i="5" s="1"/>
  <c r="AE134" i="1"/>
  <c r="AH134" i="1" s="1"/>
  <c r="AI134" i="1" s="1"/>
  <c r="K138" i="5" s="1"/>
  <c r="N138" i="5" s="1"/>
  <c r="AE136" i="1"/>
  <c r="AH136" i="1" s="1"/>
  <c r="AI136" i="1" s="1"/>
  <c r="K140" i="5" s="1"/>
  <c r="N140" i="5" s="1"/>
  <c r="AE138" i="1"/>
  <c r="AH138" i="1" s="1"/>
  <c r="AI138" i="1" s="1"/>
  <c r="K142" i="5" s="1"/>
  <c r="N142" i="5" s="1"/>
  <c r="AE140" i="1"/>
  <c r="AH140" i="1" s="1"/>
  <c r="AI140" i="1" s="1"/>
  <c r="K144" i="5" s="1"/>
  <c r="N144" i="5" s="1"/>
  <c r="AE201" i="1"/>
  <c r="AH201" i="1" s="1"/>
  <c r="AI201" i="1" s="1"/>
  <c r="K205" i="5" s="1"/>
  <c r="N205" i="5" s="1"/>
  <c r="AE203" i="1"/>
  <c r="AH203" i="1" s="1"/>
  <c r="AI203" i="1" s="1"/>
  <c r="K207" i="5" s="1"/>
  <c r="N207" i="5" s="1"/>
  <c r="AE205" i="1"/>
  <c r="AH205" i="1" s="1"/>
  <c r="AI205" i="1" s="1"/>
  <c r="K209" i="5" s="1"/>
  <c r="N209" i="5" s="1"/>
  <c r="AE207" i="1"/>
  <c r="AH207" i="1" s="1"/>
  <c r="AI207" i="1" s="1"/>
  <c r="K211" i="5" s="1"/>
  <c r="N211" i="5" s="1"/>
  <c r="AE209" i="1"/>
  <c r="AH209" i="1" s="1"/>
  <c r="AI209" i="1" s="1"/>
  <c r="K213" i="5" s="1"/>
  <c r="N213" i="5" s="1"/>
  <c r="AE211" i="1"/>
  <c r="AH211" i="1" s="1"/>
  <c r="AI211" i="1" s="1"/>
  <c r="K215" i="5" s="1"/>
  <c r="N215" i="5" s="1"/>
  <c r="AE282" i="1"/>
  <c r="AH282" i="1" s="1"/>
  <c r="AI282" i="1" s="1"/>
  <c r="K286" i="5" s="1"/>
  <c r="N286" i="5" s="1"/>
  <c r="AE284" i="1"/>
  <c r="AH284" i="1" s="1"/>
  <c r="AI284" i="1" s="1"/>
  <c r="K288" i="5" s="1"/>
  <c r="N288" i="5" s="1"/>
  <c r="AE288" i="1"/>
  <c r="AH288" i="1" s="1"/>
  <c r="AI288" i="1" s="1"/>
  <c r="K292" i="5" s="1"/>
  <c r="N292" i="5" s="1"/>
  <c r="AE290" i="1"/>
  <c r="AH290" i="1" s="1"/>
  <c r="AI290" i="1" s="1"/>
  <c r="K294" i="5" s="1"/>
  <c r="N294" i="5" s="1"/>
  <c r="AE303" i="1"/>
  <c r="AH303" i="1" s="1"/>
  <c r="AI303" i="1" s="1"/>
  <c r="K307" i="5" s="1"/>
  <c r="N307" i="5" s="1"/>
  <c r="AE305" i="1"/>
  <c r="AH305" i="1" s="1"/>
  <c r="AI305" i="1" s="1"/>
  <c r="K309" i="5" s="1"/>
  <c r="N309" i="5" s="1"/>
  <c r="AE307" i="1"/>
  <c r="AH307" i="1" s="1"/>
  <c r="AI307" i="1" s="1"/>
  <c r="K311" i="5" s="1"/>
  <c r="N311" i="5" s="1"/>
  <c r="AE309" i="1"/>
  <c r="AH309" i="1" s="1"/>
  <c r="AI309" i="1" s="1"/>
  <c r="K313" i="5" s="1"/>
  <c r="N313" i="5" s="1"/>
  <c r="AE64" i="1"/>
  <c r="AH64" i="1" s="1"/>
  <c r="AI64" i="1" s="1"/>
  <c r="K68" i="5" s="1"/>
  <c r="N68" i="5" s="1"/>
  <c r="AE66" i="1"/>
  <c r="AH66" i="1" s="1"/>
  <c r="AI66" i="1" s="1"/>
  <c r="K70" i="5" s="1"/>
  <c r="N70" i="5" s="1"/>
  <c r="AE68" i="1"/>
  <c r="AH68" i="1" s="1"/>
  <c r="AI68" i="1" s="1"/>
  <c r="K72" i="5" s="1"/>
  <c r="N72" i="5" s="1"/>
  <c r="AE70" i="1"/>
  <c r="AH70" i="1" s="1"/>
  <c r="AI70" i="1" s="1"/>
  <c r="K74" i="5" s="1"/>
  <c r="N74" i="5" s="1"/>
  <c r="AE72" i="1"/>
  <c r="AH72" i="1" s="1"/>
  <c r="AI72" i="1" s="1"/>
  <c r="K76" i="5" s="1"/>
  <c r="N76" i="5" s="1"/>
  <c r="AE74" i="1"/>
  <c r="AH74" i="1" s="1"/>
  <c r="AI74" i="1" s="1"/>
  <c r="K78" i="5" s="1"/>
  <c r="N78" i="5" s="1"/>
  <c r="AE76" i="1"/>
  <c r="AH76" i="1" s="1"/>
  <c r="AI76" i="1" s="1"/>
  <c r="K80" i="5" s="1"/>
  <c r="N80" i="5" s="1"/>
  <c r="AE80" i="1"/>
  <c r="AH80" i="1" s="1"/>
  <c r="AI80" i="1" s="1"/>
  <c r="K84" i="5" s="1"/>
  <c r="N84" i="5" s="1"/>
  <c r="AE145" i="1"/>
  <c r="AH145" i="1" s="1"/>
  <c r="AI145" i="1" s="1"/>
  <c r="K149" i="5" s="1"/>
  <c r="N149" i="5" s="1"/>
  <c r="AE147" i="1"/>
  <c r="AH147" i="1" s="1"/>
  <c r="AI147" i="1" s="1"/>
  <c r="K151" i="5" s="1"/>
  <c r="N151" i="5" s="1"/>
  <c r="AE149" i="1"/>
  <c r="AH149" i="1" s="1"/>
  <c r="AI149" i="1" s="1"/>
  <c r="K153" i="5" s="1"/>
  <c r="N153" i="5" s="1"/>
  <c r="AE153" i="1"/>
  <c r="AH153" i="1" s="1"/>
  <c r="AI153" i="1" s="1"/>
  <c r="K157" i="5" s="1"/>
  <c r="N157" i="5" s="1"/>
  <c r="AE159" i="1"/>
  <c r="AH159" i="1" s="1"/>
  <c r="AI159" i="1" s="1"/>
  <c r="K163" i="5" s="1"/>
  <c r="N163" i="5" s="1"/>
  <c r="AE161" i="1"/>
  <c r="AH161" i="1" s="1"/>
  <c r="AI161" i="1" s="1"/>
  <c r="K165" i="5" s="1"/>
  <c r="N165" i="5" s="1"/>
  <c r="AE223" i="1"/>
  <c r="AH223" i="1" s="1"/>
  <c r="AI223" i="1" s="1"/>
  <c r="K227" i="5" s="1"/>
  <c r="N227" i="5" s="1"/>
  <c r="AE227" i="1"/>
  <c r="AH227" i="1" s="1"/>
  <c r="AI227" i="1" s="1"/>
  <c r="K231" i="5" s="1"/>
  <c r="N231" i="5" s="1"/>
  <c r="AE229" i="1"/>
  <c r="AH229" i="1" s="1"/>
  <c r="AI229" i="1" s="1"/>
  <c r="K233" i="5" s="1"/>
  <c r="N233" i="5" s="1"/>
  <c r="AE233" i="1"/>
  <c r="AH233" i="1" s="1"/>
  <c r="AI233" i="1" s="1"/>
  <c r="K237" i="5" s="1"/>
  <c r="N237" i="5" s="1"/>
  <c r="AE235" i="1"/>
  <c r="AH235" i="1" s="1"/>
  <c r="AI235" i="1" s="1"/>
  <c r="K239" i="5" s="1"/>
  <c r="N239" i="5" s="1"/>
  <c r="AE237" i="1"/>
  <c r="AH237" i="1" s="1"/>
  <c r="AI237" i="1" s="1"/>
  <c r="K241" i="5" s="1"/>
  <c r="N241" i="5" s="1"/>
  <c r="AE239" i="1"/>
  <c r="AH239" i="1" s="1"/>
  <c r="AI239" i="1" s="1"/>
  <c r="K243" i="5" s="1"/>
  <c r="N243" i="5" s="1"/>
  <c r="AE22" i="1"/>
  <c r="AH22" i="1" s="1"/>
  <c r="AI22" i="1" s="1"/>
  <c r="K26" i="5" s="1"/>
  <c r="N26" i="5" s="1"/>
  <c r="AE24" i="1"/>
  <c r="AH24" i="1" s="1"/>
  <c r="AI24" i="1" s="1"/>
  <c r="K28" i="5" s="1"/>
  <c r="N28" i="5" s="1"/>
  <c r="AE26" i="1"/>
  <c r="AH26" i="1" s="1"/>
  <c r="AI26" i="1" s="1"/>
  <c r="K30" i="5" s="1"/>
  <c r="N30" i="5" s="1"/>
  <c r="AE28" i="1"/>
  <c r="AH28" i="1" s="1"/>
  <c r="AI28" i="1" s="1"/>
  <c r="K32" i="5" s="1"/>
  <c r="N32" i="5" s="1"/>
  <c r="AE32" i="1"/>
  <c r="AH32" i="1" s="1"/>
  <c r="AI32" i="1" s="1"/>
  <c r="K36" i="5" s="1"/>
  <c r="N36" i="5" s="1"/>
  <c r="AE34" i="1"/>
  <c r="AH34" i="1" s="1"/>
  <c r="AI34" i="1" s="1"/>
  <c r="K38" i="5" s="1"/>
  <c r="N38" i="5" s="1"/>
  <c r="AE36" i="1"/>
  <c r="AH36" i="1" s="1"/>
  <c r="AI36" i="1" s="1"/>
  <c r="K40" i="5" s="1"/>
  <c r="N40" i="5" s="1"/>
  <c r="AE38" i="1"/>
  <c r="AH38" i="1" s="1"/>
  <c r="AI38" i="1" s="1"/>
  <c r="K42" i="5" s="1"/>
  <c r="N42" i="5" s="1"/>
  <c r="AE40" i="1"/>
  <c r="AH40" i="1" s="1"/>
  <c r="AI40" i="1" s="1"/>
  <c r="K44" i="5" s="1"/>
  <c r="N44" i="5" s="1"/>
  <c r="AE102" i="1"/>
  <c r="AH102" i="1" s="1"/>
  <c r="AI102" i="1" s="1"/>
  <c r="K106" i="5" s="1"/>
  <c r="N106" i="5" s="1"/>
  <c r="AE104" i="1"/>
  <c r="AH104" i="1" s="1"/>
  <c r="AI104" i="1" s="1"/>
  <c r="K108" i="5" s="1"/>
  <c r="N108" i="5" s="1"/>
  <c r="AE108" i="1"/>
  <c r="AH108" i="1" s="1"/>
  <c r="AI108" i="1" s="1"/>
  <c r="K112" i="5" s="1"/>
  <c r="N112" i="5" s="1"/>
  <c r="AE113" i="1"/>
  <c r="AH113" i="1" s="1"/>
  <c r="AI113" i="1" s="1"/>
  <c r="K117" i="5" s="1"/>
  <c r="N117" i="5" s="1"/>
  <c r="AE115" i="1"/>
  <c r="AH115" i="1" s="1"/>
  <c r="AI115" i="1" s="1"/>
  <c r="K119" i="5" s="1"/>
  <c r="N119" i="5" s="1"/>
  <c r="AE117" i="1"/>
  <c r="AH117" i="1" s="1"/>
  <c r="AI117" i="1" s="1"/>
  <c r="K121" i="5" s="1"/>
  <c r="N121" i="5" s="1"/>
  <c r="AE121" i="1"/>
  <c r="AH121" i="1" s="1"/>
  <c r="AI121" i="1" s="1"/>
  <c r="K125" i="5" s="1"/>
  <c r="N125" i="5" s="1"/>
  <c r="AE185" i="1"/>
  <c r="AH185" i="1" s="1"/>
  <c r="AI185" i="1" s="1"/>
  <c r="K189" i="5" s="1"/>
  <c r="N189" i="5" s="1"/>
  <c r="AE189" i="1"/>
  <c r="AH189" i="1" s="1"/>
  <c r="AI189" i="1" s="1"/>
  <c r="K193" i="5" s="1"/>
  <c r="N193" i="5" s="1"/>
  <c r="AE191" i="1"/>
  <c r="AH191" i="1" s="1"/>
  <c r="AI191" i="1" s="1"/>
  <c r="K195" i="5" s="1"/>
  <c r="N195" i="5" s="1"/>
  <c r="AE193" i="1"/>
  <c r="AH193" i="1" s="1"/>
  <c r="AI193" i="1" s="1"/>
  <c r="K197" i="5" s="1"/>
  <c r="N197" i="5" s="1"/>
  <c r="AE197" i="1"/>
  <c r="AH197" i="1" s="1"/>
  <c r="AI197" i="1" s="1"/>
  <c r="K201" i="5" s="1"/>
  <c r="N201" i="5" s="1"/>
  <c r="AE261" i="1"/>
  <c r="AH261" i="1" s="1"/>
  <c r="AI261" i="1" s="1"/>
  <c r="K265" i="5" s="1"/>
  <c r="N265" i="5" s="1"/>
  <c r="AE265" i="1"/>
  <c r="AH265" i="1" s="1"/>
  <c r="AI265" i="1" s="1"/>
  <c r="K269" i="5" s="1"/>
  <c r="N269" i="5" s="1"/>
  <c r="AE267" i="1"/>
  <c r="AH267" i="1" s="1"/>
  <c r="AI267" i="1" s="1"/>
  <c r="K271" i="5" s="1"/>
  <c r="N271" i="5" s="1"/>
  <c r="AE269" i="1"/>
  <c r="AH269" i="1" s="1"/>
  <c r="AI269" i="1" s="1"/>
  <c r="K273" i="5" s="1"/>
  <c r="N273" i="5" s="1"/>
  <c r="AE271" i="1"/>
  <c r="AH271" i="1" s="1"/>
  <c r="AI271" i="1" s="1"/>
  <c r="K275" i="5" s="1"/>
  <c r="N275" i="5" s="1"/>
  <c r="AE273" i="1"/>
  <c r="AH273" i="1" s="1"/>
  <c r="AI273" i="1" s="1"/>
  <c r="K277" i="5" s="1"/>
  <c r="N277" i="5" s="1"/>
  <c r="AE277" i="1"/>
  <c r="AH277" i="1" s="1"/>
  <c r="AI277" i="1" s="1"/>
  <c r="K281" i="5" s="1"/>
  <c r="N281" i="5" s="1"/>
  <c r="AE3" i="1"/>
  <c r="AH3" i="1" s="1"/>
  <c r="AI3" i="1" s="1"/>
  <c r="K7" i="5" s="1"/>
  <c r="N7" i="5" s="1"/>
  <c r="AE5" i="1"/>
  <c r="AH5" i="1" s="1"/>
  <c r="AI5" i="1" s="1"/>
  <c r="K9" i="5" s="1"/>
  <c r="N9" i="5" s="1"/>
  <c r="AE7" i="1"/>
  <c r="AH7" i="1" s="1"/>
  <c r="AI7" i="1" s="1"/>
  <c r="K11" i="5" s="1"/>
  <c r="N11" i="5" s="1"/>
  <c r="AE9" i="1"/>
  <c r="AH9" i="1" s="1"/>
  <c r="AI9" i="1" s="1"/>
  <c r="K13" i="5" s="1"/>
  <c r="N13" i="5" s="1"/>
  <c r="AE11" i="1"/>
  <c r="AH11" i="1" s="1"/>
  <c r="AI11" i="1" s="1"/>
  <c r="K15" i="5" s="1"/>
  <c r="N15" i="5" s="1"/>
  <c r="AE13" i="1"/>
  <c r="AH13" i="1" s="1"/>
  <c r="AI13" i="1" s="1"/>
  <c r="K17" i="5" s="1"/>
  <c r="N17" i="5" s="1"/>
  <c r="AE15" i="1"/>
  <c r="AH15" i="1" s="1"/>
  <c r="AI15" i="1" s="1"/>
  <c r="K19" i="5" s="1"/>
  <c r="N19" i="5" s="1"/>
  <c r="AE17" i="1"/>
  <c r="AH17" i="1" s="1"/>
  <c r="AI17" i="1" s="1"/>
  <c r="K21" i="5" s="1"/>
  <c r="N21" i="5" s="1"/>
  <c r="AE19" i="1"/>
  <c r="AH19" i="1" s="1"/>
  <c r="AI19" i="1" s="1"/>
  <c r="K23" i="5" s="1"/>
  <c r="N23" i="5" s="1"/>
  <c r="AE21" i="1"/>
  <c r="AH21" i="1" s="1"/>
  <c r="AI21" i="1" s="1"/>
  <c r="K25" i="5" s="1"/>
  <c r="N25" i="5" s="1"/>
  <c r="AE82" i="1"/>
  <c r="AH82" i="1" s="1"/>
  <c r="AI82" i="1" s="1"/>
  <c r="K86" i="5" s="1"/>
  <c r="N86" i="5" s="1"/>
  <c r="AE84" i="1"/>
  <c r="AH84" i="1" s="1"/>
  <c r="AI84" i="1" s="1"/>
  <c r="K88" i="5" s="1"/>
  <c r="N88" i="5" s="1"/>
  <c r="AE86" i="1"/>
  <c r="AH86" i="1" s="1"/>
  <c r="AI86" i="1" s="1"/>
  <c r="K90" i="5" s="1"/>
  <c r="N90" i="5" s="1"/>
  <c r="AE88" i="1"/>
  <c r="AH88" i="1" s="1"/>
  <c r="AI88" i="1" s="1"/>
  <c r="K92" i="5" s="1"/>
  <c r="N92" i="5" s="1"/>
  <c r="AE92" i="1"/>
  <c r="AH92" i="1" s="1"/>
  <c r="AI92" i="1" s="1"/>
  <c r="K96" i="5" s="1"/>
  <c r="N96" i="5" s="1"/>
  <c r="AE96" i="1"/>
  <c r="AH96" i="1" s="1"/>
  <c r="AI96" i="1" s="1"/>
  <c r="K100" i="5" s="1"/>
  <c r="N100" i="5" s="1"/>
  <c r="AE98" i="1"/>
  <c r="AH98" i="1" s="1"/>
  <c r="AI98" i="1" s="1"/>
  <c r="K102" i="5" s="1"/>
  <c r="N102" i="5" s="1"/>
  <c r="AE100" i="1"/>
  <c r="AH100" i="1" s="1"/>
  <c r="AI100" i="1" s="1"/>
  <c r="K104" i="5" s="1"/>
  <c r="N104" i="5" s="1"/>
  <c r="AE162" i="1"/>
  <c r="AH162" i="1" s="1"/>
  <c r="AI162" i="1" s="1"/>
  <c r="K166" i="5" s="1"/>
  <c r="N166" i="5" s="1"/>
  <c r="AE164" i="1"/>
  <c r="AH164" i="1" s="1"/>
  <c r="AI164" i="1" s="1"/>
  <c r="K168" i="5" s="1"/>
  <c r="N168" i="5" s="1"/>
  <c r="AE166" i="1"/>
  <c r="AH166" i="1" s="1"/>
  <c r="AI166" i="1" s="1"/>
  <c r="K170" i="5" s="1"/>
  <c r="N170" i="5" s="1"/>
  <c r="AE168" i="1"/>
  <c r="AH168" i="1" s="1"/>
  <c r="AI168" i="1" s="1"/>
  <c r="K172" i="5" s="1"/>
  <c r="N172" i="5" s="1"/>
  <c r="AE170" i="1"/>
  <c r="AH170" i="1" s="1"/>
  <c r="AI170" i="1" s="1"/>
  <c r="K174" i="5" s="1"/>
  <c r="N174" i="5" s="1"/>
  <c r="AE172" i="1"/>
  <c r="AH172" i="1" s="1"/>
  <c r="AI172" i="1" s="1"/>
  <c r="K176" i="5" s="1"/>
  <c r="N176" i="5" s="1"/>
  <c r="AE176" i="1"/>
  <c r="AH176" i="1" s="1"/>
  <c r="AI176" i="1" s="1"/>
  <c r="K180" i="5" s="1"/>
  <c r="N180" i="5" s="1"/>
  <c r="AE178" i="1"/>
  <c r="AH178" i="1" s="1"/>
  <c r="AI178" i="1" s="1"/>
  <c r="K182" i="5" s="1"/>
  <c r="N182" i="5" s="1"/>
  <c r="AE180" i="1"/>
  <c r="AH180" i="1" s="1"/>
  <c r="AI180" i="1" s="1"/>
  <c r="K184" i="5" s="1"/>
  <c r="N184" i="5" s="1"/>
  <c r="AE244" i="1"/>
  <c r="AH244" i="1" s="1"/>
  <c r="AI244" i="1" s="1"/>
  <c r="K248" i="5" s="1"/>
  <c r="N248" i="5" s="1"/>
  <c r="AE246" i="1"/>
  <c r="AH246" i="1" s="1"/>
  <c r="AI246" i="1" s="1"/>
  <c r="K250" i="5" s="1"/>
  <c r="N250" i="5" s="1"/>
  <c r="AE248" i="1"/>
  <c r="AH248" i="1" s="1"/>
  <c r="AI248" i="1" s="1"/>
  <c r="K252" i="5" s="1"/>
  <c r="N252" i="5" s="1"/>
  <c r="AE250" i="1"/>
  <c r="AH250" i="1" s="1"/>
  <c r="AI250" i="1" s="1"/>
  <c r="K254" i="5" s="1"/>
  <c r="N254" i="5" s="1"/>
  <c r="AE252" i="1"/>
  <c r="AH252" i="1" s="1"/>
  <c r="AI252" i="1" s="1"/>
  <c r="K256" i="5" s="1"/>
  <c r="N256" i="5" s="1"/>
  <c r="AE256" i="1"/>
  <c r="AH256" i="1" s="1"/>
  <c r="AI256" i="1" s="1"/>
  <c r="K260" i="5" s="1"/>
  <c r="N260" i="5" s="1"/>
  <c r="AE258" i="1"/>
  <c r="AH258" i="1" s="1"/>
  <c r="AI258" i="1" s="1"/>
  <c r="K262" i="5" s="1"/>
  <c r="N262" i="5" s="1"/>
  <c r="AE260" i="1"/>
  <c r="AH260" i="1" s="1"/>
  <c r="AI260" i="1" s="1"/>
  <c r="K264" i="5" s="1"/>
  <c r="N264" i="5" s="1"/>
  <c r="AE47" i="1"/>
  <c r="AH47" i="1" s="1"/>
  <c r="AI47" i="1" s="1"/>
  <c r="K51" i="5" s="1"/>
  <c r="N51" i="5" s="1"/>
  <c r="AE51" i="1"/>
  <c r="AH51" i="1" s="1"/>
  <c r="AI51" i="1" s="1"/>
  <c r="K55" i="5" s="1"/>
  <c r="N55" i="5" s="1"/>
  <c r="AE59" i="1"/>
  <c r="AH59" i="1" s="1"/>
  <c r="AI59" i="1" s="1"/>
  <c r="K63" i="5" s="1"/>
  <c r="N63" i="5" s="1"/>
  <c r="AE123" i="1"/>
  <c r="AH123" i="1" s="1"/>
  <c r="AI123" i="1" s="1"/>
  <c r="K127" i="5" s="1"/>
  <c r="N127" i="5" s="1"/>
  <c r="AE125" i="1"/>
  <c r="AH125" i="1" s="1"/>
  <c r="AI125" i="1" s="1"/>
  <c r="K129" i="5" s="1"/>
  <c r="N129" i="5" s="1"/>
  <c r="AE127" i="1"/>
  <c r="AH127" i="1" s="1"/>
  <c r="AI127" i="1" s="1"/>
  <c r="K131" i="5" s="1"/>
  <c r="N131" i="5" s="1"/>
  <c r="AE129" i="1"/>
  <c r="AH129" i="1" s="1"/>
  <c r="AI129" i="1" s="1"/>
  <c r="K133" i="5" s="1"/>
  <c r="N133" i="5" s="1"/>
  <c r="AE131" i="1"/>
  <c r="AH131" i="1" s="1"/>
  <c r="AI131" i="1" s="1"/>
  <c r="K135" i="5" s="1"/>
  <c r="N135" i="5" s="1"/>
  <c r="AE213" i="1"/>
  <c r="AH213" i="1" s="1"/>
  <c r="AI213" i="1" s="1"/>
  <c r="K217" i="5" s="1"/>
  <c r="N217" i="5" s="1"/>
  <c r="AE217" i="1"/>
  <c r="AH217" i="1" s="1"/>
  <c r="AI217" i="1" s="1"/>
  <c r="K221" i="5" s="1"/>
  <c r="N221" i="5" s="1"/>
  <c r="AE219" i="1"/>
  <c r="AH219" i="1" s="1"/>
  <c r="AI219" i="1" s="1"/>
  <c r="K223" i="5" s="1"/>
  <c r="N223" i="5" s="1"/>
  <c r="AE292" i="1"/>
  <c r="AH292" i="1" s="1"/>
  <c r="AI292" i="1" s="1"/>
  <c r="K296" i="5" s="1"/>
  <c r="N296" i="5" s="1"/>
  <c r="AE296" i="1"/>
  <c r="AH296" i="1" s="1"/>
  <c r="AI296" i="1" s="1"/>
  <c r="K300" i="5" s="1"/>
  <c r="N300" i="5" s="1"/>
  <c r="AE298" i="1"/>
  <c r="AH298" i="1" s="1"/>
  <c r="AI298" i="1" s="1"/>
  <c r="K302" i="5" s="1"/>
  <c r="N302" i="5" s="1"/>
  <c r="AE313" i="1"/>
  <c r="AH313" i="1" s="1"/>
  <c r="AI313" i="1" s="1"/>
  <c r="K317" i="5" s="1"/>
  <c r="N317" i="5" s="1"/>
  <c r="AE315" i="1"/>
  <c r="AH315" i="1" s="1"/>
  <c r="AI315" i="1" s="1"/>
  <c r="K319" i="5" s="1"/>
  <c r="N319" i="5" s="1"/>
  <c r="AE317" i="1"/>
  <c r="AH317" i="1" s="1"/>
  <c r="AI317" i="1" s="1"/>
  <c r="K321" i="5" s="1"/>
  <c r="N321" i="5" s="1"/>
  <c r="AE319" i="1"/>
  <c r="AH319" i="1" s="1"/>
  <c r="AI319" i="1" s="1"/>
  <c r="K323" i="5" s="1"/>
  <c r="N323" i="5" s="1"/>
  <c r="AE325" i="1"/>
  <c r="AH325" i="1" s="1"/>
  <c r="AI325" i="1" s="1"/>
  <c r="K329" i="5" s="1"/>
  <c r="N329" i="5" s="1"/>
  <c r="AE48" i="1"/>
  <c r="AH48" i="1" s="1"/>
  <c r="AI48" i="1" s="1"/>
  <c r="K52" i="5" s="1"/>
  <c r="N52" i="5" s="1"/>
  <c r="AE52" i="1"/>
  <c r="AH52" i="1" s="1"/>
  <c r="AI52" i="1" s="1"/>
  <c r="K56" i="5" s="1"/>
  <c r="N56" i="5" s="1"/>
  <c r="AE56" i="1"/>
  <c r="AH56" i="1" s="1"/>
  <c r="AI56" i="1" s="1"/>
  <c r="K60" i="5" s="1"/>
  <c r="N60" i="5" s="1"/>
  <c r="AE133" i="1"/>
  <c r="AH133" i="1" s="1"/>
  <c r="AI133" i="1" s="1"/>
  <c r="K137" i="5" s="1"/>
  <c r="N137" i="5" s="1"/>
  <c r="AE137" i="1"/>
  <c r="AH137" i="1" s="1"/>
  <c r="AI137" i="1" s="1"/>
  <c r="K141" i="5" s="1"/>
  <c r="N141" i="5" s="1"/>
  <c r="AE141" i="1"/>
  <c r="AH141" i="1" s="1"/>
  <c r="AI141" i="1" s="1"/>
  <c r="K145" i="5" s="1"/>
  <c r="N145" i="5" s="1"/>
  <c r="AE202" i="1"/>
  <c r="AH202" i="1" s="1"/>
  <c r="AI202" i="1" s="1"/>
  <c r="K206" i="5" s="1"/>
  <c r="N206" i="5" s="1"/>
  <c r="AE204" i="1"/>
  <c r="AH204" i="1" s="1"/>
  <c r="AI204" i="1" s="1"/>
  <c r="K208" i="5" s="1"/>
  <c r="N208" i="5" s="1"/>
  <c r="AE206" i="1"/>
  <c r="AH206" i="1" s="1"/>
  <c r="AI206" i="1" s="1"/>
  <c r="K210" i="5" s="1"/>
  <c r="N210" i="5" s="1"/>
  <c r="AE208" i="1"/>
  <c r="AH208" i="1" s="1"/>
  <c r="AI208" i="1" s="1"/>
  <c r="K212" i="5" s="1"/>
  <c r="N212" i="5" s="1"/>
  <c r="AE210" i="1"/>
  <c r="AH210" i="1" s="1"/>
  <c r="AI210" i="1" s="1"/>
  <c r="K214" i="5" s="1"/>
  <c r="N214" i="5" s="1"/>
  <c r="AE281" i="1"/>
  <c r="AH281" i="1" s="1"/>
  <c r="AI281" i="1" s="1"/>
  <c r="K285" i="5" s="1"/>
  <c r="N285" i="5" s="1"/>
  <c r="AE285" i="1"/>
  <c r="AH285" i="1" s="1"/>
  <c r="AI285" i="1" s="1"/>
  <c r="K289" i="5" s="1"/>
  <c r="N289" i="5" s="1"/>
  <c r="AE287" i="1"/>
  <c r="AH287" i="1" s="1"/>
  <c r="AI287" i="1" s="1"/>
  <c r="K291" i="5" s="1"/>
  <c r="N291" i="5" s="1"/>
  <c r="AE289" i="1"/>
  <c r="AH289" i="1" s="1"/>
  <c r="AI289" i="1" s="1"/>
  <c r="K293" i="5" s="1"/>
  <c r="N293" i="5" s="1"/>
  <c r="AE291" i="1"/>
  <c r="AH291" i="1" s="1"/>
  <c r="AI291" i="1" s="1"/>
  <c r="K295" i="5" s="1"/>
  <c r="N295" i="5" s="1"/>
  <c r="AE306" i="1"/>
  <c r="AH306" i="1" s="1"/>
  <c r="AI306" i="1" s="1"/>
  <c r="K310" i="5" s="1"/>
  <c r="N310" i="5" s="1"/>
  <c r="AE308" i="1"/>
  <c r="AH308" i="1" s="1"/>
  <c r="AI308" i="1" s="1"/>
  <c r="K312" i="5" s="1"/>
  <c r="N312" i="5" s="1"/>
  <c r="AE310" i="1"/>
  <c r="AH310" i="1" s="1"/>
  <c r="AI310" i="1" s="1"/>
  <c r="K314" i="5" s="1"/>
  <c r="N314" i="5" s="1"/>
  <c r="AE326" i="1"/>
  <c r="AH326" i="1" s="1"/>
  <c r="AI326" i="1" s="1"/>
  <c r="K330" i="5" s="1"/>
  <c r="N330" i="5" s="1"/>
  <c r="AE63" i="1"/>
  <c r="AH63" i="1" s="1"/>
  <c r="AI63" i="1" s="1"/>
  <c r="K67" i="5" s="1"/>
  <c r="N67" i="5" s="1"/>
  <c r="AE65" i="1"/>
  <c r="AH65" i="1" s="1"/>
  <c r="AI65" i="1" s="1"/>
  <c r="K69" i="5" s="1"/>
  <c r="N69" i="5" s="1"/>
  <c r="AE67" i="1"/>
  <c r="AH67" i="1" s="1"/>
  <c r="AI67" i="1" s="1"/>
  <c r="K71" i="5" s="1"/>
  <c r="N71" i="5" s="1"/>
  <c r="AE69" i="1"/>
  <c r="AH69" i="1" s="1"/>
  <c r="AI69" i="1" s="1"/>
  <c r="K73" i="5" s="1"/>
  <c r="N73" i="5" s="1"/>
  <c r="AE73" i="1"/>
  <c r="AH73" i="1" s="1"/>
  <c r="AI73" i="1" s="1"/>
  <c r="K77" i="5" s="1"/>
  <c r="N77" i="5" s="1"/>
  <c r="AE77" i="1"/>
  <c r="AH77" i="1" s="1"/>
  <c r="AI77" i="1" s="1"/>
  <c r="K81" i="5" s="1"/>
  <c r="N81" i="5" s="1"/>
  <c r="AE79" i="1"/>
  <c r="AH79" i="1" s="1"/>
  <c r="AI79" i="1" s="1"/>
  <c r="K83" i="5" s="1"/>
  <c r="N83" i="5" s="1"/>
  <c r="AE144" i="1"/>
  <c r="AH144" i="1" s="1"/>
  <c r="AI144" i="1" s="1"/>
  <c r="K148" i="5" s="1"/>
  <c r="N148" i="5" s="1"/>
  <c r="AE146" i="1"/>
  <c r="AH146" i="1" s="1"/>
  <c r="AI146" i="1" s="1"/>
  <c r="K150" i="5" s="1"/>
  <c r="N150" i="5" s="1"/>
  <c r="AE148" i="1"/>
  <c r="AH148" i="1" s="1"/>
  <c r="AI148" i="1" s="1"/>
  <c r="K152" i="5" s="1"/>
  <c r="N152" i="5" s="1"/>
  <c r="AE150" i="1"/>
  <c r="AH150" i="1" s="1"/>
  <c r="AI150" i="1" s="1"/>
  <c r="K154" i="5" s="1"/>
  <c r="N154" i="5" s="1"/>
  <c r="AE152" i="1"/>
  <c r="AH152" i="1" s="1"/>
  <c r="AI152" i="1" s="1"/>
  <c r="K156" i="5" s="1"/>
  <c r="N156" i="5" s="1"/>
  <c r="AE156" i="1"/>
  <c r="AH156" i="1" s="1"/>
  <c r="AI156" i="1" s="1"/>
  <c r="K160" i="5" s="1"/>
  <c r="N160" i="5" s="1"/>
  <c r="AE160" i="1"/>
  <c r="AH160" i="1" s="1"/>
  <c r="AI160" i="1" s="1"/>
  <c r="K164" i="5" s="1"/>
  <c r="N164" i="5" s="1"/>
  <c r="AE224" i="1"/>
  <c r="AH224" i="1" s="1"/>
  <c r="AI224" i="1" s="1"/>
  <c r="K228" i="5" s="1"/>
  <c r="N228" i="5" s="1"/>
  <c r="AE228" i="1"/>
  <c r="AH228" i="1" s="1"/>
  <c r="AI228" i="1" s="1"/>
  <c r="K232" i="5" s="1"/>
  <c r="N232" i="5" s="1"/>
  <c r="AE232" i="1"/>
  <c r="AH232" i="1" s="1"/>
  <c r="AI232" i="1" s="1"/>
  <c r="K236" i="5" s="1"/>
  <c r="N236" i="5" s="1"/>
  <c r="AE234" i="1"/>
  <c r="AH234" i="1" s="1"/>
  <c r="AI234" i="1" s="1"/>
  <c r="K238" i="5" s="1"/>
  <c r="N238" i="5" s="1"/>
  <c r="AE236" i="1"/>
  <c r="AH236" i="1" s="1"/>
  <c r="AI236" i="1" s="1"/>
  <c r="K240" i="5" s="1"/>
  <c r="N240" i="5" s="1"/>
  <c r="AE240" i="1"/>
  <c r="AH240" i="1" s="1"/>
  <c r="AI240" i="1" s="1"/>
  <c r="K244" i="5" s="1"/>
  <c r="N244" i="5" s="1"/>
  <c r="AE25" i="1"/>
  <c r="AH25" i="1" s="1"/>
  <c r="AI25" i="1" s="1"/>
  <c r="K29" i="5" s="1"/>
  <c r="N29" i="5" s="1"/>
  <c r="AE27" i="1"/>
  <c r="AH27" i="1" s="1"/>
  <c r="AI27" i="1" s="1"/>
  <c r="K31" i="5" s="1"/>
  <c r="N31" i="5" s="1"/>
  <c r="AE29" i="1"/>
  <c r="AH29" i="1" s="1"/>
  <c r="AI29" i="1" s="1"/>
  <c r="K33" i="5" s="1"/>
  <c r="N33" i="5" s="1"/>
  <c r="AE33" i="1"/>
  <c r="AH33" i="1" s="1"/>
  <c r="AI33" i="1" s="1"/>
  <c r="K37" i="5" s="1"/>
  <c r="N37" i="5" s="1"/>
  <c r="AE35" i="1"/>
  <c r="AH35" i="1" s="1"/>
  <c r="AI35" i="1" s="1"/>
  <c r="K39" i="5" s="1"/>
  <c r="N39" i="5" s="1"/>
  <c r="AE37" i="1"/>
  <c r="AH37" i="1" s="1"/>
  <c r="AI37" i="1" s="1"/>
  <c r="K41" i="5" s="1"/>
  <c r="N41" i="5" s="1"/>
  <c r="AE105" i="1"/>
  <c r="AH105" i="1" s="1"/>
  <c r="AI105" i="1" s="1"/>
  <c r="K109" i="5" s="1"/>
  <c r="N109" i="5" s="1"/>
  <c r="AE109" i="1"/>
  <c r="AH109" i="1" s="1"/>
  <c r="AI109" i="1" s="1"/>
  <c r="K113" i="5" s="1"/>
  <c r="N113" i="5" s="1"/>
  <c r="AE112" i="1"/>
  <c r="AH112" i="1" s="1"/>
  <c r="AI112" i="1" s="1"/>
  <c r="K116" i="5" s="1"/>
  <c r="N116" i="5" s="1"/>
  <c r="AE114" i="1"/>
  <c r="AH114" i="1" s="1"/>
  <c r="AI114" i="1" s="1"/>
  <c r="K118" i="5" s="1"/>
  <c r="N118" i="5" s="1"/>
  <c r="AE116" i="1"/>
  <c r="AH116" i="1" s="1"/>
  <c r="AI116" i="1" s="1"/>
  <c r="K120" i="5" s="1"/>
  <c r="N120" i="5" s="1"/>
  <c r="AE120" i="1"/>
  <c r="AH120" i="1" s="1"/>
  <c r="AI120" i="1" s="1"/>
  <c r="K124" i="5" s="1"/>
  <c r="N124" i="5" s="1"/>
  <c r="AE184" i="1"/>
  <c r="AH184" i="1" s="1"/>
  <c r="AI184" i="1" s="1"/>
  <c r="K188" i="5" s="1"/>
  <c r="N188" i="5" s="1"/>
  <c r="AE186" i="1"/>
  <c r="AH186" i="1" s="1"/>
  <c r="AI186" i="1" s="1"/>
  <c r="K190" i="5" s="1"/>
  <c r="N190" i="5" s="1"/>
  <c r="AE188" i="1"/>
  <c r="AH188" i="1" s="1"/>
  <c r="AI188" i="1" s="1"/>
  <c r="K192" i="5" s="1"/>
  <c r="N192" i="5" s="1"/>
  <c r="AE192" i="1"/>
  <c r="AH192" i="1" s="1"/>
  <c r="AI192" i="1" s="1"/>
  <c r="K196" i="5" s="1"/>
  <c r="N196" i="5" s="1"/>
  <c r="AE194" i="1"/>
  <c r="AH194" i="1" s="1"/>
  <c r="AI194" i="1" s="1"/>
  <c r="K198" i="5" s="1"/>
  <c r="N198" i="5" s="1"/>
  <c r="AE196" i="1"/>
  <c r="AH196" i="1" s="1"/>
  <c r="AI196" i="1" s="1"/>
  <c r="K200" i="5" s="1"/>
  <c r="N200" i="5" s="1"/>
  <c r="AE200" i="1"/>
  <c r="AH200" i="1" s="1"/>
  <c r="AI200" i="1" s="1"/>
  <c r="K204" i="5" s="1"/>
  <c r="N204" i="5" s="1"/>
  <c r="AE264" i="1"/>
  <c r="AH264" i="1" s="1"/>
  <c r="AI264" i="1" s="1"/>
  <c r="K268" i="5" s="1"/>
  <c r="N268" i="5" s="1"/>
  <c r="AE266" i="1"/>
  <c r="AH266" i="1" s="1"/>
  <c r="AI266" i="1" s="1"/>
  <c r="K270" i="5" s="1"/>
  <c r="N270" i="5" s="1"/>
  <c r="AE268" i="1"/>
  <c r="AH268" i="1" s="1"/>
  <c r="AI268" i="1" s="1"/>
  <c r="K272" i="5" s="1"/>
  <c r="N272" i="5" s="1"/>
  <c r="AE272" i="1"/>
  <c r="AH272" i="1" s="1"/>
  <c r="AI272" i="1" s="1"/>
  <c r="K276" i="5" s="1"/>
  <c r="N276" i="5" s="1"/>
  <c r="AE276" i="1"/>
  <c r="AH276" i="1" s="1"/>
  <c r="AI276" i="1" s="1"/>
  <c r="K280" i="5" s="1"/>
  <c r="N280" i="5" s="1"/>
  <c r="AE324" i="1"/>
  <c r="AH324" i="1" s="1"/>
  <c r="AI324" i="1" s="1"/>
  <c r="K328" i="5" s="1"/>
  <c r="N328" i="5" s="1"/>
  <c r="AH126" i="1"/>
  <c r="AI126" i="1" s="1"/>
  <c r="K130" i="5" s="1"/>
  <c r="N130" i="5" s="1"/>
  <c r="AH218" i="1"/>
  <c r="AI218" i="1" s="1"/>
  <c r="K222" i="5" s="1"/>
  <c r="N222" i="5" s="1"/>
  <c r="AH295" i="1"/>
  <c r="AI295" i="1" s="1"/>
  <c r="K299" i="5" s="1"/>
  <c r="N299" i="5" s="1"/>
  <c r="AH318" i="1"/>
  <c r="AI318" i="1" s="1"/>
  <c r="K322" i="5" s="1"/>
  <c r="N322" i="5" s="1"/>
  <c r="AH286" i="1"/>
  <c r="AI286" i="1" s="1"/>
  <c r="K290" i="5" s="1"/>
  <c r="N290" i="5" s="1"/>
  <c r="AH311" i="1"/>
  <c r="AI311" i="1" s="1"/>
  <c r="K315" i="5" s="1"/>
  <c r="N315" i="5" s="1"/>
  <c r="AH62" i="1"/>
  <c r="AI62" i="1" s="1"/>
  <c r="K66" i="5" s="1"/>
  <c r="N66" i="5" s="1"/>
  <c r="AH78" i="1"/>
  <c r="AI78" i="1" s="1"/>
  <c r="K82" i="5" s="1"/>
  <c r="N82" i="5" s="1"/>
  <c r="AH151" i="1"/>
  <c r="AI151" i="1" s="1"/>
  <c r="K155" i="5" s="1"/>
  <c r="N155" i="5" s="1"/>
  <c r="AH231" i="1"/>
  <c r="AI231" i="1" s="1"/>
  <c r="K235" i="5" s="1"/>
  <c r="N235" i="5" s="1"/>
  <c r="AH110" i="1"/>
  <c r="AI110" i="1" s="1"/>
  <c r="K114" i="5" s="1"/>
  <c r="N114" i="5" s="1"/>
  <c r="AH119" i="1"/>
  <c r="AI119" i="1" s="1"/>
  <c r="K123" i="5" s="1"/>
  <c r="N123" i="5" s="1"/>
  <c r="AH183" i="1"/>
  <c r="AI183" i="1" s="1"/>
  <c r="K187" i="5" s="1"/>
  <c r="N187" i="5" s="1"/>
  <c r="AH195" i="1"/>
  <c r="AI195" i="1" s="1"/>
  <c r="K199" i="5" s="1"/>
  <c r="N199" i="5" s="1"/>
  <c r="AH199" i="1"/>
  <c r="AI199" i="1" s="1"/>
  <c r="K203" i="5" s="1"/>
  <c r="N203" i="5" s="1"/>
  <c r="AH275" i="1"/>
  <c r="AI275" i="1" s="1"/>
  <c r="K279" i="5" s="1"/>
  <c r="N279" i="5" s="1"/>
  <c r="AH279" i="1"/>
  <c r="AI279" i="1" s="1"/>
  <c r="K283" i="5" s="1"/>
  <c r="N283" i="5" s="1"/>
  <c r="AH94" i="1"/>
  <c r="AI94" i="1" s="1"/>
  <c r="K98" i="5" s="1"/>
  <c r="N98" i="5" s="1"/>
  <c r="AH174" i="1"/>
  <c r="AI174" i="1" s="1"/>
  <c r="K178" i="5" s="1"/>
  <c r="N178" i="5" s="1"/>
  <c r="AH242" i="1"/>
  <c r="AI242" i="1" s="1"/>
  <c r="K246" i="5" s="1"/>
  <c r="N246" i="5" s="1"/>
  <c r="AH254" i="1"/>
  <c r="AI254" i="1" s="1"/>
  <c r="K258" i="5" s="1"/>
  <c r="N258" i="5" s="1"/>
  <c r="AH322" i="1"/>
  <c r="AI322" i="1" s="1"/>
  <c r="K326" i="5" s="1"/>
  <c r="N326" i="5" s="1"/>
  <c r="AH215" i="1"/>
  <c r="AI215" i="1" s="1"/>
  <c r="K219" i="5" s="1"/>
  <c r="N219" i="5" s="1"/>
  <c r="AH135" i="1"/>
  <c r="AI135" i="1" s="1"/>
  <c r="K139" i="5" s="1"/>
  <c r="N139" i="5" s="1"/>
  <c r="AH302" i="1"/>
  <c r="AI302" i="1" s="1"/>
  <c r="K306" i="5" s="1"/>
  <c r="N306" i="5" s="1"/>
  <c r="AH71" i="1"/>
  <c r="AI71" i="1" s="1"/>
  <c r="K75" i="5" s="1"/>
  <c r="N75" i="5" s="1"/>
  <c r="AH75" i="1"/>
  <c r="AI75" i="1" s="1"/>
  <c r="K79" i="5" s="1"/>
  <c r="N79" i="5" s="1"/>
  <c r="AH142" i="1"/>
  <c r="AI142" i="1" s="1"/>
  <c r="K146" i="5" s="1"/>
  <c r="N146" i="5" s="1"/>
  <c r="AH158" i="1"/>
  <c r="AI158" i="1" s="1"/>
  <c r="K162" i="5" s="1"/>
  <c r="N162" i="5" s="1"/>
  <c r="AH222" i="1"/>
  <c r="AI222" i="1" s="1"/>
  <c r="K226" i="5" s="1"/>
  <c r="N226" i="5" s="1"/>
  <c r="AH238" i="1"/>
  <c r="AI238" i="1" s="1"/>
  <c r="K242" i="5" s="1"/>
  <c r="N242" i="5" s="1"/>
  <c r="AH23" i="1"/>
  <c r="AI23" i="1" s="1"/>
  <c r="K27" i="5" s="1"/>
  <c r="N27" i="5" s="1"/>
  <c r="AH39" i="1"/>
  <c r="AI39" i="1" s="1"/>
  <c r="K43" i="5" s="1"/>
  <c r="N43" i="5" s="1"/>
  <c r="AH103" i="1"/>
  <c r="AI103" i="1" s="1"/>
  <c r="K107" i="5" s="1"/>
  <c r="N107" i="5" s="1"/>
  <c r="AH107" i="1"/>
  <c r="AI107" i="1" s="1"/>
  <c r="K111" i="5" s="1"/>
  <c r="N111" i="5" s="1"/>
  <c r="AH190" i="1"/>
  <c r="AI190" i="1" s="1"/>
  <c r="K194" i="5" s="1"/>
  <c r="N194" i="5" s="1"/>
  <c r="AH270" i="1"/>
  <c r="AI270" i="1" s="1"/>
  <c r="K274" i="5" s="1"/>
  <c r="N274" i="5" s="1"/>
  <c r="AH230" i="1"/>
  <c r="AI230" i="1" s="1"/>
  <c r="K234" i="5" s="1"/>
  <c r="N234" i="5" s="1"/>
  <c r="AH31" i="1"/>
  <c r="AI31" i="1" s="1"/>
  <c r="K35" i="5" s="1"/>
  <c r="N35" i="5" s="1"/>
  <c r="AH118" i="1"/>
  <c r="AI118" i="1" s="1"/>
  <c r="K122" i="5" s="1"/>
  <c r="N122" i="5" s="1"/>
  <c r="AH182" i="1"/>
  <c r="AI182" i="1" s="1"/>
  <c r="K186" i="5" s="1"/>
  <c r="N186" i="5" s="1"/>
  <c r="AH198" i="1"/>
  <c r="AI198" i="1" s="1"/>
  <c r="K202" i="5" s="1"/>
  <c r="N202" i="5" s="1"/>
  <c r="AH262" i="1"/>
  <c r="AI262" i="1" s="1"/>
  <c r="K266" i="5" s="1"/>
  <c r="N266" i="5" s="1"/>
  <c r="AH278" i="1"/>
  <c r="AI278" i="1" s="1"/>
  <c r="K282" i="5" s="1"/>
  <c r="N282" i="5" s="1"/>
  <c r="AH226" i="1"/>
  <c r="AI226" i="1" s="1"/>
  <c r="K230" i="5" s="1"/>
  <c r="N230" i="5" s="1"/>
  <c r="AH6" i="1"/>
  <c r="AI6" i="1" s="1"/>
  <c r="K10" i="5" s="1"/>
  <c r="N10" i="5" s="1"/>
  <c r="AH91" i="1"/>
  <c r="AI91" i="1" s="1"/>
  <c r="K95" i="5" s="1"/>
  <c r="N95" i="5" s="1"/>
  <c r="AH175" i="1"/>
  <c r="AI175" i="1" s="1"/>
  <c r="K179" i="5" s="1"/>
  <c r="N179" i="5" s="1"/>
  <c r="AB272" i="1" l="1"/>
  <c r="AB42" i="1"/>
  <c r="AB162" i="1"/>
  <c r="AB248" i="1"/>
  <c r="AB202" i="1"/>
  <c r="AB24" i="1"/>
  <c r="AB175" i="1"/>
  <c r="J39" i="5"/>
  <c r="G39" i="5"/>
  <c r="J50" i="5"/>
  <c r="G50" i="5"/>
  <c r="J21" i="5"/>
  <c r="G21" i="5"/>
  <c r="J11" i="5"/>
  <c r="G11" i="5"/>
  <c r="J118" i="5"/>
  <c r="G118" i="5"/>
  <c r="J54" i="5"/>
  <c r="G54" i="5"/>
  <c r="J171" i="5"/>
  <c r="G171" i="5"/>
  <c r="J178" i="5"/>
  <c r="G178" i="5"/>
  <c r="AB51" i="1"/>
  <c r="I55" i="5"/>
  <c r="J319" i="5"/>
  <c r="G319" i="5"/>
  <c r="J218" i="5"/>
  <c r="G218" i="5"/>
  <c r="J8" i="5"/>
  <c r="J7" i="5"/>
  <c r="J130" i="5"/>
  <c r="J256" i="5"/>
  <c r="J111" i="5"/>
  <c r="J243" i="5"/>
  <c r="J295" i="5"/>
  <c r="J10" i="5"/>
  <c r="J230" i="5"/>
  <c r="J264" i="5"/>
  <c r="J291" i="5"/>
  <c r="J266" i="5"/>
  <c r="J263" i="5"/>
  <c r="J228" i="5"/>
  <c r="J37" i="5"/>
  <c r="J172" i="5"/>
  <c r="J15" i="5"/>
  <c r="J46" i="5"/>
  <c r="J166" i="5"/>
  <c r="J206" i="5"/>
  <c r="J70" i="5"/>
  <c r="J14" i="5"/>
  <c r="J31" i="5"/>
  <c r="J282" i="5"/>
  <c r="J227" i="5"/>
  <c r="J60" i="5"/>
  <c r="J202" i="5"/>
  <c r="J43" i="5"/>
  <c r="J140" i="5"/>
  <c r="J83" i="5"/>
  <c r="J123" i="5"/>
  <c r="J252" i="5"/>
  <c r="J52" i="5"/>
  <c r="J19" i="5"/>
  <c r="J294" i="5"/>
  <c r="J219" i="5"/>
  <c r="J88" i="5"/>
  <c r="J102" i="5"/>
  <c r="J72" i="5"/>
  <c r="J322" i="5"/>
  <c r="J226" i="5"/>
  <c r="J276" i="5"/>
  <c r="J55" i="5"/>
  <c r="AB39" i="1"/>
  <c r="AB138" i="1"/>
  <c r="AB198" i="1"/>
  <c r="AB174" i="1"/>
  <c r="AB66" i="1"/>
  <c r="AB50" i="1"/>
  <c r="AB3" i="1"/>
  <c r="AB278" i="1"/>
  <c r="AB35" i="1"/>
  <c r="AB259" i="1"/>
  <c r="AB114" i="1"/>
  <c r="AB79" i="1"/>
  <c r="AB4" i="1"/>
  <c r="AB298" i="1"/>
  <c r="AB46" i="1"/>
  <c r="AB239" i="1"/>
  <c r="AB226" i="1"/>
  <c r="AB126" i="1"/>
  <c r="AB7" i="1"/>
  <c r="AB168" i="1"/>
  <c r="AB315" i="1"/>
  <c r="AB318" i="1"/>
  <c r="AB48" i="1"/>
  <c r="AB223" i="1"/>
  <c r="AB291" i="1"/>
  <c r="AB167" i="1"/>
  <c r="AB17" i="1"/>
  <c r="AB215" i="1"/>
  <c r="AB214" i="1"/>
  <c r="AB262" i="1"/>
  <c r="AB136" i="1"/>
  <c r="AB56" i="1"/>
  <c r="AB33" i="1"/>
  <c r="H20" i="3" l="1"/>
  <c r="F20" i="3"/>
  <c r="I19" i="3"/>
  <c r="H19" i="3"/>
  <c r="F19" i="3"/>
  <c r="P91" i="1" s="1"/>
  <c r="AA91" i="1" s="1"/>
  <c r="I95" i="5" s="1"/>
  <c r="I18" i="3"/>
  <c r="H18" i="3"/>
  <c r="F18" i="3"/>
  <c r="I17" i="3"/>
  <c r="H17" i="3"/>
  <c r="F17" i="3"/>
  <c r="I16" i="3"/>
  <c r="H16" i="3"/>
  <c r="F16" i="3"/>
  <c r="I15" i="3"/>
  <c r="H15" i="3"/>
  <c r="F15" i="3"/>
  <c r="AB91" i="1" l="1"/>
  <c r="J95" i="5"/>
  <c r="P149" i="1"/>
  <c r="AA149" i="1" s="1"/>
  <c r="I153" i="5" s="1"/>
  <c r="P156" i="1"/>
  <c r="AA156" i="1" s="1"/>
  <c r="I160" i="5" s="1"/>
  <c r="P124" i="1"/>
  <c r="AA124" i="1" s="1"/>
  <c r="I128" i="5" s="1"/>
  <c r="P22" i="1"/>
  <c r="AA22" i="1" s="1"/>
  <c r="I26" i="5" s="1"/>
  <c r="P321" i="1"/>
  <c r="AA321" i="1" s="1"/>
  <c r="I325" i="5" s="1"/>
  <c r="P264" i="1"/>
  <c r="AA264" i="1" s="1"/>
  <c r="I268" i="5" s="1"/>
  <c r="P303" i="1"/>
  <c r="AA303" i="1" s="1"/>
  <c r="I307" i="5" s="1"/>
  <c r="P78" i="1"/>
  <c r="AA78" i="1" s="1"/>
  <c r="I82" i="5" s="1"/>
  <c r="P166" i="1"/>
  <c r="AA166" i="1" s="1"/>
  <c r="I170" i="5" s="1"/>
  <c r="P69" i="1"/>
  <c r="AA69" i="1" s="1"/>
  <c r="I73" i="5" s="1"/>
  <c r="P104" i="1"/>
  <c r="AA104" i="1" s="1"/>
  <c r="I108" i="5" s="1"/>
  <c r="P110" i="1"/>
  <c r="AA110" i="1" s="1"/>
  <c r="I114" i="5" s="1"/>
  <c r="P177" i="1"/>
  <c r="AA177" i="1" s="1"/>
  <c r="I181" i="5" s="1"/>
  <c r="P125" i="1"/>
  <c r="AA125" i="1" s="1"/>
  <c r="I129" i="5" s="1"/>
  <c r="P29" i="1"/>
  <c r="AA29" i="1" s="1"/>
  <c r="P146" i="1"/>
  <c r="AA146" i="1" s="1"/>
  <c r="I150" i="5" s="1"/>
  <c r="P218" i="1"/>
  <c r="AA218" i="1" s="1"/>
  <c r="I222" i="5" s="1"/>
  <c r="P210" i="1"/>
  <c r="AA210" i="1" s="1"/>
  <c r="I214" i="5" s="1"/>
  <c r="P118" i="1"/>
  <c r="AA118" i="1" s="1"/>
  <c r="I122" i="5" s="1"/>
  <c r="P254" i="1"/>
  <c r="AA254" i="1" s="1"/>
  <c r="I258" i="5" s="1"/>
  <c r="P83" i="1"/>
  <c r="AA83" i="1" s="1"/>
  <c r="I87" i="5" s="1"/>
  <c r="P242" i="1"/>
  <c r="AA242" i="1" s="1"/>
  <c r="I246" i="5" s="1"/>
  <c r="P137" i="1"/>
  <c r="AA137" i="1" s="1"/>
  <c r="I141" i="5" s="1"/>
  <c r="P257" i="1"/>
  <c r="AA257" i="1" s="1"/>
  <c r="I261" i="5" s="1"/>
  <c r="P105" i="1"/>
  <c r="AA105" i="1" s="1"/>
  <c r="I109" i="5" s="1"/>
  <c r="P200" i="1"/>
  <c r="AA200" i="1" s="1"/>
  <c r="I204" i="5" s="1"/>
  <c r="P325" i="1"/>
  <c r="AA325" i="1" s="1"/>
  <c r="P77" i="1"/>
  <c r="AA77" i="1" s="1"/>
  <c r="I81" i="5" s="1"/>
  <c r="P76" i="1"/>
  <c r="AA76" i="1" s="1"/>
  <c r="I80" i="5" s="1"/>
  <c r="P28" i="1"/>
  <c r="AA28" i="1" s="1"/>
  <c r="I32" i="5" s="1"/>
  <c r="P8" i="1"/>
  <c r="AA8" i="1" s="1"/>
  <c r="I12" i="5" s="1"/>
  <c r="P54" i="1"/>
  <c r="AA54" i="1" s="1"/>
  <c r="I58" i="5" s="1"/>
  <c r="P14" i="1"/>
  <c r="AA14" i="1" s="1"/>
  <c r="I18" i="5" s="1"/>
  <c r="P326" i="1"/>
  <c r="AA326" i="1" s="1"/>
  <c r="P319" i="1"/>
  <c r="AA319" i="1" s="1"/>
  <c r="I323" i="5" s="1"/>
  <c r="P192" i="1"/>
  <c r="AA192" i="1" s="1"/>
  <c r="I196" i="5" s="1"/>
  <c r="P185" i="1"/>
  <c r="AA185" i="1" s="1"/>
  <c r="I189" i="5" s="1"/>
  <c r="P112" i="1"/>
  <c r="AA112" i="1" s="1"/>
  <c r="I116" i="5" s="1"/>
  <c r="P295" i="1"/>
  <c r="AA295" i="1" s="1"/>
  <c r="I299" i="5" s="1"/>
  <c r="P144" i="1"/>
  <c r="AA144" i="1" s="1"/>
  <c r="I148" i="5" s="1"/>
  <c r="P38" i="1"/>
  <c r="AA38" i="1" s="1"/>
  <c r="I42" i="5" s="1"/>
  <c r="P153" i="1"/>
  <c r="AA153" i="1" s="1"/>
  <c r="I157" i="5" s="1"/>
  <c r="P317" i="1"/>
  <c r="AA317" i="1" s="1"/>
  <c r="I321" i="5" s="1"/>
  <c r="P313" i="1"/>
  <c r="AA313" i="1" s="1"/>
  <c r="I317" i="5" s="1"/>
  <c r="P277" i="1"/>
  <c r="AA277" i="1" s="1"/>
  <c r="I281" i="5" s="1"/>
  <c r="P142" i="1"/>
  <c r="AA142" i="1" s="1"/>
  <c r="I146" i="5" s="1"/>
  <c r="P180" i="1"/>
  <c r="AA180" i="1" s="1"/>
  <c r="I184" i="5" s="1"/>
  <c r="P93" i="1"/>
  <c r="AA93" i="1" s="1"/>
  <c r="I97" i="5" s="1"/>
  <c r="P292" i="1"/>
  <c r="AA292" i="1" s="1"/>
  <c r="I296" i="5" s="1"/>
  <c r="P228" i="1"/>
  <c r="AA228" i="1" s="1"/>
  <c r="I232" i="5" s="1"/>
  <c r="P217" i="1"/>
  <c r="AA217" i="1" s="1"/>
  <c r="I221" i="5" s="1"/>
  <c r="P320" i="1"/>
  <c r="AA320" i="1" s="1"/>
  <c r="I324" i="5" s="1"/>
  <c r="P311" i="1"/>
  <c r="AA311" i="1" s="1"/>
  <c r="I315" i="5" s="1"/>
  <c r="P183" i="1"/>
  <c r="AA183" i="1" s="1"/>
  <c r="I187" i="5" s="1"/>
  <c r="P31" i="1"/>
  <c r="AA31" i="1" s="1"/>
  <c r="I35" i="5" s="1"/>
  <c r="P88" i="1"/>
  <c r="AA88" i="1" s="1"/>
  <c r="I92" i="5" s="1"/>
  <c r="P171" i="1"/>
  <c r="AA171" i="1" s="1"/>
  <c r="I175" i="5" s="1"/>
  <c r="P266" i="1"/>
  <c r="AA266" i="1" s="1"/>
  <c r="I270" i="5" s="1"/>
  <c r="P19" i="1"/>
  <c r="AA19" i="1" s="1"/>
  <c r="I23" i="5" s="1"/>
  <c r="P155" i="1"/>
  <c r="P250" i="1"/>
  <c r="AA250" i="1" s="1"/>
  <c r="I254" i="5" s="1"/>
  <c r="P67" i="1"/>
  <c r="AA67" i="1" s="1"/>
  <c r="I71" i="5" s="1"/>
  <c r="P195" i="1"/>
  <c r="AA195" i="1" s="1"/>
  <c r="I199" i="5" s="1"/>
  <c r="P275" i="1"/>
  <c r="AA275" i="1" s="1"/>
  <c r="I279" i="5" s="1"/>
  <c r="P307" i="1"/>
  <c r="AA307" i="1" s="1"/>
  <c r="P271" i="1"/>
  <c r="AA271" i="1" s="1"/>
  <c r="I275" i="5" s="1"/>
  <c r="P306" i="1"/>
  <c r="AA306" i="1" s="1"/>
  <c r="I310" i="5" s="1"/>
  <c r="P122" i="1"/>
  <c r="AA122" i="1" s="1"/>
  <c r="I126" i="5" s="1"/>
  <c r="P163" i="1"/>
  <c r="AA163" i="1" s="1"/>
  <c r="I167" i="5" s="1"/>
  <c r="P322" i="1"/>
  <c r="AA322" i="1" s="1"/>
  <c r="I326" i="5" s="1"/>
  <c r="P73" i="1"/>
  <c r="AA73" i="1" s="1"/>
  <c r="I77" i="5" s="1"/>
  <c r="P188" i="1"/>
  <c r="AA188" i="1" s="1"/>
  <c r="I192" i="5" s="1"/>
  <c r="P305" i="1"/>
  <c r="AA305" i="1" s="1"/>
  <c r="I309" i="5" s="1"/>
  <c r="P236" i="1"/>
  <c r="AA236" i="1" s="1"/>
  <c r="I240" i="5" s="1"/>
  <c r="P109" i="1"/>
  <c r="AA109" i="1" s="1"/>
  <c r="I113" i="5" s="1"/>
  <c r="P133" i="1"/>
  <c r="AA133" i="1" s="1"/>
  <c r="I137" i="5" s="1"/>
  <c r="P101" i="1"/>
  <c r="AA101" i="1" s="1"/>
  <c r="I105" i="5" s="1"/>
  <c r="P148" i="1"/>
  <c r="AA148" i="1" s="1"/>
  <c r="I152" i="5" s="1"/>
  <c r="P100" i="1"/>
  <c r="AA100" i="1" s="1"/>
  <c r="I104" i="5" s="1"/>
  <c r="P64" i="1"/>
  <c r="AA64" i="1" s="1"/>
  <c r="I68" i="5" s="1"/>
  <c r="P20" i="1"/>
  <c r="AA20" i="1" s="1"/>
  <c r="I24" i="5" s="1"/>
  <c r="P207" i="1"/>
  <c r="AA207" i="1" s="1"/>
  <c r="I211" i="5" s="1"/>
  <c r="P206" i="1"/>
  <c r="P96" i="1"/>
  <c r="AA96" i="1" s="1"/>
  <c r="P191" i="1"/>
  <c r="AA191" i="1" s="1"/>
  <c r="I195" i="5" s="1"/>
  <c r="P249" i="1"/>
  <c r="AA249" i="1" s="1"/>
  <c r="I253" i="5" s="1"/>
  <c r="P189" i="1"/>
  <c r="AA189" i="1" s="1"/>
  <c r="I193" i="5" s="1"/>
  <c r="P37" i="1"/>
  <c r="AA37" i="1" s="1"/>
  <c r="I41" i="5" s="1"/>
  <c r="P5" i="1"/>
  <c r="AA5" i="1" s="1"/>
  <c r="I9" i="5" s="1"/>
  <c r="P220" i="1"/>
  <c r="P213" i="1"/>
  <c r="AA213" i="1" s="1"/>
  <c r="I217" i="5" s="1"/>
  <c r="P161" i="1"/>
  <c r="AA161" i="1" s="1"/>
  <c r="I165" i="5" s="1"/>
  <c r="P21" i="1"/>
  <c r="AA21" i="1" s="1"/>
  <c r="I25" i="5" s="1"/>
  <c r="P208" i="1"/>
  <c r="AA208" i="1" s="1"/>
  <c r="I212" i="5" s="1"/>
  <c r="P301" i="1"/>
  <c r="P241" i="1"/>
  <c r="AA241" i="1" s="1"/>
  <c r="I245" i="5" s="1"/>
  <c r="P229" i="1"/>
  <c r="AA229" i="1" s="1"/>
  <c r="I233" i="5" s="1"/>
  <c r="P145" i="1"/>
  <c r="AA145" i="1" s="1"/>
  <c r="I149" i="5" s="1"/>
  <c r="P113" i="1"/>
  <c r="AA113" i="1" s="1"/>
  <c r="I117" i="5" s="1"/>
  <c r="P65" i="1"/>
  <c r="AA65" i="1" s="1"/>
  <c r="I69" i="5" s="1"/>
  <c r="P308" i="1"/>
  <c r="AA308" i="1" s="1"/>
  <c r="I312" i="5" s="1"/>
  <c r="P284" i="1"/>
  <c r="AA284" i="1" s="1"/>
  <c r="I288" i="5" s="1"/>
  <c r="P244" i="1"/>
  <c r="AA244" i="1" s="1"/>
  <c r="I248" i="5" s="1"/>
  <c r="P231" i="1"/>
  <c r="AA231" i="1" s="1"/>
  <c r="I235" i="5" s="1"/>
  <c r="P199" i="1"/>
  <c r="AA199" i="1" s="1"/>
  <c r="I203" i="5" s="1"/>
  <c r="P63" i="1"/>
  <c r="AA63" i="1" s="1"/>
  <c r="I67" i="5" s="1"/>
  <c r="P47" i="1"/>
  <c r="AA47" i="1" s="1"/>
  <c r="P302" i="1"/>
  <c r="AA302" i="1" s="1"/>
  <c r="I306" i="5" s="1"/>
  <c r="P16" i="1"/>
  <c r="P85" i="1"/>
  <c r="P49" i="1"/>
  <c r="AA49" i="1" s="1"/>
  <c r="I53" i="5" s="1"/>
  <c r="P13" i="1"/>
  <c r="AA13" i="1" s="1"/>
  <c r="P324" i="1"/>
  <c r="AA324" i="1" s="1"/>
  <c r="P276" i="1"/>
  <c r="AA276" i="1" s="1"/>
  <c r="I280" i="5" s="1"/>
  <c r="P196" i="1"/>
  <c r="AA196" i="1" s="1"/>
  <c r="I200" i="5" s="1"/>
  <c r="P172" i="1"/>
  <c r="AA172" i="1" s="1"/>
  <c r="I176" i="5" s="1"/>
  <c r="P269" i="1"/>
  <c r="AA269" i="1" s="1"/>
  <c r="I273" i="5" s="1"/>
  <c r="P233" i="1"/>
  <c r="AA233" i="1" s="1"/>
  <c r="I237" i="5" s="1"/>
  <c r="P216" i="1"/>
  <c r="AA216" i="1" s="1"/>
  <c r="I220" i="5" s="1"/>
  <c r="P253" i="1"/>
  <c r="P157" i="1"/>
  <c r="P256" i="1"/>
  <c r="AA256" i="1" s="1"/>
  <c r="I260" i="5" s="1"/>
  <c r="P140" i="1"/>
  <c r="AA140" i="1" s="1"/>
  <c r="I144" i="5" s="1"/>
  <c r="P132" i="1"/>
  <c r="AA132" i="1" s="1"/>
  <c r="P128" i="1"/>
  <c r="AA128" i="1" s="1"/>
  <c r="I132" i="5" s="1"/>
  <c r="P92" i="1"/>
  <c r="AA92" i="1" s="1"/>
  <c r="I96" i="5" s="1"/>
  <c r="P108" i="1"/>
  <c r="AA108" i="1" s="1"/>
  <c r="I112" i="5" s="1"/>
  <c r="P102" i="1"/>
  <c r="AA102" i="1" s="1"/>
  <c r="P182" i="1"/>
  <c r="AA182" i="1" s="1"/>
  <c r="I186" i="5" s="1"/>
  <c r="P158" i="1"/>
  <c r="AA158" i="1" s="1"/>
  <c r="I162" i="5" s="1"/>
  <c r="P86" i="1"/>
  <c r="P152" i="1"/>
  <c r="AA152" i="1" s="1"/>
  <c r="I156" i="5" s="1"/>
  <c r="P255" i="1"/>
  <c r="P261" i="1"/>
  <c r="AA261" i="1" s="1"/>
  <c r="I265" i="5" s="1"/>
  <c r="P97" i="1"/>
  <c r="AA97" i="1" s="1"/>
  <c r="I101" i="5" s="1"/>
  <c r="P25" i="1"/>
  <c r="AA25" i="1" s="1"/>
  <c r="I29" i="5" s="1"/>
  <c r="P240" i="1"/>
  <c r="AA240" i="1" s="1"/>
  <c r="I244" i="5" s="1"/>
  <c r="P176" i="1"/>
  <c r="P329" i="1"/>
  <c r="AA329" i="1" s="1"/>
  <c r="P281" i="1"/>
  <c r="AA281" i="1" s="1"/>
  <c r="I285" i="5" s="1"/>
  <c r="P316" i="1"/>
  <c r="AA316" i="1" s="1"/>
  <c r="I320" i="5" s="1"/>
  <c r="P184" i="1"/>
  <c r="AA184" i="1" s="1"/>
  <c r="I188" i="5" s="1"/>
  <c r="P309" i="1"/>
  <c r="AA309" i="1" s="1"/>
  <c r="I313" i="5" s="1"/>
  <c r="P289" i="1"/>
  <c r="AA289" i="1" s="1"/>
  <c r="I293" i="5" s="1"/>
  <c r="P193" i="1"/>
  <c r="AA193" i="1" s="1"/>
  <c r="I197" i="5" s="1"/>
  <c r="P121" i="1"/>
  <c r="AA121" i="1" s="1"/>
  <c r="P89" i="1"/>
  <c r="AA89" i="1" s="1"/>
  <c r="I93" i="5" s="1"/>
  <c r="P245" i="1"/>
  <c r="AA245" i="1" s="1"/>
  <c r="I249" i="5" s="1"/>
  <c r="P296" i="1"/>
  <c r="AA296" i="1" s="1"/>
  <c r="I300" i="5" s="1"/>
  <c r="P9" i="1"/>
  <c r="AA9" i="1" s="1"/>
  <c r="I13" i="5" s="1"/>
  <c r="P120" i="1"/>
  <c r="AA120" i="1" s="1"/>
  <c r="I124" i="5" s="1"/>
  <c r="P52" i="1"/>
  <c r="AA52" i="1" s="1"/>
  <c r="I56" i="5" s="1"/>
  <c r="P36" i="1"/>
  <c r="AA36" i="1" s="1"/>
  <c r="I40" i="5" s="1"/>
  <c r="P80" i="1"/>
  <c r="AA80" i="1" s="1"/>
  <c r="I84" i="5" s="1"/>
  <c r="P279" i="1"/>
  <c r="AA279" i="1" s="1"/>
  <c r="I283" i="5" s="1"/>
  <c r="P247" i="1"/>
  <c r="P151" i="1"/>
  <c r="AA151" i="1" s="1"/>
  <c r="I155" i="5" s="1"/>
  <c r="P135" i="1"/>
  <c r="AA135" i="1" s="1"/>
  <c r="I139" i="5" s="1"/>
  <c r="P103" i="1"/>
  <c r="AA103" i="1" s="1"/>
  <c r="I107" i="5" s="1"/>
  <c r="P71" i="1"/>
  <c r="AA71" i="1" s="1"/>
  <c r="I75" i="5" s="1"/>
  <c r="P230" i="1"/>
  <c r="AA230" i="1" s="1"/>
  <c r="I234" i="5" s="1"/>
  <c r="P70" i="1"/>
  <c r="AA70" i="1" s="1"/>
  <c r="I74" i="5" s="1"/>
  <c r="P2" i="1"/>
  <c r="AA2" i="1" s="1"/>
  <c r="P238" i="1"/>
  <c r="AA238" i="1" s="1"/>
  <c r="I242" i="5" s="1"/>
  <c r="P72" i="1"/>
  <c r="AA72" i="1" s="1"/>
  <c r="I76" i="5" s="1"/>
  <c r="P90" i="1"/>
  <c r="P234" i="1"/>
  <c r="AA234" i="1" s="1"/>
  <c r="I238" i="5" s="1"/>
  <c r="P187" i="1"/>
  <c r="P59" i="1"/>
  <c r="P274" i="1"/>
  <c r="AA274" i="1" s="1"/>
  <c r="I278" i="5" s="1"/>
  <c r="P62" i="1"/>
  <c r="AA62" i="1" s="1"/>
  <c r="I66" i="5" s="1"/>
  <c r="P286" i="1"/>
  <c r="AA286" i="1" s="1"/>
  <c r="P227" i="1"/>
  <c r="AA227" i="1" s="1"/>
  <c r="I231" i="5" s="1"/>
  <c r="P194" i="1"/>
  <c r="AA194" i="1" s="1"/>
  <c r="I198" i="5" s="1"/>
  <c r="P32" i="1"/>
  <c r="AA32" i="1" s="1"/>
  <c r="I36" i="5" s="1"/>
  <c r="P106" i="1"/>
  <c r="P219" i="1"/>
  <c r="AA219" i="1" s="1"/>
  <c r="I223" i="5" s="1"/>
  <c r="P314" i="1"/>
  <c r="AA314" i="1" s="1"/>
  <c r="I318" i="5" s="1"/>
  <c r="P186" i="1"/>
  <c r="AA186" i="1" s="1"/>
  <c r="I190" i="5" s="1"/>
  <c r="P190" i="1"/>
  <c r="AA190" i="1" s="1"/>
  <c r="P130" i="1"/>
  <c r="P58" i="1"/>
  <c r="AA58" i="1" s="1"/>
  <c r="I62" i="5" s="1"/>
  <c r="P34" i="1"/>
  <c r="P74" i="1"/>
  <c r="AA74" i="1" s="1"/>
  <c r="I78" i="5" s="1"/>
  <c r="P123" i="1"/>
  <c r="AA123" i="1" s="1"/>
  <c r="I127" i="5" s="1"/>
  <c r="P147" i="1"/>
  <c r="AA147" i="1" s="1"/>
  <c r="I151" i="5" s="1"/>
  <c r="P179" i="1"/>
  <c r="AA179" i="1" s="1"/>
  <c r="I183" i="5" s="1"/>
  <c r="P267" i="1"/>
  <c r="AA267" i="1" s="1"/>
  <c r="I271" i="5" s="1"/>
  <c r="P178" i="1"/>
  <c r="AA178" i="1" s="1"/>
  <c r="I182" i="5" s="1"/>
  <c r="P134" i="1"/>
  <c r="AA134" i="1" s="1"/>
  <c r="I138" i="5" s="1"/>
  <c r="P18" i="1"/>
  <c r="P99" i="1"/>
  <c r="AA99" i="1" s="1"/>
  <c r="I103" i="5" s="1"/>
  <c r="P115" i="1"/>
  <c r="AA115" i="1" s="1"/>
  <c r="I119" i="5" s="1"/>
  <c r="P131" i="1"/>
  <c r="AA131" i="1" s="1"/>
  <c r="I135" i="5" s="1"/>
  <c r="P211" i="1"/>
  <c r="AA211" i="1" s="1"/>
  <c r="I215" i="5" s="1"/>
  <c r="P258" i="1"/>
  <c r="AA258" i="1" s="1"/>
  <c r="I262" i="5" s="1"/>
  <c r="P243" i="1"/>
  <c r="AA243" i="1" s="1"/>
  <c r="I247" i="5" s="1"/>
  <c r="P150" i="1"/>
  <c r="P285" i="1"/>
  <c r="AA285" i="1" s="1"/>
  <c r="P40" i="1"/>
  <c r="AA40" i="1" s="1"/>
  <c r="I44" i="5" s="1"/>
  <c r="P327" i="1"/>
  <c r="P127" i="1"/>
  <c r="AA127" i="1" s="1"/>
  <c r="I131" i="5" s="1"/>
  <c r="P160" i="1"/>
  <c r="AA160" i="1" s="1"/>
  <c r="I164" i="5" s="1"/>
  <c r="P270" i="1"/>
  <c r="AA270" i="1" s="1"/>
  <c r="I274" i="5" s="1"/>
  <c r="P268" i="1"/>
  <c r="AA268" i="1" s="1"/>
  <c r="I272" i="5" s="1"/>
  <c r="P251" i="1"/>
  <c r="AA251" i="1" s="1"/>
  <c r="I255" i="5" s="1"/>
  <c r="P94" i="1"/>
  <c r="AA94" i="1" s="1"/>
  <c r="I98" i="5" s="1"/>
  <c r="P282" i="1"/>
  <c r="AA282" i="1" s="1"/>
  <c r="I286" i="5" s="1"/>
  <c r="AB243" i="1" l="1"/>
  <c r="J247" i="5"/>
  <c r="AB123" i="1"/>
  <c r="J127" i="5"/>
  <c r="AB59" i="1"/>
  <c r="J63" i="5"/>
  <c r="AB151" i="1"/>
  <c r="J155" i="5"/>
  <c r="AB193" i="1"/>
  <c r="J197" i="5"/>
  <c r="AB255" i="1"/>
  <c r="J259" i="5"/>
  <c r="AB269" i="1"/>
  <c r="J273" i="5"/>
  <c r="AB229" i="1"/>
  <c r="J233" i="5"/>
  <c r="AB191" i="1"/>
  <c r="J195" i="5"/>
  <c r="AB305" i="1"/>
  <c r="J309" i="5"/>
  <c r="AB250" i="1"/>
  <c r="J254" i="5"/>
  <c r="AB292" i="1"/>
  <c r="J296" i="5"/>
  <c r="AB185" i="1"/>
  <c r="J189" i="5"/>
  <c r="AB105" i="1"/>
  <c r="J109" i="5"/>
  <c r="AB177" i="1"/>
  <c r="J181" i="5"/>
  <c r="AB149" i="1"/>
  <c r="J153" i="5"/>
  <c r="AB282" i="1"/>
  <c r="J286" i="5"/>
  <c r="AB270" i="1"/>
  <c r="J274" i="5"/>
  <c r="AB40" i="1"/>
  <c r="J44" i="5"/>
  <c r="AB258" i="1"/>
  <c r="J262" i="5"/>
  <c r="AB99" i="1"/>
  <c r="J103" i="5"/>
  <c r="AB267" i="1"/>
  <c r="J271" i="5"/>
  <c r="AB74" i="1"/>
  <c r="J78" i="5"/>
  <c r="AB190" i="1"/>
  <c r="AB286" i="1"/>
  <c r="AB238" i="1"/>
  <c r="J242" i="5"/>
  <c r="AB71" i="1"/>
  <c r="J75" i="5"/>
  <c r="AB52" i="1"/>
  <c r="J56" i="5"/>
  <c r="AB245" i="1"/>
  <c r="J249" i="5"/>
  <c r="AB289" i="1"/>
  <c r="J293" i="5"/>
  <c r="AB281" i="1"/>
  <c r="J285" i="5"/>
  <c r="AB25" i="1"/>
  <c r="J29" i="5"/>
  <c r="AB152" i="1"/>
  <c r="J156" i="5"/>
  <c r="AB102" i="1"/>
  <c r="AB132" i="1"/>
  <c r="AB172" i="1"/>
  <c r="J176" i="5"/>
  <c r="AB13" i="1"/>
  <c r="AB302" i="1"/>
  <c r="J306" i="5"/>
  <c r="AB231" i="1"/>
  <c r="J235" i="5"/>
  <c r="AB65" i="1"/>
  <c r="J69" i="5"/>
  <c r="AB241" i="1"/>
  <c r="J245" i="5"/>
  <c r="AB161" i="1"/>
  <c r="J165" i="5"/>
  <c r="AB37" i="1"/>
  <c r="J41" i="5"/>
  <c r="AB96" i="1"/>
  <c r="AB64" i="1"/>
  <c r="J68" i="5"/>
  <c r="AB133" i="1"/>
  <c r="J137" i="5"/>
  <c r="AB188" i="1"/>
  <c r="J192" i="5"/>
  <c r="AB122" i="1"/>
  <c r="J126" i="5"/>
  <c r="AB275" i="1"/>
  <c r="J279" i="5"/>
  <c r="AB88" i="1"/>
  <c r="J92" i="5"/>
  <c r="AB320" i="1"/>
  <c r="J324" i="5"/>
  <c r="AB93" i="1"/>
  <c r="J97" i="5"/>
  <c r="AB313" i="1"/>
  <c r="J317" i="5"/>
  <c r="AB144" i="1"/>
  <c r="J148" i="5"/>
  <c r="AB192" i="1"/>
  <c r="J196" i="5"/>
  <c r="AB54" i="1"/>
  <c r="J58" i="5"/>
  <c r="AB77" i="1"/>
  <c r="J81" i="5"/>
  <c r="AB257" i="1"/>
  <c r="J261" i="5"/>
  <c r="AB254" i="1"/>
  <c r="J258" i="5"/>
  <c r="AB146" i="1"/>
  <c r="J150" i="5"/>
  <c r="AB110" i="1"/>
  <c r="J114" i="5"/>
  <c r="AB78" i="1"/>
  <c r="J82" i="5"/>
  <c r="AB22" i="1"/>
  <c r="J26" i="5"/>
  <c r="AB178" i="1"/>
  <c r="J182" i="5"/>
  <c r="AB227" i="1"/>
  <c r="J231" i="5"/>
  <c r="AB230" i="1"/>
  <c r="J234" i="5"/>
  <c r="AB296" i="1"/>
  <c r="J300" i="5"/>
  <c r="AB240" i="1"/>
  <c r="J244" i="5"/>
  <c r="AB128" i="1"/>
  <c r="J132" i="5"/>
  <c r="AB199" i="1"/>
  <c r="J203" i="5"/>
  <c r="AB5" i="1"/>
  <c r="J9" i="5"/>
  <c r="AB101" i="1"/>
  <c r="J105" i="5"/>
  <c r="AB307" i="1"/>
  <c r="AB311" i="1"/>
  <c r="J315" i="5"/>
  <c r="AB38" i="1"/>
  <c r="J42" i="5"/>
  <c r="AB76" i="1"/>
  <c r="J80" i="5"/>
  <c r="AB218" i="1"/>
  <c r="J222" i="5"/>
  <c r="AB321" i="1"/>
  <c r="J325" i="5"/>
  <c r="AB94" i="1"/>
  <c r="J98" i="5"/>
  <c r="AB160" i="1"/>
  <c r="J164" i="5"/>
  <c r="AB285" i="1"/>
  <c r="AB211" i="1"/>
  <c r="J215" i="5"/>
  <c r="AB179" i="1"/>
  <c r="J183" i="5"/>
  <c r="AB34" i="1"/>
  <c r="AB186" i="1"/>
  <c r="J190" i="5"/>
  <c r="AB32" i="1"/>
  <c r="J36" i="5"/>
  <c r="AB62" i="1"/>
  <c r="J66" i="5"/>
  <c r="AB234" i="1"/>
  <c r="J238" i="5"/>
  <c r="AB103" i="1"/>
  <c r="J107" i="5"/>
  <c r="AB279" i="1"/>
  <c r="J283" i="5"/>
  <c r="AB120" i="1"/>
  <c r="J124" i="5"/>
  <c r="AB89" i="1"/>
  <c r="J93" i="5"/>
  <c r="AB309" i="1"/>
  <c r="J313" i="5"/>
  <c r="AB329" i="1"/>
  <c r="I333" i="5"/>
  <c r="J333" i="5" s="1"/>
  <c r="AB97" i="1"/>
  <c r="J101" i="5"/>
  <c r="AB86" i="1"/>
  <c r="AB108" i="1"/>
  <c r="J112" i="5"/>
  <c r="AB140" i="1"/>
  <c r="J144" i="5"/>
  <c r="AB216" i="1"/>
  <c r="J220" i="5"/>
  <c r="AB196" i="1"/>
  <c r="J200" i="5"/>
  <c r="AB49" i="1"/>
  <c r="J53" i="5"/>
  <c r="AB47" i="1"/>
  <c r="AB244" i="1"/>
  <c r="J248" i="5"/>
  <c r="AB113" i="1"/>
  <c r="J117" i="5"/>
  <c r="AB213" i="1"/>
  <c r="J217" i="5"/>
  <c r="AB189" i="1"/>
  <c r="J193" i="5"/>
  <c r="AB206" i="1"/>
  <c r="AB100" i="1"/>
  <c r="J104" i="5"/>
  <c r="AB109" i="1"/>
  <c r="J113" i="5"/>
  <c r="AB73" i="1"/>
  <c r="J77" i="5"/>
  <c r="AB306" i="1"/>
  <c r="J310" i="5"/>
  <c r="AB195" i="1"/>
  <c r="J199" i="5"/>
  <c r="AB19" i="1"/>
  <c r="J23" i="5"/>
  <c r="AB31" i="1"/>
  <c r="J35" i="5"/>
  <c r="AB217" i="1"/>
  <c r="J221" i="5"/>
  <c r="AB180" i="1"/>
  <c r="J184" i="5"/>
  <c r="AB317" i="1"/>
  <c r="J321" i="5"/>
  <c r="AB295" i="1"/>
  <c r="J299" i="5"/>
  <c r="AB319" i="1"/>
  <c r="J323" i="5"/>
  <c r="AB8" i="1"/>
  <c r="J12" i="5"/>
  <c r="AB325" i="1"/>
  <c r="I329" i="5"/>
  <c r="J329" i="5" s="1"/>
  <c r="AB137" i="1"/>
  <c r="J141" i="5"/>
  <c r="AB118" i="1"/>
  <c r="J122" i="5"/>
  <c r="AB29" i="1"/>
  <c r="AB104" i="1"/>
  <c r="J108" i="5"/>
  <c r="AB303" i="1"/>
  <c r="J307" i="5"/>
  <c r="AB124" i="1"/>
  <c r="J128" i="5"/>
  <c r="AB268" i="1"/>
  <c r="J272" i="5"/>
  <c r="AB115" i="1"/>
  <c r="J119" i="5"/>
  <c r="AB219" i="1"/>
  <c r="J223" i="5"/>
  <c r="AB72" i="1"/>
  <c r="J76" i="5"/>
  <c r="AB36" i="1"/>
  <c r="J40" i="5"/>
  <c r="AB316" i="1"/>
  <c r="J320" i="5"/>
  <c r="AB182" i="1"/>
  <c r="J186" i="5"/>
  <c r="AB324" i="1"/>
  <c r="I328" i="5"/>
  <c r="J328" i="5" s="1"/>
  <c r="AB308" i="1"/>
  <c r="J312" i="5"/>
  <c r="AB21" i="1"/>
  <c r="J25" i="5"/>
  <c r="AB20" i="1"/>
  <c r="J24" i="5"/>
  <c r="AB163" i="1"/>
  <c r="J167" i="5"/>
  <c r="AB171" i="1"/>
  <c r="J175" i="5"/>
  <c r="AB277" i="1"/>
  <c r="J281" i="5"/>
  <c r="AB14" i="1"/>
  <c r="J18" i="5"/>
  <c r="AB83" i="1"/>
  <c r="J87" i="5"/>
  <c r="AB166" i="1"/>
  <c r="J170" i="5"/>
  <c r="AB251" i="1"/>
  <c r="J255" i="5"/>
  <c r="AB127" i="1"/>
  <c r="J131" i="5"/>
  <c r="AB150" i="1"/>
  <c r="AB131" i="1"/>
  <c r="J135" i="5"/>
  <c r="AB134" i="1"/>
  <c r="J138" i="5"/>
  <c r="AB147" i="1"/>
  <c r="J151" i="5"/>
  <c r="AB58" i="1"/>
  <c r="J62" i="5"/>
  <c r="AB314" i="1"/>
  <c r="J318" i="5"/>
  <c r="AB194" i="1"/>
  <c r="J198" i="5"/>
  <c r="AB274" i="1"/>
  <c r="J278" i="5"/>
  <c r="AB70" i="1"/>
  <c r="J74" i="5"/>
  <c r="AB135" i="1"/>
  <c r="J139" i="5"/>
  <c r="AB80" i="1"/>
  <c r="J84" i="5"/>
  <c r="AB9" i="1"/>
  <c r="J13" i="5"/>
  <c r="AB121" i="1"/>
  <c r="AB184" i="1"/>
  <c r="J188" i="5"/>
  <c r="AB176" i="1"/>
  <c r="AB261" i="1"/>
  <c r="J265" i="5"/>
  <c r="AB158" i="1"/>
  <c r="J162" i="5"/>
  <c r="AB92" i="1"/>
  <c r="J96" i="5"/>
  <c r="AB256" i="1"/>
  <c r="J260" i="5"/>
  <c r="AB233" i="1"/>
  <c r="J237" i="5"/>
  <c r="AB276" i="1"/>
  <c r="J280" i="5"/>
  <c r="AB63" i="1"/>
  <c r="J67" i="5"/>
  <c r="AB284" i="1"/>
  <c r="J288" i="5"/>
  <c r="AB145" i="1"/>
  <c r="J149" i="5"/>
  <c r="AB208" i="1"/>
  <c r="J212" i="5"/>
  <c r="AB249" i="1"/>
  <c r="J253" i="5"/>
  <c r="AB207" i="1"/>
  <c r="J211" i="5"/>
  <c r="AB148" i="1"/>
  <c r="J152" i="5"/>
  <c r="AB236" i="1"/>
  <c r="J240" i="5"/>
  <c r="AB322" i="1"/>
  <c r="J326" i="5"/>
  <c r="AB271" i="1"/>
  <c r="J275" i="5"/>
  <c r="AB67" i="1"/>
  <c r="J71" i="5"/>
  <c r="AB266" i="1"/>
  <c r="J270" i="5"/>
  <c r="AB183" i="1"/>
  <c r="J187" i="5"/>
  <c r="AB228" i="1"/>
  <c r="J232" i="5"/>
  <c r="AB142" i="1"/>
  <c r="J146" i="5"/>
  <c r="AB153" i="1"/>
  <c r="J157" i="5"/>
  <c r="AB112" i="1"/>
  <c r="J116" i="5"/>
  <c r="AB326" i="1"/>
  <c r="I330" i="5"/>
  <c r="J330" i="5" s="1"/>
  <c r="AB28" i="1"/>
  <c r="J32" i="5"/>
  <c r="AB200" i="1"/>
  <c r="J204" i="5"/>
  <c r="AB242" i="1"/>
  <c r="J246" i="5"/>
  <c r="AB210" i="1"/>
  <c r="J214" i="5"/>
  <c r="AB125" i="1"/>
  <c r="J129" i="5"/>
  <c r="AB69" i="1"/>
  <c r="J73" i="5"/>
  <c r="AB264" i="1"/>
  <c r="J268" i="5"/>
  <c r="AB156" i="1"/>
  <c r="J160" i="5"/>
  <c r="AB2" i="1" l="1"/>
</calcChain>
</file>

<file path=xl/sharedStrings.xml><?xml version="1.0" encoding="utf-8"?>
<sst xmlns="http://schemas.openxmlformats.org/spreadsheetml/2006/main" count="2853" uniqueCount="817">
  <si>
    <t>Propuesta</t>
  </si>
  <si>
    <t>Nit</t>
  </si>
  <si>
    <t>Nombre del Oferente</t>
  </si>
  <si>
    <t>Cap Op en Pesos</t>
  </si>
  <si>
    <t>Cap Op en SMMLV</t>
  </si>
  <si>
    <t>Activo Corriente</t>
  </si>
  <si>
    <t>Activo NO Corriente</t>
  </si>
  <si>
    <t>Pasivo Corriente</t>
  </si>
  <si>
    <t>Pasivo NO Corriente</t>
  </si>
  <si>
    <t>Total Pasivo</t>
  </si>
  <si>
    <t>Patrimonio</t>
  </si>
  <si>
    <t>Capacidad para Contratar</t>
  </si>
  <si>
    <t>Observaciones</t>
  </si>
  <si>
    <t>Consolidado General</t>
  </si>
  <si>
    <t>Liquidez
Según Tabla</t>
  </si>
  <si>
    <t>Endeudamiento
Según Tabla</t>
  </si>
  <si>
    <t>Capital de Trabajo
en SMMLV Según Tabla</t>
  </si>
  <si>
    <t>Capital de Trabajo
en $ Según Tabla</t>
  </si>
  <si>
    <t>Liquidez
Oferente</t>
  </si>
  <si>
    <t>Endeudamiento
Oferente</t>
  </si>
  <si>
    <t>Capital de Trabajo
en SMMLV Oferente</t>
  </si>
  <si>
    <t>Capital de Trabajo
Oferente</t>
  </si>
  <si>
    <t>Cumple
Liquidez</t>
  </si>
  <si>
    <t>Cumple
Endeudamiento</t>
  </si>
  <si>
    <t>Cumple
Capital de Trabajo</t>
  </si>
  <si>
    <t>OSERVACIONES</t>
  </si>
  <si>
    <t>FUNDACIÓN CHRISTOGOL</t>
  </si>
  <si>
    <t>El Oferente no aportó:
1. Acta de Asamblea general</t>
  </si>
  <si>
    <t>PRESENTO LOS DOCUMENTOS SOLICITADOS POR ICBF Y CUMPLE CON LA CAPACIDAD FINANCIERA</t>
  </si>
  <si>
    <t>ASOCIACIÓN CULTURAL CASA DEL NIÑO</t>
  </si>
  <si>
    <t>CORPORACIÓN COLOMBIA EN PAZ Y SOCIAL</t>
  </si>
  <si>
    <t>El Oferente se encuentra inscrito en el RUES y no aporta el RUP.</t>
  </si>
  <si>
    <t xml:space="preserve">ASOCIACION DE ESTUDIANTES AFRODESCENDIENTES DE NARIÑO Asoformando - Colombia </t>
  </si>
  <si>
    <t>FUNDACION COLOMBIA FLORECE</t>
  </si>
  <si>
    <t>LA CORPORACION IPS AFROSALUD-COLOMBIA</t>
  </si>
  <si>
    <t>FUNDACION SOCIAL DEL ORIENTE</t>
  </si>
  <si>
    <t>El Oferente aporta RUP donde la información financiera del año 2018 no se encuentra en firme a la fecha de expedición del RUP aportado.</t>
  </si>
  <si>
    <t>FUNDACION AMOR POR MI PUEBLO</t>
  </si>
  <si>
    <t>CORPORACION AMIGOS DE LA TIERRA</t>
  </si>
  <si>
    <t>FUNDACION PARA EL DESARROLLO Y LA RENOVACION SOCIAL</t>
  </si>
  <si>
    <t>FUNDACION PARA EL DESARROLLO DE LAS COMUNIDADES NEGRAS FUNDECOMUNEG</t>
  </si>
  <si>
    <t>De conformidad con la IP-01-2019, el Oferente no aportó los documentos requeridos para la verificación de requisitos habilitantes financieros 2018.</t>
  </si>
  <si>
    <t>FUNDACION SAN JORGE EN ACCION</t>
  </si>
  <si>
    <t>El Oferente presentó  el Dictamen y los Estados financieros firmados por el mismo profesional que para el caso asume el rol de Revisor Fiscal y Contador, conforme a la Ley 222 de 1995 articulos 37 y 38 un profesional no debe desempeñar los dos cargos a la vez.</t>
  </si>
  <si>
    <t>FUNDACION CASA DEL NIÑO IPS</t>
  </si>
  <si>
    <t>FUNDACION ZENUES TRENZANDO FUTURO -FUNDACION SOCIAL PARA EL DESARROLLO INTEGRAL COMUNITARIO</t>
  </si>
  <si>
    <t>FUNDACION ACHEDOS O Y PAZ</t>
  </si>
  <si>
    <t>El Oferente no aportó:
1. Estados financieros comparativos 2017/2018
2. Acta de Asamblea general
Adicional: 
- El certificado de la junta central de contadores del Contador se encuentra vencido.</t>
  </si>
  <si>
    <t>FUNDACION SOCIAL SALEM</t>
  </si>
  <si>
    <t>FUNDACION PARA EL DESARROLLO DE LA CUENTA DEL PACIFICO COLOMBIANO FUNDECUPAC</t>
  </si>
  <si>
    <t>El Oferente no aportó:
1. Estados financieros comparativos 2017/2018
Adicional: 
- Presentó estados financieros 2017 y 2018 por seprado, donde la información es igual para los dos años.</t>
  </si>
  <si>
    <t>UNIVERSIDAD DEL QUINDIO</t>
  </si>
  <si>
    <t>FUNDACION SOCIAL Y CULTURAL SAN ANTONIO DE PADUA</t>
  </si>
  <si>
    <t>ASOCIACION POPULAR DE MUJERES DEL CESAR A.P.M.C.</t>
  </si>
  <si>
    <t>FUNDACION DE ATENCIÓN A LA NIÑEZ FAN</t>
  </si>
  <si>
    <t xml:space="preserve"> El Oferente aporta RUP donde la información financiera del año 2018 no se encuentra en firme a la fecha de expedición del RUP aportado.</t>
  </si>
  <si>
    <t>CORPORACIÓN COLOMBIANA AVANZA</t>
  </si>
  <si>
    <t>El indicador de endeudamiento, acorde a la información financiera aportada, es de 0.768 , valor superior al solicitado en la invitación pública.</t>
  </si>
  <si>
    <t>CORPORACION IMPULSANDO MI PAÍS</t>
  </si>
  <si>
    <t>El Oferente cumplio con los requisitos habilitantes financieros, evaluación pendiente por asignar presupuesto de capacidad técnica para otorgar capacidad operativa financiera.</t>
  </si>
  <si>
    <t>FUNDACIÓN PARA EL DESARROLLO AMBIENTAL Y SOCIOECONÓMICO DE LAS ECOREGIONES COLOMBIANAS - FUNDASEC</t>
  </si>
  <si>
    <t>ASOCIACION NAZARENO</t>
  </si>
  <si>
    <t>El indicador de capital de trabajo, acorde a la información financiera aportada, es de 8.8 ($7.315.071), valor inferior al solicitado en la invitación pública.</t>
  </si>
  <si>
    <t>FUNDACIÓN INTEGRAL CREAR FUTURO</t>
  </si>
  <si>
    <t>FUNDACIÓN LLEVANT EN MARXA POR LOS NIÑOS MARGINADOS CONSTRUCTORES DE PAZ</t>
  </si>
  <si>
    <t>FUNDACION HOGAR JUVENIL</t>
  </si>
  <si>
    <t>ASOCIACIÓN DE PADRES DE FAMILIA CONSTRUYENDO FUTURO PARA LA VIDA - CONFUVI</t>
  </si>
  <si>
    <t xml:space="preserve">  El Oferente no aportó:
1. Acta de Asamblea general
3. Dictamen ó ESTATUTOS
4. Certificado de la Junta central de contadores del Revisor Fiscal
5. Tarjeta profesional del Revisor fiscal.
Adicionalmente, el estado de situación financiera no cumple con la ecuación patrimonial.</t>
  </si>
  <si>
    <t>FUNDACION INTEGRAL PARA EL DESARROLLO HUMANO Y SOCIAL</t>
  </si>
  <si>
    <t>ASOCIACIÓN MISIÓN INDÍGENA ZENU</t>
  </si>
  <si>
    <t xml:space="preserve"> El Oferente no aportó:
1. Acta de Asamblea general
3. Dictamen ó ESTATUTOS
4. Certificado de la Junta central de contadores del Revisor Fiscal
5. Tarjeta profesional del Revisor fiscal.
Adicionalmente, el estado de flujo de efectivo allegado no esta de manera comparativa 2017/2018.</t>
  </si>
  <si>
    <t>CORPORACIÓN MULTIACTIVA PARA LA INVERSIÓN SOCIAL EN LA REPUBLICA DE COLOMBIA COMUINSO</t>
  </si>
  <si>
    <t>ASOCIACION DE AFRODESCENDIENTES DEL CARIBE COLOMBIANO - AFROCARIBE</t>
  </si>
  <si>
    <t xml:space="preserve">El Oferente no aportó:
1. Estado de flujo de efectivo comparativo 2017/2018
2. Certificación de los estados financieros 
3. Acta de Asamblea genera
4. Dictamen 
</t>
  </si>
  <si>
    <t>FUNDACIÓN UN MUNDO SIN FRONTERAS</t>
  </si>
  <si>
    <t>FUNDACIÓN CAMINOS DEL FUTURO</t>
  </si>
  <si>
    <t>FUNDACIÓN CRISTIANA LAZOS DE AMOR</t>
  </si>
  <si>
    <t xml:space="preserve"> El Oferente no aportó:
1. Estado de flujo de efectivo comparativo 2017/2018
2. Acta de Asamblea general con aprobación de estados financieros.</t>
  </si>
  <si>
    <t>CORPORACIÓN SEDECOM</t>
  </si>
  <si>
    <t>FUNDACIÓN SUREMEDI IPS</t>
  </si>
  <si>
    <t>FUNDACIÓN EMSSANAR</t>
  </si>
  <si>
    <t>FUNDACIÓN PACIFICO DEL CAUCA</t>
  </si>
  <si>
    <t xml:space="preserve"> De conformidad con la IP-01-2019, el Oferente no aportó los documentos requeridos para la verificación de requsitos habilitantes financieros 2018.</t>
  </si>
  <si>
    <t>FUNDACIÓN PARA LA CAPACITACIÓN EN SALUD Y LOS ESTUDIOS DEL MEDIO AMBIENTE FESSALUD</t>
  </si>
  <si>
    <t xml:space="preserve"> </t>
  </si>
  <si>
    <t>FUNDACION PARA LA ATENCION DE LOS NIÑOS DESPLAZADOS POR LA VIOLENCIA</t>
  </si>
  <si>
    <t>CON LOS ESTADOS FINANCIEROS SE ASIGNO UN NUEVO RANGO  DEBIDO A QUE LA CAPACIDAD FINANCIERA NO SE AJUSTO A LA CAPACIDAD TECNICA OTORGADA.</t>
  </si>
  <si>
    <t>FUNDACIÓN PARA EL DESARROLLO SOCIAL ECONÓMICA Y AMBIENTAL DE HATO NUEVO FUNDESAHT</t>
  </si>
  <si>
    <t>De conformidad con la IP-01-2019, el Oferente no aportó los documentos requeridos para la verificación de requsitos habilitantes financieros 2018.</t>
  </si>
  <si>
    <t>CORPORACIÓN PIEDRALIPE - CORPOPIEDRALIPE</t>
  </si>
  <si>
    <t>CORPORACIÓN NUEVA GRANADA</t>
  </si>
  <si>
    <t>PRESENTO LOS DOCUMENTOS SOLICITADOS POR ICBF Y NO CUMPLE CON LA CAPACIDAD FINANCIERA</t>
  </si>
  <si>
    <t>FUNDACIÓN A LA RUEDA RUEDA DE PAN Y CANELA</t>
  </si>
  <si>
    <t>El Oferente no aportó:
1. Acta de Asamblea general
2. Notas de los estados financieros
3. Dictamen o ESTATUTOS
4.Tarjeta profesional del Contador 
5. Certificado de la Junta central de contadores del Contador.
Es de anotar que  la Fundación de acuerdo a los Estatutos esta obligada a tener Revisor Fiscal.</t>
  </si>
  <si>
    <t>CORPORACIÓN COLEGIO TRIGAL D NORTE CORCOLTRINOR</t>
  </si>
  <si>
    <t>CORPORACIÓN COLOMBIA VERDE</t>
  </si>
  <si>
    <t>FUNDACIÓN HARRY´S</t>
  </si>
  <si>
    <t>FUNDACIÓN POTENCIAL HUMANO</t>
  </si>
  <si>
    <t>FUNDACIÓN TALENTOS DEL PACIFICO</t>
  </si>
  <si>
    <t>ASOCIACIÓN FORJANDO FUTURO PARA TODOS</t>
  </si>
  <si>
    <t>El Oferente no aportó:
1. Acta de Asamblea general.
 Adicional, las notas a los estados financieros no estan de manera comparativa 2017/2018.</t>
  </si>
  <si>
    <t>CRUZ ROJA COLOMBIANA SECCIONAL CUNDINAMARCA Y BOGOTA</t>
  </si>
  <si>
    <t>FUNDACIÓN SOCIAL SAN SEBASTIAN</t>
  </si>
  <si>
    <t>ASOCIACIÓN DE TRABAJADORES SOCIALES POR UN PACIFICO EN PAZ</t>
  </si>
  <si>
    <t>FUNDACIÓN DE COOPERACIÓN INVESTIGACIÓN PARA EL DESARROLLO ECONOMICO Y SOCIOCULTURAL COLOMBIANO</t>
  </si>
  <si>
    <t>FUNDACIÓN REHABILITACIÓN INTEGRAL</t>
  </si>
  <si>
    <t>FUNDACIÓN AMERICANA DE MUJERES NEGRAS CHANGAINA DE COMUNIDADES NEGRAS PALENQUE-COLOMBIA-MINGA-CESAR</t>
  </si>
  <si>
    <t>El Oferente no aportó:
1. Acta de Asamblea general
2. Dictamen ó  ESTATUTOS.
4. Certificado de la Junta central de contadores del Revisor Fiscal
5. Tarjeta profesional del Revisor fiscal,
Adicional, El estado de situación financiera no cumple con la ecuación patrimonial</t>
  </si>
  <si>
    <t>FUNDACIÓN HUELLITAS DEL MUNDO</t>
  </si>
  <si>
    <t>El Oferente no aportó:
1. Estado de cambios en el Patrimonio comparativo 2017/2018
2. Estado de flujo de efectivo comparativo 2017/2018
3. Acta de Asamblea general.
Adicional, 
- Los estados financieros no se encuentran de manera comparativa 2017/2018.- Los Certificados de la Junta central de contadores del Contador y Revisor Fiscal se encuentran vencidos.
- El certificado y el Dictamen contienen fecha de expedición inferior a la fecha de corte de los estados financieros certificados y dictaminados.</t>
  </si>
  <si>
    <t>CORPORACIÓN PROMOTORA SOCIAL</t>
  </si>
  <si>
    <t>FUNDACIÓN AGUA PARA TODOS</t>
  </si>
  <si>
    <t>FUNDACION MARIA DE LOS ANGELES</t>
  </si>
  <si>
    <t>CORPORACIÓN SERVICIOS INTEGRALES DEL NORTE AMIGO</t>
  </si>
  <si>
    <t>CORPORACIÓN LUIS EDUARDO NIETO ARTETA</t>
  </si>
  <si>
    <t>FUNDACIÓN DESPERTAR SOLIDARIO</t>
  </si>
  <si>
    <t>CORPORACION UNIDA POR EL DESARROLLO</t>
  </si>
  <si>
    <t>ASOCIACION AFROCOLOMBIANA PARA EL FOMENTO DE HABITOS DE VIDA SALUDABLE</t>
  </si>
  <si>
    <t>FUNDACION DESARROLLO Y VIDA</t>
  </si>
  <si>
    <t>FUNDACION ESPERANZA Y VIDA</t>
  </si>
  <si>
    <t>EL oferente no aportó acta de asamblea aprobación estados financieros.</t>
  </si>
  <si>
    <t>FUNDACION POSITIVOS POR LA VIDA</t>
  </si>
  <si>
    <t>FUNDACIÓN PARA EL DESARROLLO SOCIAL INTEGRAL FUNPRODESI</t>
  </si>
  <si>
    <t>ASOCIACIÓN MUTUAL AVANZAR</t>
  </si>
  <si>
    <t>FUNDACIÓN PARA EL DESARROLLO Y FOMENTO DEL BIENESTAR SOCIAL FUNDENID</t>
  </si>
  <si>
    <t>FUNDACIÓN KANIRA</t>
  </si>
  <si>
    <t>CORPORACIÓN PIÑÓN DE OREJA</t>
  </si>
  <si>
    <t>FUNDACION DEPORTIVA PAIZ PACIFICO</t>
  </si>
  <si>
    <t>FUNDACION GIMNACIO MODERNO DEL CAUCA</t>
  </si>
  <si>
    <t>ALIANZA PARA EL DESARROLLO AMBIENTAL,SOCIAL Y ECONOMICO SOSTENIBLE CORPOADASES</t>
  </si>
  <si>
    <t>FUNDACION JEDIAEL</t>
  </si>
  <si>
    <t>FUNDACIÓN PARA EL DESARROLLO INTEGRAL DE LA CUENCA DEL PACIFICO</t>
  </si>
  <si>
    <t>FUNDACIÓN LICEO COMERCIAL CUIDAD DE EL BORDO</t>
  </si>
  <si>
    <t>PARROQUIA SAN FRANCISCO DE ASIS</t>
  </si>
  <si>
    <t>CLUB DE LEONES IPIALES</t>
  </si>
  <si>
    <t>El Oferente no aportó:
1. Acta de Asamblea general donde se aprueban los estados financieros</t>
  </si>
  <si>
    <t>FUNDACIÓN LUZ Y ESPERANZA</t>
  </si>
  <si>
    <t>VICARIATO APOSTÓLICO DE INÍRIDA</t>
  </si>
  <si>
    <t>ASOCIACIÓN DE MUJERES E INFANCIA</t>
  </si>
  <si>
    <t>FUNDACIÓN HIJOS DE LA SIERRA FLOR</t>
  </si>
  <si>
    <t>FUNDACION ESPERANZA AMOR Y VIDA</t>
  </si>
  <si>
    <t>FUNDACIÓN ASOCIACIÓN CREANDO FUTURO ASOCREF</t>
  </si>
  <si>
    <t>CORPORACIÓN JÓVENES Y MAÑANA</t>
  </si>
  <si>
    <t>CORPORACIÓN PARA EL FOMENTO SOCIAL DE COLOMBIA</t>
  </si>
  <si>
    <t>FUNDACIÓN CHOCO SOCIAL</t>
  </si>
  <si>
    <t>FUNDACION CREATING SMILES</t>
  </si>
  <si>
    <t>De conformidad con la IP-01-2019, el Oferente no aportó los documentos requeridos para la verificación de requsitos habilitantes financieros 2018.
Adicionalmente, aporta estados financieros sin firma.</t>
  </si>
  <si>
    <t>FUNDACION AMIGOS DEL PROGRESO</t>
  </si>
  <si>
    <t>El Oferente no aportó:
1.El certificado de la junta central del Revisor Fiscal.</t>
  </si>
  <si>
    <t>FUNDACIÓN LABRIEGOS POR LA PAZ</t>
  </si>
  <si>
    <t>FUNDACIÓN PARA LA GESTIÓN DE PROYECTOS INTEGRALES EN CÓRDOBA</t>
  </si>
  <si>
    <t>FUNDACIÓN CONSTRUYENDO TEJIDO SOCIAL</t>
  </si>
  <si>
    <t>FUNDACIÓN TIEMPO DE JUEGO</t>
  </si>
  <si>
    <t>FUNDACION SOCIAL QUERUBINES</t>
  </si>
  <si>
    <t>FUNDACIÓN NAWEN</t>
  </si>
  <si>
    <t xml:space="preserve"> El Oferente no aportó:
1. Certificación de los estados financieros 
2. Acta de Asamblea general
Adicionalmente, el estado de flujo de efectivo allegado no esta de manera comparativa 2017/2018.</t>
  </si>
  <si>
    <t>FUNDACIÓN BIEN ESTAR</t>
  </si>
  <si>
    <t xml:space="preserve">  El Oferente aporto estado de flujo de efectivo no  comparativo 2017/2018.</t>
  </si>
  <si>
    <t>CORPORACIÓN DE PROFESIONALES PARA EL DESARROLLO INTEGRAL COMUNITARIO - CORPRODINCO</t>
  </si>
  <si>
    <t>FUNDACIÓN SOCIAL AMOR Y VIDA</t>
  </si>
  <si>
    <t>FUNDACIÓN COLOMBIANA CON SEGURIDAD ALIMENTARIA Y NUTRICIONAL - FUCOSAN</t>
  </si>
  <si>
    <t>El Oferente no aportó: 
1. Estadois financieros firmados por el revisor fiscal</t>
  </si>
  <si>
    <t>FUNDACIÓN TIEMPO FELIZ</t>
  </si>
  <si>
    <t>FUNDACIÓN EQUIDAD</t>
  </si>
  <si>
    <t>FUNDACIÓN PARA EL DESARROLLO SOCIAL Y AGROAMBIENTAL DEL CHOCO</t>
  </si>
  <si>
    <t>El Oferente no aportó: 
1. Acta de aprobación de estados financieros</t>
  </si>
  <si>
    <t>ASOCIACIÓN MUJER Y GENERO</t>
  </si>
  <si>
    <t>FUNDACIÓN CASA HOGAR NUESTROS SUEÑOS DEL BARRIO EL REPOSO</t>
  </si>
  <si>
    <t>CORPORACIÓN INTEGRAL DE INNOVACIÓN SOCIAL INNOVAR</t>
  </si>
  <si>
    <t>FUNDACIÓN COLOMBIA HUMANITARIA PARA EL DESARROLLO SOSTENIBLE DE LA COSTA CARIBE - FUCDESCOC</t>
  </si>
  <si>
    <t xml:space="preserve">La informacion financiera reportada en el RUP aportado por el oferente, no estraba en firme  a la expedicion del RUP  </t>
  </si>
  <si>
    <t>CORPORACIÓN LA NUEVA COLOMBIA</t>
  </si>
  <si>
    <t>FUNDACIÓN EDUCATIVA PARA EL DESARROLLO DE CARTAGENA Y REGIÓN CARIBE - FUNDERCAR</t>
  </si>
  <si>
    <t>FUNDACIÓN EDUCATIVA Y SOCIAL - FUNDESOL</t>
  </si>
  <si>
    <t>El Oferente no aportó: 
1. Estados financieros en forma comparativa ni completos. No reporta: 
*Estado de flujos de efectivo,
*Estado de cambios en el patrimonio. 
Adicionalmente, no hay concordancia entre las fechas de corte enunciada en los encabezados y la descripción de las columnas</t>
  </si>
  <si>
    <t>FUNDACIÓN PARA EDUCACIÓN Y SALUD - FUNDAEDSA</t>
  </si>
  <si>
    <t>El oferente está inscrito en el el  RUES y no aporta el certificado  RUP</t>
  </si>
  <si>
    <t>CORPORACIÓN PARA LA INVESTIGACIÓN Y DESARROLLO DE LA DEMOCRACIA - CIDEMOS</t>
  </si>
  <si>
    <t>FUNDACIÓN COMPARTIR PARA EL DESARROLLO INTEGRAL DE LA INFANCIA, NIÑEZ, ADOLESCENCIA Y FAMILIA – FUNDACOMPARTIR</t>
  </si>
  <si>
    <t>El Oferente no aportó: 
1. Estadois financieros firmados por el revisor fiscal
 En el estado de Situacion financiera la ecuacion patrimonial no se cumple</t>
  </si>
  <si>
    <t>FUNDACIÓN SOCIAL CRECIENDO</t>
  </si>
  <si>
    <t>PASTORAL SOCIAL</t>
  </si>
  <si>
    <t>El Oferente no aportó: 
1. Acta de aprobación de estados financieros.  
En el estado de situacion financiera. la ecuacion patrimonial no se cumple,</t>
  </si>
  <si>
    <t>FUNDACIÓN CÍRCULO DE OBREOS DE SAN PEDRO CLAVER</t>
  </si>
  <si>
    <t>FUNDACION TUCRECER</t>
  </si>
  <si>
    <t>ASOCIACIÓN DE CULTIVADORES DE CAÑA DE AZUCAR DE COLOMBIA ASOCAÑA</t>
  </si>
  <si>
    <t>ASOCIACION PROFESIONALES DE COLOMBIA</t>
  </si>
  <si>
    <t>FUNDACION GUAJIRA NACIENTE</t>
  </si>
  <si>
    <t>El Oferente se encuentra inscrito en el RUES y no aporta el RUP</t>
  </si>
  <si>
    <t>PRESENCIA COLOMBO SUIZA</t>
  </si>
  <si>
    <t>FUNDACIÓN CRUZADA SOCIAL</t>
  </si>
  <si>
    <t>ASOCIACION DE PADRES DE FAMILIA DEL RESTAURANTE ESCOLAR CATUMARE Y SUSSEDES</t>
  </si>
  <si>
    <t>El Oferente no aportó:
1. Acta de Asamblea general
2. Certificado de los estados financieros
3. Dictamen ó ESTATUTOS
4. Certificado de la Junta central de contadores del Revisor Fiscal
5. Tarjeta profesional del Revisor fiscal. 
Adicional el Estado de flujo de efectivo no esta de manera comparativa 2017/2018</t>
  </si>
  <si>
    <t>FUNDACIÓN ASOCIACIÓN PARA EL FOMENTO Y DESARROLLO SOCIAL</t>
  </si>
  <si>
    <t>El certificado de la Junta central de contadores del Revisor Fiscal se encuentra vencido, además el Dictamen no se encuentra firmado por el Revisor Fiscal.</t>
  </si>
  <si>
    <t>FUNDACION PARA EL DESARROLLO SOSTENIBLE DE LA FAMILIA</t>
  </si>
  <si>
    <t>CORPORACIÓN VIDA</t>
  </si>
  <si>
    <t>HOGAR JUVENIL CAMPESINO SUCRE</t>
  </si>
  <si>
    <t>FUNDACIÓN JERA</t>
  </si>
  <si>
    <t>ASOCIACIÓN JUVENIL VISIÓN FUTURA</t>
  </si>
  <si>
    <t>FUNDACIÓN PARA EL CAMBIO SOCIAL DE MERCADERES FUNDASCAMER</t>
  </si>
  <si>
    <t>FUNDACION PARA EL DESARROLLO DE LA POBLACION CON NECESIDADES EDUCATIVAS ESPECIALES DEL DEPARTAMENTO DE SUCRE</t>
  </si>
  <si>
    <t>UNIVERSIDAD DEL MAGDALENA</t>
  </si>
  <si>
    <t>FUNDACIÓN NUESTRO AMAZONAS</t>
  </si>
  <si>
    <t>El Oferente no aportó:
1. Acta de Asamblea general 
2.Dictamen ó ESTATUTOS
3. Certificado de la Junta central de contadores del Revisor Fiscal
4. Tarjeta profesional del Revisor fiscal,</t>
  </si>
  <si>
    <t>FUNDACIÓN AFECTO</t>
  </si>
  <si>
    <t>FUNDACIÓN PARA EL DESARROLLO Y EL CAMBIO</t>
  </si>
  <si>
    <t>CENTRO DE DESARROLLO COMUTARIO VERSALLES</t>
  </si>
  <si>
    <t>ASOCIACION POR LA INFANCIA Y EL DESARROLLO SOCIAL - INFADES</t>
  </si>
  <si>
    <t>FUNDACION PARA LA ORIENTACION FAMILIAR</t>
  </si>
  <si>
    <t>El Oferente no aportó:
El Rup en firme</t>
  </si>
  <si>
    <t>ASOCIACION AGRO PORVENIR DEL PACIFICO</t>
  </si>
  <si>
    <t>Se adjuntó el acta de la aprobación de los estados financieros pero no se firmó.</t>
  </si>
  <si>
    <t>CORPORACION CONSTRUYAMOS FUTURO METETE EN EL CUENTO.</t>
  </si>
  <si>
    <t>FUNDACION POLITECNICO LATINOAMERICANO DEL NORTE</t>
  </si>
  <si>
    <t>ASOCIACION AGROIMPULSO DEL CHOCÓ</t>
  </si>
  <si>
    <t>MUJERES GESTORAS COMUNITARIAS DE LOS MONTES DE MARIA</t>
  </si>
  <si>
    <t>FUNDACION DE SERVICIO SOCIAL "FUSERVISOC"</t>
  </si>
  <si>
    <t>CORPORACION PROPULSORA DE EMPRESAS DEL NORTE DE SANTANDER.</t>
  </si>
  <si>
    <t>El Oferente no aportó:
1. No aporta el acta de asamblea general.</t>
  </si>
  <si>
    <t>CORPORACION AGROEMPRESARIAL DE LOS LLANOS CORPOLLANOS</t>
  </si>
  <si>
    <t>CONSORCIO (N/A)</t>
  </si>
  <si>
    <t>CONSORCIO PROSPERAR SOCIAL - CREINDE</t>
  </si>
  <si>
    <t>No se evalua la propuesta del oferente porque el proceso no es para consorcio.</t>
  </si>
  <si>
    <t>CORPORACION CASA AMAZONIA</t>
  </si>
  <si>
    <t>El Oferente no aportó:
1. No aporta estado de situación financiera completo. 2, No aportó acta de asamblea general.</t>
  </si>
  <si>
    <t>ASOCIACIÓN DE PROFESIONALES EN PROGRAMA DE PROMOCION Y PREVENCIÓN PARA LA SALUD LA EDUCACIÓN LA FAMILIA Y LA COMUNIDAD APSEFACOM.</t>
  </si>
  <si>
    <t>FUNDACION PARA EL DESARROLLO INTEGRAL DEL SER HUMANO EN LAS DIFERENTES ETAPAS DEL CICLO VITAL DEL SER HUMANO.</t>
  </si>
  <si>
    <t>El oferente no aportó estados financieros firmados por el contador, está firmado por el RL y el RF. N2- no aportó acta de asamblea.</t>
  </si>
  <si>
    <t>CORPORACION LATINA</t>
  </si>
  <si>
    <t>FUNDACION PARA EL DESARROLLO SOCIAL INTEGRAL DE LA COMUNIDAD</t>
  </si>
  <si>
    <t>FUNDACION PARA EL PROGRESO DE LA ORINOQUIA</t>
  </si>
  <si>
    <t>DIOCESIS ISTMINA TADO</t>
  </si>
  <si>
    <t>Acta de aprobacion de los estados financieros firmados por el presidente y el secretario.</t>
  </si>
  <si>
    <t>FUNDACIÓN SOÑANDO POR UNA ESPERANZA</t>
  </si>
  <si>
    <t>CORPORACIÓN ESPIRITU SANTO</t>
  </si>
  <si>
    <t>CONSORCIO FAVANSO</t>
  </si>
  <si>
    <t>El oferente no es objeto de verificación documental ya que en la invitación publica no permite los consorcios y uniones temporales</t>
  </si>
  <si>
    <t>FUNDACIÓN JARDINES LIMUNOSOS</t>
  </si>
  <si>
    <t>CAJA DE COMPENSACIÓN FAMILIAR DEL NORTE DE SANTANDER</t>
  </si>
  <si>
    <t>CORPORACIÓN COMUNITARIA PARA EL DESARROLLO DE LAS FAMILIAS Y COMUNIDADES DEL DEPARTAMENTO DEL MAGDALENA</t>
  </si>
  <si>
    <t>FUNDACIÓN PARA EL DESARROLLO INTEGRAL DE LA NIÑEZ JESUS DE LA BUENA ESPERANZA</t>
  </si>
  <si>
    <t>FUNDACIÓN SEMILLAS DE VIDA PARA COLOMBIA FUSEVIDA</t>
  </si>
  <si>
    <t>FUNDACIÓN PARA LA EDUCACIÓN INTEGRAL JESUS MESERICORDIOSO</t>
  </si>
  <si>
    <t>FUNDACIÓN PARA EL DESARROLLO Y BIENESTAR SOCIAL</t>
  </si>
  <si>
    <t>CORPORACIÓN COMUNIDAD INTELIGENTE</t>
  </si>
  <si>
    <t>FUNDACIÓN LAS GOLONDRINAS</t>
  </si>
  <si>
    <t>ASOCIACIÓN DE PROFESIONALES PARA EL DESARROLLO EMPRESARIAL Y SOCIAL DE LA REGIÓN CARIIBE</t>
  </si>
  <si>
    <t>FUNDACION AMBIENTAL PRO VIDA</t>
  </si>
  <si>
    <t>ASOCIACION PARA EL DESARROLLO INTEGRAL DE LA POBLACION AFRODESCENDIENTE COLOMBIANA</t>
  </si>
  <si>
    <t>CORPORACION UNIVERSITARIA AUTONOMA DEL CAUCA</t>
  </si>
  <si>
    <t>CORPORACION MULTIACTIVA REVIVE TU ESPERANZA</t>
  </si>
  <si>
    <t>FUNDACIÓN PAZCIFICO VIVE</t>
  </si>
  <si>
    <t>CORPORACION SOCIOCULTURAL DE AFRODECENDIENTE ATAOLE</t>
  </si>
  <si>
    <t>ASOCIACIÓN SEMBRADORES DE ESPERANZA</t>
  </si>
  <si>
    <t>Asociación Campo Verde del Chocó</t>
  </si>
  <si>
    <t>Fundación Conciencia Social - FUCOSO</t>
  </si>
  <si>
    <t>Corporación para el Desarrollo etnocultural-Educar-</t>
  </si>
  <si>
    <t>FUNDACIÓN PICACHOS</t>
  </si>
  <si>
    <t>FUNDACIÓN PACTOS</t>
  </si>
  <si>
    <t>FUNDACIÓN ALAS A LA LIBERTAD</t>
  </si>
  <si>
    <t>El Oferente no aportó: 
1. Estadois financieros firmados por el revisor fiscal. 
 2. Acta de aprobacion de estados financieros</t>
  </si>
  <si>
    <t>FUNDACION REDEZ</t>
  </si>
  <si>
    <t>El Oferente no aportó: 
1. Acta de aprobacion de estados financieros</t>
  </si>
  <si>
    <t>FUNDACION EL SEMBRADOR “SEMILLA PARA EL FUTURO”</t>
  </si>
  <si>
    <t>FUNDACIÓN KUSKALLA</t>
  </si>
  <si>
    <t>El Oferente no aportó: 
1. Estadois financieros firmados por el revisor fiscal
2. Acta de aprocacion de estados financieros
3. Dictamen del revisor fiscal
4.Tarjeta profsional del revisirr fiscal
5.Certificado de antecedentes del Revisor Fiscal
(La obligaciuon de tener revisor fiscal está contemplada en Los Estatutos a Folio 52)</t>
  </si>
  <si>
    <t>FUNDACION PARA EL DESARROLLO INTEGRAL DE LA MUJER Y LA NIÑEZ - FUNDIMUR</t>
  </si>
  <si>
    <t xml:space="preserve">La informacion financiera reportada en el RUP aportado por el oferente, no estaba en firme  a la expedicion del RUP  </t>
  </si>
  <si>
    <t>FUNDACIÓN DE SERVICIOS PARA EL PROGRESO ACTIVO Y LA EQUIDAD SOCIAL</t>
  </si>
  <si>
    <t>FUNDACOBA</t>
  </si>
  <si>
    <t>FUNDACION CONSTRUYENDO FELICIDAD</t>
  </si>
  <si>
    <t xml:space="preserve">El Oferente no aportó: 
1. Estado de flujo de efectivo comparativo. 
2. Acta de aprobación de estados financieros. </t>
  </si>
  <si>
    <t>FUNDACIÓN JOVENES TRABAJANDO POR EL BIENESTAR DEL DARIEN - FUNJOTRABIUN</t>
  </si>
  <si>
    <t xml:space="preserve">Los estados financieros y el dictamen aportados por el oferente no  conforme con el  marco técnico normativo vigente en Colombia,
</t>
  </si>
  <si>
    <t>FUNDACION ESPECIALIZADA PARA LA PRIMERA INFANCIA, NIÑEZ, JUVENTUD Y FAMILIA</t>
  </si>
  <si>
    <t>FUNDACION FLUIR</t>
  </si>
  <si>
    <t>El Oferente no aportó: 
1. Estados financieros en forma comparativa.
Adicionalmente, en el estdos de situación financiera de 2018 aportado  no cuadra la ecuacion patrimonial,</t>
  </si>
  <si>
    <t>FUNDACION MUJER SIGLO XXI</t>
  </si>
  <si>
    <t>El Oferente cumplió con los requisitos habilitantes financieros, evaluación pendiente por asignar presupuesto de capacidad técnica para otorgar capacidad operativa financiera.</t>
  </si>
  <si>
    <t>FUNDACION JESUS DIVINO PROTECTOR - GEDIPRO</t>
  </si>
  <si>
    <t>ASOCIACION MUNDOS HERMANOS ONG</t>
  </si>
  <si>
    <t>FUNDACION PROYECTAR DE LA COSTA SONRISAS DE LOS NIÑOS</t>
  </si>
  <si>
    <t>CORPORACION PARA LA FORMACION DIVULGACION Y EDUCACION EN LA FE</t>
  </si>
  <si>
    <t xml:space="preserve">
El Oferente no aportó:
1. Estaddo de fujo comparativo 2017/2018 .
2, Certificado de los estados financieros. 
3.Fotocopia de la tarjeta del Contador.
4. Certificado de la Junta central de contadores del Contador
5, Acta Asamblea general con aprobación de estados financieros.</t>
  </si>
  <si>
    <t>FUNDACION FRATERNIDAD</t>
  </si>
  <si>
    <t>CORPORACION NUTRICION SALUD Y BIENESTAR NSB DE COLOMBIA</t>
  </si>
  <si>
    <t>FUNDACION SOCIAL Y AGROAMBIENTAL DEL CHOCO LEIZA</t>
  </si>
  <si>
    <t xml:space="preserve">El Oferente no aportó:
1, Certificado de los estados financieros.   
2, Acta Asamblea general con aprobación de estados financieros.
3.Fotocopia de la tarjeta del Contador.
4. Certificado de la Junta central de contadores del Contador
</t>
  </si>
  <si>
    <t>FUNDACION PARA EDUCACION Y DESARROLLO SOCIAL FEDESS</t>
  </si>
  <si>
    <t>FUNDACION SIN BARRERA</t>
  </si>
  <si>
    <t>FUNDACION SAN JUAN BOSCO</t>
  </si>
  <si>
    <t xml:space="preserve"> 
El Oferente no aportó:
1. Estaddo de fujo comparativo 2017/2018.
2. Estado de cambio en el patrimonio comparativo 2017/2018.</t>
  </si>
  <si>
    <t>FUNDACION BIOPSICOSOCIAL JESUCRISTO REBAÑO DE PAZ</t>
  </si>
  <si>
    <t>CORPORACION ALBERTO ARANGO RESTREPO CEDER</t>
  </si>
  <si>
    <t>FUNDACION EL LIRIO DE LOS VALLES</t>
  </si>
  <si>
    <t>ALLEGAR LOS ESTADOS FINANCIEROS, CONFORME LO ESTABLECE EN EL NUMERAL 1 DEL TÍTULO II ASPECTOS FINANCIEROS DE LA INVITACIÓN PUBLICA INVITACIÓN PÚBLICA PARA LA CONFORMACIÓN DEL BANCO NACIONAL DE OFERENTES NO. IP-001-2019:
ACTA DE ASAMBLEA DEL MÁXIMO ÓRGANO ADMINISTRATIVO, DONDE SE APRUEBAN LOS ESTADOS FINANCIEROS DEFINITIVOS</t>
  </si>
  <si>
    <t>FUNDACIÓN CENTRO DE APOYO A LA NIÑEZ DESPLAZADA Y VULNERABLE LO LOGRE</t>
  </si>
  <si>
    <t>El oferente no aportó:
1. Acta de Asamblea general con aprobación de estados financieros.
2. Dictamen (De acuerdo al articulo 47 de los Estatutos, la Fundación establece el cargo  de Revisor Fiscal)
4. Certificado de la Junta central de contadores del Revisor Fiscal
5. Tarjeta profesional del Revisor fiscal,
Adicionalmente, se encontraron las siguientes inconsistencias:
1. El estado de cambios en el patrimonio no lo presentan de manera comparativa 2017/2018,
2: El estado de flujo de efectivo no lo presentan de manera comparativa 2017/2018.
3. Las notas a los estados financieros no se presentan de forma comparativa 2017 /2018,
4. El Dictamen y los Estados financieros están  firmados por el mismo profesional que para el caso asume el rol de Revisor Fiscal y Contador, conforme a la Ley 222 de 1995 articulos 37 y 38 un profesional no debe desempeñar los dos cargos a la vez.
5. El estado de situación financiera del año 2017 presenta incosistencias en la suma del patrimonio, en consecuencia el Estado de cambios en el Patrimonio varia en la suma y siendo acumulativo se debe reflejar la difirencia en el año 2018.
6. Al realizar la sumatoria de las partidas que conforman el activo no es igual a la transcrita en el estado de situación financiera para el año 2018.</t>
  </si>
  <si>
    <t>FUNDACIÓN SOCIAL RAFAEL GUERRA AREVALO</t>
  </si>
  <si>
    <t>El Oferente no aportó:
1. Acta de asamblea general con aprobación de estados financieros.
Adicionalmente las notas a los estados financieros allegadas no estan de manera comparativa 2017 / 2018.</t>
  </si>
  <si>
    <t>FUNDACION ALTO DEL ROSARIO UNION PARA EL PROGRESO</t>
  </si>
  <si>
    <t>El Oferente presenta notas a los estados financieros no comparativas.</t>
  </si>
  <si>
    <t>FUNDACION SABER SER</t>
  </si>
  <si>
    <t>El Oferente no aportó:
1. Acta Asamblea general con aprobación de estados financieros.
Adicionalmente:
-  El estado de flujo de efectivo no esta de manera comparativa y hace mención a los saldos iiciales de 2016 y termina en saldos a 2017.
-Al dictament allegado le falta la primer hoja.
-El numero de Tarjeta profesional del Contador transcrita en los estados financieros no corresponde al número de tarjeta allegada.</t>
  </si>
  <si>
    <t>ASOCIACION DE PADRES USUARIOS SAN IGNACIO DE LOYOLA</t>
  </si>
  <si>
    <t>El Oferente no aportó:
1. Acta Asamblea general con aprobación de estados financieros.</t>
  </si>
  <si>
    <t>CORPORACIÓN PARA EL DESARROLLO SOCIAL, FAMILIAR, COMUNITARIO INSTITUCIONAL.</t>
  </si>
  <si>
    <t>FUNDACION PARA EL DESARROLLO DE LA EDUCACION</t>
  </si>
  <si>
    <t>El Oferente aporta RUP donde la información financiera del año 2018 no se encuentra en firme a la fecha de expedición del RUP aportado</t>
  </si>
  <si>
    <t>CORPORACIÓN POR EL DESARROLLO SOSTENIBLE SOMOS COLOMBIA</t>
  </si>
  <si>
    <t>CORPORACIÓN GAIA LUDICA Y CULTURA</t>
  </si>
  <si>
    <t>El Oferente no aportó:
1. Acta de Asamblea general
2. Certificado de los estados financieros
3. Dictamen ó ESTATUTOS
4. Certificado de la Junta central de contadores del Contador y del Revisor Fiscal
5. Tarjeta profesional del Revisor fiscal.
Adicionalmente, el Estado de cambio en el patrimonio,  el estado flujo de efectivo y las notas a los estados financieros no esta de forma comparativa.  Además el estado de situación financiera y el estado de resultados  aportados corrsponden a los años 2016-2017.</t>
  </si>
  <si>
    <t>FUNDACION PARA EL DESARROLLO SOCIAL INTEGRAL CORPORATIVO Y COMUNITARIO- DECORPCOM</t>
  </si>
  <si>
    <t>FUNDACION SOMOS COLOMBIA</t>
  </si>
  <si>
    <t>En proceso de adquirir firmeza</t>
  </si>
  <si>
    <t>CAJA DE COMPENSACION FAMILIAR DEL ORIENTE COLOMBIANO CONFAORIENTE</t>
  </si>
  <si>
    <t>El oferente tiene RUP pero no lo aportó</t>
  </si>
  <si>
    <t>FUNDACION REALIZANDO SUEÑOS POR COLOMBIA</t>
  </si>
  <si>
    <t>FUNDACION PROTEGER DEL CHOCO</t>
  </si>
  <si>
    <t>FUNDACION DE SERVICIOS INTEGRALES PARA EL PROGRESO SOCIAL</t>
  </si>
  <si>
    <t>El oferente no aportó acta de aprobación de estados financieros, dictamen del revisor fiscal.</t>
  </si>
  <si>
    <t>CORPORACIÓN YRAKA</t>
  </si>
  <si>
    <t>FUNDACION SERRANIA COLOMBIA</t>
  </si>
  <si>
    <t>FUNDACION DEL ALTO MAGDALENA</t>
  </si>
  <si>
    <t>CORPORACION AMIGOS DE LA UNESCO - AMIGOS UNESCO</t>
  </si>
  <si>
    <t>FUNDACION PARA EL BIENESTAR Y LA PAZ</t>
  </si>
  <si>
    <t>FUNDACION PARA EL DESARROLLO SOCIAL E INSTITUCIONAL DE LA REGION CARIBE "FUNSOLIDARIA"</t>
  </si>
  <si>
    <t>El Oferente no aportó:
1.Acta de asamblea general, Estado de cambio en el patrimonio y el estado de flujo de efectivo.</t>
  </si>
  <si>
    <t>ASOCIACION DE MUJERES DEL LITORAL CARIBE UNIDAS POR COLOMBIA. "ASOMUJERES"</t>
  </si>
  <si>
    <t>El Oferente no aportó:
1. Acta de Asamblea general, 2- Certificacion, 3 - Dictamen.</t>
  </si>
  <si>
    <t>FUNDACION ARCANGEL</t>
  </si>
  <si>
    <t>El Oferente no aportó:
1. Acta de Asamblea general.2-,dictamén de los estados financieros y certificación</t>
  </si>
  <si>
    <t>FUNDACION MILAGROSISTA CON SENTIDO SOCIAL FUNMILA</t>
  </si>
  <si>
    <t>El oferente  no aportó notas comparativa de los estados financieros-  No aportó acta de aprobación de estados financieros.La ecuacion contable no cuadra.</t>
  </si>
  <si>
    <t>CORPORACION MUNDO AZUL</t>
  </si>
  <si>
    <t>El oferente  no aportó notas comparativa de los estados financieros-  No aportó acta de aprobación de estados financieros.La ecuaci+on contable no cuadra.</t>
  </si>
  <si>
    <t>ONG FUNDACION LA NUEVA ESPERANZA</t>
  </si>
  <si>
    <t xml:space="preserve">El Oferente no aportó:
1. Acta de Asamblea general  aprobación estados financieros. </t>
  </si>
  <si>
    <t>FUNDACION PARA LA ATENCION FAMILIAR Y COMUNITARIA</t>
  </si>
  <si>
    <t>El Oferente no aportó:
1. Acta de Asamblea general  aprobación estados financieros-2 Estado de cambio en el patrimonio,3 - Estado de flujo de efectivo, 4 - Acta asamblea de aprobación de los estados financieros.</t>
  </si>
  <si>
    <t>FUNDACION INFANTIL SEMILLEROS DE ESPERANZA FUNINSEDES</t>
  </si>
  <si>
    <t>El Oferente:
1.En la certificación de los estados financieros en el ítem 3 donde garantizan la existencia de los activos y pasivos hacen alusión al 2017 y no al 2018  
2,No aportó Acta de Asamblea general donde se aprueban los estados financieros</t>
  </si>
  <si>
    <t>ASOCIACIÓN DE APOYO AL DESARROLLO</t>
  </si>
  <si>
    <t>FUNDACIÓN MI ABUELO Y YO</t>
  </si>
  <si>
    <t xml:space="preserve"> El Oferente aporta RUP donde la información financiera del año 2018 No se evidencia solo tomo compia del documento por una hoja.</t>
  </si>
  <si>
    <t>FUNDACIÓN CASA CREATIVA POR LAS ARTES Y LA INFANCIA</t>
  </si>
  <si>
    <t>FUNDACIÓN PARA EL DESARROLLO SOSTENIDO FEDES</t>
  </si>
  <si>
    <t>FUNDACION PODER CHOCO</t>
  </si>
  <si>
    <t>FUNDACION LUNITAS DE LA MADRE LAURA</t>
  </si>
  <si>
    <t>PRESENTA CONSTACIA DE MICROEMPRESA Y POR LO MISMO NO APORTA EFE Y ECP</t>
  </si>
  <si>
    <t>CAJA DE COMPENSACION FAMILIAR DEL MAGDALENA</t>
  </si>
  <si>
    <t>FUNDACION PARA LA COMUNICACIÓN INTEGRAL Y EL CAMBIO SOCIAL</t>
  </si>
  <si>
    <t>El Oferente no aportó:
1. El estado de fujo de efectivo</t>
  </si>
  <si>
    <t>FUNDACION SOCIAL METROPOLITANA SAN VICENTE</t>
  </si>
  <si>
    <t>ASOCIACIÓN CENTRO DE CONSULTORIA UNIVERSITARIA</t>
  </si>
  <si>
    <t>CORPORACION ABRAZAR</t>
  </si>
  <si>
    <t>FUNDACION INMACULADO CORAZON DE MARIA DE BUCARAMANGA</t>
  </si>
  <si>
    <t>FUNDACION SOCIAL CONSTRUYENDO VIDAS</t>
  </si>
  <si>
    <t>CONSEJO COMUNITARIO NEGRA DE GUACOCHE</t>
  </si>
  <si>
    <t>FUNDACION DE APOYO SOCIAL</t>
  </si>
  <si>
    <t>FUNDACION CENTRO DE ASESORIA CONSULTORIA E INTERVENTORIA COMUNITARIA CENAINCO</t>
  </si>
  <si>
    <t>CORPORACION IMAGINA TU MUNDO</t>
  </si>
  <si>
    <t>FUNDACION PARA LA PREVENCION ATENCION Y DESARROLLO HUMANO COANGEL</t>
  </si>
  <si>
    <t>FUNDACION PARA EL DESARROLLO SOCIAL Y COMUNITARIO LA LUZ</t>
  </si>
  <si>
    <t>CORPORACION VOLVER A LA GENTE</t>
  </si>
  <si>
    <t>FUNDACION DE LA COMUNIDAD UNIDA GUSTAVO MARTINEZ CAFFYN</t>
  </si>
  <si>
    <t>Oferente Inscrito en RUES pero no aporta el RUP.
 Adicionalmente, la información financiera aportada no corresponde con la registrada en e RUP</t>
  </si>
  <si>
    <t>CONSORCIO  FUTURAS GENERACIONES</t>
  </si>
  <si>
    <t>FUNDACION ONG LA RED</t>
  </si>
  <si>
    <t>FUNDACION EDUCATIVA NUEVA AMERICA</t>
  </si>
  <si>
    <t>La información del estado de situación financiera aportada por el interesado presenta inconsistencias en los activos.
Adicional, no aportan:
Estados de flujo de efectivo comparativo
Acta de aprobación de estados financieros</t>
  </si>
  <si>
    <t>ASOCIACION DE PROFESIONALES EN TRABAJO SOCIAL DEL HUILA ATSHU</t>
  </si>
  <si>
    <t>ASOCIACION DE PROFESIONALES PARA EL DESARROLLO SOCIAL APDS</t>
  </si>
  <si>
    <t>FUNDACION HUELLAS DE AFECTO Y FELICIDAD FUNDAHAF</t>
  </si>
  <si>
    <t>FUNDACION CONSTRUYENDO UN NUEVO FUTURO</t>
  </si>
  <si>
    <t>FUNDACION PARA EL DESARROLLO AGRICOLA SOCIAL Y TECNOLOGICO FUNDASET</t>
  </si>
  <si>
    <t>FUNDACION COLEGIO PEQUEÑOS PITUFOS</t>
  </si>
  <si>
    <t>El Oferente no aportó: 
1.Acta de aprobación de estados financieros
2. Certificación de estados financieros</t>
  </si>
  <si>
    <t>WORLD VISION INTERNATIONAL-VISION MUNDIAL INTERNACIONAL</t>
  </si>
  <si>
    <t>El Oferente no aportó: 
1.Acta de aprobación de estados financieros</t>
  </si>
  <si>
    <t>ASOCIACION DE VOLUNTADES PARA EL SERVICIO SOCIAL</t>
  </si>
  <si>
    <t>ASOCIACION BIOPROMOTORA DE COLOMBIA</t>
  </si>
  <si>
    <t>CORPORACION JUAN BOSCO</t>
  </si>
  <si>
    <t>FUNDACION DE PROFESIONALES ENFOCADOS A LA RECONSTRUCCION SOCIAL FUNDACION FUNPERS</t>
  </si>
  <si>
    <t>El Oferente no aportó: 
1.Dictamen o estatutos
2.Acta de aprobación de estados financieros.
Adicionalmente, los estado financieros  indican estar expresado en miles de pesos, lo cual no corresponde con el estado de resultado integral</t>
  </si>
  <si>
    <t>FUNDACION PARA EL FOMENTO DE LA EDUCACION LA SALUD LA ALIMENTACION Y LA NUTRICION DE COLOMBIA FESANCO</t>
  </si>
  <si>
    <t>CORPORACION REGIONAL PARA EL DESARROLLO CORDESARROLLO</t>
  </si>
  <si>
    <t xml:space="preserve">El Oferente no aportó: 
1.RUP con información en firme. </t>
  </si>
  <si>
    <t>FUNDACION PARA EL DESARROLLO SOCIAL Y EMPRESARIAL PASTO FUNDASEMP</t>
  </si>
  <si>
    <t xml:space="preserve">El Oferente no aportó: 
1.Acta de aprobación de estados financieros,
Adicionalmente, los estrados financieros no están formados por el por el representante legal nombrado según certificado de  Cámara  de Comercio
</t>
  </si>
  <si>
    <t>FUNDACION NIÑOS DE PAZ</t>
  </si>
  <si>
    <t>CORPORACION PARA EL MANEJO Y CONSERVACION DEL MEDIO AMBIENTE Y LOS RECURSOS NATURALES</t>
  </si>
  <si>
    <t>CORPORACION JUNTOS CONSTRUYENDO FUTURO</t>
  </si>
  <si>
    <t>FUNDACION EDUCATIVA JOSE EUSTASIO RIVERA</t>
  </si>
  <si>
    <t xml:space="preserve"> El Oferente se encuentra inscrito en el RUES y no aporta el RUP.</t>
  </si>
  <si>
    <t>ASOCIACION DE VECINOS GRANJAS DE SAN PABLO</t>
  </si>
  <si>
    <t>CORPORACION AFROCOLOMBIANA SON BATA</t>
  </si>
  <si>
    <t xml:space="preserve">El Oferente no aportó:
1. Certificado de los estados financieros.
2. Dictamen o ESTATUTOS
3. Fotocopia tarjeta profesional del Revisor Fiscal.
4 Certificado de la Junta central de contadores del Revisor.
5. Acta de Asamblea general con aprobación de estados financieros.
Adicional:
- todos los estados financieros allegados no se encuentran de manera comparativa 2017/2018. </t>
  </si>
  <si>
    <t>FUNDACION DE PROFESIONALES PARA EL DESARROLLO Y BIENESTAR DE LA COMUNIDAD</t>
  </si>
  <si>
    <t>El Oferente no aportó:
1. Certificado de los estados financieros.
2. Dictamen o ESTATUTOS
3. Fotocopia tarjeta profesional del Revisor Fiscal.
4. Certificado de la Junta central de contadores del Contador y del Revisor.
5. Acta de Asamblea general con aprobación de estados financieros.</t>
  </si>
  <si>
    <t>CORPORACION EQUIDAD PAZ Y DESARROLLO SOCIAL</t>
  </si>
  <si>
    <t>FUNDACION SOCIAL Y DEPORTIVA EL PROGRESO</t>
  </si>
  <si>
    <t>El Oferente no aportó:
1.Fotocopia tarjeta profesional del contador MICHEL GIOVANNY ANGULO PALACIOS..
2. Certificado de la Junta central de contadores del  Contador  MICHEL GIOVANNY ANGULO PALACIOS
3. El certificado de la Junta central de contadores del Contador Carlos Ordóñez se encuentra vencido.</t>
  </si>
  <si>
    <t>ASOCIACION CRECER Y VIVIR</t>
  </si>
  <si>
    <t>El Oferente no aportó:
1. Estado de flujo de efectivo comparativo 2017/2018
2. Certificado de los estados financieros.
3. Fotocopia tarjeta profesional del Revisor Fiscal.
4 Certificado de la Junta central de contadores del Revisor.
5. Acta de Asamblea general con aprobación de estados financieros.</t>
  </si>
  <si>
    <t>ASOCIACION MEGASALUD</t>
  </si>
  <si>
    <t>FUNDACION PROPAIS COLOMBIA CON SIGLA FPC</t>
  </si>
  <si>
    <t>FUNDACIÓN TIERRA POSIBLE</t>
  </si>
  <si>
    <t>CORPORACIÓN SOCIAL PARA EL DESARROLLO CORSODE</t>
  </si>
  <si>
    <t>CORPORACION NUEVO DIA CORPODIA</t>
  </si>
  <si>
    <t>CONSTRUYAMOS COLOMBIA</t>
  </si>
  <si>
    <t>CORPORACIÓN CERES</t>
  </si>
  <si>
    <t>ASOCIACIÓN NACIONAL DE EMPRENDIMIENTO SOCIAL Y CULTURAL DE COLOMBIA ASONESHCA</t>
  </si>
  <si>
    <t>FUNDACION FECONCER</t>
  </si>
  <si>
    <t>CORPORACION FORJANDO FAMILIAS FELICES</t>
  </si>
  <si>
    <t>FUNDACION JONATTAN CORONADO LOPEZ - VIVIENDO BAJO EL AMPARO DE DIOS</t>
  </si>
  <si>
    <t>FUNDACION COTTIRRAWA</t>
  </si>
  <si>
    <t>FUNDACION ITAKA</t>
  </si>
  <si>
    <t>ALDEAS INFANTILES SOS COLOMBIA</t>
  </si>
  <si>
    <t>Aportar el RUP renovado y en firme con la información financiera del año 2018, conforme lo establece en el numeral 1 del titulo ii aspectos financieros de la invitación publica invitación pública para la conformación del banco nacional de oferentes no. ip-001-2019. El interesado se encuentra inscrito en el RUP.</t>
  </si>
  <si>
    <t>UNION TEMPORAL GENERACIONES 2020</t>
  </si>
  <si>
    <t>FUNDACION PROFESIONALES Y EMPRENDEDORES SOCIALES</t>
  </si>
  <si>
    <t>FUNDACION COMPARTIR</t>
  </si>
  <si>
    <t>FUNDACION ANGELES EN EL MANGLAR</t>
  </si>
  <si>
    <t>El Oferente no aportó:
1. Estado de la situación financiera comparativo año 2017 y 2018. (los allegados no son comparativos)
2. Estado de resultado integral comparativo año 2017 y 2018. (los allegados no son comparativos)
3. Estado de cambios en el patrimonio comparativo año 2017 y 2018. 
4. Estado de flujo de efectivo comparativo año 2017 y 2018. 
5. Acta de asamblea del máximo órgano administrativo, donde se aprueban los estados financieros definitivos.</t>
  </si>
  <si>
    <t>FUNDACION SOCIAL DE APOYO DESARROLLO Y BIENESTAR DE LA NIÑEZ Y EL ADULTO MAYOR NUEVO AMANECER</t>
  </si>
  <si>
    <t>FUNDACION SOCIAL COLOMBIANA CEDAVIDA</t>
  </si>
  <si>
    <t>ASOCIACION EMPRESARIAL DE SUMINISTROS Y SERVICIOS VARIOS</t>
  </si>
  <si>
    <t>FUNDACION NACIONAL DE ORQUESTAS SINFONICAS JUVENILES E INFANTILES "BATUTA", FUNDACION NACIONAL "BATUTA", O SIMPLEMENTE "FUNDACION BATUTA"</t>
  </si>
  <si>
    <t>CORPORACION SUMANDO SONRISAS</t>
  </si>
  <si>
    <t>FUNDACION FAMILIAR PRO-REHABILITACION DE FARMACODEPENDIENTES FARO</t>
  </si>
  <si>
    <t>CORPORACION DESARROLLO SOCIAL JAIME URQUIJO BARRIOS</t>
  </si>
  <si>
    <t>FUNDACION CHIKIMANIA</t>
  </si>
  <si>
    <t>CORPORACIÓN EDUCATIVA COLEGIO GRAN COLOMBIA</t>
  </si>
  <si>
    <t>El Oferente no aporto,
1. Acta de asamblea general con aprobación de estados financieros.</t>
  </si>
  <si>
    <t>FUNDACIÓN APEGO</t>
  </si>
  <si>
    <t>CABILDO INDIGENA DEL RESGUARDO DE TUQUERREZ</t>
  </si>
  <si>
    <t>El Oferente no aporto,
1. Estado de cambio en el patrimonio comparativo 2017/2018,
2. Estado de flujo de efectivo comparativo 2017/2018.
3:Tarjeta profesional del Contador que suscribe los estados financieros.
4. Certificado de la junta central de contadores del contador que suscribe los estados financieros.
5. Acta de asamblea general con aprobación de estados financieros.  
Adicionalmente, Los estados financieros aportados y las notas a los estados financieros no se encuentran de forma comparativa.</t>
  </si>
  <si>
    <t>CORPORACIÓN LENGUAJE CIUDADANO</t>
  </si>
  <si>
    <t>CORPORACIÓN JUEGO Y NIÑEZ</t>
  </si>
  <si>
    <t>ASOCIACION CRISTIANA DE JOVENES DE BOGOTA Y CUNDINAMARCA</t>
  </si>
  <si>
    <t>FUNDACION FESCO</t>
  </si>
  <si>
    <t>FUNDACION ACTIVA TERRITORIO ESAL</t>
  </si>
  <si>
    <t>El indicador de capital de trabajo, acorde a la información financiera aportada, es de 11.1 ($9.204.773), valor inferior al solicitado en la invitación pública.</t>
  </si>
  <si>
    <t>FUNDACION SEMILLAS ORINOQUIA</t>
  </si>
  <si>
    <t>El Oferente no aportó:
1. Estados financieros firmados por el revisor fiscal.
2. Estado de cambios en el patrimonio
3.Estado de flujos de efectivo,
4. Acta de aprobación de estados financieros
5. Certificado de la Junta central de contadores del revisor fiscal que emitió el dictamen</t>
  </si>
  <si>
    <t>FUNDACION MERCAJUSTO</t>
  </si>
  <si>
    <t>FUNDACION DAR AMOR - FUNDAMOR</t>
  </si>
  <si>
    <t>El Oferente no aportó:
1. Acta de Asamblea general con aprobación de estados financieros.</t>
  </si>
  <si>
    <t>ASOCIACION PROBIENESTAR DE LA FAMILIA COLOMBIANA PROFAMILIA</t>
  </si>
  <si>
    <t>El RUP aportado esta con la información financiera del año 2017</t>
  </si>
  <si>
    <t>CONSORCIO BARRANQUILLA CON FUTURO</t>
  </si>
  <si>
    <t>FUNDACION PARA EL DESARROLLO LOCAL COMUNITARIO</t>
  </si>
  <si>
    <t>Proponente consultado</t>
  </si>
  <si>
    <t>Cantidad de Proponentes</t>
  </si>
  <si>
    <t>Salario Mínimo</t>
  </si>
  <si>
    <t>DE</t>
  </si>
  <si>
    <t>HASTA</t>
  </si>
  <si>
    <t>Índice Liquidez
&gt;=</t>
  </si>
  <si>
    <t>Nivel de
Endeudamiento</t>
  </si>
  <si>
    <t>CAPITAL DE TRABAJO
Mayor o Igual a</t>
  </si>
  <si>
    <t>CAPITAL DE
TRABAJO SMMLV</t>
  </si>
  <si>
    <t>Kapital de trabajo</t>
  </si>
  <si>
    <t>El Oferente no aportó:
1. Acta de Asamblea general
Adicional:
- ESTADO DE CAMBIOS EN EL PATRIMONIO COMPARATIVO AÑO 2017 Y 2018, SUSCRITO POR LE CONTADOR QUE LOS PREPARO.
- ACTA DE ASAMBLEA DEL MÁXIMO ÓRGANO ADMINISTRATIVO, DONDE SE APRUEBAN LOS ESTADOS FINANCIEROS DEFINITIVOS</t>
  </si>
  <si>
    <t>El Oferente no aportó:
1. Estado de flujo efectivo comparativo 2017/2018.
2. Estado de cambio en el patrimonio comparativo 2017/2018.
2, Certificado de los estados financieros. 
3.Fotocopia de la tarjeta del Contador.
4. Dictamen
5. Certificado de la Junta central de contadores del Contador y Revisor Fiscal.
6. Acta Asamblea general con aprobación de estados financieros.</t>
  </si>
  <si>
    <t>Total ACTIVO</t>
  </si>
  <si>
    <t>De conformidad con la IP-01-2019, el Oferente sólo aportó Estado de situación financiera y estado de resultados integral, los demás documentos requeridos para la verificación de requisitos habilitantes financieros 2018 no fueron allegados. 
Adicional, El estado de situación financiera no cumple con la ecuación patrimonial.</t>
  </si>
  <si>
    <t>El Oferente no aportó:
1. Acta de asamblea del máximo órgano administrativo, donde se aprueban los estados financieros definitivos.</t>
  </si>
  <si>
    <t>CUMPLE</t>
  </si>
  <si>
    <t>NO CUMPLE</t>
  </si>
  <si>
    <t xml:space="preserve">El Oferente no aportó:
1. El estado de situación financiera no cumple con la ecuación patrimonial, el estado de resultados presenta un exedente de $3.560.073,44 y en el patrimonio el exedente del ejercico es de $3,020,073,44
2. </t>
  </si>
  <si>
    <t>El Oferente no aportó:
1, El estado de situación financiera no cumple con la ecuación patrimonial, El activo total presenta un saldo de $102.487.277 y el pasivo y patrimonio suma $99.586.777
2. Acta de Asamblea general</t>
  </si>
  <si>
    <t>NO CUMPLE, EL RUP aportado no tiene la información financiera para el año 20189 en firme</t>
  </si>
  <si>
    <t>Columna1</t>
  </si>
  <si>
    <t>FUNDACION SOCIAL Y CULTURAL AGRO AMBIENTE</t>
  </si>
  <si>
    <t>FUNDACION NUEVOS KAMINOS</t>
  </si>
  <si>
    <t>FUNDACION PARA LA ATENCION A LOS NIÑOS DESPLAZADOS POR LA VIOLENCIA.</t>
  </si>
  <si>
    <t>ESCUELA GALAN PARA EL DESARROLLO DE LA DEMOCRACIA</t>
  </si>
  <si>
    <t>No PROPUESTA</t>
  </si>
  <si>
    <t>NIT</t>
  </si>
  <si>
    <t>NOMBRE DEL PROPONENTE</t>
  </si>
  <si>
    <t>RESULTADO
FINAL
EXPERIENCIA</t>
  </si>
  <si>
    <t>CAPACIDAD OPERATIVA EN SALARIOS MINIMOS  (EXPERIENCIA)</t>
  </si>
  <si>
    <t>ASOFORMANDO -COLOMBIA</t>
  </si>
  <si>
    <t>FUNDACIÓN AMOR POR MI PUEBLO</t>
  </si>
  <si>
    <t>FUNDACIÓN CASA DEL NIÑO IPS</t>
  </si>
  <si>
    <t xml:space="preserve">FUNDACIÓN SOCIAL Y CULTURAL SAN ANTONIO DE PADUA </t>
  </si>
  <si>
    <t>FUNDACIÓN DE ATENCIÓN A LA NIÑEZ -FAN</t>
  </si>
  <si>
    <t>FUNDASEC</t>
  </si>
  <si>
    <t>ASOCIACIÓN INDÍGENA MISION</t>
  </si>
  <si>
    <t>FUNDACION EMSSANAR</t>
  </si>
  <si>
    <t xml:space="preserve">FUNDACION TALENTOS DEL PACÍFICO </t>
  </si>
  <si>
    <t>CORPORACION UNIDA POR EL DESARROLLO - CORPUDESA</t>
  </si>
  <si>
    <t>FUNDACION PARA EL DESARROLLO SOCIAL INTEGRAL  FUNPRODESI</t>
  </si>
  <si>
    <t>FUNDACIÓN PARA EL DESARROLLO Y FOMENTO DEL BIENESTAR SOCIAL</t>
  </si>
  <si>
    <t>FUNDACIÓN SOCIAL Y CULTURAL - AGROAMBIENTE</t>
  </si>
  <si>
    <t>FUNDACIÓN DEPORTIVA PAÍZ PAZÍFICO</t>
  </si>
  <si>
    <t>CORPOADASES</t>
  </si>
  <si>
    <t>FUNDACION LICEO COMERCIAL CIUDAD DE EL BORDO</t>
  </si>
  <si>
    <t>FUNDACIÓN CHOCÓ SOCIAL</t>
  </si>
  <si>
    <t>FUNDACIÓN AMIGOS DEL PROGRESO</t>
  </si>
  <si>
    <t>FUNDACION SOCIAL QUERUBINES-FUNSOQUE</t>
  </si>
  <si>
    <t>CORPORACION DE PROFESIONALES PARA EL DESARROLLO INTEGRAL COMUNITARIO CORPRODINCO</t>
  </si>
  <si>
    <t>FUNDACION SOCIAL AMOR Y VIDA</t>
  </si>
  <si>
    <t>FUNDACION COLOMBIANA CON SEGURIDAD ALIMENTARIA Y NUTRICIONAL FUCOSAN</t>
  </si>
  <si>
    <t>FUNDACION EQUIDAD</t>
  </si>
  <si>
    <t>FUNDACION PARA EL DESARROLLO SOCIAL AGROAMBIENTAL DEL CHOCO FUDSACH</t>
  </si>
  <si>
    <t>ASOCIACION MUJER GENERO AMGES</t>
  </si>
  <si>
    <t>CORPORACION INTEGRAL DE INNOVACION SOCIAL INNOVAR</t>
  </si>
  <si>
    <t>CORPORACION PARA LA INVESTIGACION Y DESARROLLO DE LA DEMOCRACIA - CIDEMOS</t>
  </si>
  <si>
    <t>FUNDACION CIRCULO DE OBREROS DE SAN PEDRO DE CLAVER</t>
  </si>
  <si>
    <t>FUNDACIÓN TU CRECER</t>
  </si>
  <si>
    <t>ASOCIACIÓN PROFESIONALES DE COLOMBIA</t>
  </si>
  <si>
    <t>FUNDACIÓN PARA EL DESARROLLO SOSTENIBLE DE LA FAMILIA</t>
  </si>
  <si>
    <t>HOGAR JUVENIL CAMPESINO SUCRE CAUCA</t>
  </si>
  <si>
    <t>FUNDACIÓN PARA EL DESARROLLO DE LA POBLACIÓN CON NECESIDADES EDUCATIVAS ESPECIALES DEL DEPARTAMENTO DE SUCRE TALENTOS</t>
  </si>
  <si>
    <t>CENTRO DE DESARROLLO COMUNITARIO VERSALLES</t>
  </si>
  <si>
    <t>FUNDACIÓN PARA LA ORIENTACIÓN FAMILIAR FUNOF</t>
  </si>
  <si>
    <t>CORPORACIÓN CONSTRUYAMOS FUTURO "MÉTETE EN EL CUENTO"</t>
  </si>
  <si>
    <t>FUNDACIÓN DE SERVICIO SOCIAL FUNSERVISOC</t>
  </si>
  <si>
    <t>CORPORACIÓN PROPULSORA DE EMPRESAS DE NORTE DE SANTANDER</t>
  </si>
  <si>
    <t>ASOCIACIÓN DE PROFESIONALES EN PROGRAMAS DE PROMOCIÓN Y PREVENCIÓN PARA LA SALUD, LA EDUCACIÓN, LA FAMILIA Y LA COMUNIDAD- APSEFACOM</t>
  </si>
  <si>
    <t xml:space="preserve">CORPORACIÓN LATINA </t>
  </si>
  <si>
    <t>FUNDACIÓN PARA EL PROGRESO DE LA ORINOQUÍA FUNDEPRO</t>
  </si>
  <si>
    <t xml:space="preserve">CORPOCES- CORPORACIÓN ESPÍRITU SANTO. </t>
  </si>
  <si>
    <t>CORPORACIÓN COMUNIDAD INTELIGENTE - CORPOCI</t>
  </si>
  <si>
    <t xml:space="preserve">FUNDACIÓN LAS GOLONDRINAS </t>
  </si>
  <si>
    <t>ASOCIACIÓN PARA EL DESARROLLO INTEGRAL DE LA POBLACIÓN AFRODESCENDIENTE COLOMBIANA ASOAFROCOL</t>
  </si>
  <si>
    <t>CORPORACIÓN MULTIACTIVA REVIVE TU ESPERANZAS -COMULRES</t>
  </si>
  <si>
    <t>ASOCIACIÓN CAMPO VERDE DEL CHOCO</t>
  </si>
  <si>
    <t>CORPORACIÓN PARA EL DESARROLLO ETNOCULTURAL-EDUCAR</t>
  </si>
  <si>
    <t xml:space="preserve">Fundación Pactos </t>
  </si>
  <si>
    <t>EL SEMBRADOR SEMILLAS PARA EL FUTURO</t>
  </si>
  <si>
    <t>FUNDACIÓN PARA EL DESARROLLO INTEGRAL DE LA MUJER Y LA NIÑEZ -FUNDIMUR</t>
  </si>
  <si>
    <t>Fundacion Jovenes por el Bienestar del Darien- FUNJOTRABIUN</t>
  </si>
  <si>
    <t>FUNDACIÓN ESPECIALIZADA PARA LA PRIMERA INFANCIA, NIÑEZ, JUVENTUD Y FAMILIA -FELIZ</t>
  </si>
  <si>
    <t>FUNDACIÓN JESÚS DIVINO PROTECTOR</t>
  </si>
  <si>
    <t>ASOCIACIÓN MUNDOS HERMANOS ONG</t>
  </si>
  <si>
    <t>FUNDACION PROYECTAR DE LA COSTA</t>
  </si>
  <si>
    <t>FUNDACIÓN PARA LA EDUCACIÓN Y DESARROLLO SOCIAL</t>
  </si>
  <si>
    <t>FUNDACIÓN SAN JUAN BOSCO</t>
  </si>
  <si>
    <t>CORPORACIÓN ALBERTO ARANGO RESTREPO CEDER</t>
  </si>
  <si>
    <t>FUNDACION PARA EL DESARROLLO DE LA EDUCACION FUNDAPRE</t>
  </si>
  <si>
    <t>ASOCIACIÓN DE MUJERES DEL LITORAL CARIBE UNIDAS POR COLOMBIA ASOMUJERES</t>
  </si>
  <si>
    <t>CORPORACIÓN MUNDO AZUL</t>
  </si>
  <si>
    <t>FUNDACIÓN INFANTIL SEMILLEROS DE ESPERANZA FUNINSEDES</t>
  </si>
  <si>
    <t>ASOCIACION DE APOYO AL DESARROLLO APOYAR</t>
  </si>
  <si>
    <t>FUNDACION CASA CREATIVA POR LAS ARTES Y LA INFANCIA</t>
  </si>
  <si>
    <t>FUNDACIÓN LUNITAS DE LA MADRE LAURA</t>
  </si>
  <si>
    <t>FUNDACIÓN PARA COMUNICACIÓN INTEGRAL Y EL CAMBIO SOCIAL FUNCOMICS</t>
  </si>
  <si>
    <t>FUNDACIÓN SOCIAL METROPOLITANA SAN VICENTE - FUNSUMET</t>
  </si>
  <si>
    <t>FUNDACIÓN SOCIAL CONSTRUYENDO VIDAS</t>
  </si>
  <si>
    <t>FUNDACIÓN DE APOYO SOCIAL - FAS</t>
  </si>
  <si>
    <t>CORPORACIÓN IMAGINA TU MUNDO</t>
  </si>
  <si>
    <t>CORPORACIÓN VOLVER A LA GENTE</t>
  </si>
  <si>
    <t>FUNDACIÓN ONG LA RED</t>
  </si>
  <si>
    <t>ASOCIACIÓN DE PROFESIONALES EN TRABAJO SOCIAL DEL HUILA</t>
  </si>
  <si>
    <t xml:space="preserve"> FUNDACIÓN DE PROFESIONALES ENFOCADOS A LA RECONSTRUCCIÓN SOCIAL - FUNPERS</t>
  </si>
  <si>
    <t>FUNDACIÓN PARA EL DESARROLLO SOCIAL Y EMPRESARIAL</t>
  </si>
  <si>
    <t>CORPORACIÓN PARA EL MANEJO DEL MEDIO AMBIENTE Y LOS RECURSOS NATURALES</t>
  </si>
  <si>
    <t>ALDEAS INFANTILES SOS</t>
  </si>
  <si>
    <t>FUNDACIÓN NUEVO AMANECER</t>
  </si>
  <si>
    <t>FUNDACIÓN SOCIAL COLOMBIANA CEDAVIDA</t>
  </si>
  <si>
    <t>FUNDACIÓN FAMILIAR PRO-REHABILITACIÓN DE FARMACODEPENDIENTES FARO</t>
  </si>
  <si>
    <t>CORPORACIÓN DESARROLLO SOCIAL JAIME URQUIJO BARRIOS</t>
  </si>
  <si>
    <t xml:space="preserve">CORPORACIÓN LENGUAJE CIUDADANO </t>
  </si>
  <si>
    <t>ASOCIACIÓN CRISTIANA DE JÓVENES  ACJ-YMCA</t>
  </si>
  <si>
    <t>FUNDACIÓN DAR AMOR</t>
  </si>
  <si>
    <t>FUNDACIÓN PARA EL DESARROLLO LOCAL COMUNITARIO</t>
  </si>
  <si>
    <t>xxx</t>
  </si>
  <si>
    <t>Columna3</t>
  </si>
  <si>
    <t>República de Colombia
Departamento para la Prosperidad Social
Instituto Colombiano de Bienestar Familiar
Cecilia de la Fuente de Lleras
Dirección de Abastecimiento</t>
  </si>
  <si>
    <t>BANCO NACIONAL DE  OFERENTES N° IP 001 DE 2019</t>
  </si>
  <si>
    <t>VERIFICACIÓN FINANCIERA</t>
  </si>
  <si>
    <t>No. Propuesta</t>
  </si>
  <si>
    <t>LIQUIDEZ</t>
  </si>
  <si>
    <t>ENDEUDAMIENTO</t>
  </si>
  <si>
    <t>CAPITAL DE TRABAJO</t>
  </si>
  <si>
    <t>OBSERVACIONES</t>
  </si>
  <si>
    <t>%</t>
  </si>
  <si>
    <t>Resultado</t>
  </si>
  <si>
    <t xml:space="preserve">FUNDACIÓN COLOMBIA FLORECE </t>
  </si>
  <si>
    <t>CORPORACIÓN IPS AFROSALUD- COLOMBIA CORAFROSALUD</t>
  </si>
  <si>
    <t>FUNDACIÓN SOCIAL DEL ORIENTE</t>
  </si>
  <si>
    <t>CORPORACIÓN AMIGOS DE LA TIERRA</t>
  </si>
  <si>
    <t>FUNDACIÓN PARA EL DESAROLLO Y LA RENOVACIÓN SOCIAL -RENOVAR</t>
  </si>
  <si>
    <t>FUNDACIÓN PARA EL DESARROLLO DE LAS COMUNIDADES NEGRAS FUNDECOMUNEG</t>
  </si>
  <si>
    <t>FUNDACIÓN ZENUES TRENZANDO FUTURO</t>
  </si>
  <si>
    <t>FUNDACIÓN H2O Y PAZ</t>
  </si>
  <si>
    <t>FUNDACIÓN SOCIAL SALEM</t>
  </si>
  <si>
    <t>FUNDACION PARA EL DESARROLLO DE LA CUENCA DEL PACÍFICO COLOMBIANO</t>
  </si>
  <si>
    <t xml:space="preserve">ASOCIACIÓN POPULAR DE MUJERES </t>
  </si>
  <si>
    <t>CORPORACIÓN COLOMBIA AVANZA</t>
  </si>
  <si>
    <t>CORPORACIÓN IMPULSANDO MI PAÍS</t>
  </si>
  <si>
    <t>FUNDACIÓN HOGAR JUVENIL</t>
  </si>
  <si>
    <t>ASOCIACIÓN DE PADRES DE FAMILIA CONSTRUYENDO FUTURO PARA LA VIDA-CONFUVI</t>
  </si>
  <si>
    <t>FUNDACION INTEGRAL PARA EL DESARROLLO HUMANO Y SOCIAL FINTEDES</t>
  </si>
  <si>
    <t xml:space="preserve">CORPORACIÓN MULTIACTIVA PARA LA INVERSIÓN SOCIAL EN LA REPÚBLICA DE COLOMBIA </t>
  </si>
  <si>
    <t>ASOCIACIÓN DE AFRODESCENDIENTES DEL CARIBE COLOMBIANO - AFROCARIBE</t>
  </si>
  <si>
    <t xml:space="preserve">FUNDACIÓN SUREMEDI </t>
  </si>
  <si>
    <t>FUNDACION PACÍFICO DEL CAUCA</t>
  </si>
  <si>
    <t>FUNDACIÓN PARA LA CAPACITACIÓN EN SALUD Y LOS ESTUDIOS DEL MEDIO AMBIENTE</t>
  </si>
  <si>
    <t>FUNDACION PARA LA ATENCION A LOS NIÑOS DESPLAZADOS POR LA VIOLENCIA - FANDEVI</t>
  </si>
  <si>
    <t>FUNDACION PARA EL DESARROLLO SOCIAL, ECONOMICA Y AMBIENTAL DE HATO NUEVO</t>
  </si>
  <si>
    <t xml:space="preserve">CORPORACIÓN PIEDRALIPE </t>
  </si>
  <si>
    <t>CORPORACIÓN TRIGAL DEL NORTE</t>
  </si>
  <si>
    <t xml:space="preserve">FUNDACION POTENCIAL HUMANO </t>
  </si>
  <si>
    <t xml:space="preserve">ASOCIACION FORJANDO FUTUTO PARA TODOS </t>
  </si>
  <si>
    <t xml:space="preserve">CRUZ ROJA COLOMBIANA SECCIONAL CUNDINAMARCA Y BOGOTÁ </t>
  </si>
  <si>
    <t>FUNDACIÓN SOCIAL SAN SEBASTIÁN</t>
  </si>
  <si>
    <t xml:space="preserve">ASOCIACIÓN DE TRABAJADORAS SOCIALES POR UN PACIFICO EN PAZ </t>
  </si>
  <si>
    <t>FUNDACION DE COPERACION INVESTIGACION PARA EL DESARROLLO ECONOMICO Y SOCIOCULTURAL</t>
  </si>
  <si>
    <t xml:space="preserve">FUNDACION REHABILITACION INTEGRAL </t>
  </si>
  <si>
    <t>FUNDACION AMERICANA DE MUJERES NEGRAS CHANGAINA DE COMUNIDADES NEGRAS PALENQUE-COLOMBIA-MINGA-CESAR</t>
  </si>
  <si>
    <t>FUNDACION HUELLITAS DEL MUNDO</t>
  </si>
  <si>
    <t>CORPORACION PROMOTORA SOCIAL "CPS INTEGRAL"</t>
  </si>
  <si>
    <t>FUNDACION AGUA PARA TODOS</t>
  </si>
  <si>
    <t xml:space="preserve">FUNDACION MARIA DE LOS ANGELES </t>
  </si>
  <si>
    <t>CORPORACION SERVICIOS INTEGRALES DEL NORTE AMIGOS</t>
  </si>
  <si>
    <t>CORPORACION LUIS EDUARDO NIETO ARTETA</t>
  </si>
  <si>
    <t xml:space="preserve">FUNDACION DESPERTAR SOLIDARIO </t>
  </si>
  <si>
    <t>AFROSALUD</t>
  </si>
  <si>
    <t>FUNDACION ESPERANZA VIVA</t>
  </si>
  <si>
    <t>FUNDACIÓN POSITIVOS POR LA VIDA</t>
  </si>
  <si>
    <t>FUNCIÓN KANIRA</t>
  </si>
  <si>
    <t>CORPORACIÓN PIÑON DE OREJA</t>
  </si>
  <si>
    <t>FUNDACIÓN GIMNASIO MODERNO DEL CAUCA</t>
  </si>
  <si>
    <t>FUNDACIÓN JEDIAEL</t>
  </si>
  <si>
    <t>FUNDACION PARA EL DESARROLLO INTEGRAL DE LA CUENTA DEL PACIFICO FUNDEPA</t>
  </si>
  <si>
    <t>CLUB DE LEONES IPIALES MONARCA</t>
  </si>
  <si>
    <t>FUNDACION LUZ Y VIDA</t>
  </si>
  <si>
    <t>ASOCIACIÓN DE MUJERES E INFANCIA - ASOMIN</t>
  </si>
  <si>
    <t xml:space="preserve">CORPORACIÓN JÓVENES Y MAÑANA </t>
  </si>
  <si>
    <t>CORPORACIÓN PARA EL FOMENTO SOCIAL DE COLOMBIA - COFESCO</t>
  </si>
  <si>
    <t xml:space="preserve">FUNDACIÓN CREATING SMILES </t>
  </si>
  <si>
    <t>FUNDACIÓN LABRIEGO POR LA PAZ</t>
  </si>
  <si>
    <t>FUNDACIÓN PARA LA GESTIÓN DE PROYECTOS INTEGRALES CÓRDOBA</t>
  </si>
  <si>
    <t>FUNDACION TIEMPO FELIZ</t>
  </si>
  <si>
    <t>FUNDACION CASA HOGAR NUESTRO SUEÑO BARRIO REPOSO</t>
  </si>
  <si>
    <t>FUNDACION COLOMBIA HUMANITARIA PARA EL DESARROLLO SOSTENIBLE DE LA COSTA CARIBE-FUCDESCOC</t>
  </si>
  <si>
    <t>CORPORACION  LA NUEVA COLOMBIA-CONUCOL</t>
  </si>
  <si>
    <t>FUNDACION EDUCATIVA PARA EL DESARROLLO DE CARTAGENA Y REGION CARIBE-FUNDECAR</t>
  </si>
  <si>
    <t>FUNDACION EDUCATIVA Y SOCIAL -FUNDESOL</t>
  </si>
  <si>
    <t>FUNDACION PARA EDUCACION Y SALUD - FUNDAEDSA</t>
  </si>
  <si>
    <t>FUNDACION COMPARTIR PARA EL DESARROLLO INTEGRAL DE LA INFANCIA, NIÑEZ, ADOLESCENCIA Y FAMILIA-FUNDACOMPARTIR</t>
  </si>
  <si>
    <t>FUNDACION SOCIAL CRECIENDO</t>
  </si>
  <si>
    <t>FUNDACIÓN GUAJIRA NACIENTE</t>
  </si>
  <si>
    <t>ASOCIACIÓN DE PADRES DE FAMILIA DEL RESTAURANTE ESCOLAR CATUMARE Y SUBSEDES</t>
  </si>
  <si>
    <t>FUNDACIÓN JERA SEMBRANDO EL MAÑANA</t>
  </si>
  <si>
    <t>FUNDACIÓN PARA EL CAMBIO SOCIAL DE MERCADERES</t>
  </si>
  <si>
    <t>FUNDACION NUESTRO AMAZONAS</t>
  </si>
  <si>
    <t>ASOCIACIÓN POR LA INFANCIA Y EL DESARROLLO SOCIAL INFADES</t>
  </si>
  <si>
    <t>ASOCIACIÓN AGRO PORVENIR DEL PACÍFICO</t>
  </si>
  <si>
    <t>FUNDACIÓN POLITÉCNICO LATINOAMERICANO DEL NORTE</t>
  </si>
  <si>
    <t>ASOCIACIÓN AGRO IMPULSO DEL CHOCÓ</t>
  </si>
  <si>
    <t>MUJERES GESTORAS COMUNITARIAS DE LOS MONTES DE MARÍA - MUGESCO</t>
  </si>
  <si>
    <t xml:space="preserve">FUNDACIÓN NUEVOS KAMINOS </t>
  </si>
  <si>
    <t>CORPORACIÓN AGROEMPRESARIAL DE LOS LLANOS CORPALLANOS</t>
  </si>
  <si>
    <t>CONSORCIO</t>
  </si>
  <si>
    <t>CONSORCIO PROSPERAR SOCIAL CREINDE</t>
  </si>
  <si>
    <t>CORPORACIÓN CASA AMAZONÍA</t>
  </si>
  <si>
    <t>FUNDACIÓN PARA EL DESARROLLO DEL SER HUMANO EN LAS DIFERENTES ETAPAS DEL CICLO VITAL - FUNDASERVIT</t>
  </si>
  <si>
    <t>FUNDACIÓN PARA EL DESARROLLO SOCIAL INTEGRAL DE LA COMUNIDAD FUNDECI</t>
  </si>
  <si>
    <t xml:space="preserve">DIÓSESIS DE ITSMINA-TADÓ- CHOCÓ </t>
  </si>
  <si>
    <t xml:space="preserve">FUNDACIÓN SOÑANDO POR UNA ESPERANZA. </t>
  </si>
  <si>
    <t xml:space="preserve">CONSORCIO FAVANSO. </t>
  </si>
  <si>
    <t>FUNDACIÓN JARDINES LUMINOSOS</t>
  </si>
  <si>
    <t>CAJA DE COMPENSACIÓN FAMILIAR DE NORTE DE SANTANDER-COMFANORTE</t>
  </si>
  <si>
    <t>CORPORACIÓN COMUNITARIA PARA EL DESARROLLO DE LAS FAMILIAS Y COMUNIDADES DEL DEPARTAMENTO DE MAGDALENA</t>
  </si>
  <si>
    <t xml:space="preserve">FUNDACIÓN PARA EL DESARRROLLO INTEGRAL DE LA NIÑEZ (JESÚS DE LA BUENA ESPERANZA) </t>
  </si>
  <si>
    <t xml:space="preserve">FUNDACIÓN SEMILLAS DE VIDA PARA COLOMBIA </t>
  </si>
  <si>
    <t>FUNDACIÓN PARA LA EDUCACIÓN INTEGRAL FUNPEIJEMIS</t>
  </si>
  <si>
    <t>ASOCIACIÓN DE PROFESIONALES PARA EL DESARROLLO EMPRESARIAL Y SOCIAL DE LA REGION CARIBE-APDES</t>
  </si>
  <si>
    <t>FUNDACIÓN AMBIENTAL PRO VIDA - FUNAPROM</t>
  </si>
  <si>
    <t>CORPORACIÓN UNIVERSITARIA AUTÓNOMA</t>
  </si>
  <si>
    <t>CORPORACIÓN SOCIOCULTURAL DE AFRODESCIENTE ATAOLE</t>
  </si>
  <si>
    <t>Asociacion Sembradores de Esperanza /SEMDES</t>
  </si>
  <si>
    <t>Conciencia Social</t>
  </si>
  <si>
    <t>Fundación Picachos</t>
  </si>
  <si>
    <t>FUNDACIÓN REDEZ</t>
  </si>
  <si>
    <t>Fundacion de Servicios para el progreso activo y la equidad social-SEPAES</t>
  </si>
  <si>
    <t>Fundacion Construyendo Felicidad</t>
  </si>
  <si>
    <t>FUNDACIÓN FLUIR</t>
  </si>
  <si>
    <t>MUJER SIGLO XXI</t>
  </si>
  <si>
    <t>CORPORACIÓN PARA LA FORMACIÓN, DIVULGACIÓN Y EDUCACIÓN EN LA FE</t>
  </si>
  <si>
    <t>FUNDACIÓN FRATERNIDAD</t>
  </si>
  <si>
    <t>CORPORACION NUTRICION Y SALUD Y BIENESTAR NSB DE COLOMBIA</t>
  </si>
  <si>
    <t>FUNDACIÓN SOCIAL Y AGROAMBIENTAL DEL CHOCO LEIZA</t>
  </si>
  <si>
    <t>FUNDACIÓN SIN BARRERA</t>
  </si>
  <si>
    <t>FUNDACIÓN BIOPSICOSOCIAL JESUCRISTO REBAÑO DE PAZ</t>
  </si>
  <si>
    <t>FUNDACION ALTOS DEL ROSARIO FUNDADER</t>
  </si>
  <si>
    <t>FUNDACIÓN SABER SER</t>
  </si>
  <si>
    <t>ASOCIACIÓN DE PADRES USUARIOS SAN IGNACIO DE LOYOLA</t>
  </si>
  <si>
    <t>CORPORACION PARA EL DESARROLLO SOCIAL, FAMILIAR, COMUNITARIO E INSTITUCIONAL CORPASOFA</t>
  </si>
  <si>
    <t>CORPORACION PARA EL DESARROLLO SOSTENIBLE SOMOS COLOMBIA</t>
  </si>
  <si>
    <t>CORPORACION GAIA LUDICA Y CULTURA</t>
  </si>
  <si>
    <t>FUNDACION PARA EL DESARROLLO INTEGRAL CORPORATIVO Y COMUNITARIO - DECORPCOM</t>
  </si>
  <si>
    <t>CAJA DE COMPENSACION FAMILAIR DEL ORIENTE COLOMBIANO COMFAORIENTE</t>
  </si>
  <si>
    <t>FUNDACION DE SERVICIOS INTEGRALES PARA EL PROGRESO SOCIAL - FUSENPRO</t>
  </si>
  <si>
    <t>CORPORACION YRACA</t>
  </si>
  <si>
    <t>FUNDACION DEL ALTO MAGADALENA</t>
  </si>
  <si>
    <t>CORPORACION AMIGOS DE LA UNESCO</t>
  </si>
  <si>
    <t>FUNDACION PARA EL BIENESTAR Y LA PAZ FUNBIENPAZ</t>
  </si>
  <si>
    <t>FUNDACION SOLIDARIA PARA EL DESARROLLO SOCIAL E INSTITUCIONAL DE LA REGION DEL CARIBE</t>
  </si>
  <si>
    <t>FUNDACIÓN ARCANGEL PARA LA ATENCIÓN A LA FAMILIA, COMUNIDAD Y SOCIEDAD</t>
  </si>
  <si>
    <t>FUNDACIÓN MILAGROSISTA</t>
  </si>
  <si>
    <t>ONG FUNDACIÓN LA NUEVA ESPERANZA</t>
  </si>
  <si>
    <t>FUNDACIÓN PARA LA ATENCIÓN FAMILIAR Y COMUNITARIA FUNAFAC</t>
  </si>
  <si>
    <t>FUNDACION MI ABUELO Y YO</t>
  </si>
  <si>
    <t>FUNDACION PARA EL DESARROLLO SOSTENIDO</t>
  </si>
  <si>
    <t>CAJA DE COMPENSACIÓN FAMILIAR DEL MAGDALENA CAJAMAG</t>
  </si>
  <si>
    <t xml:space="preserve"> ASOCIACIÓN DE CONSULTORIA UNIVERSITARIA</t>
  </si>
  <si>
    <t>CORPORACIÓN ABRAZAR</t>
  </si>
  <si>
    <t>FUNDACIÓN INMACULADO CORAZÓN DE MARÍA DE BUCARAMANGA</t>
  </si>
  <si>
    <t>CONSEJO COMUNITARIO DE LAS COMUNIDADES NEGRAS DE GUACHOQUE ''LOS CARDONALES''</t>
  </si>
  <si>
    <t>FUNDACIÓN CENTRO DE ASESORIA, CONSULTORÍA E INTERVENTORIA COMUNITARIA - CENAINCO</t>
  </si>
  <si>
    <t>FUNDACIÓN PARA LA PREVENCIÓN ATENCIÓN Y DESARROLLO HUMANO COANGEL</t>
  </si>
  <si>
    <t>FUNDACIÓN DE LA COMUNIDAD UNIDA GUSTAVO MARTINEZ CAFFIN</t>
  </si>
  <si>
    <t>FUNDACIÓN EDUCATIVA NUEVA AMÉRICA</t>
  </si>
  <si>
    <t>ASOCIACIÓN DE PROFESIONALES PARA EL DESARROLLO SOCIAL - APDS</t>
  </si>
  <si>
    <t>FUNDACIÓN HUELLAS DE AFECTO Y FELICIDAD - FUNDAHAF</t>
  </si>
  <si>
    <t>FUNDACIÓN CONSTRUYENDO UN NUEVO FUTURO</t>
  </si>
  <si>
    <t>FUNDACIÓN PARA EL DESARROLLO AGRÍCOLA SOCIAL Y TECNOLÓGICO - FUNDASET</t>
  </si>
  <si>
    <t>FUNDACIÓN COLEGIO LOS PEQUEÑOS PITUFOS</t>
  </si>
  <si>
    <t>WORLD VISION INTERNATIONAL</t>
  </si>
  <si>
    <t>ASOCIACIÓN DE VOLUNTARIOS PARA EL SERVICIO SOCIAL</t>
  </si>
  <si>
    <t>ASOCIACIÓN BIOPROMOTORA DE COLOMBIA</t>
  </si>
  <si>
    <t>CORPORACIÓN JUAN BOSCO</t>
  </si>
  <si>
    <t>FUNDACIÓN PARA EL FOMENTO DE LA EDUCACIÓN, LA SALUD, LA ALIMENTACIÓN Y LA NUTRICIÓN DE COLOMBIA</t>
  </si>
  <si>
    <t>CORPORACIÓN PARA EL DESARROLLO REGIONAL - CORDESARROLLO</t>
  </si>
  <si>
    <t>FUNDACIÓN NIÑOS DE PAZ</t>
  </si>
  <si>
    <t>CORPORACIÓN JUNTOS CONSTRUYENDO FUTURO</t>
  </si>
  <si>
    <t>FUNDACIÓN EDUCATIVA JOSE EUSTASIO RIVERA</t>
  </si>
  <si>
    <t>ASOCIACIÓN DE VECINOS GRANJAS DE SAN PABLO - ASOVEG</t>
  </si>
  <si>
    <t>CORPORACIÓN AFROCOLOMBIANA SON BATÁ</t>
  </si>
  <si>
    <t>FUNDACIÓN DE PROFESIONNALES PARA EL DESARROLLO Y BIENESTAR DE LA COMUNIDAD</t>
  </si>
  <si>
    <t>CORPORACIÓN EQUIDAD, PAZ Y DESARROLLO SOCIAL</t>
  </si>
  <si>
    <t>FUNDACIÓN SOCIAL Y DEPORTIVA EL PROGRESO</t>
  </si>
  <si>
    <t>ASOCIACIÓN CRECER Y VIVIR</t>
  </si>
  <si>
    <t>ASOCIACIÓN MEGA SALUD</t>
  </si>
  <si>
    <t>FUNDACIÓN PROPAIS COLOMBIA FPC</t>
  </si>
  <si>
    <t>CORPORACIÓN SOCIAL PARA EL DESARROLLO - CORSODE</t>
  </si>
  <si>
    <t>CORPORACIÓN NUEVO DÍA</t>
  </si>
  <si>
    <t>ASOCIACIÓN NACIONAL DE EMPRENDIMIENTO SOCIAL Y CULTURAL DE COLOMBIA - ASONESHCA</t>
  </si>
  <si>
    <t>FUNDACIÓN FECONCER</t>
  </si>
  <si>
    <t>CORPORACIÓN FORJANDO FAMILIAS FELICES</t>
  </si>
  <si>
    <t>JONATTAN CORONADO LOPEZ</t>
  </si>
  <si>
    <t>FUNDACIÓN COTTIRRAWA</t>
  </si>
  <si>
    <t>FUNDACIÓN ITAKA</t>
  </si>
  <si>
    <t>UNIÓN TEMPORAL GENERACIONES 2020</t>
  </si>
  <si>
    <t>FUNDACIÓN PROFESIONALES Y EMPRENDEDORES SOCIALES</t>
  </si>
  <si>
    <t>FUNDACIÓN COMPARTIR</t>
  </si>
  <si>
    <t xml:space="preserve">FUNDACIÓN ANGELES EN EL MANGLAR </t>
  </si>
  <si>
    <t>ASOCIACIÓN EMPRESARIAL DE SUMINISTROS Y SERVICIOS VARIOS</t>
  </si>
  <si>
    <t>FUNDACIÓN NACIONAL BATUTA</t>
  </si>
  <si>
    <t>FUNDACIÓN CHIKIMANIA</t>
  </si>
  <si>
    <t xml:space="preserve">FUNDACIÓN APEGO </t>
  </si>
  <si>
    <t>CABILDO INDÍGENA DEL RESGUARDO DE TÚQUERRES</t>
  </si>
  <si>
    <t xml:space="preserve">FUNDACIÓN ACTIVA TERRITORIO </t>
  </si>
  <si>
    <t>FUNDACIÓN SEMILLAS ORINOQUÍA</t>
  </si>
  <si>
    <t>FUNDACIÓN MERCAJUSTO</t>
  </si>
  <si>
    <t>ASOCIACIÓN PROFAMILIA</t>
  </si>
  <si>
    <t xml:space="preserve">CONSORCIO BARRANQUILLA CON FUTRURO </t>
  </si>
  <si>
    <t>RESULTADO CONSOLIDADO 
PROPUESTA METODOLÓGICA</t>
  </si>
  <si>
    <t>RESULTADO FINAL
COMPONENTE TÉCNICO</t>
  </si>
  <si>
    <t>a</t>
  </si>
  <si>
    <t>b</t>
  </si>
  <si>
    <t>c</t>
  </si>
  <si>
    <t>d</t>
  </si>
  <si>
    <t>e</t>
  </si>
  <si>
    <t>RECHAZADO</t>
  </si>
  <si>
    <t>Resultado
Financiero</t>
  </si>
  <si>
    <t>Resultado
Técnico</t>
  </si>
  <si>
    <t>EVALUACIÓN FINANCIERA</t>
  </si>
  <si>
    <t>Obse</t>
  </si>
  <si>
    <t>CAPACIDAD 
OPERATIVA/PARA CONTRATAR EN SMMLV</t>
  </si>
  <si>
    <t>CAPACIDAD OPERATIVA - Técnica</t>
  </si>
  <si>
    <t>J</t>
  </si>
  <si>
    <t>NO CUMPLE. No aporta acta donde aprueban los estados financieros presentados</t>
  </si>
  <si>
    <t>NO CUMPLE. Subsanó parcial no aporta Estado de Situación financiera firmado por contador,  no aporta acta de aprobación de los estados financieros.</t>
  </si>
  <si>
    <t>NO CUMPLE.  No subsanó todos los documentos solicitados.</t>
  </si>
  <si>
    <t>NO CUMPLE. El indicador de endeudamiento, acorde a la información financiera aportada, es de 0.77 , valor superior al solicitado en la invitación pública.</t>
  </si>
  <si>
    <t>NO CUMPLE. El oferente fue evaluado inicialmente con RUP y no cumplio por indicadores. En la subsanacion aporta estados financieros, los cuales difieren de la informacion reportada en RUP. Además, los estados financieros aportados: No están firmados por el revisor fiscal, presentan inconsistencias de fechas y cifras en el estado de cambios en el patrimonio.</t>
  </si>
  <si>
    <t>NO CUMPLE. El oferente no aportó el Acta de aprobación de financieros requerida en la IP.</t>
  </si>
  <si>
    <t>NO CUMPLE. El oferente no aporta la información relacionada con el revisor fiscal, tampoco los estados financieros dictaminados por este. De acuerdo a los estatutos aportados, la Asociación tiene revisoría fiscal</t>
  </si>
  <si>
    <t>NO CUMPLE. El capital de trabajo no cumple con el rango mínimo de selección (12,5 SMMLV)</t>
  </si>
  <si>
    <t>RECHAZADO. El Oferente presenta doble propuesta 224 y 42</t>
  </si>
  <si>
    <t>NO CUMPLE. El Oferente no aportó:
1. Acta de Asamblea general con aprobación de estados financieros definitivos 2018.
2. Notas de los estados financieros</t>
  </si>
  <si>
    <t>NO CUMPLE. El indicador de capital de trabajo, acorde a la información financiera aportada, es de 2.74 ($2.275.200), valor inferior al solicitado en la invitación pública. Los estados financieros aportados no fueron objeto de verificación  financiera toda vez que ya habian aportado RUP en la evaluación preliminar.</t>
  </si>
  <si>
    <t xml:space="preserve">NO CUMPLE. El oferente allega acta de asamablea para subsanación, pero el contenido del documento no expresa que hayan sido aprobados los estados financieros. </t>
  </si>
  <si>
    <t>NO CUMPLE. Cancela el RUP 30/8/19 y adicional el Esatado de Cambio en el Patrimonio no cumple con lo solicitado Invitación Publica. No aporta Acta de Asamblea.</t>
  </si>
  <si>
    <t>NO CUMPLE. No subsanó lo solicitado:
1, El estado de situación financiera no cumple con la ecuación patrimonial, El activo total presenta un saldo de $102.487.277 y el pasivo y patrimonio suma $99.586.777
2. Acta de Asamblea general</t>
  </si>
  <si>
    <t>NO CUMPLE. El oferente aporta acta de asamablea, pero no aportó estado de flujo efectivo y estado de cambios en el patrimonio paara subsanacion.</t>
  </si>
  <si>
    <t xml:space="preserve">NO CUMPLE. No subsanó lo solicitado (Cerrtificado de la Junta Central de Contadores del Reivisor Fiscal)
</t>
  </si>
  <si>
    <t>NO CUMPLE. La Fundación aportó el estado de flujos de efectivo sin el cumplimiento de los requisitos de certificación que se requiere (no está firmado por el representante Legal y el Revisor fiscal). La certificación a los estados financieros aportada no cumple con los requisitos del Código de comercio.</t>
  </si>
  <si>
    <t>NO CUMPLE. El oferente no aportó estados financieros en forma comparativa</t>
  </si>
  <si>
    <t>NO CUMPLE. No aporta el acta del máximo organo administrativo donde se aprueben los estadas financieros, conforme se solicitó en adenda Nro. 2 de la IP. NOTA. El oferente justifica "Rta: El acta de aprobación de los estados financieros, no se adjuntó por cuanto por la misma estructura de la entidad-Iglesia Católica, no se exige. "</t>
  </si>
  <si>
    <t xml:space="preserve">NO CUMPLE. Una vez verificado que la entidad canceló la inscripción en el rues, debió aportar el acta de asamblea del máximo órgano administrativo, donde se aprueban los estados financieros definitivos.  </t>
  </si>
  <si>
    <t>NO CUMPLE. No allegó dictamen.</t>
  </si>
  <si>
    <t xml:space="preserve">NO CUMPLE. El número de Tarjeta profesional registrada en el certificado de los estados financieros no corresponde al número de tarjeta aportada. </t>
  </si>
  <si>
    <t>El oferente no es objeto de verificación ya que en la invitación no se incluyeron ni consorcios ni uniones temporales</t>
  </si>
  <si>
    <t>NO CUMPLE. El Oferente no aportó:
1. Acta de asamblea
2. Certificado de los estados financieros firmados por el Contador que preparó los estados financieros.
Adicional:
- Los estados financieros estan firmados por el Contador y Revisor Fiscal, con salvedad, sin embargo en el Dictamen no se hace referencia a la Salvedad.</t>
  </si>
  <si>
    <t>NO CUMPLE. No aportó:
1. Acta de Asamblea general</t>
  </si>
  <si>
    <t>NO CUMPLE. El oferente no subsana los aspectos relacionados con el revisor fiscal. Aporta escrito justificando porque no ha nombrado al revisor fiscal contemplado en los estatutos.</t>
  </si>
  <si>
    <t>NO CUMPLE. Los estados financieros no fueron objeto de verificación financiera, toda vez que ya habían aportado el rup en la evaluación preliminar.</t>
  </si>
  <si>
    <t>NO CUMPLE. El Oferente no aportó:
1. Acta de Asamblea general con aprobación de estados financieros 2018.</t>
  </si>
  <si>
    <t>NO CUMPLE. El oferente aporta el mismo RUP donde la información financiera del año 2018 no se encuentra en firme a la fecha de expedición.</t>
  </si>
  <si>
    <t xml:space="preserve">NO CUMPLE. De acuerdo a verificacion fisica, el oferente no aporta estado de cambio en el patrimonio, notas a los estados financieros, tarjetas profesionales de cotador publico, revisor fiscal y el certificado de la Junta Central  de Contadores  </t>
  </si>
  <si>
    <t xml:space="preserve">NO CUMPLE. El estado de la situación financiera, estado de resultado integral, estado de flujos  y estado de cambios en el patrimonio no están en forma comparativa
</t>
  </si>
  <si>
    <t xml:space="preserve">NO CUMPLE. El estado de resultado integral no está comparativo, no adjunta dictamen y/o estatutos.
</t>
  </si>
  <si>
    <t>NO CUMPLE. El RUP aportado contiene la información financiera en proceso de adquirir firmeza, al momento de la expedición del documentos allegado.</t>
  </si>
  <si>
    <t xml:space="preserve">NO CUMPLE. Aporta el certificado de los estados financieros suscritos por el representante legal y contador con fecha febrero de 2019  y el acta de Asamblea Extraordinaria donde se aprueban los estados financieros es de fecha 15 de agosto de 2019. </t>
  </si>
  <si>
    <t>NO CUMPLE. El indicador de capital de trabajo, acorde a la información financiera aportada, es de 11.1 ($9.204.773), valor inferior al solicitado en la invitación pública.</t>
  </si>
  <si>
    <t>NO CUMPLE. Indicador financiero por fuera del rango establecido en invitación.</t>
  </si>
  <si>
    <t>NO SE EVALÚA</t>
  </si>
  <si>
    <t>NO CUMPLE. No allega los documentos completos solicitados para evaluación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</si>
</sst>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41" formatCode="_-* #,##0_-;\-* #,##0_-;_-* &quot;-&quot;_-;_-@_-"/>
    <numFmt numFmtId="164" formatCode="_-&quot;$&quot;\ * #,##0_-;\-&quot;$&quot;\ * #,##0_-;_-&quot;$&quot;\ * &quot;-&quot;_-;_-@_-"/>
    <numFmt numFmtId="165" formatCode="0.0"/>
    <numFmt numFmtId="166" formatCode="_-* #,##0.0_-;\-* #,##0.0_-;_-* &quot;-&quot;_-;_-@_-"/>
    <numFmt numFmtId="167" formatCode="_-* #,##0.00_-;\-* #,##0.00_-;_-* &quot;-&quot;_-;_-@_-"/>
    <numFmt numFmtId="168" formatCode="#,##0.0"/>
    <numFmt numFmtId="169" formatCode="0.0000"/>
    <numFmt numFmtId="170" formatCode="0.0000000000000"/>
    <numFmt numFmtId="171" formatCode="_-* #,##0.0_-;\-* #,##0.0_-;_-*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8"/>
      <color theme="1"/>
      <name val="Arial"/>
      <family val="2"/>
    </font>
    <font>
      <b/>
      <sz val="8"/>
      <color theme="0"/>
      <name val="Arial"/>
      <family val="2"/>
    </font>
    <font>
      <sz val="8"/>
      <name val="Arial"/>
      <family val="2"/>
    </font>
    <font>
      <sz val="8"/>
      <color theme="1"/>
      <name val="Arial"/>
      <family val="2"/>
    </font>
    <font>
      <sz val="8"/>
      <color rgb="FFFF0000"/>
      <name val="Arial"/>
      <family val="2"/>
    </font>
    <font>
      <b/>
      <sz val="10"/>
      <name val="Calibri"/>
      <family val="2"/>
      <scheme val="minor"/>
    </font>
    <font>
      <b/>
      <sz val="9"/>
      <name val="Calibri"/>
      <family val="2"/>
      <scheme val="minor"/>
    </font>
    <font>
      <sz val="14"/>
      <name val="Arial"/>
      <family val="2"/>
    </font>
    <font>
      <sz val="11"/>
      <name val="Arial"/>
      <family val="2"/>
    </font>
    <font>
      <b/>
      <sz val="16"/>
      <name val="Arial"/>
      <family val="2"/>
    </font>
    <font>
      <b/>
      <sz val="9"/>
      <name val="Arial"/>
      <family val="2"/>
    </font>
    <font>
      <b/>
      <sz val="11"/>
      <name val="Arial"/>
      <family val="2"/>
    </font>
    <font>
      <b/>
      <sz val="10"/>
      <name val="Arial"/>
      <family val="2"/>
    </font>
  </fonts>
  <fills count="11">
    <fill>
      <patternFill patternType="none"/>
    </fill>
    <fill>
      <patternFill patternType="gray125"/>
    </fill>
    <fill>
      <patternFill patternType="solid">
        <fgColor theme="9" tint="0.39997558519241921"/>
        <bgColor indexed="64"/>
      </patternFill>
    </fill>
    <fill>
      <patternFill patternType="solid">
        <fgColor theme="9"/>
        <bgColor theme="9"/>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style="thin">
        <color theme="9" tint="0.79998168889431442"/>
      </right>
      <top/>
      <bottom/>
      <diagonal/>
    </border>
    <border>
      <left style="thin">
        <color theme="9" tint="0.79998168889431442"/>
      </left>
      <right style="thin">
        <color theme="9" tint="0.79998168889431442"/>
      </right>
      <top/>
      <bottom/>
      <diagonal/>
    </border>
    <border>
      <left style="thin">
        <color theme="9" tint="0.79998168889431442"/>
      </left>
      <right/>
      <top/>
      <bottom/>
      <diagonal/>
    </border>
    <border>
      <left style="thin">
        <color theme="9" tint="0.79998168889431442"/>
      </left>
      <right style="thin">
        <color theme="9" tint="0.79998168889431442"/>
      </right>
      <top style="thin">
        <color theme="9" tint="0.39997558519241921"/>
      </top>
      <bottom style="thin">
        <color theme="9" tint="0.39997558519241921"/>
      </bottom>
      <diagonal/>
    </border>
    <border>
      <left style="thin">
        <color theme="9" tint="0.79998168889431442"/>
      </left>
      <right style="thin">
        <color theme="9" tint="0.39997558519241921"/>
      </right>
      <top style="thin">
        <color theme="9" tint="0.39997558519241921"/>
      </top>
      <bottom style="thin">
        <color theme="9" tint="0.3999755851924192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41"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2" xfId="0" applyBorder="1" applyAlignment="1" applyProtection="1">
      <alignment horizontal="center" vertical="center" wrapText="1"/>
    </xf>
    <xf numFmtId="0" fontId="0" fillId="2" borderId="2" xfId="0" applyFill="1" applyBorder="1" applyAlignment="1" applyProtection="1">
      <alignment horizontal="center" vertical="center"/>
    </xf>
    <xf numFmtId="0" fontId="0" fillId="0" borderId="3" xfId="0"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0" borderId="0" xfId="0" applyProtection="1"/>
    <xf numFmtId="0" fontId="0" fillId="0" borderId="0" xfId="0" applyAlignment="1" applyProtection="1">
      <alignment vertical="center"/>
    </xf>
    <xf numFmtId="41" fontId="0" fillId="0" borderId="0" xfId="1" applyFont="1" applyAlignment="1" applyProtection="1">
      <alignment vertical="center"/>
    </xf>
    <xf numFmtId="0" fontId="0" fillId="0" borderId="0" xfId="0" applyAlignment="1" applyProtection="1">
      <alignment vertical="center" wrapText="1"/>
    </xf>
    <xf numFmtId="164" fontId="0" fillId="4" borderId="0" xfId="2" applyFont="1" applyFill="1" applyAlignment="1" applyProtection="1">
      <alignment vertical="center"/>
      <protection locked="0"/>
    </xf>
    <xf numFmtId="164" fontId="0" fillId="0" borderId="0" xfId="2" applyFont="1" applyAlignment="1" applyProtection="1">
      <alignment vertical="center"/>
    </xf>
    <xf numFmtId="0" fontId="0" fillId="4" borderId="0" xfId="0" applyFill="1" applyAlignment="1" applyProtection="1">
      <alignment vertical="center"/>
    </xf>
    <xf numFmtId="9" fontId="0" fillId="5" borderId="0" xfId="3" applyFont="1" applyFill="1" applyAlignment="1" applyProtection="1">
      <alignment horizontal="center" vertical="center"/>
    </xf>
    <xf numFmtId="166" fontId="0" fillId="5" borderId="0" xfId="1" applyNumberFormat="1" applyFont="1" applyFill="1" applyAlignment="1" applyProtection="1">
      <alignment horizontal="center" vertical="center"/>
    </xf>
    <xf numFmtId="164" fontId="0" fillId="5" borderId="0" xfId="2" applyFont="1" applyFill="1" applyAlignment="1" applyProtection="1">
      <alignment vertical="center"/>
    </xf>
    <xf numFmtId="167" fontId="0" fillId="6" borderId="0" xfId="1" applyNumberFormat="1" applyFont="1" applyFill="1" applyAlignment="1" applyProtection="1">
      <alignment horizontal="center" vertical="center"/>
    </xf>
    <xf numFmtId="10" fontId="0" fillId="6" borderId="0" xfId="3" applyNumberFormat="1" applyFont="1" applyFill="1" applyAlignment="1" applyProtection="1">
      <alignment vertical="center"/>
    </xf>
    <xf numFmtId="167" fontId="0" fillId="6" borderId="0" xfId="1" applyNumberFormat="1" applyFont="1" applyFill="1" applyAlignment="1" applyProtection="1">
      <alignment vertical="center"/>
    </xf>
    <xf numFmtId="164" fontId="0" fillId="6" borderId="0" xfId="2" applyFont="1" applyFill="1" applyAlignment="1" applyProtection="1">
      <alignment vertical="center"/>
    </xf>
    <xf numFmtId="0" fontId="0" fillId="0" borderId="0" xfId="0" applyNumberFormat="1" applyAlignment="1" applyProtection="1">
      <alignment horizontal="center" vertical="center"/>
    </xf>
    <xf numFmtId="0" fontId="0" fillId="4" borderId="0" xfId="0" applyNumberFormat="1" applyFill="1" applyAlignment="1" applyProtection="1">
      <alignment vertical="center"/>
      <protection locked="0"/>
    </xf>
    <xf numFmtId="164" fontId="0" fillId="0" borderId="0" xfId="2" applyNumberFormat="1" applyFont="1" applyAlignment="1" applyProtection="1">
      <alignment vertical="center"/>
    </xf>
    <xf numFmtId="0" fontId="0" fillId="0" borderId="0" xfId="0" applyAlignment="1" applyProtection="1">
      <alignment wrapText="1"/>
    </xf>
    <xf numFmtId="0" fontId="0" fillId="7" borderId="0" xfId="0" applyFill="1"/>
    <xf numFmtId="0" fontId="0" fillId="8" borderId="0" xfId="0" applyFill="1"/>
    <xf numFmtId="164" fontId="0" fillId="8" borderId="0" xfId="2" applyFont="1" applyFill="1"/>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3" fontId="5" fillId="0" borderId="9" xfId="0"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0" fontId="6" fillId="0" borderId="10" xfId="0" applyFont="1" applyFill="1" applyBorder="1" applyAlignment="1" applyProtection="1">
      <alignment horizontal="center" vertical="center" wrapText="1"/>
    </xf>
    <xf numFmtId="9" fontId="6" fillId="0" borderId="10" xfId="3" applyFont="1" applyFill="1" applyBorder="1" applyAlignment="1" applyProtection="1">
      <alignment horizontal="center"/>
      <protection locked="0"/>
    </xf>
    <xf numFmtId="168" fontId="5" fillId="0" borderId="11" xfId="0" applyNumberFormat="1" applyFont="1" applyFill="1" applyBorder="1" applyAlignment="1" applyProtection="1">
      <alignment horizontal="center"/>
    </xf>
    <xf numFmtId="4" fontId="7" fillId="0" borderId="0" xfId="0" applyNumberFormat="1" applyFont="1" applyBorder="1" applyProtection="1">
      <protection locked="0"/>
    </xf>
    <xf numFmtId="3" fontId="5" fillId="0" borderId="12" xfId="0" applyNumberFormat="1" applyFont="1" applyFill="1" applyBorder="1" applyAlignment="1" applyProtection="1">
      <alignment horizontal="center"/>
    </xf>
    <xf numFmtId="3" fontId="5" fillId="0" borderId="13" xfId="0" applyNumberFormat="1" applyFont="1" applyFill="1" applyBorder="1" applyAlignment="1" applyProtection="1">
      <alignment horizontal="center"/>
    </xf>
    <xf numFmtId="0" fontId="6" fillId="0" borderId="13" xfId="0" applyFont="1" applyFill="1" applyBorder="1" applyAlignment="1" applyProtection="1">
      <alignment horizontal="center" vertical="center" wrapText="1"/>
    </xf>
    <xf numFmtId="9" fontId="6" fillId="0" borderId="13" xfId="3" applyFont="1" applyFill="1" applyBorder="1" applyAlignment="1" applyProtection="1">
      <alignment horizontal="center"/>
      <protection locked="0"/>
    </xf>
    <xf numFmtId="168" fontId="5" fillId="0" borderId="14" xfId="0" applyNumberFormat="1" applyFont="1" applyFill="1" applyBorder="1" applyAlignment="1" applyProtection="1">
      <alignment horizontal="center"/>
    </xf>
    <xf numFmtId="0" fontId="0" fillId="0" borderId="0" xfId="0" applyAlignment="1" applyProtection="1">
      <alignment horizontal="center"/>
    </xf>
    <xf numFmtId="0" fontId="0" fillId="0" borderId="0" xfId="0" applyAlignment="1"/>
    <xf numFmtId="164" fontId="0" fillId="0" borderId="0" xfId="2" applyFont="1" applyAlignment="1" applyProtection="1">
      <alignment horizontal="center" vertical="center"/>
    </xf>
    <xf numFmtId="0" fontId="9" fillId="6" borderId="15" xfId="0" applyFont="1" applyFill="1" applyBorder="1" applyAlignment="1" applyProtection="1">
      <alignment horizontal="center" vertical="center" wrapText="1"/>
      <protection locked="0"/>
    </xf>
    <xf numFmtId="0" fontId="11" fillId="9" borderId="0" xfId="0" applyFont="1" applyFill="1" applyAlignment="1" applyProtection="1">
      <alignment vertical="center"/>
    </xf>
    <xf numFmtId="0" fontId="14" fillId="6" borderId="10" xfId="0" applyFont="1" applyFill="1" applyBorder="1" applyAlignment="1" applyProtection="1">
      <alignment horizontal="center" vertical="center" wrapText="1"/>
    </xf>
    <xf numFmtId="0" fontId="14" fillId="10" borderId="10" xfId="0" applyFont="1" applyFill="1" applyBorder="1" applyAlignment="1" applyProtection="1">
      <alignment horizontal="center" vertical="center" wrapText="1"/>
    </xf>
    <xf numFmtId="1" fontId="11" fillId="9" borderId="0" xfId="0" applyNumberFormat="1" applyFont="1" applyFill="1" applyAlignment="1" applyProtection="1">
      <alignment horizontal="center" vertical="center"/>
    </xf>
    <xf numFmtId="0" fontId="11" fillId="9" borderId="0" xfId="0" applyFont="1" applyFill="1" applyAlignment="1" applyProtection="1">
      <alignment horizontal="center" vertical="center"/>
    </xf>
    <xf numFmtId="165" fontId="0" fillId="5" borderId="0" xfId="0" applyNumberFormat="1" applyFill="1" applyAlignment="1" applyProtection="1">
      <alignment horizontal="center" vertical="center"/>
    </xf>
    <xf numFmtId="0" fontId="0" fillId="0" borderId="0" xfId="0" applyFill="1" applyAlignment="1" applyProtection="1">
      <alignment vertical="center"/>
    </xf>
    <xf numFmtId="41" fontId="0" fillId="0" borderId="0" xfId="1" applyFont="1" applyFill="1" applyAlignment="1" applyProtection="1">
      <alignment vertical="center"/>
    </xf>
    <xf numFmtId="0" fontId="0" fillId="0" borderId="0" xfId="0" applyFill="1" applyAlignment="1" applyProtection="1">
      <alignment vertical="center" wrapText="1"/>
    </xf>
    <xf numFmtId="164" fontId="0" fillId="0" borderId="0" xfId="2" applyNumberFormat="1" applyFont="1" applyFill="1" applyAlignment="1" applyProtection="1">
      <alignment vertical="center"/>
      <protection locked="0"/>
    </xf>
    <xf numFmtId="165" fontId="0" fillId="0" borderId="0" xfId="0" applyNumberFormat="1" applyFill="1" applyAlignment="1" applyProtection="1">
      <alignment horizontal="center" vertical="center"/>
    </xf>
    <xf numFmtId="164" fontId="0" fillId="0" borderId="0" xfId="2" applyFont="1" applyFill="1" applyAlignment="1" applyProtection="1">
      <alignment vertical="center"/>
      <protection locked="0"/>
    </xf>
    <xf numFmtId="164" fontId="0" fillId="0" borderId="0" xfId="2" applyNumberFormat="1" applyFont="1" applyFill="1" applyAlignment="1" applyProtection="1">
      <alignment vertical="center"/>
    </xf>
    <xf numFmtId="164" fontId="0" fillId="0" borderId="0" xfId="2" applyFont="1" applyFill="1" applyAlignment="1" applyProtection="1">
      <alignment vertical="center"/>
    </xf>
    <xf numFmtId="164" fontId="0" fillId="0" borderId="0" xfId="2" applyNumberFormat="1" applyFont="1" applyFill="1" applyAlignment="1" applyProtection="1">
      <alignment horizontal="center" vertical="center"/>
    </xf>
    <xf numFmtId="9" fontId="0" fillId="0" borderId="0" xfId="3" applyNumberFormat="1" applyFont="1" applyFill="1" applyAlignment="1" applyProtection="1">
      <alignment horizontal="center" vertical="center"/>
    </xf>
    <xf numFmtId="166" fontId="0" fillId="0" borderId="0" xfId="1" applyNumberFormat="1" applyFont="1" applyFill="1" applyAlignment="1" applyProtection="1">
      <alignment horizontal="center" vertical="center"/>
    </xf>
    <xf numFmtId="167" fontId="0" fillId="0" borderId="0" xfId="1" applyNumberFormat="1" applyFont="1" applyFill="1" applyAlignment="1" applyProtection="1">
      <alignment horizontal="center" vertical="center"/>
    </xf>
    <xf numFmtId="10" fontId="0" fillId="0" borderId="0" xfId="3" applyNumberFormat="1" applyFont="1" applyFill="1" applyAlignment="1" applyProtection="1">
      <alignment vertical="center"/>
    </xf>
    <xf numFmtId="167" fontId="0" fillId="0" borderId="0" xfId="1" applyNumberFormat="1" applyFont="1" applyFill="1" applyAlignment="1" applyProtection="1">
      <alignment vertical="center"/>
    </xf>
    <xf numFmtId="0" fontId="0" fillId="0" borderId="0" xfId="0" applyNumberFormat="1" applyFill="1" applyAlignment="1" applyProtection="1">
      <alignment horizontal="center" vertical="center"/>
    </xf>
    <xf numFmtId="0" fontId="0" fillId="0" borderId="0" xfId="0" applyFill="1" applyProtection="1"/>
    <xf numFmtId="0" fontId="8" fillId="6" borderId="10"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vertical="center" wrapText="1"/>
      <protection locked="0"/>
    </xf>
    <xf numFmtId="0" fontId="0" fillId="0" borderId="10" xfId="0" applyFont="1" applyFill="1" applyBorder="1" applyAlignment="1" applyProtection="1">
      <alignment horizontal="center"/>
    </xf>
    <xf numFmtId="8" fontId="0" fillId="0" borderId="10" xfId="0" applyNumberFormat="1" applyFont="1" applyFill="1" applyBorder="1" applyAlignment="1" applyProtection="1">
      <alignment horizontal="center" vertical="center"/>
    </xf>
    <xf numFmtId="169" fontId="0" fillId="0" borderId="10" xfId="0" applyNumberFormat="1" applyFont="1" applyFill="1" applyBorder="1" applyAlignment="1" applyProtection="1">
      <alignment horizontal="center" vertical="center"/>
    </xf>
    <xf numFmtId="0" fontId="0" fillId="0" borderId="10" xfId="0" applyFont="1" applyBorder="1" applyAlignment="1">
      <alignment horizontal="center"/>
    </xf>
    <xf numFmtId="0" fontId="0" fillId="0" borderId="10" xfId="0" applyFont="1" applyFill="1" applyBorder="1" applyAlignment="1">
      <alignment horizontal="center"/>
    </xf>
    <xf numFmtId="169" fontId="0" fillId="0" borderId="10" xfId="0" applyNumberFormat="1" applyFont="1" applyFill="1" applyBorder="1" applyAlignment="1">
      <alignment horizontal="center" vertical="center"/>
    </xf>
    <xf numFmtId="8" fontId="0" fillId="0" borderId="10" xfId="0" applyNumberFormat="1" applyFont="1" applyFill="1" applyBorder="1" applyAlignment="1">
      <alignment horizontal="center" vertical="center"/>
    </xf>
    <xf numFmtId="6" fontId="0" fillId="0" borderId="10" xfId="0" applyNumberFormat="1" applyFont="1" applyFill="1" applyBorder="1" applyAlignment="1" applyProtection="1">
      <alignment horizontal="center" vertical="center"/>
    </xf>
    <xf numFmtId="6" fontId="0" fillId="0" borderId="10" xfId="0" applyNumberFormat="1" applyFont="1" applyFill="1" applyBorder="1" applyAlignment="1">
      <alignment horizontal="center" vertical="center"/>
    </xf>
    <xf numFmtId="165" fontId="0" fillId="4" borderId="0" xfId="0" applyNumberFormat="1" applyFill="1" applyAlignment="1" applyProtection="1">
      <alignment horizontal="center" vertical="center"/>
    </xf>
    <xf numFmtId="0" fontId="0" fillId="0" borderId="0" xfId="0" applyAlignment="1" applyProtection="1">
      <alignment horizontal="center" vertical="center" wrapText="1"/>
    </xf>
    <xf numFmtId="164" fontId="0" fillId="0" borderId="0" xfId="2" applyFont="1" applyFill="1"/>
    <xf numFmtId="0" fontId="0" fillId="0" borderId="0" xfId="0" applyFill="1"/>
    <xf numFmtId="166" fontId="0" fillId="0" borderId="0" xfId="1" applyNumberFormat="1" applyFont="1" applyAlignment="1" applyProtection="1">
      <alignment vertical="center"/>
    </xf>
    <xf numFmtId="170" fontId="0" fillId="0" borderId="0" xfId="0" applyNumberFormat="1" applyProtection="1"/>
    <xf numFmtId="0" fontId="11" fillId="9" borderId="10" xfId="0" applyFont="1" applyFill="1" applyBorder="1" applyAlignment="1" applyProtection="1">
      <alignment horizontal="center" vertical="center" wrapText="1"/>
    </xf>
    <xf numFmtId="3" fontId="11" fillId="9" borderId="10" xfId="0" applyNumberFormat="1" applyFont="1" applyFill="1" applyBorder="1" applyAlignment="1" applyProtection="1">
      <alignment horizontal="center" vertical="center"/>
    </xf>
    <xf numFmtId="0" fontId="11" fillId="9" borderId="10" xfId="0" applyFont="1" applyFill="1" applyBorder="1" applyAlignment="1" applyProtection="1">
      <alignment horizontal="left" vertical="center" wrapText="1"/>
    </xf>
    <xf numFmtId="2" fontId="11" fillId="9" borderId="10" xfId="0" applyNumberFormat="1" applyFont="1" applyFill="1" applyBorder="1" applyAlignment="1" applyProtection="1">
      <alignment horizontal="center" vertical="center"/>
    </xf>
    <xf numFmtId="0" fontId="14" fillId="9" borderId="10" xfId="0" applyFont="1" applyFill="1" applyBorder="1" applyAlignment="1" applyProtection="1">
      <alignment horizontal="center" vertical="center" wrapText="1"/>
    </xf>
    <xf numFmtId="10" fontId="11" fillId="9" borderId="10" xfId="3" applyNumberFormat="1" applyFont="1" applyFill="1" applyBorder="1" applyAlignment="1" applyProtection="1">
      <alignment horizontal="center" vertical="center" wrapText="1"/>
    </xf>
    <xf numFmtId="166" fontId="11" fillId="9" borderId="10" xfId="1" applyNumberFormat="1" applyFont="1" applyFill="1" applyBorder="1" applyAlignment="1" applyProtection="1">
      <alignment horizontal="center" vertical="center" wrapText="1"/>
    </xf>
    <xf numFmtId="0" fontId="14" fillId="9" borderId="10" xfId="0" applyFont="1" applyFill="1" applyBorder="1" applyAlignment="1" applyProtection="1">
      <alignment horizontal="center" vertical="center"/>
    </xf>
    <xf numFmtId="0" fontId="11" fillId="9" borderId="10" xfId="0" applyFont="1" applyFill="1" applyBorder="1" applyAlignment="1" applyProtection="1">
      <alignment vertical="center" wrapText="1"/>
    </xf>
    <xf numFmtId="166" fontId="11" fillId="9" borderId="10" xfId="1" applyNumberFormat="1" applyFont="1" applyFill="1" applyBorder="1" applyAlignment="1" applyProtection="1">
      <alignment horizontal="center" vertical="center"/>
    </xf>
    <xf numFmtId="0" fontId="0" fillId="7" borderId="10" xfId="0" applyFont="1" applyFill="1" applyBorder="1" applyAlignment="1" applyProtection="1">
      <alignment horizontal="center" vertical="center"/>
    </xf>
    <xf numFmtId="0" fontId="0" fillId="7" borderId="10" xfId="0" applyFont="1" applyFill="1" applyBorder="1" applyAlignment="1">
      <alignment horizontal="center" vertical="center"/>
    </xf>
    <xf numFmtId="0" fontId="0" fillId="0" borderId="0" xfId="0" applyNumberFormat="1" applyAlignment="1" applyProtection="1">
      <alignment vertical="center"/>
    </xf>
    <xf numFmtId="165" fontId="11" fillId="9" borderId="10" xfId="0" applyNumberFormat="1" applyFont="1" applyFill="1" applyBorder="1" applyAlignment="1" applyProtection="1">
      <alignment horizontal="center" vertical="center"/>
    </xf>
    <xf numFmtId="171" fontId="11" fillId="9" borderId="0" xfId="0" applyNumberFormat="1" applyFont="1" applyFill="1" applyAlignment="1" applyProtection="1">
      <alignment vertical="center"/>
    </xf>
    <xf numFmtId="0" fontId="11" fillId="9" borderId="10" xfId="3" applyNumberFormat="1" applyFont="1" applyFill="1" applyBorder="1" applyAlignment="1" applyProtection="1">
      <alignment horizontal="center" vertical="center" wrapText="1"/>
    </xf>
    <xf numFmtId="0" fontId="11" fillId="9" borderId="10" xfId="1" applyNumberFormat="1" applyFont="1" applyFill="1" applyBorder="1" applyAlignment="1" applyProtection="1">
      <alignment horizontal="center" vertical="center" wrapText="1"/>
    </xf>
    <xf numFmtId="0" fontId="15" fillId="6" borderId="13" xfId="0" applyFont="1" applyFill="1" applyBorder="1" applyAlignment="1" applyProtection="1">
      <alignment horizontal="center" vertical="center" wrapText="1"/>
    </xf>
    <xf numFmtId="0" fontId="15" fillId="6" borderId="7" xfId="0" applyFont="1" applyFill="1" applyBorder="1" applyAlignment="1" applyProtection="1">
      <alignment horizontal="center" vertical="center" wrapText="1"/>
    </xf>
    <xf numFmtId="0" fontId="14" fillId="6" borderId="13" xfId="0" applyFont="1" applyFill="1" applyBorder="1" applyAlignment="1" applyProtection="1">
      <alignment horizontal="center" vertical="center" wrapText="1"/>
    </xf>
    <xf numFmtId="0" fontId="14" fillId="6" borderId="7" xfId="0" applyFont="1" applyFill="1" applyBorder="1" applyAlignment="1" applyProtection="1">
      <alignment horizontal="center" vertical="center" wrapText="1"/>
    </xf>
    <xf numFmtId="0" fontId="10" fillId="9" borderId="0" xfId="0" applyFont="1" applyFill="1" applyBorder="1" applyAlignment="1" applyProtection="1">
      <alignment horizontal="center" vertical="center" wrapText="1"/>
    </xf>
    <xf numFmtId="0" fontId="12" fillId="9" borderId="0" xfId="0" applyFont="1" applyFill="1" applyBorder="1" applyAlignment="1" applyProtection="1">
      <alignment horizontal="center" vertical="center" wrapText="1"/>
    </xf>
    <xf numFmtId="0" fontId="13" fillId="6" borderId="13" xfId="0"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xf>
    <xf numFmtId="1" fontId="14" fillId="6" borderId="10" xfId="0" applyNumberFormat="1" applyFont="1" applyFill="1" applyBorder="1" applyAlignment="1" applyProtection="1">
      <alignment horizontal="center" vertical="center"/>
    </xf>
    <xf numFmtId="0" fontId="14" fillId="6" borderId="10" xfId="0" applyFont="1" applyFill="1" applyBorder="1" applyAlignment="1" applyProtection="1">
      <alignment horizontal="center" vertical="center"/>
    </xf>
    <xf numFmtId="0" fontId="14" fillId="6" borderId="11" xfId="0" applyFont="1" applyFill="1" applyBorder="1" applyAlignment="1" applyProtection="1">
      <alignment horizontal="center" vertical="center"/>
    </xf>
    <xf numFmtId="0" fontId="14" fillId="6" borderId="9" xfId="0" applyFont="1" applyFill="1" applyBorder="1" applyAlignment="1" applyProtection="1">
      <alignment horizontal="center" vertical="center"/>
    </xf>
    <xf numFmtId="0" fontId="14" fillId="6" borderId="11" xfId="0" applyFont="1" applyFill="1" applyBorder="1" applyAlignment="1" applyProtection="1">
      <alignment horizontal="center" vertical="center" wrapText="1"/>
    </xf>
    <xf numFmtId="0" fontId="14" fillId="6" borderId="9" xfId="0" applyFont="1" applyFill="1" applyBorder="1" applyAlignment="1" applyProtection="1">
      <alignment horizontal="center" vertical="center" wrapText="1"/>
    </xf>
    <xf numFmtId="0" fontId="14" fillId="10" borderId="13" xfId="0" applyFont="1" applyFill="1" applyBorder="1" applyAlignment="1" applyProtection="1">
      <alignment horizontal="center" vertical="center" wrapText="1"/>
    </xf>
    <xf numFmtId="0" fontId="14" fillId="10" borderId="7" xfId="0" applyFont="1" applyFill="1" applyBorder="1" applyAlignment="1" applyProtection="1">
      <alignment horizontal="center" vertical="center" wrapText="1"/>
    </xf>
  </cellXfs>
  <cellStyles count="4">
    <cellStyle name="Millares [0]" xfId="1" builtinId="6"/>
    <cellStyle name="Moneda [0]" xfId="2" builtinId="7"/>
    <cellStyle name="Normal" xfId="0" builtinId="0"/>
    <cellStyle name="Porcentaje" xfId="3" builtinId="5"/>
  </cellStyles>
  <dxfs count="65">
    <dxf>
      <fill>
        <patternFill patternType="none">
          <fgColor indexed="64"/>
          <bgColor auto="1"/>
        </patternFill>
      </fill>
    </dxf>
    <dxf>
      <font>
        <b val="0"/>
        <i val="0"/>
        <strike val="0"/>
        <condense val="0"/>
        <extend val="0"/>
        <outline val="0"/>
        <shadow val="0"/>
        <u val="none"/>
        <vertAlign val="baseline"/>
        <sz val="8"/>
        <color auto="1"/>
        <name val="Arial"/>
        <family val="2"/>
        <scheme val="none"/>
      </font>
      <numFmt numFmtId="168" formatCode="#,##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8"/>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numFmt numFmtId="0" formatCode="General"/>
      <alignment horizontal="general" vertical="center" textRotation="0" indent="0" justifyLastLine="0" shrinkToFit="0" readingOrder="0"/>
      <protection locked="1" hidden="0"/>
    </dxf>
    <dxf>
      <numFmt numFmtId="0" formatCode="General"/>
      <alignment horizontal="general" vertical="center" textRotation="0" indent="0" justifyLastLine="0" shrinkToFit="0" readingOrder="0"/>
      <protection locked="1" hidden="0"/>
    </dxf>
    <dxf>
      <numFmt numFmtId="166" formatCode="_-* #,##0.0_-;\-* #,##0.0_-;_-* &quot;-&quot;_-;_-@_-"/>
      <alignment horizontal="general" vertical="center" textRotation="0" indent="0" justifyLastLine="0" shrinkToFit="0" readingOrder="0"/>
      <protection locked="1" hidden="0"/>
    </dxf>
    <dxf>
      <numFmt numFmtId="0" formatCode="General"/>
      <alignment horizontal="general" vertical="center" textRotation="0" indent="0" justifyLastLine="0" shrinkToFit="0" readingOrder="0"/>
      <protection locked="1" hidden="0"/>
    </dxf>
    <dxf>
      <numFmt numFmtId="0" formatCode="General"/>
      <alignment horizontal="general" vertical="center" textRotation="0" indent="0" justifyLastLine="0" shrinkToFit="0" readingOrder="0"/>
      <protection locked="1" hidden="0"/>
    </dxf>
    <dxf>
      <numFmt numFmtId="0" formatCode="General"/>
      <alignment horizontal="general" vertical="center" textRotation="0" indent="0" justifyLastLine="0" shrinkToFit="0" readingOrder="0"/>
      <protection locked="1" hidden="0"/>
    </dxf>
    <dxf>
      <numFmt numFmtId="0" formatCode="General"/>
      <alignment horizontal="general" vertical="center" textRotation="0" indent="0" justifyLastLine="0" shrinkToFit="0" readingOrder="0"/>
      <protection locked="1" hidden="0"/>
    </dxf>
    <dxf>
      <numFmt numFmtId="0" formatCode="General"/>
      <alignment horizontal="general" vertical="center" textRotation="0" indent="0" justifyLastLine="0" shrinkToFit="0" readingOrder="0"/>
      <protection locked="1" hidden="0"/>
    </dxf>
    <dxf>
      <numFmt numFmtId="0" formatCode="General"/>
      <fill>
        <patternFill patternType="solid">
          <fgColor indexed="64"/>
          <bgColor theme="7" tint="0.79998168889431442"/>
        </patternFill>
      </fill>
      <alignment horizontal="general"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1" hidden="0"/>
    </dxf>
    <dxf>
      <numFmt numFmtId="0" formatCode="General"/>
      <alignment horizontal="center" vertical="center" textRotation="0" wrapText="0" indent="0" justifyLastLine="0" shrinkToFit="0" readingOrder="0"/>
      <protection locked="1" hidden="0"/>
    </dxf>
    <dxf>
      <numFmt numFmtId="0" formatCode="General"/>
      <alignment horizontal="center" vertical="center" textRotation="0" wrapText="0" indent="0" justifyLastLine="0" shrinkToFit="0" readingOrder="0"/>
      <protection locked="1" hidden="0"/>
    </dxf>
    <dxf>
      <numFmt numFmtId="0" formatCode="General"/>
      <alignment horizontal="center" vertical="center" textRotation="0" wrapText="0" indent="0" justifyLastLine="0" shrinkToFit="0" readingOrder="0"/>
      <protection locked="1" hidden="0"/>
    </dxf>
    <dxf>
      <numFmt numFmtId="165" formatCode="0.0"/>
      <fill>
        <patternFill patternType="solid">
          <fgColor indexed="64"/>
          <bgColor theme="7" tint="0.79998168889431442"/>
        </patternFill>
      </fill>
      <alignment horizontal="center" vertical="center" textRotation="0" wrapText="0" indent="0" justifyLastLine="0" shrinkToFit="0" readingOrder="0"/>
      <protection locked="1" hidden="0"/>
    </dxf>
    <dxf>
      <numFmt numFmtId="164" formatCode="_-&quot;$&quot;\ * #,##0_-;\-&quot;$&quot;\ * #,##0_-;_-&quot;$&quot;\ * &quot;-&quot;_-;_-@_-"/>
      <fill>
        <patternFill patternType="solid">
          <fgColor indexed="64"/>
          <bgColor theme="7" tint="0.79998168889431442"/>
        </patternFill>
      </fill>
      <alignment horizontal="general" vertical="center" textRotation="0" wrapText="0" indent="0" justifyLastLine="0" shrinkToFit="0" readingOrder="0"/>
      <protection locked="0" hidden="0"/>
    </dxf>
    <dxf>
      <fill>
        <patternFill patternType="solid">
          <fgColor indexed="64"/>
          <bgColor theme="9" tint="0.79998168889431442"/>
        </patternFill>
      </fill>
      <alignment horizontal="general" vertical="center" textRotation="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7" formatCode="_-* #,##0.00_-;\-* #,##0.00_-;_-* &quot;-&quot;_-;_-@_-"/>
      <fill>
        <patternFill patternType="solid">
          <fgColor indexed="64"/>
          <bgColor theme="9" tint="0.79998168889431442"/>
        </patternFill>
      </fill>
      <alignment horizontal="general" vertical="center" textRotation="0" wrapText="0" indent="0" justifyLastLine="0" shrinkToFit="0" readingOrder="0"/>
      <protection locked="1" hidden="0"/>
    </dxf>
    <dxf>
      <numFmt numFmtId="14" formatCode="0.00%"/>
      <fill>
        <patternFill patternType="solid">
          <fgColor indexed="64"/>
          <bgColor theme="9" tint="0.79998168889431442"/>
        </patternFill>
      </fill>
      <alignment horizontal="general" vertical="center" textRotation="0" indent="0" justifyLastLine="0" shrinkToFit="0" readingOrder="0"/>
      <protection locked="1" hidden="0"/>
    </dxf>
    <dxf>
      <numFmt numFmtId="167" formatCode="_-* #,##0.00_-;\-* #,##0.00_-;_-* &quot;-&quot;_-;_-@_-"/>
      <fill>
        <patternFill patternType="solid">
          <fgColor indexed="64"/>
          <bgColor theme="9"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_-&quot;$&quot;\ * #,##0_-;\-&quot;$&quot;\ * #,##0_-;_-&quot;$&quot;\ * &quot;-&quot;_-;_-@_-"/>
      <fill>
        <patternFill patternType="solid">
          <fgColor indexed="64"/>
          <bgColor theme="8" tint="0.79998168889431442"/>
        </patternFill>
      </fill>
      <alignment horizontal="general" vertical="center" textRotation="0" wrapText="0" indent="0" justifyLastLine="0" shrinkToFit="0" readingOrder="0"/>
      <protection locked="1" hidden="0"/>
    </dxf>
    <dxf>
      <numFmt numFmtId="164" formatCode="_-&quot;$&quot;\ * #,##0_-;\-&quot;$&quot;\ * #,##0_-;_-&quot;$&quot;\ * &quot;-&quot;_-;_-@_-"/>
      <fill>
        <patternFill patternType="solid">
          <fgColor indexed="64"/>
          <bgColor theme="8" tint="0.79998168889431442"/>
        </patternFill>
      </fill>
      <alignment horizontal="general" vertical="center" textRotation="0" indent="0" justifyLastLine="0" shrinkToFit="0" readingOrder="0"/>
      <protection locked="1" hidden="0"/>
    </dxf>
    <dxf>
      <numFmt numFmtId="166" formatCode="_-* #,##0.0_-;\-* #,##0.0_-;_-* &quot;-&quot;_-;_-@_-"/>
      <fill>
        <patternFill patternType="solid">
          <fgColor indexed="64"/>
          <bgColor theme="8" tint="0.79998168889431442"/>
        </patternFill>
      </fill>
      <alignment horizontal="center" vertical="center" textRotation="0" wrapText="0" indent="0" justifyLastLine="0" shrinkToFit="0" readingOrder="0"/>
      <protection locked="1" hidden="0"/>
    </dxf>
    <dxf>
      <numFmt numFmtId="13" formatCode="0%"/>
      <fill>
        <patternFill patternType="solid">
          <fgColor indexed="64"/>
          <bgColor theme="8" tint="0.79998168889431442"/>
        </patternFill>
      </fill>
      <alignment horizontal="center" vertical="center" textRotation="0" wrapText="0" indent="0" justifyLastLine="0" shrinkToFit="0" readingOrder="0"/>
      <protection locked="1" hidden="0"/>
    </dxf>
    <dxf>
      <numFmt numFmtId="165" formatCode="0.0"/>
      <fill>
        <patternFill patternType="solid">
          <fgColor indexed="64"/>
          <bgColor theme="8" tint="0.79998168889431442"/>
        </patternFill>
      </fill>
      <alignment horizontal="center" vertical="center" textRotation="0" wrapText="0" indent="0" justifyLastLine="0" shrinkToFit="0" readingOrder="0"/>
      <protection locked="1" hidden="0"/>
    </dxf>
    <dxf>
      <fill>
        <patternFill patternType="solid">
          <fgColor indexed="64"/>
          <bgColor theme="7" tint="0.79998168889431442"/>
        </patternFill>
      </fill>
      <alignment horizontal="general" vertical="center" textRotation="0" indent="0" justifyLastLine="0" shrinkToFit="0" readingOrder="0"/>
      <protection locked="1" hidden="0"/>
    </dxf>
    <dxf>
      <fill>
        <patternFill patternType="solid">
          <fgColor indexed="64"/>
          <bgColor theme="7" tint="0.79998168889431442"/>
        </patternFill>
      </fill>
      <alignment horizontal="general" vertical="center" textRotation="0" indent="0" justifyLastLine="0" shrinkToFit="0" readingOrder="0"/>
      <protection locked="1" hidden="0"/>
    </dxf>
    <dxf>
      <numFmt numFmtId="164" formatCode="_-&quot;$&quot;\ * #,##0_-;\-&quot;$&quot;\ * #,##0_-;_-&quot;$&quot;\ * &quot;-&quot;_-;_-@_-"/>
      <alignment horizontal="center" vertical="center" textRotation="0" wrapText="0" indent="0" justifyLastLine="0" shrinkToFit="0" readingOrder="0"/>
      <protection locked="1" hidden="0"/>
    </dxf>
    <dxf>
      <alignment horizontal="general" vertical="center" textRotation="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_-&quot;$&quot;\ * #,##0_-;\-&quot;$&quot;\ * #,##0_-;_-&quot;$&quot;\ * &quot;-&quot;_-;_-@_-"/>
      <alignment horizontal="general" vertical="center" textRotation="0" wrapText="0" indent="0" justifyLastLine="0" shrinkToFit="0" readingOrder="0"/>
      <protection locked="1" hidden="0"/>
    </dxf>
    <dxf>
      <fill>
        <patternFill patternType="solid">
          <fgColor indexed="64"/>
          <bgColor theme="7" tint="0.79998168889431442"/>
        </patternFill>
      </fill>
      <alignment horizontal="general" vertical="center" textRotation="0" indent="0" justifyLastLine="0" shrinkToFit="0" readingOrder="0"/>
      <protection locked="0" hidden="0"/>
    </dxf>
    <dxf>
      <fill>
        <patternFill patternType="solid">
          <fgColor indexed="64"/>
          <bgColor theme="7" tint="0.79998168889431442"/>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64" formatCode="_-&quot;$&quot;\ * #,##0_-;\-&quot;$&quot;\ * #,##0_-;_-&quot;$&quot;\ * &quot;-&quot;_-;_-@_-"/>
      <alignment horizontal="general" vertical="center" textRotation="0" wrapText="0" indent="0" justifyLastLine="0" shrinkToFit="0" readingOrder="0"/>
      <protection locked="1" hidden="0"/>
    </dxf>
    <dxf>
      <fill>
        <patternFill patternType="solid">
          <fgColor indexed="64"/>
          <bgColor theme="7" tint="0.79998168889431442"/>
        </patternFill>
      </fill>
      <alignment horizontal="general" vertical="center" textRotation="0" indent="0" justifyLastLine="0" shrinkToFit="0" readingOrder="0"/>
      <protection locked="0" hidden="0"/>
    </dxf>
    <dxf>
      <fill>
        <patternFill patternType="solid">
          <fgColor indexed="64"/>
          <bgColor theme="7" tint="0.79998168889431442"/>
        </patternFill>
      </fill>
      <alignment horizontal="general" vertical="center" textRotation="0" indent="0" justifyLastLine="0" shrinkToFit="0" readingOrder="0"/>
      <protection locked="0" hidden="0"/>
    </dxf>
    <dxf>
      <alignment horizontal="general" vertical="center" textRotation="0" wrapText="1" indent="0" justifyLastLine="0" shrinkToFit="0" readingOrder="0"/>
      <protection locked="1" hidden="0"/>
    </dxf>
    <dxf>
      <alignment horizontal="general" vertical="center" textRotation="0" indent="0" justifyLastLine="0" shrinkToFit="0" readingOrder="0"/>
      <protection locked="1" hidden="0"/>
    </dxf>
    <dxf>
      <alignment horizontal="general" vertical="center" textRotation="0" indent="0" justifyLastLine="0" shrinkToFit="0" readingOrder="0"/>
      <protection locked="1" hidden="0"/>
    </dxf>
    <dxf>
      <alignment horizontal="general" vertical="center" textRotation="0" indent="0" justifyLastLine="0" shrinkToFit="0" readingOrder="0"/>
      <protection locked="1" hidden="0"/>
    </dxf>
    <dxf>
      <alignment horizontal="center" vertical="center" textRotation="0" indent="0" justifyLastLine="0" shrinkToFit="0" readingOrder="0"/>
      <protection locked="1" hidden="0"/>
    </dxf>
    <dxf>
      <font>
        <b/>
        <i val="0"/>
        <color rgb="FFC00000"/>
      </font>
      <fill>
        <patternFill>
          <bgColor theme="5" tint="0.79998168889431442"/>
        </patternFill>
      </fill>
    </dxf>
    <dxf>
      <font>
        <b/>
        <i val="0"/>
        <color rgb="FFC00000"/>
      </font>
      <fill>
        <patternFill>
          <bgColor theme="5" tint="0.79998168889431442"/>
        </patternFill>
      </fill>
    </dxf>
    <dxf>
      <font>
        <b/>
        <i val="0"/>
        <color rgb="FFC00000"/>
      </font>
      <fill>
        <patternFill>
          <bgColor theme="5" tint="0.79998168889431442"/>
        </patternFill>
      </fill>
    </dxf>
    <dxf>
      <font>
        <b/>
        <i val="0"/>
        <color rgb="FFC00000"/>
      </font>
      <fill>
        <patternFill>
          <bgColor theme="5" tint="0.79998168889431442"/>
        </patternFill>
      </fill>
    </dxf>
    <dxf>
      <font>
        <b/>
        <i val="0"/>
        <color rgb="FFC00000"/>
      </font>
      <fill>
        <patternFill>
          <bgColor theme="5" tint="0.79998168889431442"/>
        </patternFill>
      </fill>
    </dxf>
    <dxf>
      <font>
        <b/>
        <i val="0"/>
        <color rgb="FFC00000"/>
      </font>
      <fill>
        <patternFill>
          <bgColor theme="5" tint="0.79998168889431442"/>
        </patternFill>
      </fill>
    </dxf>
    <dxf>
      <font>
        <b/>
        <i val="0"/>
        <color rgb="FFC00000"/>
      </font>
      <fill>
        <patternFill>
          <bgColor theme="5" tint="0.79998168889431442"/>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30</xdr:col>
      <xdr:colOff>561975</xdr:colOff>
      <xdr:row>0</xdr:row>
      <xdr:rowOff>142875</xdr:rowOff>
    </xdr:from>
    <xdr:to>
      <xdr:col>32</xdr:col>
      <xdr:colOff>66675</xdr:colOff>
      <xdr:row>0</xdr:row>
      <xdr:rowOff>390526</xdr:rowOff>
    </xdr:to>
    <xdr:sp macro="" textlink="">
      <xdr:nvSpPr>
        <xdr:cNvPr id="2" name="Rectángulo: esquinas redondeadas 1">
          <a:extLst>
            <a:ext uri="{FF2B5EF4-FFF2-40B4-BE49-F238E27FC236}">
              <a16:creationId xmlns:a16="http://schemas.microsoft.com/office/drawing/2014/main" id="{F1E43D08-DE55-43EC-AD74-D46C3AA6158D}"/>
            </a:ext>
          </a:extLst>
        </xdr:cNvPr>
        <xdr:cNvSpPr/>
      </xdr:nvSpPr>
      <xdr:spPr>
        <a:xfrm>
          <a:off x="50453925" y="142875"/>
          <a:ext cx="1028700" cy="2476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38</xdr:col>
      <xdr:colOff>220134</xdr:colOff>
      <xdr:row>0</xdr:row>
      <xdr:rowOff>57151</xdr:rowOff>
    </xdr:from>
    <xdr:to>
      <xdr:col>45</xdr:col>
      <xdr:colOff>124229</xdr:colOff>
      <xdr:row>11</xdr:row>
      <xdr:rowOff>51496</xdr:rowOff>
    </xdr:to>
    <xdr:pic>
      <xdr:nvPicPr>
        <xdr:cNvPr id="3" name="Imagen 2">
          <a:extLst>
            <a:ext uri="{FF2B5EF4-FFF2-40B4-BE49-F238E27FC236}">
              <a16:creationId xmlns:a16="http://schemas.microsoft.com/office/drawing/2014/main" id="{229A44CE-FA17-4986-8CEF-7FC27CD0E6AC}"/>
            </a:ext>
          </a:extLst>
        </xdr:cNvPr>
        <xdr:cNvPicPr>
          <a:picLocks noChangeAspect="1"/>
        </xdr:cNvPicPr>
      </xdr:nvPicPr>
      <xdr:blipFill>
        <a:blip xmlns:r="http://schemas.openxmlformats.org/officeDocument/2006/relationships" r:embed="rId1"/>
        <a:stretch>
          <a:fillRect/>
        </a:stretch>
      </xdr:blipFill>
      <xdr:spPr>
        <a:xfrm>
          <a:off x="45442717" y="57151"/>
          <a:ext cx="5238095" cy="29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619125</xdr:colOff>
      <xdr:row>25</xdr:row>
      <xdr:rowOff>85725</xdr:rowOff>
    </xdr:from>
    <xdr:to>
      <xdr:col>8</xdr:col>
      <xdr:colOff>208933</xdr:colOff>
      <xdr:row>39</xdr:row>
      <xdr:rowOff>56820</xdr:rowOff>
    </xdr:to>
    <xdr:pic>
      <xdr:nvPicPr>
        <xdr:cNvPr id="2" name="Imagen 1">
          <a:extLst>
            <a:ext uri="{FF2B5EF4-FFF2-40B4-BE49-F238E27FC236}">
              <a16:creationId xmlns:a16="http://schemas.microsoft.com/office/drawing/2014/main" id="{7AC34771-F2B1-446E-B87A-40089E00D37A}"/>
            </a:ext>
          </a:extLst>
        </xdr:cNvPr>
        <xdr:cNvPicPr>
          <a:picLocks noChangeAspect="1"/>
        </xdr:cNvPicPr>
      </xdr:nvPicPr>
      <xdr:blipFill>
        <a:blip xmlns:r="http://schemas.openxmlformats.org/officeDocument/2006/relationships" r:embed="rId1"/>
        <a:stretch>
          <a:fillRect/>
        </a:stretch>
      </xdr:blipFill>
      <xdr:spPr>
        <a:xfrm>
          <a:off x="5295900" y="5067300"/>
          <a:ext cx="4933333" cy="2638095"/>
        </a:xfrm>
        <a:prstGeom prst="rect">
          <a:avLst/>
        </a:prstGeom>
      </xdr:spPr>
    </xdr:pic>
    <xdr:clientData/>
  </xdr:twoCellAnchor>
  <xdr:twoCellAnchor editAs="oneCell">
    <xdr:from>
      <xdr:col>0</xdr:col>
      <xdr:colOff>0</xdr:colOff>
      <xdr:row>23</xdr:row>
      <xdr:rowOff>0</xdr:rowOff>
    </xdr:from>
    <xdr:to>
      <xdr:col>4</xdr:col>
      <xdr:colOff>561320</xdr:colOff>
      <xdr:row>38</xdr:row>
      <xdr:rowOff>47262</xdr:rowOff>
    </xdr:to>
    <xdr:pic>
      <xdr:nvPicPr>
        <xdr:cNvPr id="3" name="Imagen 2">
          <a:extLst>
            <a:ext uri="{FF2B5EF4-FFF2-40B4-BE49-F238E27FC236}">
              <a16:creationId xmlns:a16="http://schemas.microsoft.com/office/drawing/2014/main" id="{92A53D08-C74A-4820-B977-FFD070036FAD}"/>
            </a:ext>
          </a:extLst>
        </xdr:cNvPr>
        <xdr:cNvPicPr>
          <a:picLocks noChangeAspect="1"/>
        </xdr:cNvPicPr>
      </xdr:nvPicPr>
      <xdr:blipFill>
        <a:blip xmlns:r="http://schemas.openxmlformats.org/officeDocument/2006/relationships" r:embed="rId2"/>
        <a:stretch>
          <a:fillRect/>
        </a:stretch>
      </xdr:blipFill>
      <xdr:spPr>
        <a:xfrm>
          <a:off x="0" y="4600575"/>
          <a:ext cx="5238095" cy="29047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oponentes" displayName="Proponentes" ref="A1:AK329" totalsRowShown="0" headerRowDxfId="50" dataDxfId="49">
  <autoFilter ref="A1:AK329" xr:uid="{00000000-0009-0000-0100-000001000000}"/>
  <tableColumns count="37">
    <tableColumn id="1" xr3:uid="{00000000-0010-0000-0000-000001000000}" name="Propuesta" dataDxfId="48"/>
    <tableColumn id="2" xr3:uid="{00000000-0010-0000-0000-000002000000}" name="Nit" dataDxfId="47" dataCellStyle="Millares [0]"/>
    <tableColumn id="3" xr3:uid="{00000000-0010-0000-0000-000003000000}" name="Nombre del Oferente" dataDxfId="46"/>
    <tableColumn id="7" xr3:uid="{00000000-0010-0000-0000-000007000000}" name="Activo Corriente" dataDxfId="45" dataCellStyle="Moneda [0]"/>
    <tableColumn id="8" xr3:uid="{00000000-0010-0000-0000-000008000000}" name="Activo NO Corriente" dataDxfId="44" dataCellStyle="Moneda [0]"/>
    <tableColumn id="13" xr3:uid="{00000000-0010-0000-0000-00000D000000}" name="Total ACTIVO" dataDxfId="43" dataCellStyle="Moneda [0]">
      <calculatedColumnFormula>Proponentes[[#This Row],[Activo Corriente]]+Proponentes[[#This Row],[Activo NO Corriente]]</calculatedColumnFormula>
    </tableColumn>
    <tableColumn id="9" xr3:uid="{00000000-0010-0000-0000-000009000000}" name="Pasivo Corriente" dataDxfId="42" dataCellStyle="Moneda [0]"/>
    <tableColumn id="10" xr3:uid="{00000000-0010-0000-0000-00000A000000}" name="Pasivo NO Corriente" dataDxfId="41" dataCellStyle="Moneda [0]"/>
    <tableColumn id="14" xr3:uid="{00000000-0010-0000-0000-00000E000000}" name="Total Pasivo" dataDxfId="40" dataCellStyle="Moneda [0]">
      <calculatedColumnFormula>Proponentes[[#This Row],[Pasivo Corriente]]+Proponentes[[#This Row],[Pasivo NO Corriente]]</calculatedColumnFormula>
    </tableColumn>
    <tableColumn id="11" xr3:uid="{00000000-0010-0000-0000-00000B000000}" name="Patrimonio" dataDxfId="39" dataCellStyle="Moneda [0]">
      <calculatedColumnFormula>Proponentes[[#This Row],[Total ACTIVO]]-Proponentes[[#This Row],[Total Pasivo]]</calculatedColumnFormula>
    </tableColumn>
    <tableColumn id="12" xr3:uid="{00000000-0010-0000-0000-00000C000000}" name="Capacidad para Contratar" dataDxfId="38" dataCellStyle="Moneda [0]">
      <calculatedColumnFormula>VLOOKUP(Proponentes[[#This Row],[Propuesta]],Hoja2!$A$2:$G$239,7,FALSE)</calculatedColumnFormula>
    </tableColumn>
    <tableColumn id="15" xr3:uid="{00000000-0010-0000-0000-00000F000000}" name="Observaciones" dataDxfId="37"/>
    <tableColumn id="16" xr3:uid="{00000000-0010-0000-0000-000010000000}" name="Consolidado General" dataDxfId="36"/>
    <tableColumn id="17" xr3:uid="{00000000-0010-0000-0000-000011000000}" name="Liquidez_x000a_Según Tabla" dataDxfId="35">
      <calculatedColumnFormula>IFERROR(VLOOKUP(Proponentes[[#This Row],[Cap Op en SMMLV]],Base!$A$15:$F$20,3),0)</calculatedColumnFormula>
    </tableColumn>
    <tableColumn id="18" xr3:uid="{00000000-0010-0000-0000-000012000000}" name="Endeudamiento_x000a_Según Tabla" dataDxfId="34" dataCellStyle="Porcentaje">
      <calculatedColumnFormula>IFERROR(VLOOKUP(Proponentes[[#This Row],[Cap Op en SMMLV]],Base!$A$15:$F$20,4),0)</calculatedColumnFormula>
    </tableColumn>
    <tableColumn id="19" xr3:uid="{00000000-0010-0000-0000-000013000000}" name="Capital de Trabajo_x000a_en SMMLV Según Tabla" dataDxfId="33" dataCellStyle="Millares [0]">
      <calculatedColumnFormula>IFERROR(VLOOKUP(Proponentes[[#This Row],[Cap Op en SMMLV]],Tabla2[],6),0)</calculatedColumnFormula>
    </tableColumn>
    <tableColumn id="20" xr3:uid="{00000000-0010-0000-0000-000014000000}" name="Capital de Trabajo_x000a_en $ Según Tabla" dataDxfId="32" dataCellStyle="Moneda [0]">
      <calculatedColumnFormula>IFERROR(VLOOKUP(Proponentes[[#This Row],[Cap Op en SMMLV]],Base!$A$15:$F$20,5),0)</calculatedColumnFormula>
    </tableColumn>
    <tableColumn id="34" xr3:uid="{00000000-0010-0000-0000-000022000000}" name="Columna3" dataDxfId="31" dataCellStyle="Moneda [0]">
      <calculatedColumnFormula>IFERROR(VLOOKUP(Proponentes[[#This Row],[Cap Op en SMMLV]],Tabla2[[DE]:[HASTA]],2),0)</calculatedColumnFormula>
    </tableColumn>
    <tableColumn id="21" xr3:uid="{00000000-0010-0000-0000-000015000000}" name="Liquidez_x000a_Oferente" dataDxfId="30" dataCellStyle="Millares [0]">
      <calculatedColumnFormula>IFERROR(Proponentes[[#This Row],[Activo Corriente]]/Proponentes[[#This Row],[Pasivo Corriente]],"INDETERMINADO")</calculatedColumnFormula>
    </tableColumn>
    <tableColumn id="22" xr3:uid="{00000000-0010-0000-0000-000016000000}" name="Endeudamiento_x000a_Oferente" dataDxfId="29" dataCellStyle="Porcentaje">
      <calculatedColumnFormula>IFERROR(Proponentes[[#This Row],[Total Pasivo]]/Proponentes[[#This Row],[Total ACTIVO]],0)</calculatedColumnFormula>
    </tableColumn>
    <tableColumn id="28" xr3:uid="{00000000-0010-0000-0000-00001C000000}" name="Capital de Trabajo_x000a_en SMMLV Oferente" dataDxfId="28" dataCellStyle="Millares [0]">
      <calculatedColumnFormula>(Proponentes[[#This Row],[Activo Corriente]]-Proponentes[[#This Row],[Pasivo Corriente]])/Base!$B$3</calculatedColumnFormula>
    </tableColumn>
    <tableColumn id="23" xr3:uid="{00000000-0010-0000-0000-000017000000}" name="Capital de Trabajo_x000a_Oferente" dataDxfId="27" dataCellStyle="Moneda [0]">
      <calculatedColumnFormula>Proponentes[[#This Row],[Activo Corriente]]-Proponentes[[#This Row],[Pasivo Corriente]]</calculatedColumnFormula>
    </tableColumn>
    <tableColumn id="4" xr3:uid="{00000000-0010-0000-0000-000004000000}" name="Cap Op en Pesos" dataDxfId="26" dataCellStyle="Moneda [0]">
      <calculatedColumnFormula>IFERROR(VLOOKUP(Proponentes[[#This Row],[Propuesta]],Hoja2!$A$2:$G$329,7,FALSE),0)</calculatedColumnFormula>
    </tableColumn>
    <tableColumn id="5" xr3:uid="{00000000-0010-0000-0000-000005000000}" name="Cap Op en SMMLV" dataDxfId="25" dataCellStyle="Moneda [0]">
      <calculatedColumnFormula>IF(Proponentes[[#This Row],[Cap Op en Pesos]]=0,0,IF(Proponentes[[#This Row],[Cap Op en Pesos]]=0,1,Proponentes[[#This Row],[Cap Op en Pesos]]/Base!B$3))</calculatedColumnFormula>
    </tableColumn>
    <tableColumn id="24" xr3:uid="{00000000-0010-0000-0000-000018000000}" name="Cumple_x000a_Liquidez" dataDxfId="24">
      <calculatedColumnFormula>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calculatedColumnFormula>
    </tableColumn>
    <tableColumn id="25" xr3:uid="{00000000-0010-0000-0000-000019000000}" name="Cumple_x000a_Endeudamiento" dataDxfId="23">
      <calculatedColumnFormula>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calculatedColumnFormula>
    </tableColumn>
    <tableColumn id="26" xr3:uid="{00000000-0010-0000-0000-00001A000000}" name="Cumple_x000a_Capital de Trabajo" dataDxfId="22">
      <calculatedColumnFormula>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calculatedColumnFormula>
    </tableColumn>
    <tableColumn id="6" xr3:uid="{00000000-0010-0000-0000-000006000000}" name="Resultado_x000a_Financiero" dataDxfId="21">
      <calculatedColumnFormula>IF(AND(Proponentes[[#This Row],[Cumple
Liquidez]]="CUMPLE",Proponentes[[#This Row],[Cumple
Endeudamiento]]="CUMPLE",Proponentes[[#This Row],[Cumple
Capital de Trabajo]]="CUMPLE"),"CUMPLE","NO CUMPLE")</calculatedColumnFormula>
    </tableColumn>
    <tableColumn id="27" xr3:uid="{00000000-0010-0000-0000-00001B000000}" name="OSERVACIONES" dataDxfId="20"/>
    <tableColumn id="36" xr3:uid="{00000000-0010-0000-0000-000024000000}" name="a" dataDxfId="19">
      <calculatedColumnFormula>IF(Proponentes[[#This Row],[Liquidez
Oferente]]&lt;=1,1,IF(Proponentes[[#This Row],[Liquidez
Oferente]]&lt;=1.1,2,IF(Proponentes[[#This Row],[Liquidez
Oferente]]&lt;=1.2,3,IF(Proponentes[[#This Row],[Liquidez
Oferente]]&lt;=1.3,4,IF(Proponentes[[#This Row],[Liquidez
Oferente]]&lt;=1.4,5,6)))))</calculatedColumnFormula>
    </tableColumn>
    <tableColumn id="37" xr3:uid="{00000000-0010-0000-0000-000025000000}" name="b" dataDxfId="18">
      <calculatedColumnFormula>IF(Proponentes[[#This Row],[Endeudamiento
Oferente]]&lt;=66%,6,IF(Proponentes[[#This Row],[Endeudamiento
Oferente]]&lt;=58,5,IF(Proponentes[[#This Row],[Endeudamiento
Oferente]]&lt;=70,4,IF(Proponentes[[#This Row],[Endeudamiento
Oferente]]&lt;=72,3,IF(Proponentes[[#This Row],[Endeudamiento
Oferente]]&lt;=74,2,1)))))</calculatedColumnFormula>
    </tableColumn>
    <tableColumn id="38" xr3:uid="{00000000-0010-0000-0000-000026000000}" name="c" dataDxfId="17">
      <calculatedColumnFormula>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calculatedColumnFormula>
    </tableColumn>
    <tableColumn id="39" xr3:uid="{00000000-0010-0000-0000-000027000000}" name="d" dataDxfId="16">
      <calculatedColumnFormula>IF(Proponentes[[#This Row],[Cap Op en SMMLV]]&lt;=500,1,IF(Proponentes[[#This Row],[Cap Op en SMMLV]]&lt;=1000,2,IF(Proponentes[[#This Row],[Cap Op en SMMLV]]&lt;=1500,3,IF(Proponentes[[#This Row],[Cap Op en SMMLV]]&lt;=2000,4,IF(Proponentes[[#This Row],[Cap Op en SMMLV]]&lt;=2500,5,6)))))</calculatedColumnFormula>
    </tableColumn>
    <tableColumn id="40" xr3:uid="{00000000-0010-0000-0000-000028000000}" name="e" dataDxfId="15">
      <calculatedColumnFormula>MIN(Proponentes[[#This Row],[a]:[d]])</calculatedColumnFormula>
    </tableColumn>
    <tableColumn id="41" xr3:uid="{00000000-0010-0000-0000-000029000000}" name="Columna1" dataDxfId="14" dataCellStyle="Millares [0]">
      <calculatedColumnFormula>IF(Proponentes[[#This Row],[e]]=Proponentes[[#This Row],[d]],Proponentes[[#This Row],[Cap Op en SMMLV]],VLOOKUP(Proponentes[[#This Row],[e]],Base!$D$1:$E$6,2,FALSE))</calculatedColumnFormula>
    </tableColumn>
    <tableColumn id="29" xr3:uid="{00000000-0010-0000-0000-00001D000000}" name="Resultado_x000a_Técnico" dataDxfId="13">
      <calculatedColumnFormula>VLOOKUP(Proponentes[[#This Row],[Propuesta]],Hoja2!$A$2:$D$329,4,FALSE)</calculatedColumnFormula>
    </tableColumn>
    <tableColumn id="30" xr3:uid="{00000000-0010-0000-0000-00001E000000}" name="Obse" dataDxfId="1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A14:G20" totalsRowShown="0" headerRowDxfId="11" dataDxfId="9" headerRowBorderDxfId="10" tableBorderDxfId="8" totalsRowBorderDxfId="7">
  <autoFilter ref="A14:G20" xr:uid="{00000000-0009-0000-0100-000002000000}"/>
  <tableColumns count="7">
    <tableColumn id="1" xr3:uid="{00000000-0010-0000-0100-000001000000}" name="DE" dataDxfId="6"/>
    <tableColumn id="2" xr3:uid="{00000000-0010-0000-0100-000002000000}" name="HASTA" dataDxfId="5"/>
    <tableColumn id="3" xr3:uid="{00000000-0010-0000-0100-000003000000}" name="Índice Liquidez_x000a_&gt;=" dataDxfId="4"/>
    <tableColumn id="4" xr3:uid="{00000000-0010-0000-0100-000004000000}" name="Nivel de_x000a_Endeudamiento" dataDxfId="3"/>
    <tableColumn id="5" xr3:uid="{00000000-0010-0000-0100-000005000000}" name="CAPITAL DE TRABAJO_x000a_Mayor o Igual a" dataDxfId="2"/>
    <tableColumn id="6" xr3:uid="{00000000-0010-0000-0100-000006000000}" name="CAPITAL DE_x000a_TRABAJO SMMLV" dataDxfId="1">
      <calculatedColumnFormula>E15/$B$3</calculatedColumnFormula>
    </tableColumn>
    <tableColumn id="7" xr3:uid="{00000000-0010-0000-0100-000007000000}" name="Columna1" dataDxfId="0"/>
  </tableColumns>
  <tableStyleInfo name="TableStyleMedium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6">
    <pageSetUpPr fitToPage="1"/>
  </sheetPr>
  <dimension ref="A1:N333"/>
  <sheetViews>
    <sheetView tabSelected="1" topLeftCell="A16" zoomScale="90" zoomScaleNormal="90" workbookViewId="0">
      <selection activeCell="C25" sqref="C25"/>
    </sheetView>
  </sheetViews>
  <sheetFormatPr baseColWidth="10" defaultColWidth="4.1640625" defaultRowHeight="14" x14ac:dyDescent="0.2"/>
  <cols>
    <col min="1" max="1" width="11.6640625" style="50" bestFit="1" customWidth="1"/>
    <col min="2" max="2" width="17.1640625" style="53" customWidth="1"/>
    <col min="3" max="3" width="53.5" style="50" customWidth="1"/>
    <col min="4" max="4" width="19.1640625" style="54" hidden="1" customWidth="1"/>
    <col min="5" max="5" width="17.5" style="54" customWidth="1"/>
    <col min="6" max="6" width="17.5" style="54" hidden="1" customWidth="1"/>
    <col min="7" max="7" width="17.5" style="54" customWidth="1"/>
    <col min="8" max="8" width="17.5" style="54" hidden="1" customWidth="1"/>
    <col min="9" max="9" width="17.5" style="54" customWidth="1"/>
    <col min="10" max="10" width="24.33203125" style="54" customWidth="1"/>
    <col min="11" max="11" width="16.1640625" style="54" customWidth="1"/>
    <col min="12" max="12" width="24.33203125" style="54" hidden="1" customWidth="1"/>
    <col min="13" max="13" width="58" style="50" customWidth="1"/>
    <col min="14" max="14" width="10" style="50" customWidth="1"/>
    <col min="15" max="16384" width="4.1640625" style="50"/>
  </cols>
  <sheetData>
    <row r="1" spans="1:14" ht="111" customHeight="1" x14ac:dyDescent="0.2">
      <c r="A1" s="110" t="s">
        <v>572</v>
      </c>
      <c r="B1" s="110"/>
      <c r="C1" s="110"/>
      <c r="D1" s="110"/>
      <c r="E1" s="110"/>
      <c r="F1" s="110"/>
      <c r="G1" s="110"/>
      <c r="H1" s="110"/>
      <c r="I1" s="110"/>
      <c r="J1" s="110"/>
      <c r="K1" s="110"/>
      <c r="L1" s="110"/>
      <c r="M1" s="110"/>
    </row>
    <row r="2" spans="1:14" ht="20.25" customHeight="1" x14ac:dyDescent="0.2">
      <c r="A2" s="111" t="s">
        <v>573</v>
      </c>
      <c r="B2" s="111"/>
      <c r="C2" s="111"/>
      <c r="D2" s="111"/>
      <c r="E2" s="111"/>
      <c r="F2" s="111"/>
      <c r="G2" s="111"/>
      <c r="H2" s="111"/>
      <c r="I2" s="111"/>
      <c r="J2" s="111"/>
      <c r="K2" s="111"/>
      <c r="L2" s="111"/>
      <c r="M2" s="111"/>
    </row>
    <row r="3" spans="1:14" ht="20.25" customHeight="1" x14ac:dyDescent="0.2">
      <c r="A3" s="111" t="s">
        <v>574</v>
      </c>
      <c r="B3" s="111"/>
      <c r="C3" s="111"/>
      <c r="D3" s="111"/>
      <c r="E3" s="111"/>
      <c r="F3" s="111"/>
      <c r="G3" s="111"/>
      <c r="H3" s="111"/>
      <c r="I3" s="111"/>
      <c r="J3" s="111"/>
      <c r="K3" s="111"/>
      <c r="L3" s="111"/>
      <c r="M3" s="111"/>
    </row>
    <row r="4" spans="1:14" ht="26.25" customHeight="1" x14ac:dyDescent="0.2">
      <c r="A4" s="112" t="s">
        <v>575</v>
      </c>
      <c r="B4" s="114" t="s">
        <v>480</v>
      </c>
      <c r="C4" s="115" t="s">
        <v>2</v>
      </c>
      <c r="D4" s="116" t="s">
        <v>576</v>
      </c>
      <c r="E4" s="117"/>
      <c r="F4" s="116" t="s">
        <v>577</v>
      </c>
      <c r="G4" s="117"/>
      <c r="H4" s="118" t="s">
        <v>578</v>
      </c>
      <c r="I4" s="119"/>
      <c r="J4" s="120" t="s">
        <v>774</v>
      </c>
      <c r="K4" s="106" t="s">
        <v>776</v>
      </c>
      <c r="L4" s="106" t="s">
        <v>777</v>
      </c>
      <c r="M4" s="108" t="s">
        <v>579</v>
      </c>
    </row>
    <row r="5" spans="1:14" ht="26.25" customHeight="1" x14ac:dyDescent="0.2">
      <c r="A5" s="113"/>
      <c r="B5" s="114"/>
      <c r="C5" s="115"/>
      <c r="D5" s="51" t="s">
        <v>580</v>
      </c>
      <c r="E5" s="52" t="s">
        <v>581</v>
      </c>
      <c r="F5" s="51" t="s">
        <v>580</v>
      </c>
      <c r="G5" s="52" t="s">
        <v>581</v>
      </c>
      <c r="H5" s="51" t="s">
        <v>580</v>
      </c>
      <c r="I5" s="52" t="s">
        <v>581</v>
      </c>
      <c r="J5" s="121"/>
      <c r="K5" s="107"/>
      <c r="L5" s="107"/>
      <c r="M5" s="109"/>
      <c r="N5" s="50" t="s">
        <v>778</v>
      </c>
    </row>
    <row r="6" spans="1:14" ht="27" customHeight="1" x14ac:dyDescent="0.2">
      <c r="A6" s="89">
        <v>1</v>
      </c>
      <c r="B6" s="90">
        <v>900745755</v>
      </c>
      <c r="C6" s="91" t="s">
        <v>26</v>
      </c>
      <c r="D6" s="92">
        <f>VLOOKUP(A6,Proponentes[#Data],19,FALSE)</f>
        <v>6.1866311961832361</v>
      </c>
      <c r="E6" s="93" t="s">
        <v>470</v>
      </c>
      <c r="F6" s="94" t="s">
        <v>470</v>
      </c>
      <c r="G6" s="93" t="s">
        <v>470</v>
      </c>
      <c r="H6" s="95" t="s">
        <v>470</v>
      </c>
      <c r="I6" s="93" t="s">
        <v>470</v>
      </c>
      <c r="J6" s="96" t="str">
        <f>IF(M6&lt;&gt;"","NO CUMPLE",IF(AND(E6="CUMPLE",G6="CUMPLE",I6="CUMPLE"),"CUMPLE","NO CUMPLE"))</f>
        <v>NO CUMPLE</v>
      </c>
      <c r="K6" s="98">
        <f>VLOOKUP(A6,Proponentes[#Data],35,FALSE)</f>
        <v>288.80764513655225</v>
      </c>
      <c r="L6" s="102">
        <f>VLOOKUP(A6,Hoja2!$A$2:$F$329,6,FALSE)</f>
        <v>288.80764513655225</v>
      </c>
      <c r="M6" s="97" t="str">
        <f>VLOOKUP(A6,Proponentes[#Data],29,FALSE)</f>
        <v>NO CUMPLE. No aporta acta donde aprueban los estados financieros presentados</v>
      </c>
      <c r="N6" s="103">
        <f>K6-L6</f>
        <v>0</v>
      </c>
    </row>
    <row r="7" spans="1:14" ht="27" customHeight="1" x14ac:dyDescent="0.2">
      <c r="A7" s="89">
        <v>2</v>
      </c>
      <c r="B7" s="90">
        <v>800217959</v>
      </c>
      <c r="C7" s="91" t="s">
        <v>29</v>
      </c>
      <c r="D7" s="92">
        <f>VLOOKUP(A7,Proponentes[#Data],19,FALSE)</f>
        <v>3.8132013478604434</v>
      </c>
      <c r="E7" s="93" t="str">
        <f>VLOOKUP(A7,Proponentes[#Data],25,FALSE)</f>
        <v>CUMPLE</v>
      </c>
      <c r="F7" s="94">
        <f>VLOOKUP(A7,Proponentes[#Data],20,FALSE)</f>
        <v>0.14323852620094552</v>
      </c>
      <c r="G7" s="93" t="str">
        <f>VLOOKUP(A7,Proponentes[#Data],26,FALSE)</f>
        <v>NO CUMPLE</v>
      </c>
      <c r="H7" s="95">
        <f>VLOOKUP(A7,Proponentes[#Data],21,FALSE)</f>
        <v>292.90054050398737</v>
      </c>
      <c r="I7" s="93" t="str">
        <f>VLOOKUP(A7,Proponentes[#Data],27,FALSE)</f>
        <v>CUMPLE</v>
      </c>
      <c r="J7" s="96" t="str">
        <f t="shared" ref="J7:J70" si="0">IF(M7&lt;&gt;"","NO CUMPLE",IF(AND(E7="CUMPLE",G7="CUMPLE",I7="CUMPLE"),"CUMPLE","NO CUMPLE"))</f>
        <v>NO CUMPLE</v>
      </c>
      <c r="K7" s="98">
        <f>VLOOKUP(A7,Proponentes[#Data],35,FALSE)</f>
        <v>0</v>
      </c>
      <c r="L7" s="102">
        <f>VLOOKUP(A7,Hoja2!$A$2:$F$329,6,FALSE)</f>
        <v>0</v>
      </c>
      <c r="M7" s="97" t="s">
        <v>814</v>
      </c>
      <c r="N7" s="103">
        <f t="shared" ref="N7:N70" si="1">K7-L7</f>
        <v>0</v>
      </c>
    </row>
    <row r="8" spans="1:14" ht="27" customHeight="1" x14ac:dyDescent="0.2">
      <c r="A8" s="89">
        <v>3</v>
      </c>
      <c r="B8" s="90">
        <v>900597006</v>
      </c>
      <c r="C8" s="91" t="s">
        <v>30</v>
      </c>
      <c r="D8" s="92">
        <f>VLOOKUP(A8,Proponentes[#Data],19,FALSE)</f>
        <v>23.172885054876609</v>
      </c>
      <c r="E8" s="93" t="str">
        <f>VLOOKUP(A8,Proponentes[#Data],25,FALSE)</f>
        <v>CUMPLE</v>
      </c>
      <c r="F8" s="94">
        <f>VLOOKUP(A8,Proponentes[#Data],20,FALSE)</f>
        <v>3.8983703796373892E-2</v>
      </c>
      <c r="G8" s="93" t="str">
        <f>VLOOKUP(A8,Proponentes[#Data],26,FALSE)</f>
        <v>NO CUMPLE</v>
      </c>
      <c r="H8" s="95">
        <f>VLOOKUP(A8,Proponentes[#Data],21,FALSE)</f>
        <v>494.25988388100217</v>
      </c>
      <c r="I8" s="93" t="str">
        <f>VLOOKUP(A8,Proponentes[#Data],27,FALSE)</f>
        <v>CUMPLE</v>
      </c>
      <c r="J8" s="96" t="str">
        <f t="shared" si="0"/>
        <v>NO CUMPLE</v>
      </c>
      <c r="K8" s="98">
        <f>VLOOKUP(A8,Proponentes[#Data],35,FALSE)</f>
        <v>0</v>
      </c>
      <c r="L8" s="102">
        <f>VLOOKUP(A8,Hoja2!$A$2:$F$329,6,FALSE)</f>
        <v>0</v>
      </c>
      <c r="M8" s="97" t="s">
        <v>814</v>
      </c>
      <c r="N8" s="103">
        <f t="shared" si="1"/>
        <v>0</v>
      </c>
    </row>
    <row r="9" spans="1:14" ht="27" customHeight="1" x14ac:dyDescent="0.2">
      <c r="A9" s="89">
        <v>4</v>
      </c>
      <c r="B9" s="90">
        <v>900812373</v>
      </c>
      <c r="C9" s="91" t="s">
        <v>32</v>
      </c>
      <c r="D9" s="92">
        <f>VLOOKUP(A9,Proponentes[#Data],19,FALSE)</f>
        <v>2.0489537276203285</v>
      </c>
      <c r="E9" s="93" t="str">
        <f>VLOOKUP(A9,Proponentes[#Data],25,FALSE)</f>
        <v>CUMPLE</v>
      </c>
      <c r="F9" s="94">
        <f>VLOOKUP(A9,Proponentes[#Data],20,FALSE)</f>
        <v>0.10043624589571581</v>
      </c>
      <c r="G9" s="93" t="str">
        <f>VLOOKUP(A9,Proponentes[#Data],26,FALSE)</f>
        <v>CUMPLE</v>
      </c>
      <c r="H9" s="95">
        <f>VLOOKUP(A9,Proponentes[#Data],21,FALSE)</f>
        <v>162.6093663206604</v>
      </c>
      <c r="I9" s="93" t="str">
        <f>VLOOKUP(A9,Proponentes[#Data],27,FALSE)</f>
        <v>CUMPLE</v>
      </c>
      <c r="J9" s="96" t="str">
        <f t="shared" si="0"/>
        <v>CUMPLE</v>
      </c>
      <c r="K9" s="98">
        <f>VLOOKUP(A9,Proponentes[#Data],35,FALSE)</f>
        <v>122.85964678207574</v>
      </c>
      <c r="L9" s="102">
        <f>VLOOKUP(A9,Hoja2!$A$2:$F$329,6,FALSE)</f>
        <v>122.85964678207573</v>
      </c>
      <c r="M9" s="97"/>
      <c r="N9" s="103">
        <f t="shared" si="1"/>
        <v>0</v>
      </c>
    </row>
    <row r="10" spans="1:14" ht="27" customHeight="1" x14ac:dyDescent="0.2">
      <c r="A10" s="89">
        <v>5</v>
      </c>
      <c r="B10" s="90">
        <v>900896160</v>
      </c>
      <c r="C10" s="91" t="s">
        <v>33</v>
      </c>
      <c r="D10" s="92">
        <f>VLOOKUP(A10,Proponentes[#Data],19,FALSE)</f>
        <v>8.18072625698324</v>
      </c>
      <c r="E10" s="93" t="str">
        <f>VLOOKUP(A10,Proponentes[#Data],25,FALSE)</f>
        <v>CUMPLE</v>
      </c>
      <c r="F10" s="94">
        <f>VLOOKUP(A10,Proponentes[#Data],20,FALSE)</f>
        <v>0.1038072317104996</v>
      </c>
      <c r="G10" s="93" t="str">
        <f>VLOOKUP(A10,Proponentes[#Data],26,FALSE)</f>
        <v>NO CUMPLE</v>
      </c>
      <c r="H10" s="95">
        <f>VLOOKUP(A10,Proponentes[#Data],21,FALSE)</f>
        <v>310.42752464630559</v>
      </c>
      <c r="I10" s="93" t="str">
        <f>VLOOKUP(A10,Proponentes[#Data],27,FALSE)</f>
        <v>CUMPLE</v>
      </c>
      <c r="J10" s="96" t="str">
        <f t="shared" si="0"/>
        <v>NO CUMPLE</v>
      </c>
      <c r="K10" s="98">
        <f>VLOOKUP(A10,Proponentes[#Data],35,FALSE)</f>
        <v>0</v>
      </c>
      <c r="L10" s="102">
        <f>VLOOKUP(A10,Hoja2!$A$2:$F$329,6,FALSE)</f>
        <v>0</v>
      </c>
      <c r="M10" s="97" t="s">
        <v>814</v>
      </c>
      <c r="N10" s="103">
        <f t="shared" si="1"/>
        <v>0</v>
      </c>
    </row>
    <row r="11" spans="1:14" ht="27" customHeight="1" x14ac:dyDescent="0.2">
      <c r="A11" s="89">
        <v>6</v>
      </c>
      <c r="B11" s="90">
        <v>900921635</v>
      </c>
      <c r="C11" s="91" t="s">
        <v>34</v>
      </c>
      <c r="D11" s="92">
        <f>VLOOKUP(A11,Proponentes[#Data],19,FALSE)</f>
        <v>1.0380103319384466</v>
      </c>
      <c r="E11" s="93" t="str">
        <f>VLOOKUP(A11,Proponentes[#Data],25,FALSE)</f>
        <v>CUMPLE</v>
      </c>
      <c r="F11" s="94">
        <f>VLOOKUP(A11,Proponentes[#Data],20,FALSE)</f>
        <v>7.7824551760153973E-2</v>
      </c>
      <c r="G11" s="93" t="str">
        <f>VLOOKUP(A11,Proponentes[#Data],26,FALSE)</f>
        <v>NO CUMPLE</v>
      </c>
      <c r="H11" s="95">
        <f>VLOOKUP(A11,Proponentes[#Data],21,FALSE)</f>
        <v>2.2287819580831671</v>
      </c>
      <c r="I11" s="93" t="str">
        <f>VLOOKUP(A11,Proponentes[#Data],27,FALSE)</f>
        <v>NO CUMPLE</v>
      </c>
      <c r="J11" s="96" t="str">
        <f t="shared" si="0"/>
        <v>NO CUMPLE</v>
      </c>
      <c r="K11" s="98">
        <f>VLOOKUP(A11,Proponentes[#Data],35,FALSE)</f>
        <v>0</v>
      </c>
      <c r="L11" s="102">
        <f>VLOOKUP(A11,Hoja2!$A$2:$F$329,6,FALSE)</f>
        <v>0</v>
      </c>
      <c r="M11" s="97" t="s">
        <v>814</v>
      </c>
      <c r="N11" s="103">
        <f t="shared" si="1"/>
        <v>0</v>
      </c>
    </row>
    <row r="12" spans="1:14" ht="27" customHeight="1" x14ac:dyDescent="0.2">
      <c r="A12" s="89">
        <v>7</v>
      </c>
      <c r="B12" s="90">
        <v>822007470</v>
      </c>
      <c r="C12" s="91" t="s">
        <v>35</v>
      </c>
      <c r="D12" s="92">
        <f>VLOOKUP(A12,Proponentes[#Data],19,FALSE)</f>
        <v>56.165597111111111</v>
      </c>
      <c r="E12" s="93" t="str">
        <f>VLOOKUP(A12,Proponentes[#Data],25,FALSE)</f>
        <v>CUMPLE</v>
      </c>
      <c r="F12" s="94">
        <f>VLOOKUP(A12,Proponentes[#Data],20,FALSE)</f>
        <v>7.6691588018576824E-3</v>
      </c>
      <c r="G12" s="93" t="str">
        <f>VLOOKUP(A12,Proponentes[#Data],26,FALSE)</f>
        <v>CUMPLE</v>
      </c>
      <c r="H12" s="95">
        <f>VLOOKUP(A12,Proponentes[#Data],21,FALSE)</f>
        <v>299.77103087007134</v>
      </c>
      <c r="I12" s="93" t="str">
        <f>VLOOKUP(A12,Proponentes[#Data],27,FALSE)</f>
        <v>CUMPLE</v>
      </c>
      <c r="J12" s="96" t="str">
        <f t="shared" si="0"/>
        <v>CUMPLE</v>
      </c>
      <c r="K12" s="98">
        <f>VLOOKUP(A12,Proponentes[#Data],35,FALSE)</f>
        <v>561.5917664522093</v>
      </c>
      <c r="L12" s="102">
        <f>VLOOKUP(A12,Hoja2!$A$2:$F$329,6,FALSE)</f>
        <v>561.5917664522093</v>
      </c>
      <c r="M12" s="97"/>
      <c r="N12" s="103">
        <f t="shared" si="1"/>
        <v>0</v>
      </c>
    </row>
    <row r="13" spans="1:14" ht="27" customHeight="1" x14ac:dyDescent="0.2">
      <c r="A13" s="89">
        <v>8</v>
      </c>
      <c r="B13" s="90">
        <v>900479920</v>
      </c>
      <c r="C13" s="91" t="s">
        <v>37</v>
      </c>
      <c r="D13" s="92">
        <f>VLOOKUP(A13,Proponentes[#Data],19,FALSE)</f>
        <v>12.882792663471276</v>
      </c>
      <c r="E13" s="93" t="str">
        <f>VLOOKUP(A13,Proponentes[#Data],25,FALSE)</f>
        <v>CUMPLE</v>
      </c>
      <c r="F13" s="94">
        <f>VLOOKUP(A13,Proponentes[#Data],20,FALSE)</f>
        <v>7.016975282741994E-2</v>
      </c>
      <c r="G13" s="93" t="str">
        <f>VLOOKUP(A13,Proponentes[#Data],26,FALSE)</f>
        <v>CUMPLE</v>
      </c>
      <c r="H13" s="95">
        <f>VLOOKUP(A13,Proponentes[#Data],21,FALSE)</f>
        <v>110.38769085490439</v>
      </c>
      <c r="I13" s="93" t="str">
        <f>VLOOKUP(A13,Proponentes[#Data],27,FALSE)</f>
        <v>CUMPLE</v>
      </c>
      <c r="J13" s="96" t="str">
        <f t="shared" si="0"/>
        <v>CUMPLE</v>
      </c>
      <c r="K13" s="98">
        <f>VLOOKUP(A13,Proponentes[#Data],35,FALSE)</f>
        <v>175.11806895134916</v>
      </c>
      <c r="L13" s="102">
        <f>VLOOKUP(A13,Hoja2!$A$2:$F$329,6,FALSE)</f>
        <v>175.11806895134916</v>
      </c>
      <c r="M13" s="97"/>
      <c r="N13" s="103">
        <f t="shared" si="1"/>
        <v>0</v>
      </c>
    </row>
    <row r="14" spans="1:14" ht="27" customHeight="1" x14ac:dyDescent="0.2">
      <c r="A14" s="89">
        <v>9</v>
      </c>
      <c r="B14" s="90">
        <v>812005406</v>
      </c>
      <c r="C14" s="91" t="s">
        <v>38</v>
      </c>
      <c r="D14" s="92">
        <f>VLOOKUP(A14,Proponentes[#Data],19,FALSE)</f>
        <v>15.691521026413644</v>
      </c>
      <c r="E14" s="93" t="str">
        <f>VLOOKUP(A14,Proponentes[#Data],25,FALSE)</f>
        <v>CUMPLE</v>
      </c>
      <c r="F14" s="94">
        <f>VLOOKUP(A14,Proponentes[#Data],20,FALSE)</f>
        <v>6.0475904155704821E-2</v>
      </c>
      <c r="G14" s="93" t="str">
        <f>VLOOKUP(A14,Proponentes[#Data],26,FALSE)</f>
        <v>NO CUMPLE</v>
      </c>
      <c r="H14" s="95">
        <f>VLOOKUP(A14,Proponentes[#Data],21,FALSE)</f>
        <v>1842.7334455559367</v>
      </c>
      <c r="I14" s="93" t="str">
        <f>VLOOKUP(A14,Proponentes[#Data],27,FALSE)</f>
        <v>CUMPLE</v>
      </c>
      <c r="J14" s="96" t="str">
        <f t="shared" si="0"/>
        <v>NO CUMPLE</v>
      </c>
      <c r="K14" s="98">
        <f>VLOOKUP(A14,Proponentes[#Data],35,FALSE)</f>
        <v>0</v>
      </c>
      <c r="L14" s="102">
        <f>VLOOKUP(A14,Hoja2!$A$2:$F$329,6,FALSE)</f>
        <v>0</v>
      </c>
      <c r="M14" s="97" t="s">
        <v>814</v>
      </c>
      <c r="N14" s="103">
        <f t="shared" si="1"/>
        <v>0</v>
      </c>
    </row>
    <row r="15" spans="1:14" ht="27" customHeight="1" x14ac:dyDescent="0.2">
      <c r="A15" s="89">
        <v>10</v>
      </c>
      <c r="B15" s="90">
        <v>837000444</v>
      </c>
      <c r="C15" s="91" t="s">
        <v>39</v>
      </c>
      <c r="D15" s="92">
        <f>VLOOKUP(A15,Proponentes[#Data],19,FALSE)</f>
        <v>27.315992572957693</v>
      </c>
      <c r="E15" s="93" t="str">
        <f>VLOOKUP(A15,Proponentes[#Data],25,FALSE)</f>
        <v>CUMPLE</v>
      </c>
      <c r="F15" s="94">
        <f>VLOOKUP(A15,Proponentes[#Data],20,FALSE)</f>
        <v>3.0557156081090307E-2</v>
      </c>
      <c r="G15" s="93" t="str">
        <f>VLOOKUP(A15,Proponentes[#Data],26,FALSE)</f>
        <v>NO CUMPLE</v>
      </c>
      <c r="H15" s="95">
        <f>VLOOKUP(A15,Proponentes[#Data],21,FALSE)</f>
        <v>357.42617821657836</v>
      </c>
      <c r="I15" s="93" t="str">
        <f>VLOOKUP(A15,Proponentes[#Data],27,FALSE)</f>
        <v>CUMPLE</v>
      </c>
      <c r="J15" s="96" t="str">
        <f t="shared" si="0"/>
        <v>NO CUMPLE</v>
      </c>
      <c r="K15" s="98">
        <f>VLOOKUP(A15,Proponentes[#Data],35,FALSE)</f>
        <v>0</v>
      </c>
      <c r="L15" s="102">
        <f>VLOOKUP(A15,Hoja2!$A$2:$F$329,6,FALSE)</f>
        <v>0</v>
      </c>
      <c r="M15" s="97" t="s">
        <v>814</v>
      </c>
      <c r="N15" s="103">
        <f t="shared" si="1"/>
        <v>0</v>
      </c>
    </row>
    <row r="16" spans="1:14" ht="27" customHeight="1" x14ac:dyDescent="0.2">
      <c r="A16" s="89">
        <v>11</v>
      </c>
      <c r="B16" s="90">
        <v>824001749</v>
      </c>
      <c r="C16" s="91" t="s">
        <v>40</v>
      </c>
      <c r="D16" s="92" t="str">
        <f>VLOOKUP(A16,Proponentes[#Data],19,FALSE)</f>
        <v>INDETERMINADO</v>
      </c>
      <c r="E16" s="93" t="str">
        <f>VLOOKUP(A16,Proponentes[#Data],25,FALSE)</f>
        <v>NO CUMPLE</v>
      </c>
      <c r="F16" s="94">
        <f>VLOOKUP(A16,Proponentes[#Data],20,FALSE)</f>
        <v>0</v>
      </c>
      <c r="G16" s="93" t="str">
        <f>VLOOKUP(A16,Proponentes[#Data],26,FALSE)</f>
        <v>NO CUMPLE</v>
      </c>
      <c r="H16" s="95">
        <f>VLOOKUP(A16,Proponentes[#Data],21,FALSE)</f>
        <v>0</v>
      </c>
      <c r="I16" s="93" t="str">
        <f>VLOOKUP(A16,Proponentes[#Data],27,FALSE)</f>
        <v>NO CUMPLE</v>
      </c>
      <c r="J16" s="96" t="str">
        <f t="shared" si="0"/>
        <v>NO CUMPLE</v>
      </c>
      <c r="K16" s="98">
        <f>VLOOKUP(A16,Proponentes[#Data],35,FALSE)</f>
        <v>0</v>
      </c>
      <c r="L16" s="102">
        <f>VLOOKUP(A16,Hoja2!$A$2:$F$329,6,FALSE)</f>
        <v>0</v>
      </c>
      <c r="M16" s="97" t="s">
        <v>816</v>
      </c>
      <c r="N16" s="103">
        <f t="shared" si="1"/>
        <v>0</v>
      </c>
    </row>
    <row r="17" spans="1:14" ht="27" customHeight="1" x14ac:dyDescent="0.2">
      <c r="A17" s="89">
        <v>12</v>
      </c>
      <c r="B17" s="90">
        <v>900217392</v>
      </c>
      <c r="C17" s="91" t="s">
        <v>42</v>
      </c>
      <c r="D17" s="92">
        <f>VLOOKUP(A17,Proponentes[#Data],19,FALSE)</f>
        <v>277.80411042944786</v>
      </c>
      <c r="E17" s="93" t="s">
        <v>470</v>
      </c>
      <c r="F17" s="94" t="s">
        <v>470</v>
      </c>
      <c r="G17" s="93" t="s">
        <v>470</v>
      </c>
      <c r="H17" s="95" t="s">
        <v>470</v>
      </c>
      <c r="I17" s="93" t="s">
        <v>470</v>
      </c>
      <c r="J17" s="96" t="str">
        <f t="shared" si="0"/>
        <v>NO CUMPLE</v>
      </c>
      <c r="K17" s="98">
        <f>VLOOKUP(A17,Proponentes[#Data],35,FALSE)</f>
        <v>246.64236076222647</v>
      </c>
      <c r="L17" s="102">
        <f>VLOOKUP(A17,Hoja2!$A$2:$F$329,6,FALSE)</f>
        <v>246.64236076222647</v>
      </c>
      <c r="M17" s="97" t="str">
        <f>VLOOKUP(A17,Proponentes[#Data],29,FALSE)</f>
        <v>NO CUMPLE. Subsanó parcial no aporta Estado de Situación financiera firmado por contador,  no aporta acta de aprobación de los estados financieros.</v>
      </c>
      <c r="N17" s="103">
        <f t="shared" si="1"/>
        <v>0</v>
      </c>
    </row>
    <row r="18" spans="1:14" ht="27" customHeight="1" x14ac:dyDescent="0.2">
      <c r="A18" s="89">
        <v>13</v>
      </c>
      <c r="B18" s="90">
        <v>806008935</v>
      </c>
      <c r="C18" s="91" t="s">
        <v>44</v>
      </c>
      <c r="D18" s="92">
        <f>VLOOKUP(A18,Proponentes[#Data],19,FALSE)</f>
        <v>6.6462571803156489</v>
      </c>
      <c r="E18" s="93" t="str">
        <f>VLOOKUP(A18,Proponentes[#Data],25,FALSE)</f>
        <v>CUMPLE</v>
      </c>
      <c r="F18" s="94">
        <f>VLOOKUP(A18,Proponentes[#Data],20,FALSE)</f>
        <v>0.37666888286566219</v>
      </c>
      <c r="G18" s="93" t="str">
        <f>VLOOKUP(A18,Proponentes[#Data],26,FALSE)</f>
        <v>CUMPLE</v>
      </c>
      <c r="H18" s="95">
        <f>VLOOKUP(A18,Proponentes[#Data],21,FALSE)</f>
        <v>1325.1573656347662</v>
      </c>
      <c r="I18" s="93" t="str">
        <f>VLOOKUP(A18,Proponentes[#Data],27,FALSE)</f>
        <v>CUMPLE</v>
      </c>
      <c r="J18" s="96" t="str">
        <f t="shared" si="0"/>
        <v>CUMPLE</v>
      </c>
      <c r="K18" s="98">
        <f>VLOOKUP(A18,Proponentes[#Data],35,FALSE)</f>
        <v>579.49376264141256</v>
      </c>
      <c r="L18" s="102">
        <f>VLOOKUP(A18,Hoja2!$A$2:$F$329,6,FALSE)</f>
        <v>579.49376264141256</v>
      </c>
      <c r="M18" s="97"/>
      <c r="N18" s="103">
        <f t="shared" si="1"/>
        <v>0</v>
      </c>
    </row>
    <row r="19" spans="1:14" ht="27" customHeight="1" x14ac:dyDescent="0.2">
      <c r="A19" s="89">
        <v>14</v>
      </c>
      <c r="B19" s="90">
        <v>900428382</v>
      </c>
      <c r="C19" s="91" t="s">
        <v>45</v>
      </c>
      <c r="D19" s="92">
        <f>VLOOKUP(A19,Proponentes[#Data],19,FALSE)</f>
        <v>37.377358490566039</v>
      </c>
      <c r="E19" s="93" t="str">
        <f>VLOOKUP(A19,Proponentes[#Data],25,FALSE)</f>
        <v>CUMPLE</v>
      </c>
      <c r="F19" s="94">
        <f>VLOOKUP(A19,Proponentes[#Data],20,FALSE)</f>
        <v>2.6754164563351841E-2</v>
      </c>
      <c r="G19" s="93" t="str">
        <f>VLOOKUP(A19,Proponentes[#Data],26,FALSE)</f>
        <v>NO CUMPLE</v>
      </c>
      <c r="H19" s="95">
        <f>VLOOKUP(A19,Proponentes[#Data],21,FALSE)</f>
        <v>11640.881229199775</v>
      </c>
      <c r="I19" s="93" t="str">
        <f>VLOOKUP(A19,Proponentes[#Data],27,FALSE)</f>
        <v>CUMPLE</v>
      </c>
      <c r="J19" s="96" t="str">
        <f t="shared" si="0"/>
        <v>NO CUMPLE</v>
      </c>
      <c r="K19" s="98">
        <f>VLOOKUP(A19,Proponentes[#Data],35,FALSE)</f>
        <v>0</v>
      </c>
      <c r="L19" s="102">
        <f>VLOOKUP(A19,Hoja2!$A$2:$F$329,6,FALSE)</f>
        <v>0</v>
      </c>
      <c r="M19" s="97" t="s">
        <v>814</v>
      </c>
      <c r="N19" s="103">
        <f t="shared" si="1"/>
        <v>0</v>
      </c>
    </row>
    <row r="20" spans="1:14" ht="27" customHeight="1" x14ac:dyDescent="0.2">
      <c r="A20" s="89">
        <v>15</v>
      </c>
      <c r="B20" s="90">
        <v>900979916</v>
      </c>
      <c r="C20" s="91" t="s">
        <v>46</v>
      </c>
      <c r="D20" s="92" t="str">
        <f>VLOOKUP(A20,Proponentes[#Data],19,FALSE)</f>
        <v>INDETERMINADO</v>
      </c>
      <c r="E20" s="93" t="s">
        <v>470</v>
      </c>
      <c r="F20" s="104" t="s">
        <v>470</v>
      </c>
      <c r="G20" s="93" t="s">
        <v>470</v>
      </c>
      <c r="H20" s="105" t="s">
        <v>470</v>
      </c>
      <c r="I20" s="93" t="s">
        <v>470</v>
      </c>
      <c r="J20" s="96" t="str">
        <f t="shared" si="0"/>
        <v>NO CUMPLE</v>
      </c>
      <c r="K20" s="98">
        <f>VLOOKUP(A20,Proponentes[#Data],35,FALSE)</f>
        <v>29.008419693816133</v>
      </c>
      <c r="L20" s="102">
        <f>VLOOKUP(A20,Hoja2!$A$2:$F$329,6,FALSE)</f>
        <v>29.00841969381613</v>
      </c>
      <c r="M20" s="97" t="str">
        <f>VLOOKUP(A20,Proponentes[#Data],29,FALSE)</f>
        <v>NO CUMPLE.  No subsanó todos los documentos solicitados.</v>
      </c>
      <c r="N20" s="103">
        <f t="shared" si="1"/>
        <v>0</v>
      </c>
    </row>
    <row r="21" spans="1:14" ht="27" customHeight="1" x14ac:dyDescent="0.2">
      <c r="A21" s="89">
        <v>16</v>
      </c>
      <c r="B21" s="90">
        <v>823002825</v>
      </c>
      <c r="C21" s="91" t="s">
        <v>48</v>
      </c>
      <c r="D21" s="92">
        <f>VLOOKUP(A21,Proponentes[#Data],19,FALSE)</f>
        <v>8.9123356340789162</v>
      </c>
      <c r="E21" s="93" t="str">
        <f>VLOOKUP(A21,Proponentes[#Data],25,FALSE)</f>
        <v>CUMPLE</v>
      </c>
      <c r="F21" s="94">
        <f>VLOOKUP(A21,Proponentes[#Data],20,FALSE)</f>
        <v>5.6102016410614526E-2</v>
      </c>
      <c r="G21" s="93" t="str">
        <f>VLOOKUP(A21,Proponentes[#Data],26,FALSE)</f>
        <v>NO CUMPLE</v>
      </c>
      <c r="H21" s="95">
        <f>VLOOKUP(A21,Proponentes[#Data],21,FALSE)</f>
        <v>61.408006849281982</v>
      </c>
      <c r="I21" s="93" t="str">
        <f>VLOOKUP(A21,Proponentes[#Data],27,FALSE)</f>
        <v>CUMPLE</v>
      </c>
      <c r="J21" s="96" t="str">
        <f t="shared" si="0"/>
        <v>NO CUMPLE</v>
      </c>
      <c r="K21" s="98">
        <f>VLOOKUP(A21,Proponentes[#Data],35,FALSE)</f>
        <v>0</v>
      </c>
      <c r="L21" s="102">
        <f>VLOOKUP(A21,Hoja2!$A$2:$F$329,6,FALSE)</f>
        <v>0</v>
      </c>
      <c r="M21" s="97" t="s">
        <v>814</v>
      </c>
      <c r="N21" s="103">
        <f t="shared" si="1"/>
        <v>0</v>
      </c>
    </row>
    <row r="22" spans="1:14" ht="27" customHeight="1" x14ac:dyDescent="0.2">
      <c r="A22" s="89">
        <v>17</v>
      </c>
      <c r="B22" s="90">
        <v>805008295</v>
      </c>
      <c r="C22" s="91" t="s">
        <v>49</v>
      </c>
      <c r="D22" s="92" t="str">
        <f>VLOOKUP(A22,Proponentes[#Data],19,FALSE)</f>
        <v>INDETERMINADO</v>
      </c>
      <c r="E22" s="93" t="str">
        <f>VLOOKUP(A22,Proponentes[#Data],25,FALSE)</f>
        <v>NO CUMPLE</v>
      </c>
      <c r="F22" s="94">
        <f>VLOOKUP(A22,Proponentes[#Data],20,FALSE)</f>
        <v>0</v>
      </c>
      <c r="G22" s="93" t="str">
        <f>VLOOKUP(A22,Proponentes[#Data],26,FALSE)</f>
        <v>NO CUMPLE</v>
      </c>
      <c r="H22" s="95">
        <f>VLOOKUP(A22,Proponentes[#Data],21,FALSE)</f>
        <v>0</v>
      </c>
      <c r="I22" s="93" t="str">
        <f>VLOOKUP(A22,Proponentes[#Data],27,FALSE)</f>
        <v>NO CUMPLE</v>
      </c>
      <c r="J22" s="96" t="str">
        <f t="shared" si="0"/>
        <v>NO CUMPLE</v>
      </c>
      <c r="K22" s="98">
        <f>VLOOKUP(A22,Proponentes[#Data],35,FALSE)</f>
        <v>500</v>
      </c>
      <c r="L22" s="102">
        <f>VLOOKUP(A22,Hoja2!$A$2:$F$329,6,FALSE)</f>
        <v>500.1024492420994</v>
      </c>
      <c r="M22" s="97" t="s">
        <v>816</v>
      </c>
      <c r="N22" s="103">
        <f t="shared" si="1"/>
        <v>-0.10244924209939654</v>
      </c>
    </row>
    <row r="23" spans="1:14" ht="27" customHeight="1" x14ac:dyDescent="0.2">
      <c r="A23" s="89">
        <v>18</v>
      </c>
      <c r="B23" s="90">
        <v>890000432</v>
      </c>
      <c r="C23" s="91" t="s">
        <v>51</v>
      </c>
      <c r="D23" s="92">
        <f>VLOOKUP(A23,Proponentes[#Data],19,FALSE)</f>
        <v>3.7734564196064007</v>
      </c>
      <c r="E23" s="93" t="str">
        <f>VLOOKUP(A23,Proponentes[#Data],25,FALSE)</f>
        <v>CUMPLE</v>
      </c>
      <c r="F23" s="94">
        <f>VLOOKUP(A23,Proponentes[#Data],20,FALSE)</f>
        <v>5.4226145598164896E-2</v>
      </c>
      <c r="G23" s="93" t="str">
        <f>VLOOKUP(A23,Proponentes[#Data],26,FALSE)</f>
        <v>CUMPLE</v>
      </c>
      <c r="H23" s="95">
        <f>VLOOKUP(A23,Proponentes[#Data],21,FALSE)</f>
        <v>33857.388253577999</v>
      </c>
      <c r="I23" s="93" t="str">
        <f>VLOOKUP(A23,Proponentes[#Data],27,FALSE)</f>
        <v>CUMPLE</v>
      </c>
      <c r="J23" s="96" t="str">
        <f t="shared" si="0"/>
        <v>CUMPLE</v>
      </c>
      <c r="K23" s="98">
        <f>VLOOKUP(A23,Proponentes[#Data],35,FALSE)</f>
        <v>501.90124347461278</v>
      </c>
      <c r="L23" s="102">
        <f>VLOOKUP(A23,Hoja2!$A$2:$F$329,6,FALSE)</f>
        <v>501.90124347461278</v>
      </c>
      <c r="M23" s="97"/>
      <c r="N23" s="103">
        <f t="shared" si="1"/>
        <v>0</v>
      </c>
    </row>
    <row r="24" spans="1:14" ht="27" customHeight="1" x14ac:dyDescent="0.2">
      <c r="A24" s="89">
        <v>19</v>
      </c>
      <c r="B24" s="90">
        <v>805027243</v>
      </c>
      <c r="C24" s="91" t="s">
        <v>52</v>
      </c>
      <c r="D24" s="92">
        <f>VLOOKUP(A24,Proponentes[#Data],19,FALSE)</f>
        <v>1.4626508122716224</v>
      </c>
      <c r="E24" s="93" t="str">
        <f>VLOOKUP(A24,Proponentes[#Data],25,FALSE)</f>
        <v>CUMPLE</v>
      </c>
      <c r="F24" s="94">
        <f>VLOOKUP(A24,Proponentes[#Data],20,FALSE)</f>
        <v>0.44835148131071845</v>
      </c>
      <c r="G24" s="93" t="str">
        <f>VLOOKUP(A24,Proponentes[#Data],26,FALSE)</f>
        <v>CUMPLE</v>
      </c>
      <c r="H24" s="95">
        <f>VLOOKUP(A24,Proponentes[#Data],21,FALSE)</f>
        <v>492.10175144544968</v>
      </c>
      <c r="I24" s="93" t="str">
        <f>VLOOKUP(A24,Proponentes[#Data],27,FALSE)</f>
        <v>CUMPLE</v>
      </c>
      <c r="J24" s="96" t="str">
        <f t="shared" si="0"/>
        <v>CUMPLE</v>
      </c>
      <c r="K24" s="98">
        <f>VLOOKUP(A24,Proponentes[#Data],35,FALSE)</f>
        <v>147.69340715672723</v>
      </c>
      <c r="L24" s="102">
        <f>VLOOKUP(A24,Hoja2!$A$2:$F$329,6,FALSE)</f>
        <v>147.69340715672723</v>
      </c>
      <c r="M24" s="97"/>
      <c r="N24" s="103">
        <f t="shared" si="1"/>
        <v>0</v>
      </c>
    </row>
    <row r="25" spans="1:14" ht="27" customHeight="1" x14ac:dyDescent="0.2">
      <c r="A25" s="89">
        <v>20</v>
      </c>
      <c r="B25" s="90">
        <v>824002211</v>
      </c>
      <c r="C25" s="91" t="s">
        <v>53</v>
      </c>
      <c r="D25" s="92">
        <f>VLOOKUP(A25,Proponentes[#Data],19,FALSE)</f>
        <v>4.8638037511436414</v>
      </c>
      <c r="E25" s="93" t="str">
        <f>VLOOKUP(A25,Proponentes[#Data],25,FALSE)</f>
        <v>CUMPLE</v>
      </c>
      <c r="F25" s="94">
        <f>VLOOKUP(A25,Proponentes[#Data],20,FALSE)</f>
        <v>0.13172860653008711</v>
      </c>
      <c r="G25" s="93" t="str">
        <f>VLOOKUP(A25,Proponentes[#Data],26,FALSE)</f>
        <v>CUMPLE</v>
      </c>
      <c r="H25" s="95">
        <f>VLOOKUP(A25,Proponentes[#Data],21,FALSE)</f>
        <v>407.97545271435405</v>
      </c>
      <c r="I25" s="93" t="str">
        <f>VLOOKUP(A25,Proponentes[#Data],27,FALSE)</f>
        <v>CUMPLE</v>
      </c>
      <c r="J25" s="96" t="str">
        <f t="shared" si="0"/>
        <v>CUMPLE</v>
      </c>
      <c r="K25" s="98">
        <f>VLOOKUP(A25,Proponentes[#Data],35,FALSE)</f>
        <v>93.98229073837723</v>
      </c>
      <c r="L25" s="102">
        <f>VLOOKUP(A25,Hoja2!$A$2:$F$329,6,FALSE)</f>
        <v>93.98229073837723</v>
      </c>
      <c r="M25" s="97"/>
      <c r="N25" s="103">
        <f t="shared" si="1"/>
        <v>0</v>
      </c>
    </row>
    <row r="26" spans="1:14" ht="27" customHeight="1" x14ac:dyDescent="0.2">
      <c r="A26" s="89">
        <v>21</v>
      </c>
      <c r="B26" s="90">
        <v>890905179</v>
      </c>
      <c r="C26" s="91" t="s">
        <v>54</v>
      </c>
      <c r="D26" s="92">
        <f>VLOOKUP(A26,Proponentes[#Data],19,FALSE)</f>
        <v>2.7354632511523214</v>
      </c>
      <c r="E26" s="93" t="str">
        <f>VLOOKUP(A26,Proponentes[#Data],25,FALSE)</f>
        <v>CUMPLE</v>
      </c>
      <c r="F26" s="94">
        <f>VLOOKUP(A26,Proponentes[#Data],20,FALSE)</f>
        <v>0.15569536094611197</v>
      </c>
      <c r="G26" s="93" t="str">
        <f>VLOOKUP(A26,Proponentes[#Data],26,FALSE)</f>
        <v>CUMPLE</v>
      </c>
      <c r="H26" s="95">
        <f>VLOOKUP(A26,Proponentes[#Data],21,FALSE)</f>
        <v>2982.1413908196437</v>
      </c>
      <c r="I26" s="93" t="str">
        <f>VLOOKUP(A26,Proponentes[#Data],27,FALSE)</f>
        <v>CUMPLE</v>
      </c>
      <c r="J26" s="96" t="str">
        <f t="shared" si="0"/>
        <v>CUMPLE</v>
      </c>
      <c r="K26" s="98">
        <f>VLOOKUP(A26,Proponentes[#Data],35,FALSE)</f>
        <v>1012.9399506278162</v>
      </c>
      <c r="L26" s="102">
        <f>VLOOKUP(A26,Hoja2!$A$2:$F$329,6,FALSE)</f>
        <v>1012.9399506278162</v>
      </c>
      <c r="M26" s="97"/>
      <c r="N26" s="103">
        <f t="shared" si="1"/>
        <v>0</v>
      </c>
    </row>
    <row r="27" spans="1:14" ht="27" customHeight="1" x14ac:dyDescent="0.2">
      <c r="A27" s="89">
        <v>22</v>
      </c>
      <c r="B27" s="90">
        <v>900325081</v>
      </c>
      <c r="C27" s="91" t="s">
        <v>56</v>
      </c>
      <c r="D27" s="92">
        <f>VLOOKUP(A27,Proponentes[#Data],19,FALSE)</f>
        <v>1.2527998823046971</v>
      </c>
      <c r="E27" s="93" t="s">
        <v>470</v>
      </c>
      <c r="F27" s="94" t="s">
        <v>470</v>
      </c>
      <c r="G27" s="93" t="s">
        <v>470</v>
      </c>
      <c r="H27" s="95" t="s">
        <v>470</v>
      </c>
      <c r="I27" s="93" t="s">
        <v>470</v>
      </c>
      <c r="J27" s="96" t="str">
        <f t="shared" si="0"/>
        <v>NO CUMPLE</v>
      </c>
      <c r="K27" s="98">
        <f>VLOOKUP(A27,Proponentes[#Data],35,FALSE)</f>
        <v>0</v>
      </c>
      <c r="L27" s="102">
        <f>VLOOKUP(A27,Hoja2!$A$2:$F$329,6,FALSE)</f>
        <v>0</v>
      </c>
      <c r="M27" s="97" t="str">
        <f>VLOOKUP(A27,Proponentes[#Data],29,FALSE)</f>
        <v>NO CUMPLE. El indicador de endeudamiento, acorde a la información financiera aportada, es de 0.77 , valor superior al solicitado en la invitación pública.</v>
      </c>
      <c r="N27" s="103">
        <f t="shared" si="1"/>
        <v>0</v>
      </c>
    </row>
    <row r="28" spans="1:14" ht="27" customHeight="1" x14ac:dyDescent="0.2">
      <c r="A28" s="89">
        <v>23</v>
      </c>
      <c r="B28" s="90">
        <v>900926094</v>
      </c>
      <c r="C28" s="91" t="s">
        <v>58</v>
      </c>
      <c r="D28" s="92">
        <f>VLOOKUP(A28,Proponentes[#Data],19,FALSE)</f>
        <v>6.1608455880781507</v>
      </c>
      <c r="E28" s="93" t="str">
        <f>VLOOKUP(A28,Proponentes[#Data],25,FALSE)</f>
        <v>CUMPLE</v>
      </c>
      <c r="F28" s="94">
        <f>VLOOKUP(A28,Proponentes[#Data],20,FALSE)</f>
        <v>0.48565601163259153</v>
      </c>
      <c r="G28" s="93" t="str">
        <f>VLOOKUP(A28,Proponentes[#Data],26,FALSE)</f>
        <v>NO CUMPLE</v>
      </c>
      <c r="H28" s="95">
        <f>VLOOKUP(A28,Proponentes[#Data],21,FALSE)</f>
        <v>3681.5087837935748</v>
      </c>
      <c r="I28" s="93" t="str">
        <f>VLOOKUP(A28,Proponentes[#Data],27,FALSE)</f>
        <v>CUMPLE</v>
      </c>
      <c r="J28" s="96" t="str">
        <f t="shared" si="0"/>
        <v>NO CUMPLE</v>
      </c>
      <c r="K28" s="98">
        <f>VLOOKUP(A28,Proponentes[#Data],35,FALSE)</f>
        <v>0</v>
      </c>
      <c r="L28" s="102">
        <f>VLOOKUP(A28,Hoja2!$A$2:$F$329,6,FALSE)</f>
        <v>0</v>
      </c>
      <c r="M28" s="97" t="s">
        <v>814</v>
      </c>
      <c r="N28" s="103">
        <f t="shared" si="1"/>
        <v>0</v>
      </c>
    </row>
    <row r="29" spans="1:14" ht="27" customHeight="1" x14ac:dyDescent="0.2">
      <c r="A29" s="89">
        <v>24</v>
      </c>
      <c r="B29" s="90">
        <v>817004113</v>
      </c>
      <c r="C29" s="91" t="s">
        <v>60</v>
      </c>
      <c r="D29" s="92">
        <f>VLOOKUP(A29,Proponentes[#Data],19,FALSE)</f>
        <v>11.107387834456853</v>
      </c>
      <c r="E29" s="93" t="str">
        <f>VLOOKUP(A29,Proponentes[#Data],25,FALSE)</f>
        <v>CUMPLE</v>
      </c>
      <c r="F29" s="94">
        <f>VLOOKUP(A29,Proponentes[#Data],20,FALSE)</f>
        <v>3.8143051241697985E-2</v>
      </c>
      <c r="G29" s="93" t="str">
        <f>VLOOKUP(A29,Proponentes[#Data],26,FALSE)</f>
        <v>CUMPLE</v>
      </c>
      <c r="H29" s="95">
        <f>VLOOKUP(A29,Proponentes[#Data],21,FALSE)</f>
        <v>49.544503427056114</v>
      </c>
      <c r="I29" s="93" t="str">
        <f>VLOOKUP(A29,Proponentes[#Data],27,FALSE)</f>
        <v>CUMPLE</v>
      </c>
      <c r="J29" s="96" t="str">
        <f t="shared" si="0"/>
        <v>CUMPLE</v>
      </c>
      <c r="K29" s="98">
        <f>VLOOKUP(A29,Proponentes[#Data],35,FALSE)</f>
        <v>117.1664656673653</v>
      </c>
      <c r="L29" s="102">
        <f>VLOOKUP(A29,Hoja2!$A$2:$F$329,6,FALSE)</f>
        <v>117.1664656673653</v>
      </c>
      <c r="M29" s="97"/>
      <c r="N29" s="103">
        <f t="shared" si="1"/>
        <v>0</v>
      </c>
    </row>
    <row r="30" spans="1:14" ht="27" customHeight="1" x14ac:dyDescent="0.2">
      <c r="A30" s="89">
        <v>25</v>
      </c>
      <c r="B30" s="90">
        <v>805022721</v>
      </c>
      <c r="C30" s="91" t="s">
        <v>61</v>
      </c>
      <c r="D30" s="92">
        <f>VLOOKUP(A30,Proponentes[#Data],19,FALSE)</f>
        <v>16.227422416879691</v>
      </c>
      <c r="E30" s="93" t="s">
        <v>470</v>
      </c>
      <c r="F30" s="94" t="s">
        <v>470</v>
      </c>
      <c r="G30" s="93" t="s">
        <v>470</v>
      </c>
      <c r="H30" s="95" t="s">
        <v>470</v>
      </c>
      <c r="I30" s="93" t="s">
        <v>470</v>
      </c>
      <c r="J30" s="96" t="str">
        <f t="shared" si="0"/>
        <v>NO CUMPLE</v>
      </c>
      <c r="K30" s="98">
        <f>VLOOKUP(A30,Proponentes[#Data],35,FALSE)</f>
        <v>0</v>
      </c>
      <c r="L30" s="102">
        <f>VLOOKUP(A30,Hoja2!$A$2:$F$329,6,FALSE)</f>
        <v>0</v>
      </c>
      <c r="M30" s="97" t="str">
        <f>VLOOKUP(A30,Proponentes[#Data],29,FALSE)</f>
        <v>NO CUMPLE. El oferente fue evaluado inicialmente con RUP y no cumplio por indicadores. En la subsanacion aporta estados financieros, los cuales difieren de la informacion reportada en RUP. Además, los estados financieros aportados: No están firmados por el revisor fiscal, presentan inconsistencias de fechas y cifras en el estado de cambios en el patrimonio.</v>
      </c>
      <c r="N30" s="103">
        <f t="shared" si="1"/>
        <v>0</v>
      </c>
    </row>
    <row r="31" spans="1:14" ht="27" customHeight="1" x14ac:dyDescent="0.2">
      <c r="A31" s="89">
        <v>26</v>
      </c>
      <c r="B31" s="90">
        <v>900181988</v>
      </c>
      <c r="C31" s="91" t="s">
        <v>63</v>
      </c>
      <c r="D31" s="92">
        <f>VLOOKUP(A31,Proponentes[#Data],19,FALSE)</f>
        <v>2.9864220266814243</v>
      </c>
      <c r="E31" s="93" t="str">
        <f>VLOOKUP(A31,Proponentes[#Data],25,FALSE)</f>
        <v>CUMPLE</v>
      </c>
      <c r="F31" s="94">
        <f>VLOOKUP(A31,Proponentes[#Data],20,FALSE)</f>
        <v>0.6860362510275666</v>
      </c>
      <c r="G31" s="93" t="str">
        <f>VLOOKUP(A31,Proponentes[#Data],26,FALSE)</f>
        <v>NO CUMPLE</v>
      </c>
      <c r="H31" s="95">
        <f>VLOOKUP(A31,Proponentes[#Data],21,FALSE)</f>
        <v>74.369611262190318</v>
      </c>
      <c r="I31" s="93" t="str">
        <f>VLOOKUP(A31,Proponentes[#Data],27,FALSE)</f>
        <v>CUMPLE</v>
      </c>
      <c r="J31" s="96" t="str">
        <f t="shared" si="0"/>
        <v>NO CUMPLE</v>
      </c>
      <c r="K31" s="98">
        <f>VLOOKUP(A31,Proponentes[#Data],35,FALSE)</f>
        <v>0</v>
      </c>
      <c r="L31" s="102">
        <f>VLOOKUP(A31,Hoja2!$A$2:$F$329,6,FALSE)</f>
        <v>0</v>
      </c>
      <c r="M31" s="97" t="s">
        <v>814</v>
      </c>
      <c r="N31" s="103">
        <f t="shared" si="1"/>
        <v>0</v>
      </c>
    </row>
    <row r="32" spans="1:14" ht="27" customHeight="1" x14ac:dyDescent="0.2">
      <c r="A32" s="89">
        <v>27</v>
      </c>
      <c r="B32" s="90">
        <v>817003251</v>
      </c>
      <c r="C32" s="91" t="s">
        <v>64</v>
      </c>
      <c r="D32" s="92">
        <f>VLOOKUP(A32,Proponentes[#Data],19,FALSE)</f>
        <v>7.5505563439061358</v>
      </c>
      <c r="E32" s="93" t="str">
        <f>VLOOKUP(A32,Proponentes[#Data],25,FALSE)</f>
        <v>CUMPLE</v>
      </c>
      <c r="F32" s="94">
        <f>VLOOKUP(A32,Proponentes[#Data],20,FALSE)</f>
        <v>0.10822734733965349</v>
      </c>
      <c r="G32" s="93" t="str">
        <f>VLOOKUP(A32,Proponentes[#Data],26,FALSE)</f>
        <v>CUMPLE</v>
      </c>
      <c r="H32" s="95">
        <f>VLOOKUP(A32,Proponentes[#Data],21,FALSE)</f>
        <v>2315.9074232474677</v>
      </c>
      <c r="I32" s="93" t="str">
        <f>VLOOKUP(A32,Proponentes[#Data],27,FALSE)</f>
        <v>CUMPLE</v>
      </c>
      <c r="J32" s="96" t="str">
        <f t="shared" si="0"/>
        <v>CUMPLE</v>
      </c>
      <c r="K32" s="98">
        <f>VLOOKUP(A32,Proponentes[#Data],35,FALSE)</f>
        <v>802.3181888536725</v>
      </c>
      <c r="L32" s="102">
        <f>VLOOKUP(A32,Hoja2!$A$2:$F$329,6,FALSE)</f>
        <v>802.31818885367261</v>
      </c>
      <c r="M32" s="97"/>
      <c r="N32" s="103">
        <f t="shared" si="1"/>
        <v>0</v>
      </c>
    </row>
    <row r="33" spans="1:14" ht="27" customHeight="1" x14ac:dyDescent="0.2">
      <c r="A33" s="89">
        <v>28</v>
      </c>
      <c r="B33" s="90">
        <v>890481163</v>
      </c>
      <c r="C33" s="91" t="s">
        <v>65</v>
      </c>
      <c r="D33" s="92">
        <f>VLOOKUP(A33,Proponentes[#Data],19,FALSE)</f>
        <v>1.6890850407478957</v>
      </c>
      <c r="E33" s="93" t="s">
        <v>470</v>
      </c>
      <c r="F33" s="94" t="s">
        <v>470</v>
      </c>
      <c r="G33" s="93" t="s">
        <v>470</v>
      </c>
      <c r="H33" s="95" t="s">
        <v>470</v>
      </c>
      <c r="I33" s="93" t="s">
        <v>470</v>
      </c>
      <c r="J33" s="96" t="str">
        <f t="shared" si="0"/>
        <v>NO CUMPLE</v>
      </c>
      <c r="K33" s="98">
        <f>VLOOKUP(A33,Proponentes[#Data],35,FALSE)</f>
        <v>1226.9192657889137</v>
      </c>
      <c r="L33" s="102">
        <f>VLOOKUP(A33,Hoja2!$A$2:$F$329,6,FALSE)</f>
        <v>1226.9192657889137</v>
      </c>
      <c r="M33" s="97" t="str">
        <f>VLOOKUP(A33,Proponentes[#Data],29,FALSE)</f>
        <v>NO CUMPLE. El oferente no aportó el Acta de aprobación de financieros requerida en la IP.</v>
      </c>
      <c r="N33" s="103">
        <f t="shared" si="1"/>
        <v>0</v>
      </c>
    </row>
    <row r="34" spans="1:14" ht="27" customHeight="1" x14ac:dyDescent="0.2">
      <c r="A34" s="89">
        <v>29</v>
      </c>
      <c r="B34" s="90">
        <v>901138915</v>
      </c>
      <c r="C34" s="91" t="s">
        <v>66</v>
      </c>
      <c r="D34" s="92" t="str">
        <f>VLOOKUP(A34,Proponentes[#Data],19,FALSE)</f>
        <v>INDETERMINADO</v>
      </c>
      <c r="E34" s="93" t="s">
        <v>470</v>
      </c>
      <c r="F34" s="94" t="s">
        <v>470</v>
      </c>
      <c r="G34" s="93" t="s">
        <v>470</v>
      </c>
      <c r="H34" s="95" t="s">
        <v>470</v>
      </c>
      <c r="I34" s="93" t="s">
        <v>470</v>
      </c>
      <c r="J34" s="96" t="str">
        <f t="shared" si="0"/>
        <v>NO CUMPLE</v>
      </c>
      <c r="K34" s="98">
        <f>VLOOKUP(A34,Proponentes[#Data],35,FALSE)</f>
        <v>0</v>
      </c>
      <c r="L34" s="102">
        <f>VLOOKUP(A34,Hoja2!$A$2:$F$329,6,FALSE)</f>
        <v>0</v>
      </c>
      <c r="M34" s="97" t="str">
        <f>VLOOKUP(A34,Proponentes[#Data],29,FALSE)</f>
        <v>NO CUMPLE. El oferente no aporta la información relacionada con el revisor fiscal, tampoco los estados financieros dictaminados por este. De acuerdo a los estatutos aportados, la Asociación tiene revisoría fiscal</v>
      </c>
      <c r="N34" s="103">
        <f t="shared" si="1"/>
        <v>0</v>
      </c>
    </row>
    <row r="35" spans="1:14" ht="27" customHeight="1" x14ac:dyDescent="0.2">
      <c r="A35" s="89">
        <v>30</v>
      </c>
      <c r="B35" s="90">
        <v>900690558</v>
      </c>
      <c r="C35" s="91" t="s">
        <v>68</v>
      </c>
      <c r="D35" s="92">
        <f>VLOOKUP(A35,Proponentes[#Data],19,FALSE)</f>
        <v>11.118704347425199</v>
      </c>
      <c r="E35" s="93" t="str">
        <f>VLOOKUP(A35,Proponentes[#Data],25,FALSE)</f>
        <v>CUMPLE</v>
      </c>
      <c r="F35" s="94">
        <f>VLOOKUP(A35,Proponentes[#Data],20,FALSE)</f>
        <v>7.5431403642025552E-2</v>
      </c>
      <c r="G35" s="93" t="str">
        <f>VLOOKUP(A35,Proponentes[#Data],26,FALSE)</f>
        <v>CUMPLE</v>
      </c>
      <c r="H35" s="95">
        <f>VLOOKUP(A35,Proponentes[#Data],21,FALSE)</f>
        <v>496.95215404605153</v>
      </c>
      <c r="I35" s="93" t="str">
        <f>VLOOKUP(A35,Proponentes[#Data],27,FALSE)</f>
        <v>CUMPLE</v>
      </c>
      <c r="J35" s="96" t="str">
        <f t="shared" si="0"/>
        <v>CUMPLE</v>
      </c>
      <c r="K35" s="98">
        <f>VLOOKUP(A35,Proponentes[#Data],35,FALSE)</f>
        <v>857.18257188042287</v>
      </c>
      <c r="L35" s="102">
        <f>VLOOKUP(A35,Hoja2!$A$2:$F$329,6,FALSE)</f>
        <v>857.18257188042287</v>
      </c>
      <c r="M35" s="97"/>
      <c r="N35" s="103">
        <f t="shared" si="1"/>
        <v>0</v>
      </c>
    </row>
    <row r="36" spans="1:14" ht="27" customHeight="1" x14ac:dyDescent="0.2">
      <c r="A36" s="89">
        <v>31</v>
      </c>
      <c r="B36" s="90">
        <v>900188561</v>
      </c>
      <c r="C36" s="91" t="s">
        <v>69</v>
      </c>
      <c r="D36" s="92">
        <f>VLOOKUP(A36,Proponentes[#Data],19,FALSE)</f>
        <v>24.779026237623761</v>
      </c>
      <c r="E36" s="93" t="str">
        <f>VLOOKUP(A36,Proponentes[#Data],25,FALSE)</f>
        <v>CUMPLE</v>
      </c>
      <c r="F36" s="94">
        <f>VLOOKUP(A36,Proponentes[#Data],20,FALSE)</f>
        <v>0.39656676421139253</v>
      </c>
      <c r="G36" s="93" t="str">
        <f>VLOOKUP(A36,Proponentes[#Data],26,FALSE)</f>
        <v>CUMPLE</v>
      </c>
      <c r="H36" s="95">
        <f>VLOOKUP(A36,Proponentes[#Data],21,FALSE)</f>
        <v>580.03507962652577</v>
      </c>
      <c r="I36" s="93" t="str">
        <f>VLOOKUP(A36,Proponentes[#Data],27,FALSE)</f>
        <v>CUMPLE</v>
      </c>
      <c r="J36" s="96" t="str">
        <f t="shared" si="0"/>
        <v>CUMPLE</v>
      </c>
      <c r="K36" s="98">
        <f>VLOOKUP(A36,Proponentes[#Data],35,FALSE)</f>
        <v>159.75842808032132</v>
      </c>
      <c r="L36" s="102">
        <f>VLOOKUP(A36,Hoja2!$A$2:$F$329,6,FALSE)</f>
        <v>159.75842808032132</v>
      </c>
      <c r="M36" s="97"/>
      <c r="N36" s="103">
        <f t="shared" si="1"/>
        <v>0</v>
      </c>
    </row>
    <row r="37" spans="1:14" ht="27" customHeight="1" x14ac:dyDescent="0.2">
      <c r="A37" s="89">
        <v>32</v>
      </c>
      <c r="B37" s="90">
        <v>823002783</v>
      </c>
      <c r="C37" s="91" t="s">
        <v>71</v>
      </c>
      <c r="D37" s="92">
        <f>VLOOKUP(A37,Proponentes[#Data],19,FALSE)</f>
        <v>50.024654352941177</v>
      </c>
      <c r="E37" s="93" t="str">
        <f>VLOOKUP(A37,Proponentes[#Data],25,FALSE)</f>
        <v>CUMPLE</v>
      </c>
      <c r="F37" s="94">
        <f>VLOOKUP(A37,Proponentes[#Data],20,FALSE)</f>
        <v>7.3748686812806956E-3</v>
      </c>
      <c r="G37" s="93" t="str">
        <f>VLOOKUP(A37,Proponentes[#Data],26,FALSE)</f>
        <v>NO CUMPLE</v>
      </c>
      <c r="H37" s="95">
        <f>VLOOKUP(A37,Proponentes[#Data],21,FALSE)</f>
        <v>754.80288148037232</v>
      </c>
      <c r="I37" s="93" t="str">
        <f>VLOOKUP(A37,Proponentes[#Data],27,FALSE)</f>
        <v>CUMPLE</v>
      </c>
      <c r="J37" s="96" t="str">
        <f t="shared" si="0"/>
        <v>NO CUMPLE</v>
      </c>
      <c r="K37" s="98">
        <f>VLOOKUP(A37,Proponentes[#Data],35,FALSE)</f>
        <v>0</v>
      </c>
      <c r="L37" s="102">
        <f>VLOOKUP(A37,Hoja2!$A$2:$F$329,6,FALSE)</f>
        <v>0</v>
      </c>
      <c r="M37" s="97" t="s">
        <v>814</v>
      </c>
      <c r="N37" s="103">
        <f t="shared" si="1"/>
        <v>0</v>
      </c>
    </row>
    <row r="38" spans="1:14" ht="27" customHeight="1" x14ac:dyDescent="0.2">
      <c r="A38" s="89">
        <v>33</v>
      </c>
      <c r="B38" s="90">
        <v>900235663</v>
      </c>
      <c r="C38" s="91" t="s">
        <v>72</v>
      </c>
      <c r="D38" s="92">
        <f>VLOOKUP(A38,Proponentes[#Data],19,FALSE)</f>
        <v>3.9733333333333332</v>
      </c>
      <c r="E38" s="93" t="s">
        <v>470</v>
      </c>
      <c r="F38" s="94" t="s">
        <v>470</v>
      </c>
      <c r="G38" s="93" t="s">
        <v>470</v>
      </c>
      <c r="H38" s="95" t="s">
        <v>470</v>
      </c>
      <c r="I38" s="93" t="s">
        <v>470</v>
      </c>
      <c r="J38" s="96" t="str">
        <f t="shared" si="0"/>
        <v>NO CUMPLE</v>
      </c>
      <c r="K38" s="98">
        <f>VLOOKUP(A38,Proponentes[#Data],35,FALSE)</f>
        <v>287.92276303988496</v>
      </c>
      <c r="L38" s="102">
        <f>VLOOKUP(A38,Hoja2!$A$2:$F$329,6,FALSE)</f>
        <v>287.92276303988496</v>
      </c>
      <c r="M38" s="97" t="str">
        <f>VLOOKUP(A38,Proponentes[#Data],29,FALSE)</f>
        <v>NO CUMPLE. El capital de trabajo no cumple con el rango mínimo de selección (12,5 SMMLV)</v>
      </c>
      <c r="N38" s="103">
        <f t="shared" si="1"/>
        <v>0</v>
      </c>
    </row>
    <row r="39" spans="1:14" ht="27" customHeight="1" x14ac:dyDescent="0.2">
      <c r="A39" s="89">
        <v>34</v>
      </c>
      <c r="B39" s="90">
        <v>900365588</v>
      </c>
      <c r="C39" s="91" t="s">
        <v>74</v>
      </c>
      <c r="D39" s="92">
        <f>VLOOKUP(A39,Proponentes[#Data],19,FALSE)</f>
        <v>23.267891612434656</v>
      </c>
      <c r="E39" s="93" t="str">
        <f>VLOOKUP(A39,Proponentes[#Data],25,FALSE)</f>
        <v>CUMPLE</v>
      </c>
      <c r="F39" s="94">
        <f>VLOOKUP(A39,Proponentes[#Data],20,FALSE)</f>
        <v>2.9967181045691883E-2</v>
      </c>
      <c r="G39" s="93" t="str">
        <f>VLOOKUP(A39,Proponentes[#Data],26,FALSE)</f>
        <v>NO CUMPLE</v>
      </c>
      <c r="H39" s="95">
        <f>VLOOKUP(A39,Proponentes[#Data],21,FALSE)</f>
        <v>1175.8799383178202</v>
      </c>
      <c r="I39" s="93" t="str">
        <f>VLOOKUP(A39,Proponentes[#Data],27,FALSE)</f>
        <v>CUMPLE</v>
      </c>
      <c r="J39" s="96" t="str">
        <f t="shared" si="0"/>
        <v>NO CUMPLE</v>
      </c>
      <c r="K39" s="98">
        <f>VLOOKUP(A39,Proponentes[#Data],35,FALSE)</f>
        <v>0</v>
      </c>
      <c r="L39" s="102">
        <f>VLOOKUP(A39,Hoja2!$A$2:$F$329,6,FALSE)</f>
        <v>0</v>
      </c>
      <c r="M39" s="97" t="s">
        <v>814</v>
      </c>
      <c r="N39" s="103">
        <f t="shared" si="1"/>
        <v>0</v>
      </c>
    </row>
    <row r="40" spans="1:14" ht="27" customHeight="1" x14ac:dyDescent="0.2">
      <c r="A40" s="89">
        <v>35</v>
      </c>
      <c r="B40" s="90">
        <v>900550757</v>
      </c>
      <c r="C40" s="91" t="s">
        <v>75</v>
      </c>
      <c r="D40" s="92">
        <f>VLOOKUP(A40,Proponentes[#Data],19,FALSE)</f>
        <v>17.110900000000001</v>
      </c>
      <c r="E40" s="93" t="str">
        <f>VLOOKUP(A40,Proponentes[#Data],25,FALSE)</f>
        <v>CUMPLE</v>
      </c>
      <c r="F40" s="94">
        <f>VLOOKUP(A40,Proponentes[#Data],20,FALSE)</f>
        <v>2.5448720492284936E-2</v>
      </c>
      <c r="G40" s="93" t="str">
        <f>VLOOKUP(A40,Proponentes[#Data],26,FALSE)</f>
        <v>CUMPLE</v>
      </c>
      <c r="H40" s="95">
        <f>VLOOKUP(A40,Proponentes[#Data],21,FALSE)</f>
        <v>389.09766264629593</v>
      </c>
      <c r="I40" s="93" t="str">
        <f>VLOOKUP(A40,Proponentes[#Data],27,FALSE)</f>
        <v>CUMPLE</v>
      </c>
      <c r="J40" s="96" t="str">
        <f t="shared" si="0"/>
        <v>CUMPLE</v>
      </c>
      <c r="K40" s="98">
        <f>VLOOKUP(A40,Proponentes[#Data],35,FALSE)</f>
        <v>254.5818680788247</v>
      </c>
      <c r="L40" s="102">
        <f>VLOOKUP(A40,Hoja2!$A$2:$F$329,6,FALSE)</f>
        <v>254.5818680788247</v>
      </c>
      <c r="M40" s="97"/>
      <c r="N40" s="103">
        <f t="shared" si="1"/>
        <v>0</v>
      </c>
    </row>
    <row r="41" spans="1:14" ht="27" customHeight="1" x14ac:dyDescent="0.2">
      <c r="A41" s="89">
        <v>36</v>
      </c>
      <c r="B41" s="90">
        <v>900705451</v>
      </c>
      <c r="C41" s="91" t="s">
        <v>76</v>
      </c>
      <c r="D41" s="92">
        <f>VLOOKUP(A41,Proponentes[#Data],19,FALSE)</f>
        <v>1.7048534207519845</v>
      </c>
      <c r="E41" s="93" t="str">
        <f>VLOOKUP(A41,Proponentes[#Data],25,FALSE)</f>
        <v>CUMPLE</v>
      </c>
      <c r="F41" s="94">
        <f>VLOOKUP(A41,Proponentes[#Data],20,FALSE)</f>
        <v>0.3252773091752526</v>
      </c>
      <c r="G41" s="93" t="str">
        <f>VLOOKUP(A41,Proponentes[#Data],26,FALSE)</f>
        <v>CUMPLE</v>
      </c>
      <c r="H41" s="95">
        <f>VLOOKUP(A41,Proponentes[#Data],21,FALSE)</f>
        <v>128.87406957479388</v>
      </c>
      <c r="I41" s="93" t="str">
        <f>VLOOKUP(A41,Proponentes[#Data],27,FALSE)</f>
        <v>CUMPLE</v>
      </c>
      <c r="J41" s="96" t="str">
        <f t="shared" si="0"/>
        <v>CUMPLE</v>
      </c>
      <c r="K41" s="98">
        <f>VLOOKUP(A41,Proponentes[#Data],35,FALSE)</f>
        <v>19.89362936234507</v>
      </c>
      <c r="L41" s="102">
        <f>VLOOKUP(A41,Hoja2!$A$2:$F$329,6,FALSE)</f>
        <v>19.89362936234507</v>
      </c>
      <c r="M41" s="97"/>
      <c r="N41" s="103">
        <f t="shared" si="1"/>
        <v>0</v>
      </c>
    </row>
    <row r="42" spans="1:14" ht="27" customHeight="1" x14ac:dyDescent="0.2">
      <c r="A42" s="89">
        <v>37</v>
      </c>
      <c r="B42" s="90">
        <v>800007932</v>
      </c>
      <c r="C42" s="91" t="s">
        <v>78</v>
      </c>
      <c r="D42" s="92">
        <f>VLOOKUP(A42,Proponentes[#Data],19,FALSE)</f>
        <v>3.0025180253547274</v>
      </c>
      <c r="E42" s="93" t="str">
        <f>VLOOKUP(A42,Proponentes[#Data],25,FALSE)</f>
        <v>CUMPLE</v>
      </c>
      <c r="F42" s="94">
        <f>VLOOKUP(A42,Proponentes[#Data],20,FALSE)</f>
        <v>0.19315719584872479</v>
      </c>
      <c r="G42" s="93" t="str">
        <f>VLOOKUP(A42,Proponentes[#Data],26,FALSE)</f>
        <v>CUMPLE</v>
      </c>
      <c r="H42" s="95">
        <f>VLOOKUP(A42,Proponentes[#Data],21,FALSE)</f>
        <v>880.75883088842625</v>
      </c>
      <c r="I42" s="93" t="str">
        <f>VLOOKUP(A42,Proponentes[#Data],27,FALSE)</f>
        <v>CUMPLE</v>
      </c>
      <c r="J42" s="96" t="str">
        <f t="shared" si="0"/>
        <v>CUMPLE</v>
      </c>
      <c r="K42" s="98">
        <f>VLOOKUP(A42,Proponentes[#Data],35,FALSE)</f>
        <v>624.01310057668422</v>
      </c>
      <c r="L42" s="102">
        <f>VLOOKUP(A42,Hoja2!$A$2:$F$329,6,FALSE)</f>
        <v>624.01310057668422</v>
      </c>
      <c r="M42" s="97"/>
      <c r="N42" s="103">
        <f t="shared" si="1"/>
        <v>0</v>
      </c>
    </row>
    <row r="43" spans="1:14" ht="27" customHeight="1" x14ac:dyDescent="0.2">
      <c r="A43" s="89">
        <v>38</v>
      </c>
      <c r="B43" s="90">
        <v>900799981</v>
      </c>
      <c r="C43" s="91" t="s">
        <v>79</v>
      </c>
      <c r="D43" s="92">
        <f>VLOOKUP(A43,Proponentes[#Data],19,FALSE)</f>
        <v>8.3333333333333339</v>
      </c>
      <c r="E43" s="93" t="str">
        <f>VLOOKUP(A43,Proponentes[#Data],25,FALSE)</f>
        <v>CUMPLE</v>
      </c>
      <c r="F43" s="94">
        <f>VLOOKUP(A43,Proponentes[#Data],20,FALSE)</f>
        <v>9.6000000000000002E-2</v>
      </c>
      <c r="G43" s="93" t="str">
        <f>VLOOKUP(A43,Proponentes[#Data],26,FALSE)</f>
        <v>NO CUMPLE</v>
      </c>
      <c r="H43" s="95">
        <f>VLOOKUP(A43,Proponentes[#Data],21,FALSE)</f>
        <v>212.53061165343985</v>
      </c>
      <c r="I43" s="93" t="str">
        <f>VLOOKUP(A43,Proponentes[#Data],27,FALSE)</f>
        <v>CUMPLE</v>
      </c>
      <c r="J43" s="96" t="str">
        <f t="shared" si="0"/>
        <v>NO CUMPLE</v>
      </c>
      <c r="K43" s="98">
        <f>VLOOKUP(A43,Proponentes[#Data],35,FALSE)</f>
        <v>0</v>
      </c>
      <c r="L43" s="102">
        <f>VLOOKUP(A43,Hoja2!$A$2:$F$329,6,FALSE)</f>
        <v>0</v>
      </c>
      <c r="M43" s="97" t="s">
        <v>814</v>
      </c>
      <c r="N43" s="103">
        <f t="shared" si="1"/>
        <v>0</v>
      </c>
    </row>
    <row r="44" spans="1:14" ht="27" customHeight="1" x14ac:dyDescent="0.2">
      <c r="A44" s="89">
        <v>39</v>
      </c>
      <c r="B44" s="90">
        <v>814006325</v>
      </c>
      <c r="C44" s="91" t="s">
        <v>80</v>
      </c>
      <c r="D44" s="92">
        <f>VLOOKUP(A44,Proponentes[#Data],19,FALSE)</f>
        <v>1.6468378775640249</v>
      </c>
      <c r="E44" s="93" t="str">
        <f>VLOOKUP(A44,Proponentes[#Data],25,FALSE)</f>
        <v>CUMPLE</v>
      </c>
      <c r="F44" s="94">
        <f>VLOOKUP(A44,Proponentes[#Data],20,FALSE)</f>
        <v>0.37952304964767253</v>
      </c>
      <c r="G44" s="93" t="str">
        <f>VLOOKUP(A44,Proponentes[#Data],26,FALSE)</f>
        <v>CUMPLE</v>
      </c>
      <c r="H44" s="95">
        <f>VLOOKUP(A44,Proponentes[#Data],21,FALSE)</f>
        <v>2053.2937716455181</v>
      </c>
      <c r="I44" s="93" t="str">
        <f>VLOOKUP(A44,Proponentes[#Data],27,FALSE)</f>
        <v>CUMPLE</v>
      </c>
      <c r="J44" s="96" t="str">
        <f t="shared" si="0"/>
        <v>CUMPLE</v>
      </c>
      <c r="K44" s="98">
        <f>VLOOKUP(A44,Proponentes[#Data],35,FALSE)</f>
        <v>1661.5788697077605</v>
      </c>
      <c r="L44" s="102">
        <f>VLOOKUP(A44,Hoja2!$A$2:$F$329,6,FALSE)</f>
        <v>1661.5788697077605</v>
      </c>
      <c r="M44" s="97"/>
      <c r="N44" s="103">
        <f t="shared" si="1"/>
        <v>0</v>
      </c>
    </row>
    <row r="45" spans="1:14" ht="27" customHeight="1" x14ac:dyDescent="0.2">
      <c r="A45" s="89">
        <v>40</v>
      </c>
      <c r="B45" s="90">
        <v>900138935</v>
      </c>
      <c r="C45" s="91" t="s">
        <v>81</v>
      </c>
      <c r="D45" s="92" t="str">
        <f>VLOOKUP(A45,Proponentes[#Data],19,FALSE)</f>
        <v>INDETERMINADO</v>
      </c>
      <c r="E45" s="93" t="str">
        <f>VLOOKUP(A45,Proponentes[#Data],25,FALSE)</f>
        <v>NO CUMPLE</v>
      </c>
      <c r="F45" s="94">
        <f>VLOOKUP(A45,Proponentes[#Data],20,FALSE)</f>
        <v>0</v>
      </c>
      <c r="G45" s="93" t="str">
        <f>VLOOKUP(A45,Proponentes[#Data],26,FALSE)</f>
        <v>NO CUMPLE</v>
      </c>
      <c r="H45" s="95">
        <f>VLOOKUP(A45,Proponentes[#Data],21,FALSE)</f>
        <v>0</v>
      </c>
      <c r="I45" s="93" t="str">
        <f>VLOOKUP(A45,Proponentes[#Data],27,FALSE)</f>
        <v>NO CUMPLE</v>
      </c>
      <c r="J45" s="96" t="str">
        <f t="shared" si="0"/>
        <v>NO CUMPLE</v>
      </c>
      <c r="K45" s="98">
        <f>VLOOKUP(A45,Proponentes[#Data],35,FALSE)</f>
        <v>0</v>
      </c>
      <c r="L45" s="102">
        <f>VLOOKUP(A45,Hoja2!$A$2:$F$329,6,FALSE)</f>
        <v>0</v>
      </c>
      <c r="M45" s="97" t="s">
        <v>816</v>
      </c>
      <c r="N45" s="103">
        <f t="shared" si="1"/>
        <v>0</v>
      </c>
    </row>
    <row r="46" spans="1:14" ht="27" customHeight="1" x14ac:dyDescent="0.2">
      <c r="A46" s="89">
        <v>41</v>
      </c>
      <c r="B46" s="90">
        <v>900054726</v>
      </c>
      <c r="C46" s="91" t="s">
        <v>83</v>
      </c>
      <c r="D46" s="92">
        <f>VLOOKUP(A46,Proponentes[#Data],19,FALSE)</f>
        <v>165.29133333333334</v>
      </c>
      <c r="E46" s="93" t="str">
        <f>VLOOKUP(A46,Proponentes[#Data],25,FALSE)</f>
        <v>CUMPLE</v>
      </c>
      <c r="F46" s="94">
        <f>VLOOKUP(A46,Proponentes[#Data],20,FALSE)</f>
        <v>6.0499239726220771E-3</v>
      </c>
      <c r="G46" s="93" t="str">
        <f>VLOOKUP(A46,Proponentes[#Data],26,FALSE)</f>
        <v>NO CUMPLE</v>
      </c>
      <c r="H46" s="95">
        <f>VLOOKUP(A46,Proponentes[#Data],21,FALSE)</f>
        <v>297.58753604567477</v>
      </c>
      <c r="I46" s="93" t="str">
        <f>VLOOKUP(A46,Proponentes[#Data],27,FALSE)</f>
        <v>CUMPLE</v>
      </c>
      <c r="J46" s="96" t="str">
        <f t="shared" si="0"/>
        <v>NO CUMPLE</v>
      </c>
      <c r="K46" s="98">
        <f>VLOOKUP(A46,Proponentes[#Data],35,FALSE)</f>
        <v>0</v>
      </c>
      <c r="L46" s="102">
        <f>VLOOKUP(A46,Hoja2!$A$2:$F$329,6,FALSE)</f>
        <v>0</v>
      </c>
      <c r="M46" s="97" t="s">
        <v>814</v>
      </c>
      <c r="N46" s="103">
        <f t="shared" si="1"/>
        <v>0</v>
      </c>
    </row>
    <row r="47" spans="1:14" ht="27" customHeight="1" x14ac:dyDescent="0.2">
      <c r="A47" s="89">
        <v>42</v>
      </c>
      <c r="B47" s="90">
        <v>900043721</v>
      </c>
      <c r="C47" s="91" t="s">
        <v>85</v>
      </c>
      <c r="D47" s="92" t="str">
        <f>VLOOKUP(A47,Proponentes[#Data],19,FALSE)</f>
        <v>INDETERMINADO</v>
      </c>
      <c r="E47" s="96" t="s">
        <v>771</v>
      </c>
      <c r="F47" s="94">
        <f>VLOOKUP(A47,Proponentes[#Data],20,FALSE)</f>
        <v>0</v>
      </c>
      <c r="G47" s="96" t="s">
        <v>771</v>
      </c>
      <c r="H47" s="95">
        <f>VLOOKUP(A47,Proponentes[#Data],21,FALSE)</f>
        <v>0</v>
      </c>
      <c r="I47" s="96" t="s">
        <v>771</v>
      </c>
      <c r="J47" s="96" t="s">
        <v>771</v>
      </c>
      <c r="K47" s="98">
        <f>VLOOKUP(A47,Proponentes[#Data],35,FALSE)</f>
        <v>0</v>
      </c>
      <c r="L47" s="102">
        <f>VLOOKUP(A47,Hoja2!$A$2:$F$329,6,FALSE)</f>
        <v>0</v>
      </c>
      <c r="M47" s="97" t="str">
        <f>VLOOKUP(A47,Proponentes[#Data],29,FALSE)</f>
        <v>RECHAZADO. El Oferente presenta doble propuesta 224 y 42</v>
      </c>
      <c r="N47" s="103">
        <f t="shared" si="1"/>
        <v>0</v>
      </c>
    </row>
    <row r="48" spans="1:14" ht="27" customHeight="1" x14ac:dyDescent="0.2">
      <c r="A48" s="89">
        <v>43</v>
      </c>
      <c r="B48" s="90">
        <v>823004177</v>
      </c>
      <c r="C48" s="91" t="s">
        <v>87</v>
      </c>
      <c r="D48" s="92" t="str">
        <f>VLOOKUP(A48,Proponentes[#Data],19,FALSE)</f>
        <v>INDETERMINADO</v>
      </c>
      <c r="E48" s="93" t="str">
        <f>VLOOKUP(A48,Proponentes[#Data],25,FALSE)</f>
        <v>NO CUMPLE</v>
      </c>
      <c r="F48" s="94">
        <f>VLOOKUP(A48,Proponentes[#Data],20,FALSE)</f>
        <v>0</v>
      </c>
      <c r="G48" s="93" t="str">
        <f>VLOOKUP(A48,Proponentes[#Data],26,FALSE)</f>
        <v>NO CUMPLE</v>
      </c>
      <c r="H48" s="95">
        <f>VLOOKUP(A48,Proponentes[#Data],21,FALSE)</f>
        <v>0</v>
      </c>
      <c r="I48" s="93" t="str">
        <f>VLOOKUP(A48,Proponentes[#Data],27,FALSE)</f>
        <v>NO CUMPLE</v>
      </c>
      <c r="J48" s="96" t="str">
        <f t="shared" si="0"/>
        <v>NO CUMPLE</v>
      </c>
      <c r="K48" s="98">
        <f>VLOOKUP(A48,Proponentes[#Data],35,FALSE)</f>
        <v>0</v>
      </c>
      <c r="L48" s="102">
        <f>VLOOKUP(A48,Hoja2!$A$2:$F$329,6,FALSE)</f>
        <v>0</v>
      </c>
      <c r="M48" s="97" t="s">
        <v>816</v>
      </c>
      <c r="N48" s="103">
        <f t="shared" si="1"/>
        <v>0</v>
      </c>
    </row>
    <row r="49" spans="1:14" ht="27" customHeight="1" x14ac:dyDescent="0.2">
      <c r="A49" s="89">
        <v>44</v>
      </c>
      <c r="B49" s="90">
        <v>900457831</v>
      </c>
      <c r="C49" s="91" t="s">
        <v>89</v>
      </c>
      <c r="D49" s="92">
        <f>VLOOKUP(A49,Proponentes[#Data],19,FALSE)</f>
        <v>44.322279213854046</v>
      </c>
      <c r="E49" s="93" t="str">
        <f>VLOOKUP(A49,Proponentes[#Data],25,FALSE)</f>
        <v>CUMPLE</v>
      </c>
      <c r="F49" s="94">
        <f>VLOOKUP(A49,Proponentes[#Data],20,FALSE)</f>
        <v>7.4693199425040602E-2</v>
      </c>
      <c r="G49" s="93" t="str">
        <f>VLOOKUP(A49,Proponentes[#Data],26,FALSE)</f>
        <v>NO CUMPLE</v>
      </c>
      <c r="H49" s="95">
        <f>VLOOKUP(A49,Proponentes[#Data],21,FALSE)</f>
        <v>2060.2403528008153</v>
      </c>
      <c r="I49" s="93" t="str">
        <f>VLOOKUP(A49,Proponentes[#Data],27,FALSE)</f>
        <v>CUMPLE</v>
      </c>
      <c r="J49" s="96" t="str">
        <f t="shared" si="0"/>
        <v>NO CUMPLE</v>
      </c>
      <c r="K49" s="98">
        <f>VLOOKUP(A49,Proponentes[#Data],35,FALSE)</f>
        <v>0</v>
      </c>
      <c r="L49" s="102">
        <f>VLOOKUP(A49,Hoja2!$A$2:$F$329,6,FALSE)</f>
        <v>0</v>
      </c>
      <c r="M49" s="97" t="s">
        <v>814</v>
      </c>
      <c r="N49" s="103">
        <f t="shared" si="1"/>
        <v>0</v>
      </c>
    </row>
    <row r="50" spans="1:14" ht="27" customHeight="1" x14ac:dyDescent="0.2">
      <c r="A50" s="89">
        <v>45</v>
      </c>
      <c r="B50" s="90">
        <v>900675422</v>
      </c>
      <c r="C50" s="91" t="s">
        <v>90</v>
      </c>
      <c r="D50" s="92">
        <f>VLOOKUP(A50,Proponentes[#Data],19,FALSE)</f>
        <v>1.7767503110400769</v>
      </c>
      <c r="E50" s="93" t="str">
        <f>VLOOKUP(A50,Proponentes[#Data],25,FALSE)</f>
        <v>CUMPLE</v>
      </c>
      <c r="F50" s="94">
        <f>VLOOKUP(A50,Proponentes[#Data],20,FALSE)</f>
        <v>0.56282528489589423</v>
      </c>
      <c r="G50" s="93" t="str">
        <f>VLOOKUP(A50,Proponentes[#Data],26,FALSE)</f>
        <v>NO CUMPLE</v>
      </c>
      <c r="H50" s="95">
        <f>VLOOKUP(A50,Proponentes[#Data],21,FALSE)</f>
        <v>9.2232163126904929</v>
      </c>
      <c r="I50" s="93" t="str">
        <f>VLOOKUP(A50,Proponentes[#Data],27,FALSE)</f>
        <v>NO CUMPLE</v>
      </c>
      <c r="J50" s="96" t="str">
        <f t="shared" si="0"/>
        <v>NO CUMPLE</v>
      </c>
      <c r="K50" s="98">
        <f>VLOOKUP(A50,Proponentes[#Data],35,FALSE)</f>
        <v>0</v>
      </c>
      <c r="L50" s="102">
        <f>VLOOKUP(A50,Hoja2!$A$2:$F$329,6,FALSE)</f>
        <v>0</v>
      </c>
      <c r="M50" s="97" t="s">
        <v>814</v>
      </c>
      <c r="N50" s="103">
        <f t="shared" si="1"/>
        <v>0</v>
      </c>
    </row>
    <row r="51" spans="1:14" ht="27" customHeight="1" x14ac:dyDescent="0.2">
      <c r="A51" s="89">
        <v>46</v>
      </c>
      <c r="B51" s="90">
        <v>900594379</v>
      </c>
      <c r="C51" s="91" t="s">
        <v>92</v>
      </c>
      <c r="D51" s="92">
        <f>VLOOKUP(A51,Proponentes[#Data],19,FALSE)</f>
        <v>5.5559427531532917</v>
      </c>
      <c r="E51" s="93" t="s">
        <v>470</v>
      </c>
      <c r="F51" s="94" t="s">
        <v>470</v>
      </c>
      <c r="G51" s="93" t="s">
        <v>470</v>
      </c>
      <c r="H51" s="95" t="s">
        <v>470</v>
      </c>
      <c r="I51" s="93" t="s">
        <v>470</v>
      </c>
      <c r="J51" s="96" t="str">
        <f t="shared" si="0"/>
        <v>NO CUMPLE</v>
      </c>
      <c r="K51" s="98">
        <f>VLOOKUP(A51,Proponentes[#Data],35,FALSE)</f>
        <v>52.186134386016114</v>
      </c>
      <c r="L51" s="102">
        <f>VLOOKUP(A51,Hoja2!$A$2:$F$329,6,FALSE)</f>
        <v>52.186134386016114</v>
      </c>
      <c r="M51" s="97" t="str">
        <f>VLOOKUP(A51,Proponentes[#Data],29,FALSE)</f>
        <v>NO CUMPLE. El Oferente no aportó:
1. Acta de Asamblea general con aprobación de estados financieros definitivos 2018.
2. Notas de los estados financieros</v>
      </c>
      <c r="N51" s="103">
        <f t="shared" si="1"/>
        <v>0</v>
      </c>
    </row>
    <row r="52" spans="1:14" ht="27" customHeight="1" x14ac:dyDescent="0.2">
      <c r="A52" s="89">
        <v>47</v>
      </c>
      <c r="B52" s="90">
        <v>900014331</v>
      </c>
      <c r="C52" s="91" t="s">
        <v>94</v>
      </c>
      <c r="D52" s="92">
        <f>VLOOKUP(A52,Proponentes[#Data],19,FALSE)</f>
        <v>17.379166020685524</v>
      </c>
      <c r="E52" s="93" t="str">
        <f>VLOOKUP(A52,Proponentes[#Data],25,FALSE)</f>
        <v>CUMPLE</v>
      </c>
      <c r="F52" s="94">
        <f>VLOOKUP(A52,Proponentes[#Data],20,FALSE)</f>
        <v>5.7540160374194689E-2</v>
      </c>
      <c r="G52" s="93" t="str">
        <f>VLOOKUP(A52,Proponentes[#Data],26,FALSE)</f>
        <v>NO CUMPLE</v>
      </c>
      <c r="H52" s="95">
        <f>VLOOKUP(A52,Proponentes[#Data],21,FALSE)</f>
        <v>35.466172613498593</v>
      </c>
      <c r="I52" s="93" t="str">
        <f>VLOOKUP(A52,Proponentes[#Data],27,FALSE)</f>
        <v>CUMPLE</v>
      </c>
      <c r="J52" s="96" t="str">
        <f t="shared" si="0"/>
        <v>NO CUMPLE</v>
      </c>
      <c r="K52" s="98">
        <f>VLOOKUP(A52,Proponentes[#Data],35,FALSE)</f>
        <v>0</v>
      </c>
      <c r="L52" s="102">
        <f>VLOOKUP(A52,Hoja2!$A$2:$F$329,6,FALSE)</f>
        <v>0</v>
      </c>
      <c r="M52" s="97" t="s">
        <v>814</v>
      </c>
      <c r="N52" s="103">
        <f t="shared" si="1"/>
        <v>0</v>
      </c>
    </row>
    <row r="53" spans="1:14" ht="27" customHeight="1" x14ac:dyDescent="0.2">
      <c r="A53" s="89">
        <v>48</v>
      </c>
      <c r="B53" s="90">
        <v>900204851</v>
      </c>
      <c r="C53" s="91" t="s">
        <v>95</v>
      </c>
      <c r="D53" s="92">
        <f>VLOOKUP(A53,Proponentes[#Data],19,FALSE)</f>
        <v>11.271361592418208</v>
      </c>
      <c r="E53" s="93" t="str">
        <f>VLOOKUP(A53,Proponentes[#Data],25,FALSE)</f>
        <v>CUMPLE</v>
      </c>
      <c r="F53" s="94">
        <f>VLOOKUP(A53,Proponentes[#Data],20,FALSE)</f>
        <v>5.1907164772838139E-2</v>
      </c>
      <c r="G53" s="93" t="str">
        <f>VLOOKUP(A53,Proponentes[#Data],26,FALSE)</f>
        <v>CUMPLE</v>
      </c>
      <c r="H53" s="95">
        <f>VLOOKUP(A53,Proponentes[#Data],21,FALSE)</f>
        <v>524.96372488878364</v>
      </c>
      <c r="I53" s="93" t="str">
        <f>VLOOKUP(A53,Proponentes[#Data],27,FALSE)</f>
        <v>CUMPLE</v>
      </c>
      <c r="J53" s="96" t="str">
        <f t="shared" si="0"/>
        <v>CUMPLE</v>
      </c>
      <c r="K53" s="98">
        <f>VLOOKUP(A53,Proponentes[#Data],35,FALSE)</f>
        <v>372.07878824403889</v>
      </c>
      <c r="L53" s="102">
        <f>VLOOKUP(A53,Hoja2!$A$2:$F$329,6,FALSE)</f>
        <v>372.07878824403889</v>
      </c>
      <c r="M53" s="97"/>
      <c r="N53" s="103">
        <f t="shared" si="1"/>
        <v>0</v>
      </c>
    </row>
    <row r="54" spans="1:14" ht="27" customHeight="1" x14ac:dyDescent="0.2">
      <c r="A54" s="89">
        <v>49</v>
      </c>
      <c r="B54" s="90">
        <v>900456567</v>
      </c>
      <c r="C54" s="91" t="s">
        <v>96</v>
      </c>
      <c r="D54" s="92">
        <f>VLOOKUP(A54,Proponentes[#Data],19,FALSE)</f>
        <v>0.29411764705882354</v>
      </c>
      <c r="E54" s="93" t="str">
        <f>VLOOKUP(A54,Proponentes[#Data],25,FALSE)</f>
        <v>NO CUMPLE</v>
      </c>
      <c r="F54" s="94">
        <f>VLOOKUP(A54,Proponentes[#Data],20,FALSE)</f>
        <v>0.85</v>
      </c>
      <c r="G54" s="93" t="str">
        <f>VLOOKUP(A54,Proponentes[#Data],26,FALSE)</f>
        <v>NO CUMPLE</v>
      </c>
      <c r="H54" s="95">
        <f>VLOOKUP(A54,Proponentes[#Data],21,FALSE)</f>
        <v>-14.490723521825444</v>
      </c>
      <c r="I54" s="93" t="str">
        <f>VLOOKUP(A54,Proponentes[#Data],27,FALSE)</f>
        <v>NO CUMPLE</v>
      </c>
      <c r="J54" s="96" t="str">
        <f t="shared" si="0"/>
        <v>NO CUMPLE</v>
      </c>
      <c r="K54" s="98">
        <f>VLOOKUP(A54,Proponentes[#Data],35,FALSE)</f>
        <v>0</v>
      </c>
      <c r="L54" s="102">
        <f>VLOOKUP(A54,Hoja2!$A$2:$F$329,6,FALSE)</f>
        <v>0</v>
      </c>
      <c r="M54" s="97" t="s">
        <v>816</v>
      </c>
      <c r="N54" s="103">
        <f t="shared" si="1"/>
        <v>0</v>
      </c>
    </row>
    <row r="55" spans="1:14" ht="27" customHeight="1" x14ac:dyDescent="0.2">
      <c r="A55" s="89">
        <v>50</v>
      </c>
      <c r="B55" s="90">
        <v>900467706</v>
      </c>
      <c r="C55" s="91" t="s">
        <v>97</v>
      </c>
      <c r="D55" s="92">
        <f>VLOOKUP(A55,Proponentes[#Data],19,FALSE)</f>
        <v>1.7199823188991024</v>
      </c>
      <c r="E55" s="93" t="str">
        <f>VLOOKUP(A55,Proponentes[#Data],25,FALSE)</f>
        <v>CUMPLE</v>
      </c>
      <c r="F55" s="94">
        <f>VLOOKUP(A55,Proponentes[#Data],20,FALSE)</f>
        <v>0.52133317316923555</v>
      </c>
      <c r="G55" s="93" t="str">
        <f>VLOOKUP(A55,Proponentes[#Data],26,FALSE)</f>
        <v>NO CUMPLE</v>
      </c>
      <c r="H55" s="95">
        <f>VLOOKUP(A55,Proponentes[#Data],21,FALSE)</f>
        <v>178.01980157369258</v>
      </c>
      <c r="I55" s="93" t="str">
        <f>VLOOKUP(A55,Proponentes[#Data],27,FALSE)</f>
        <v>CUMPLE</v>
      </c>
      <c r="J55" s="96" t="str">
        <f t="shared" si="0"/>
        <v>NO CUMPLE</v>
      </c>
      <c r="K55" s="98">
        <f>VLOOKUP(A55,Proponentes[#Data],35,FALSE)</f>
        <v>0</v>
      </c>
      <c r="L55" s="102">
        <f>VLOOKUP(A55,Hoja2!$A$2:$F$329,6,FALSE)</f>
        <v>0</v>
      </c>
      <c r="M55" s="97" t="s">
        <v>814</v>
      </c>
      <c r="N55" s="103">
        <f t="shared" si="1"/>
        <v>0</v>
      </c>
    </row>
    <row r="56" spans="1:14" ht="27" customHeight="1" x14ac:dyDescent="0.2">
      <c r="A56" s="89">
        <v>51</v>
      </c>
      <c r="B56" s="90">
        <v>901152586</v>
      </c>
      <c r="C56" s="91" t="s">
        <v>98</v>
      </c>
      <c r="D56" s="92">
        <f>VLOOKUP(A56,Proponentes[#Data],19,FALSE)</f>
        <v>49</v>
      </c>
      <c r="E56" s="93" t="str">
        <f>VLOOKUP(A56,Proponentes[#Data],25,FALSE)</f>
        <v>CUMPLE</v>
      </c>
      <c r="F56" s="94">
        <f>VLOOKUP(A56,Proponentes[#Data],20,FALSE)</f>
        <v>2.0408163265306121E-2</v>
      </c>
      <c r="G56" s="93" t="str">
        <f>VLOOKUP(A56,Proponentes[#Data],26,FALSE)</f>
        <v>CUMPLE</v>
      </c>
      <c r="H56" s="95">
        <f>VLOOKUP(A56,Proponentes[#Data],21,FALSE)</f>
        <v>144.90723521825444</v>
      </c>
      <c r="I56" s="93" t="str">
        <f>VLOOKUP(A56,Proponentes[#Data],27,FALSE)</f>
        <v>CUMPLE</v>
      </c>
      <c r="J56" s="96" t="str">
        <f t="shared" si="0"/>
        <v>CUMPLE</v>
      </c>
      <c r="K56" s="98">
        <f>VLOOKUP(A56,Proponentes[#Data],35,FALSE)</f>
        <v>41.581055394479776</v>
      </c>
      <c r="L56" s="102">
        <f>VLOOKUP(A56,Hoja2!$A$2:$F$329,6,FALSE)</f>
        <v>41.581055394479776</v>
      </c>
      <c r="M56" s="97"/>
      <c r="N56" s="103">
        <f t="shared" si="1"/>
        <v>0</v>
      </c>
    </row>
    <row r="57" spans="1:14" ht="27" customHeight="1" x14ac:dyDescent="0.2">
      <c r="A57" s="89">
        <v>52</v>
      </c>
      <c r="B57" s="90">
        <v>900944996</v>
      </c>
      <c r="C57" s="91" t="s">
        <v>99</v>
      </c>
      <c r="D57" s="92">
        <f>VLOOKUP(A57,Proponentes[#Data],19,FALSE)</f>
        <v>23.119466666666668</v>
      </c>
      <c r="E57" s="93" t="str">
        <f>VLOOKUP(A57,Proponentes[#Data],25,FALSE)</f>
        <v>CUMPLE</v>
      </c>
      <c r="F57" s="94">
        <f>VLOOKUP(A57,Proponentes[#Data],20,FALSE)</f>
        <v>0.15181030755553829</v>
      </c>
      <c r="G57" s="93" t="str">
        <f>VLOOKUP(A57,Proponentes[#Data],26,FALSE)</f>
        <v>NO CUMPLE</v>
      </c>
      <c r="H57" s="95">
        <f>VLOOKUP(A57,Proponentes[#Data],21,FALSE)</f>
        <v>12.821083036676022</v>
      </c>
      <c r="I57" s="93" t="str">
        <f>VLOOKUP(A57,Proponentes[#Data],27,FALSE)</f>
        <v>CUMPLE</v>
      </c>
      <c r="J57" s="96" t="str">
        <f t="shared" si="0"/>
        <v>NO CUMPLE</v>
      </c>
      <c r="K57" s="98">
        <f>VLOOKUP(A57,Proponentes[#Data],35,FALSE)</f>
        <v>0</v>
      </c>
      <c r="L57" s="102">
        <f>VLOOKUP(A57,Hoja2!$A$2:$F$329,6,FALSE)</f>
        <v>0</v>
      </c>
      <c r="M57" s="97" t="s">
        <v>814</v>
      </c>
      <c r="N57" s="103">
        <f t="shared" si="1"/>
        <v>0</v>
      </c>
    </row>
    <row r="58" spans="1:14" ht="27" customHeight="1" x14ac:dyDescent="0.2">
      <c r="A58" s="89">
        <v>53</v>
      </c>
      <c r="B58" s="90">
        <v>860070301</v>
      </c>
      <c r="C58" s="91" t="s">
        <v>101</v>
      </c>
      <c r="D58" s="92">
        <f>VLOOKUP(A58,Proponentes[#Data],19,FALSE)</f>
        <v>1.5213207720551865</v>
      </c>
      <c r="E58" s="93" t="str">
        <f>VLOOKUP(A58,Proponentes[#Data],25,FALSE)</f>
        <v>CUMPLE</v>
      </c>
      <c r="F58" s="94">
        <f>VLOOKUP(A58,Proponentes[#Data],20,FALSE)</f>
        <v>0.65732356934105185</v>
      </c>
      <c r="G58" s="93" t="str">
        <f>VLOOKUP(A58,Proponentes[#Data],26,FALSE)</f>
        <v>CUMPLE</v>
      </c>
      <c r="H58" s="95">
        <f>VLOOKUP(A58,Proponentes[#Data],21,FALSE)</f>
        <v>7158.9632370344252</v>
      </c>
      <c r="I58" s="93" t="str">
        <f>VLOOKUP(A58,Proponentes[#Data],27,FALSE)</f>
        <v>CUMPLE</v>
      </c>
      <c r="J58" s="96" t="str">
        <f t="shared" si="0"/>
        <v>CUMPLE</v>
      </c>
      <c r="K58" s="98">
        <f>VLOOKUP(A58,Proponentes[#Data],35,FALSE)</f>
        <v>516.53477556028304</v>
      </c>
      <c r="L58" s="102">
        <f>VLOOKUP(A58,Hoja2!$A$2:$F$329,6,FALSE)</f>
        <v>516.53477556028304</v>
      </c>
      <c r="M58" s="97"/>
      <c r="N58" s="103">
        <f t="shared" si="1"/>
        <v>0</v>
      </c>
    </row>
    <row r="59" spans="1:14" ht="27" customHeight="1" x14ac:dyDescent="0.2">
      <c r="A59" s="89">
        <v>54</v>
      </c>
      <c r="B59" s="90">
        <v>900908345</v>
      </c>
      <c r="C59" s="91" t="s">
        <v>102</v>
      </c>
      <c r="D59" s="92" t="str">
        <f>VLOOKUP(A59,Proponentes[#Data],19,FALSE)</f>
        <v>INDETERMINADO</v>
      </c>
      <c r="E59" s="93" t="s">
        <v>470</v>
      </c>
      <c r="F59" s="94" t="s">
        <v>470</v>
      </c>
      <c r="G59" s="93" t="s">
        <v>470</v>
      </c>
      <c r="H59" s="95" t="s">
        <v>470</v>
      </c>
      <c r="I59" s="93" t="s">
        <v>470</v>
      </c>
      <c r="J59" s="96" t="str">
        <f t="shared" si="0"/>
        <v>NO CUMPLE</v>
      </c>
      <c r="K59" s="98">
        <f>VLOOKUP(A59,Proponentes[#Data],35,FALSE)</f>
        <v>0</v>
      </c>
      <c r="L59" s="102">
        <f>VLOOKUP(A59,Hoja2!$A$2:$F$329,6,FALSE)</f>
        <v>0</v>
      </c>
      <c r="M59" s="97" t="str">
        <f>VLOOKUP(A59,Proponentes[#Data],29,FALSE)</f>
        <v>NO CUMPLE. El indicador de capital de trabajo, acorde a la información financiera aportada, es de 2.74 ($2.275.200), valor inferior al solicitado en la invitación pública. Los estados financieros aportados no fueron objeto de verificación  financiera toda vez que ya habian aportado RUP en la evaluación preliminar.</v>
      </c>
      <c r="N59" s="103">
        <f t="shared" si="1"/>
        <v>0</v>
      </c>
    </row>
    <row r="60" spans="1:14" ht="27" customHeight="1" x14ac:dyDescent="0.2">
      <c r="A60" s="89">
        <v>55</v>
      </c>
      <c r="B60" s="90">
        <v>818001995</v>
      </c>
      <c r="C60" s="91" t="s">
        <v>103</v>
      </c>
      <c r="D60" s="92">
        <f>VLOOKUP(A60,Proponentes[#Data],19,FALSE)</f>
        <v>28.8</v>
      </c>
      <c r="E60" s="93" t="str">
        <f>VLOOKUP(A60,Proponentes[#Data],25,FALSE)</f>
        <v>CUMPLE</v>
      </c>
      <c r="F60" s="94">
        <f>VLOOKUP(A60,Proponentes[#Data],20,FALSE)</f>
        <v>3.4722222222222224E-2</v>
      </c>
      <c r="G60" s="93" t="str">
        <f>VLOOKUP(A60,Proponentes[#Data],26,FALSE)</f>
        <v>NO CUMPLE</v>
      </c>
      <c r="H60" s="95">
        <f>VLOOKUP(A60,Proponentes[#Data],21,FALSE)</f>
        <v>167.85088079447806</v>
      </c>
      <c r="I60" s="93" t="str">
        <f>VLOOKUP(A60,Proponentes[#Data],27,FALSE)</f>
        <v>CUMPLE</v>
      </c>
      <c r="J60" s="96" t="str">
        <f t="shared" si="0"/>
        <v>NO CUMPLE</v>
      </c>
      <c r="K60" s="98">
        <f>VLOOKUP(A60,Proponentes[#Data],35,FALSE)</f>
        <v>0</v>
      </c>
      <c r="L60" s="102">
        <f>VLOOKUP(A60,Hoja2!$A$2:$F$329,6,FALSE)</f>
        <v>0</v>
      </c>
      <c r="M60" s="97" t="s">
        <v>814</v>
      </c>
      <c r="N60" s="103">
        <f t="shared" si="1"/>
        <v>0</v>
      </c>
    </row>
    <row r="61" spans="1:14" ht="27" customHeight="1" x14ac:dyDescent="0.2">
      <c r="A61" s="89">
        <v>56</v>
      </c>
      <c r="B61" s="90">
        <v>900034226</v>
      </c>
      <c r="C61" s="91" t="s">
        <v>104</v>
      </c>
      <c r="D61" s="92">
        <f>VLOOKUP(A61,Proponentes[#Data],19,FALSE)</f>
        <v>113.48964948453609</v>
      </c>
      <c r="E61" s="93" t="str">
        <f>VLOOKUP(A61,Proponentes[#Data],25,FALSE)</f>
        <v>CUMPLE</v>
      </c>
      <c r="F61" s="94">
        <f>VLOOKUP(A61,Proponentes[#Data],20,FALSE)</f>
        <v>0.11927072269091958</v>
      </c>
      <c r="G61" s="93" t="str">
        <f>VLOOKUP(A61,Proponentes[#Data],26,FALSE)</f>
        <v>NO CUMPLE</v>
      </c>
      <c r="H61" s="95">
        <f>VLOOKUP(A61,Proponentes[#Data],21,FALSE)</f>
        <v>1976.4433968188032</v>
      </c>
      <c r="I61" s="93" t="str">
        <f>VLOOKUP(A61,Proponentes[#Data],27,FALSE)</f>
        <v>CUMPLE</v>
      </c>
      <c r="J61" s="96" t="str">
        <f t="shared" si="0"/>
        <v>NO CUMPLE</v>
      </c>
      <c r="K61" s="98">
        <f>VLOOKUP(A61,Proponentes[#Data],35,FALSE)</f>
        <v>0</v>
      </c>
      <c r="L61" s="102">
        <f>VLOOKUP(A61,Hoja2!$A$2:$F$329,6,FALSE)</f>
        <v>0</v>
      </c>
      <c r="M61" s="97" t="s">
        <v>814</v>
      </c>
      <c r="N61" s="103">
        <f t="shared" si="1"/>
        <v>0</v>
      </c>
    </row>
    <row r="62" spans="1:14" ht="27" customHeight="1" x14ac:dyDescent="0.2">
      <c r="A62" s="89">
        <v>57</v>
      </c>
      <c r="B62" s="90">
        <v>900085882</v>
      </c>
      <c r="C62" s="91" t="s">
        <v>105</v>
      </c>
      <c r="D62" s="92">
        <f>VLOOKUP(A62,Proponentes[#Data],19,FALSE)</f>
        <v>1.9837432984568504</v>
      </c>
      <c r="E62" s="93" t="str">
        <f>VLOOKUP(A62,Proponentes[#Data],25,FALSE)</f>
        <v>CUMPLE</v>
      </c>
      <c r="F62" s="94">
        <f>VLOOKUP(A62,Proponentes[#Data],20,FALSE)</f>
        <v>0.50409748114985331</v>
      </c>
      <c r="G62" s="93" t="str">
        <f>VLOOKUP(A62,Proponentes[#Data],26,FALSE)</f>
        <v>CUMPLE</v>
      </c>
      <c r="H62" s="95">
        <f>VLOOKUP(A62,Proponentes[#Data],21,FALSE)</f>
        <v>262.28137603910562</v>
      </c>
      <c r="I62" s="93" t="str">
        <f>VLOOKUP(A62,Proponentes[#Data],27,FALSE)</f>
        <v>CUMPLE</v>
      </c>
      <c r="J62" s="96" t="str">
        <f t="shared" si="0"/>
        <v>CUMPLE</v>
      </c>
      <c r="K62" s="98">
        <f>VLOOKUP(A62,Proponentes[#Data],35,FALSE)</f>
        <v>130.31897177842833</v>
      </c>
      <c r="L62" s="102">
        <f>VLOOKUP(A62,Hoja2!$A$2:$F$329,6,FALSE)</f>
        <v>130.31897177842833</v>
      </c>
      <c r="M62" s="97"/>
      <c r="N62" s="103">
        <f t="shared" si="1"/>
        <v>0</v>
      </c>
    </row>
    <row r="63" spans="1:14" ht="27" customHeight="1" x14ac:dyDescent="0.2">
      <c r="A63" s="89">
        <v>58</v>
      </c>
      <c r="B63" s="90">
        <v>900229768</v>
      </c>
      <c r="C63" s="91" t="s">
        <v>106</v>
      </c>
      <c r="D63" s="92">
        <f>VLOOKUP(A63,Proponentes[#Data],19,FALSE)</f>
        <v>1.0013366782715545</v>
      </c>
      <c r="E63" s="93" t="str">
        <f>VLOOKUP(A63,Proponentes[#Data],25,FALSE)</f>
        <v>CUMPLE</v>
      </c>
      <c r="F63" s="94">
        <f>VLOOKUP(A63,Proponentes[#Data],20,FALSE)</f>
        <v>0.98575290124151471</v>
      </c>
      <c r="G63" s="93" t="str">
        <f>VLOOKUP(A63,Proponentes[#Data],26,FALSE)</f>
        <v>NO CUMPLE</v>
      </c>
      <c r="H63" s="95">
        <f>VLOOKUP(A63,Proponentes[#Data],21,FALSE)</f>
        <v>0.13398968260485247</v>
      </c>
      <c r="I63" s="93" t="str">
        <f>VLOOKUP(A63,Proponentes[#Data],27,FALSE)</f>
        <v>NO CUMPLE</v>
      </c>
      <c r="J63" s="96" t="str">
        <f t="shared" si="0"/>
        <v>NO CUMPLE</v>
      </c>
      <c r="K63" s="98">
        <f>VLOOKUP(A63,Proponentes[#Data],35,FALSE)</f>
        <v>82.687534650821391</v>
      </c>
      <c r="L63" s="102">
        <f>VLOOKUP(A63,Hoja2!$A$2:$F$329,6,FALSE)</f>
        <v>82.687534650821391</v>
      </c>
      <c r="M63" s="97" t="s">
        <v>814</v>
      </c>
      <c r="N63" s="103">
        <f t="shared" si="1"/>
        <v>0</v>
      </c>
    </row>
    <row r="64" spans="1:14" ht="27" customHeight="1" x14ac:dyDescent="0.2">
      <c r="A64" s="89">
        <v>59</v>
      </c>
      <c r="B64" s="90">
        <v>901156149</v>
      </c>
      <c r="C64" s="91" t="s">
        <v>108</v>
      </c>
      <c r="D64" s="92" t="str">
        <f>VLOOKUP(A64,Proponentes[#Data],19,FALSE)</f>
        <v>INDETERMINADO</v>
      </c>
      <c r="E64" s="93" t="str">
        <f>VLOOKUP(A64,Proponentes[#Data],25,FALSE)</f>
        <v>CUMPLE</v>
      </c>
      <c r="F64" s="94">
        <f>VLOOKUP(A64,Proponentes[#Data],20,FALSE)</f>
        <v>0</v>
      </c>
      <c r="G64" s="93" t="str">
        <f>VLOOKUP(A64,Proponentes[#Data],26,FALSE)</f>
        <v>CUMPLE</v>
      </c>
      <c r="H64" s="95">
        <f>VLOOKUP(A64,Proponentes[#Data],21,FALSE)</f>
        <v>0.76559322606977764</v>
      </c>
      <c r="I64" s="93" t="str">
        <f>VLOOKUP(A64,Proponentes[#Data],27,FALSE)</f>
        <v>NO CUMPLE</v>
      </c>
      <c r="J64" s="96" t="str">
        <f t="shared" si="0"/>
        <v>NO CUMPLE</v>
      </c>
      <c r="K64" s="98">
        <f>VLOOKUP(A64,Proponentes[#Data],35,FALSE)</f>
        <v>0</v>
      </c>
      <c r="L64" s="102">
        <f>VLOOKUP(A64,Hoja2!$A$2:$F$329,6,FALSE)</f>
        <v>0</v>
      </c>
      <c r="M64" s="97" t="s">
        <v>814</v>
      </c>
      <c r="N64" s="103">
        <f t="shared" si="1"/>
        <v>0</v>
      </c>
    </row>
    <row r="65" spans="1:14" ht="27" customHeight="1" x14ac:dyDescent="0.2">
      <c r="A65" s="89">
        <v>60</v>
      </c>
      <c r="B65" s="90">
        <v>900098672</v>
      </c>
      <c r="C65" s="91" t="s">
        <v>110</v>
      </c>
      <c r="D65" s="92">
        <f>VLOOKUP(A65,Proponentes[#Data],19,FALSE)</f>
        <v>17.128443999999998</v>
      </c>
      <c r="E65" s="93" t="str">
        <f>VLOOKUP(A65,Proponentes[#Data],25,FALSE)</f>
        <v>CUMPLE</v>
      </c>
      <c r="F65" s="94">
        <f>VLOOKUP(A65,Proponentes[#Data],20,FALSE)</f>
        <v>2.9045750658960943E-2</v>
      </c>
      <c r="G65" s="93" t="str">
        <f>VLOOKUP(A65,Proponentes[#Data],26,FALSE)</f>
        <v>NO CUMPLE</v>
      </c>
      <c r="H65" s="95">
        <f>VLOOKUP(A65,Proponentes[#Data],21,FALSE)</f>
        <v>9.7380342850518531</v>
      </c>
      <c r="I65" s="93" t="str">
        <f>VLOOKUP(A65,Proponentes[#Data],27,FALSE)</f>
        <v>NO CUMPLE</v>
      </c>
      <c r="J65" s="96" t="str">
        <f t="shared" si="0"/>
        <v>NO CUMPLE</v>
      </c>
      <c r="K65" s="98">
        <f>VLOOKUP(A65,Proponentes[#Data],35,FALSE)</f>
        <v>0</v>
      </c>
      <c r="L65" s="102">
        <f>VLOOKUP(A65,Hoja2!$A$2:$F$329,6,FALSE)</f>
        <v>0</v>
      </c>
      <c r="M65" s="97" t="s">
        <v>814</v>
      </c>
      <c r="N65" s="103">
        <f t="shared" si="1"/>
        <v>0</v>
      </c>
    </row>
    <row r="66" spans="1:14" ht="27" customHeight="1" x14ac:dyDescent="0.2">
      <c r="A66" s="89">
        <v>61</v>
      </c>
      <c r="B66" s="90">
        <v>900222878</v>
      </c>
      <c r="C66" s="91" t="s">
        <v>111</v>
      </c>
      <c r="D66" s="92">
        <f>VLOOKUP(A66,Proponentes[#Data],19,FALSE)</f>
        <v>29.3009499499423</v>
      </c>
      <c r="E66" s="93" t="str">
        <f>VLOOKUP(A66,Proponentes[#Data],25,FALSE)</f>
        <v>CUMPLE</v>
      </c>
      <c r="F66" s="94">
        <f>VLOOKUP(A66,Proponentes[#Data],20,FALSE)</f>
        <v>2.707095229793488E-2</v>
      </c>
      <c r="G66" s="93" t="str">
        <f>VLOOKUP(A66,Proponentes[#Data],26,FALSE)</f>
        <v>CUMPLE</v>
      </c>
      <c r="H66" s="95">
        <f>VLOOKUP(A66,Proponentes[#Data],21,FALSE)</f>
        <v>536.61337300571415</v>
      </c>
      <c r="I66" s="93" t="str">
        <f>VLOOKUP(A66,Proponentes[#Data],27,FALSE)</f>
        <v>CUMPLE</v>
      </c>
      <c r="J66" s="96" t="str">
        <f t="shared" si="0"/>
        <v>CUMPLE</v>
      </c>
      <c r="K66" s="98">
        <f>VLOOKUP(A66,Proponentes[#Data],35,FALSE)</f>
        <v>170.43120871553725</v>
      </c>
      <c r="L66" s="102">
        <f>VLOOKUP(A66,Hoja2!$A$2:$F$329,6,FALSE)</f>
        <v>170.43120871553725</v>
      </c>
      <c r="M66" s="97"/>
      <c r="N66" s="103">
        <f t="shared" si="1"/>
        <v>0</v>
      </c>
    </row>
    <row r="67" spans="1:14" ht="27" customHeight="1" x14ac:dyDescent="0.2">
      <c r="A67" s="89">
        <v>62</v>
      </c>
      <c r="B67" s="90">
        <v>900405923</v>
      </c>
      <c r="C67" s="91" t="s">
        <v>112</v>
      </c>
      <c r="D67" s="92">
        <f>VLOOKUP(A67,Proponentes[#Data],19,FALSE)</f>
        <v>63.370876136551651</v>
      </c>
      <c r="E67" s="93" t="str">
        <f>VLOOKUP(A67,Proponentes[#Data],25,FALSE)</f>
        <v>CUMPLE</v>
      </c>
      <c r="F67" s="94">
        <f>VLOOKUP(A67,Proponentes[#Data],20,FALSE)</f>
        <v>1.3180110313804203E-2</v>
      </c>
      <c r="G67" s="93" t="str">
        <f>VLOOKUP(A67,Proponentes[#Data],26,FALSE)</f>
        <v>CUMPLE</v>
      </c>
      <c r="H67" s="95">
        <f>VLOOKUP(A67,Proponentes[#Data],21,FALSE)</f>
        <v>120.49668236092528</v>
      </c>
      <c r="I67" s="93" t="str">
        <f>VLOOKUP(A67,Proponentes[#Data],27,FALSE)</f>
        <v>CUMPLE</v>
      </c>
      <c r="J67" s="96" t="str">
        <f t="shared" si="0"/>
        <v>CUMPLE</v>
      </c>
      <c r="K67" s="98">
        <f>VLOOKUP(A67,Proponentes[#Data],35,FALSE)</f>
        <v>36.967592147125011</v>
      </c>
      <c r="L67" s="102">
        <f>VLOOKUP(A67,Hoja2!$A$2:$F$329,6,FALSE)</f>
        <v>36.967592147125011</v>
      </c>
      <c r="M67" s="97"/>
      <c r="N67" s="103">
        <f t="shared" si="1"/>
        <v>0</v>
      </c>
    </row>
    <row r="68" spans="1:14" ht="27" customHeight="1" x14ac:dyDescent="0.2">
      <c r="A68" s="89">
        <v>63</v>
      </c>
      <c r="B68" s="90">
        <v>900791238</v>
      </c>
      <c r="C68" s="91" t="s">
        <v>113</v>
      </c>
      <c r="D68" s="92">
        <f>VLOOKUP(A68,Proponentes[#Data],19,FALSE)</f>
        <v>140.37831357818587</v>
      </c>
      <c r="E68" s="93" t="str">
        <f>VLOOKUP(A68,Proponentes[#Data],25,FALSE)</f>
        <v>CUMPLE</v>
      </c>
      <c r="F68" s="94">
        <f>VLOOKUP(A68,Proponentes[#Data],20,FALSE)</f>
        <v>9.8988947164630921E-3</v>
      </c>
      <c r="G68" s="93" t="str">
        <f>VLOOKUP(A68,Proponentes[#Data],26,FALSE)</f>
        <v>CUMPLE</v>
      </c>
      <c r="H68" s="95">
        <f>VLOOKUP(A68,Proponentes[#Data],21,FALSE)</f>
        <v>604.89793579643435</v>
      </c>
      <c r="I68" s="93" t="str">
        <f>VLOOKUP(A68,Proponentes[#Data],27,FALSE)</f>
        <v>CUMPLE</v>
      </c>
      <c r="J68" s="96" t="str">
        <f t="shared" si="0"/>
        <v>CUMPLE</v>
      </c>
      <c r="K68" s="98">
        <f>VLOOKUP(A68,Proponentes[#Data],35,FALSE)</f>
        <v>50.726962736153801</v>
      </c>
      <c r="L68" s="102">
        <f>VLOOKUP(A68,Hoja2!$A$2:$F$329,6,FALSE)</f>
        <v>50.726962736153801</v>
      </c>
      <c r="M68" s="97"/>
      <c r="N68" s="103">
        <f t="shared" si="1"/>
        <v>0</v>
      </c>
    </row>
    <row r="69" spans="1:14" ht="27" customHeight="1" x14ac:dyDescent="0.2">
      <c r="A69" s="89">
        <v>64</v>
      </c>
      <c r="B69" s="90">
        <v>800217271</v>
      </c>
      <c r="C69" s="91" t="s">
        <v>114</v>
      </c>
      <c r="D69" s="92">
        <f>VLOOKUP(A69,Proponentes[#Data],19,FALSE)</f>
        <v>1.622367226516328</v>
      </c>
      <c r="E69" s="93" t="str">
        <f>VLOOKUP(A69,Proponentes[#Data],25,FALSE)</f>
        <v>CUMPLE</v>
      </c>
      <c r="F69" s="94">
        <f>VLOOKUP(A69,Proponentes[#Data],20,FALSE)</f>
        <v>0.28424091065735663</v>
      </c>
      <c r="G69" s="93" t="str">
        <f>VLOOKUP(A69,Proponentes[#Data],26,FALSE)</f>
        <v>CUMPLE</v>
      </c>
      <c r="H69" s="95">
        <f>VLOOKUP(A69,Proponentes[#Data],21,FALSE)</f>
        <v>1220.544161687493</v>
      </c>
      <c r="I69" s="93" t="str">
        <f>VLOOKUP(A69,Proponentes[#Data],27,FALSE)</f>
        <v>CUMPLE</v>
      </c>
      <c r="J69" s="96" t="str">
        <f t="shared" si="0"/>
        <v>CUMPLE</v>
      </c>
      <c r="K69" s="98">
        <f>VLOOKUP(A69,Proponentes[#Data],35,FALSE)</f>
        <v>484.08275815778586</v>
      </c>
      <c r="L69" s="102">
        <f>VLOOKUP(A69,Hoja2!$A$2:$F$329,6,FALSE)</f>
        <v>484.08275815778586</v>
      </c>
      <c r="M69" s="97"/>
      <c r="N69" s="103">
        <f t="shared" si="1"/>
        <v>0</v>
      </c>
    </row>
    <row r="70" spans="1:14" ht="27" customHeight="1" x14ac:dyDescent="0.2">
      <c r="A70" s="89">
        <v>65</v>
      </c>
      <c r="B70" s="90">
        <v>900009985</v>
      </c>
      <c r="C70" s="91" t="s">
        <v>115</v>
      </c>
      <c r="D70" s="92">
        <f>VLOOKUP(A70,Proponentes[#Data],19,FALSE)</f>
        <v>7.1619069158133994</v>
      </c>
      <c r="E70" s="93" t="str">
        <f>VLOOKUP(A70,Proponentes[#Data],25,FALSE)</f>
        <v>CUMPLE</v>
      </c>
      <c r="F70" s="94">
        <f>VLOOKUP(A70,Proponentes[#Data],20,FALSE)</f>
        <v>7.7433871705228557E-2</v>
      </c>
      <c r="G70" s="93" t="str">
        <f>VLOOKUP(A70,Proponentes[#Data],26,FALSE)</f>
        <v>NO CUMPLE</v>
      </c>
      <c r="H70" s="95">
        <f>VLOOKUP(A70,Proponentes[#Data],21,FALSE)</f>
        <v>1406.3805843625771</v>
      </c>
      <c r="I70" s="93" t="str">
        <f>VLOOKUP(A70,Proponentes[#Data],27,FALSE)</f>
        <v>CUMPLE</v>
      </c>
      <c r="J70" s="96" t="str">
        <f t="shared" si="0"/>
        <v>NO CUMPLE</v>
      </c>
      <c r="K70" s="98">
        <f>VLOOKUP(A70,Proponentes[#Data],35,FALSE)</f>
        <v>0</v>
      </c>
      <c r="L70" s="102">
        <f>VLOOKUP(A70,Hoja2!$A$2:$F$329,6,FALSE)</f>
        <v>0</v>
      </c>
      <c r="M70" s="97" t="s">
        <v>814</v>
      </c>
      <c r="N70" s="103">
        <f t="shared" si="1"/>
        <v>0</v>
      </c>
    </row>
    <row r="71" spans="1:14" ht="27" customHeight="1" x14ac:dyDescent="0.2">
      <c r="A71" s="89">
        <v>66</v>
      </c>
      <c r="B71" s="90">
        <v>900208955</v>
      </c>
      <c r="C71" s="91" t="s">
        <v>116</v>
      </c>
      <c r="D71" s="92">
        <f>VLOOKUP(A71,Proponentes[#Data],19,FALSE)</f>
        <v>1.9386661199164898</v>
      </c>
      <c r="E71" s="93" t="str">
        <f>VLOOKUP(A71,Proponentes[#Data],25,FALSE)</f>
        <v>CUMPLE</v>
      </c>
      <c r="F71" s="94">
        <f>VLOOKUP(A71,Proponentes[#Data],20,FALSE)</f>
        <v>0.44037029897233798</v>
      </c>
      <c r="G71" s="93" t="str">
        <f>VLOOKUP(A71,Proponentes[#Data],26,FALSE)</f>
        <v>CUMPLE</v>
      </c>
      <c r="H71" s="95">
        <f>VLOOKUP(A71,Proponentes[#Data],21,FALSE)</f>
        <v>279.75935255447303</v>
      </c>
      <c r="I71" s="93" t="str">
        <f>VLOOKUP(A71,Proponentes[#Data],27,FALSE)</f>
        <v>CUMPLE</v>
      </c>
      <c r="J71" s="96" t="str">
        <f t="shared" ref="J71:J134" si="2">IF(M71&lt;&gt;"","NO CUMPLE",IF(AND(E71="CUMPLE",G71="CUMPLE",I71="CUMPLE"),"CUMPLE","NO CUMPLE"))</f>
        <v>CUMPLE</v>
      </c>
      <c r="K71" s="98">
        <f>VLOOKUP(A71,Proponentes[#Data],35,FALSE)</f>
        <v>822.0904974795119</v>
      </c>
      <c r="L71" s="102">
        <f>VLOOKUP(A71,Hoja2!$A$2:$F$329,6,FALSE)</f>
        <v>822.0904974795119</v>
      </c>
      <c r="M71" s="97"/>
      <c r="N71" s="103">
        <f t="shared" ref="N71:N134" si="3">K71-L71</f>
        <v>0</v>
      </c>
    </row>
    <row r="72" spans="1:14" ht="27" customHeight="1" x14ac:dyDescent="0.2">
      <c r="A72" s="89">
        <v>67</v>
      </c>
      <c r="B72" s="90">
        <v>900925348</v>
      </c>
      <c r="C72" s="91" t="s">
        <v>117</v>
      </c>
      <c r="D72" s="92">
        <f>VLOOKUP(A72,Proponentes[#Data],19,FALSE)</f>
        <v>1.7433816997334912</v>
      </c>
      <c r="E72" s="93" t="str">
        <f>VLOOKUP(A72,Proponentes[#Data],25,FALSE)</f>
        <v>CUMPLE</v>
      </c>
      <c r="F72" s="94">
        <f>VLOOKUP(A72,Proponentes[#Data],20,FALSE)</f>
        <v>0.16822504396168236</v>
      </c>
      <c r="G72" s="93" t="str">
        <f>VLOOKUP(A72,Proponentes[#Data],26,FALSE)</f>
        <v>NO CUMPLE</v>
      </c>
      <c r="H72" s="95">
        <f>VLOOKUP(A72,Proponentes[#Data],21,FALSE)</f>
        <v>30.314593607658832</v>
      </c>
      <c r="I72" s="93" t="str">
        <f>VLOOKUP(A72,Proponentes[#Data],27,FALSE)</f>
        <v>CUMPLE</v>
      </c>
      <c r="J72" s="96" t="str">
        <f t="shared" si="2"/>
        <v>NO CUMPLE</v>
      </c>
      <c r="K72" s="98">
        <f>VLOOKUP(A72,Proponentes[#Data],35,FALSE)</f>
        <v>0</v>
      </c>
      <c r="L72" s="102">
        <f>VLOOKUP(A72,Hoja2!$A$2:$F$329,6,FALSE)</f>
        <v>0</v>
      </c>
      <c r="M72" s="97" t="s">
        <v>814</v>
      </c>
      <c r="N72" s="103">
        <f t="shared" si="3"/>
        <v>0</v>
      </c>
    </row>
    <row r="73" spans="1:14" ht="27" customHeight="1" x14ac:dyDescent="0.2">
      <c r="A73" s="89">
        <v>68</v>
      </c>
      <c r="B73" s="90">
        <v>800220054</v>
      </c>
      <c r="C73" s="91" t="s">
        <v>118</v>
      </c>
      <c r="D73" s="92">
        <f>VLOOKUP(A73,Proponentes[#Data],19,FALSE)</f>
        <v>4.5186379823882934</v>
      </c>
      <c r="E73" s="93" t="str">
        <f>VLOOKUP(A73,Proponentes[#Data],25,FALSE)</f>
        <v>CUMPLE</v>
      </c>
      <c r="F73" s="94">
        <f>VLOOKUP(A73,Proponentes[#Data],20,FALSE)</f>
        <v>0.21623217713791221</v>
      </c>
      <c r="G73" s="93" t="str">
        <f>VLOOKUP(A73,Proponentes[#Data],26,FALSE)</f>
        <v>CUMPLE</v>
      </c>
      <c r="H73" s="95">
        <f>VLOOKUP(A73,Proponentes[#Data],21,FALSE)</f>
        <v>716.60325123533414</v>
      </c>
      <c r="I73" s="93" t="str">
        <f>VLOOKUP(A73,Proponentes[#Data],27,FALSE)</f>
        <v>CUMPLE</v>
      </c>
      <c r="J73" s="96" t="str">
        <f t="shared" si="2"/>
        <v>CUMPLE</v>
      </c>
      <c r="K73" s="98">
        <f>VLOOKUP(A73,Proponentes[#Data],35,FALSE)</f>
        <v>1196.4005752958319</v>
      </c>
      <c r="L73" s="102">
        <f>VLOOKUP(A73,Hoja2!$A$2:$F$329,6,FALSE)</f>
        <v>1196.4005752958319</v>
      </c>
      <c r="M73" s="97"/>
      <c r="N73" s="103">
        <f t="shared" si="3"/>
        <v>0</v>
      </c>
    </row>
    <row r="74" spans="1:14" ht="27" customHeight="1" x14ac:dyDescent="0.2">
      <c r="A74" s="89">
        <v>69</v>
      </c>
      <c r="B74" s="90">
        <v>900001991</v>
      </c>
      <c r="C74" s="91" t="s">
        <v>119</v>
      </c>
      <c r="D74" s="92">
        <f>VLOOKUP(A74,Proponentes[#Data],19,FALSE)</f>
        <v>3.3088088892976781</v>
      </c>
      <c r="E74" s="93" t="str">
        <f>VLOOKUP(A74,Proponentes[#Data],25,FALSE)</f>
        <v>CUMPLE</v>
      </c>
      <c r="F74" s="94">
        <f>VLOOKUP(A74,Proponentes[#Data],20,FALSE)</f>
        <v>3.3905273130836168E-2</v>
      </c>
      <c r="G74" s="93" t="str">
        <f>VLOOKUP(A74,Proponentes[#Data],26,FALSE)</f>
        <v>CUMPLE</v>
      </c>
      <c r="H74" s="95">
        <f>VLOOKUP(A74,Proponentes[#Data],21,FALSE)</f>
        <v>29.038910007776689</v>
      </c>
      <c r="I74" s="93" t="str">
        <f>VLOOKUP(A74,Proponentes[#Data],27,FALSE)</f>
        <v>CUMPLE</v>
      </c>
      <c r="J74" s="96" t="str">
        <f t="shared" si="2"/>
        <v>CUMPLE</v>
      </c>
      <c r="K74" s="98">
        <f>VLOOKUP(A74,Proponentes[#Data],35,FALSE)</f>
        <v>54.340213206845419</v>
      </c>
      <c r="L74" s="102">
        <f>VLOOKUP(A74,Hoja2!$A$2:$F$329,6,FALSE)</f>
        <v>54.340213206845419</v>
      </c>
      <c r="M74" s="97"/>
      <c r="N74" s="103">
        <f t="shared" si="3"/>
        <v>0</v>
      </c>
    </row>
    <row r="75" spans="1:14" ht="27" customHeight="1" x14ac:dyDescent="0.2">
      <c r="A75" s="89">
        <v>70</v>
      </c>
      <c r="B75" s="90">
        <v>800185163</v>
      </c>
      <c r="C75" s="91" t="s">
        <v>121</v>
      </c>
      <c r="D75" s="92">
        <f>VLOOKUP(A75,Proponentes[#Data],19,FALSE)</f>
        <v>1.4842903626167756</v>
      </c>
      <c r="E75" s="93" t="str">
        <f>VLOOKUP(A75,Proponentes[#Data],25,FALSE)</f>
        <v>CUMPLE</v>
      </c>
      <c r="F75" s="94">
        <f>VLOOKUP(A75,Proponentes[#Data],20,FALSE)</f>
        <v>0.4360206552944717</v>
      </c>
      <c r="G75" s="93" t="str">
        <f>VLOOKUP(A75,Proponentes[#Data],26,FALSE)</f>
        <v>CUMPLE</v>
      </c>
      <c r="H75" s="95">
        <f>VLOOKUP(A75,Proponentes[#Data],21,FALSE)</f>
        <v>373.65779673379092</v>
      </c>
      <c r="I75" s="93" t="str">
        <f>VLOOKUP(A75,Proponentes[#Data],27,FALSE)</f>
        <v>CUMPLE</v>
      </c>
      <c r="J75" s="96" t="str">
        <f t="shared" si="2"/>
        <v>CUMPLE</v>
      </c>
      <c r="K75" s="98">
        <f>VLOOKUP(A75,Proponentes[#Data],35,FALSE)</f>
        <v>203.08203601295918</v>
      </c>
      <c r="L75" s="102">
        <f>VLOOKUP(A75,Hoja2!$A$2:$F$329,6,FALSE)</f>
        <v>203.08203601295918</v>
      </c>
      <c r="M75" s="97"/>
      <c r="N75" s="103">
        <f t="shared" si="3"/>
        <v>0</v>
      </c>
    </row>
    <row r="76" spans="1:14" ht="27" customHeight="1" x14ac:dyDescent="0.2">
      <c r="A76" s="89">
        <v>71</v>
      </c>
      <c r="B76" s="90">
        <v>900774178</v>
      </c>
      <c r="C76" s="91" t="s">
        <v>122</v>
      </c>
      <c r="D76" s="92">
        <f>VLOOKUP(A76,Proponentes[#Data],19,FALSE)</f>
        <v>5.1313508475164946</v>
      </c>
      <c r="E76" s="93" t="str">
        <f>VLOOKUP(A76,Proponentes[#Data],25,FALSE)</f>
        <v>CUMPLE</v>
      </c>
      <c r="F76" s="94">
        <f>VLOOKUP(A76,Proponentes[#Data],20,FALSE)</f>
        <v>0.29728486174653468</v>
      </c>
      <c r="G76" s="93" t="str">
        <f>VLOOKUP(A76,Proponentes[#Data],26,FALSE)</f>
        <v>CUMPLE</v>
      </c>
      <c r="H76" s="95">
        <f>VLOOKUP(A76,Proponentes[#Data],21,FALSE)</f>
        <v>871.16814552550613</v>
      </c>
      <c r="I76" s="93" t="str">
        <f>VLOOKUP(A76,Proponentes[#Data],27,FALSE)</f>
        <v>CUMPLE</v>
      </c>
      <c r="J76" s="96" t="str">
        <f t="shared" si="2"/>
        <v>CUMPLE</v>
      </c>
      <c r="K76" s="98">
        <f>VLOOKUP(A76,Proponentes[#Data],35,FALSE)</f>
        <v>431.0450745140069</v>
      </c>
      <c r="L76" s="102">
        <f>VLOOKUP(A76,Hoja2!$A$2:$F$329,6,FALSE)</f>
        <v>431.0450745140069</v>
      </c>
      <c r="M76" s="97"/>
      <c r="N76" s="103">
        <f t="shared" si="3"/>
        <v>0</v>
      </c>
    </row>
    <row r="77" spans="1:14" ht="27" customHeight="1" x14ac:dyDescent="0.2">
      <c r="A77" s="89">
        <v>72</v>
      </c>
      <c r="B77" s="90">
        <v>900123224</v>
      </c>
      <c r="C77" s="91" t="s">
        <v>123</v>
      </c>
      <c r="D77" s="92">
        <f>VLOOKUP(A77,Proponentes[#Data],19,FALSE)</f>
        <v>55.651298016997167</v>
      </c>
      <c r="E77" s="93" t="str">
        <f>VLOOKUP(A77,Proponentes[#Data],25,FALSE)</f>
        <v>CUMPLE</v>
      </c>
      <c r="F77" s="94">
        <f>VLOOKUP(A77,Proponentes[#Data],20,FALSE)</f>
        <v>9.2953169650683721E-3</v>
      </c>
      <c r="G77" s="93" t="str">
        <f>VLOOKUP(A77,Proponentes[#Data],26,FALSE)</f>
        <v>CUMPLE</v>
      </c>
      <c r="H77" s="95">
        <f>VLOOKUP(A77,Proponentes[#Data],21,FALSE)</f>
        <v>116.48071163943216</v>
      </c>
      <c r="I77" s="93" t="str">
        <f>VLOOKUP(A77,Proponentes[#Data],27,FALSE)</f>
        <v>CUMPLE</v>
      </c>
      <c r="J77" s="96" t="str">
        <f t="shared" si="2"/>
        <v>CUMPLE</v>
      </c>
      <c r="K77" s="98">
        <f>VLOOKUP(A77,Proponentes[#Data],35,FALSE)</f>
        <v>376.89741484341113</v>
      </c>
      <c r="L77" s="102">
        <f>VLOOKUP(A77,Hoja2!$A$2:$F$329,6,FALSE)</f>
        <v>376.89741484341113</v>
      </c>
      <c r="M77" s="97"/>
      <c r="N77" s="103">
        <f t="shared" si="3"/>
        <v>0</v>
      </c>
    </row>
    <row r="78" spans="1:14" ht="27" customHeight="1" x14ac:dyDescent="0.2">
      <c r="A78" s="89">
        <v>73</v>
      </c>
      <c r="B78" s="90">
        <v>805017786</v>
      </c>
      <c r="C78" s="91" t="s">
        <v>124</v>
      </c>
      <c r="D78" s="92">
        <f>VLOOKUP(A78,Proponentes[#Data],19,FALSE)</f>
        <v>4.7104609911510487</v>
      </c>
      <c r="E78" s="93" t="str">
        <f>VLOOKUP(A78,Proponentes[#Data],25,FALSE)</f>
        <v>CUMPLE</v>
      </c>
      <c r="F78" s="94">
        <f>VLOOKUP(A78,Proponentes[#Data],20,FALSE)</f>
        <v>0.16806768780228781</v>
      </c>
      <c r="G78" s="93" t="str">
        <f>VLOOKUP(A78,Proponentes[#Data],26,FALSE)</f>
        <v>CUMPLE</v>
      </c>
      <c r="H78" s="95">
        <f>VLOOKUP(A78,Proponentes[#Data],21,FALSE)</f>
        <v>173.65138096595163</v>
      </c>
      <c r="I78" s="93" t="str">
        <f>VLOOKUP(A78,Proponentes[#Data],27,FALSE)</f>
        <v>CUMPLE</v>
      </c>
      <c r="J78" s="96" t="str">
        <f t="shared" si="2"/>
        <v>CUMPLE</v>
      </c>
      <c r="K78" s="98">
        <f>VLOOKUP(A78,Proponentes[#Data],35,FALSE)</f>
        <v>163.84944642633201</v>
      </c>
      <c r="L78" s="102">
        <f>VLOOKUP(A78,Hoja2!$A$2:$F$329,6,FALSE)</f>
        <v>163.84944642633201</v>
      </c>
      <c r="M78" s="97"/>
      <c r="N78" s="103">
        <f t="shared" si="3"/>
        <v>0</v>
      </c>
    </row>
    <row r="79" spans="1:14" ht="27" customHeight="1" x14ac:dyDescent="0.2">
      <c r="A79" s="89">
        <v>74</v>
      </c>
      <c r="B79" s="90">
        <v>900497866</v>
      </c>
      <c r="C79" s="91" t="s">
        <v>125</v>
      </c>
      <c r="D79" s="92">
        <f>VLOOKUP(A79,Proponentes[#Data],19,FALSE)</f>
        <v>3.5193767057263288</v>
      </c>
      <c r="E79" s="93" t="str">
        <f>VLOOKUP(A79,Proponentes[#Data],25,FALSE)</f>
        <v>CUMPLE</v>
      </c>
      <c r="F79" s="94">
        <f>VLOOKUP(A79,Proponentes[#Data],20,FALSE)</f>
        <v>0.16181360734428549</v>
      </c>
      <c r="G79" s="93" t="str">
        <f>VLOOKUP(A79,Proponentes[#Data],26,FALSE)</f>
        <v>NO CUMPLE</v>
      </c>
      <c r="H79" s="95">
        <f>VLOOKUP(A79,Proponentes[#Data],21,FALSE)</f>
        <v>79.280128629322462</v>
      </c>
      <c r="I79" s="93" t="str">
        <f>VLOOKUP(A79,Proponentes[#Data],27,FALSE)</f>
        <v>CUMPLE</v>
      </c>
      <c r="J79" s="96" t="str">
        <f t="shared" si="2"/>
        <v>NO CUMPLE</v>
      </c>
      <c r="K79" s="98">
        <f>VLOOKUP(A79,Proponentes[#Data],35,FALSE)</f>
        <v>0</v>
      </c>
      <c r="L79" s="102">
        <f>VLOOKUP(A79,Hoja2!$A$2:$F$329,6,FALSE)</f>
        <v>0</v>
      </c>
      <c r="M79" s="97" t="s">
        <v>814</v>
      </c>
      <c r="N79" s="103">
        <f t="shared" si="3"/>
        <v>0</v>
      </c>
    </row>
    <row r="80" spans="1:14" ht="27" customHeight="1" x14ac:dyDescent="0.2">
      <c r="A80" s="89">
        <v>75</v>
      </c>
      <c r="B80" s="90">
        <v>900912376</v>
      </c>
      <c r="C80" s="91" t="s">
        <v>126</v>
      </c>
      <c r="D80" s="92">
        <f>VLOOKUP(A80,Proponentes[#Data],19,FALSE)</f>
        <v>1.2471423846028271</v>
      </c>
      <c r="E80" s="93" t="str">
        <f>VLOOKUP(A80,Proponentes[#Data],25,FALSE)</f>
        <v>CUMPLE</v>
      </c>
      <c r="F80" s="94">
        <f>VLOOKUP(A80,Proponentes[#Data],20,FALSE)</f>
        <v>0.75077084983132647</v>
      </c>
      <c r="G80" s="93" t="str">
        <f>VLOOKUP(A80,Proponentes[#Data],26,FALSE)</f>
        <v>NO CUMPLE</v>
      </c>
      <c r="H80" s="95">
        <f>VLOOKUP(A80,Proponentes[#Data],21,FALSE)</f>
        <v>85.044620560404582</v>
      </c>
      <c r="I80" s="93" t="str">
        <f>VLOOKUP(A80,Proponentes[#Data],27,FALSE)</f>
        <v>CUMPLE</v>
      </c>
      <c r="J80" s="96" t="str">
        <f t="shared" si="2"/>
        <v>NO CUMPLE</v>
      </c>
      <c r="K80" s="98">
        <f>VLOOKUP(A80,Proponentes[#Data],35,FALSE)</f>
        <v>657.38495576188461</v>
      </c>
      <c r="L80" s="102">
        <f>VLOOKUP(A80,Hoja2!$A$2:$F$329,6,FALSE)</f>
        <v>657.3849557618845</v>
      </c>
      <c r="M80" s="97" t="s">
        <v>814</v>
      </c>
      <c r="N80" s="103">
        <f t="shared" si="3"/>
        <v>0</v>
      </c>
    </row>
    <row r="81" spans="1:14" ht="27" customHeight="1" x14ac:dyDescent="0.2">
      <c r="A81" s="89">
        <v>76</v>
      </c>
      <c r="B81" s="90">
        <v>900414120</v>
      </c>
      <c r="C81" s="91" t="s">
        <v>475</v>
      </c>
      <c r="D81" s="92">
        <f>VLOOKUP(A81,Proponentes[#Data],19,FALSE)</f>
        <v>27.942071428571428</v>
      </c>
      <c r="E81" s="93" t="str">
        <f>VLOOKUP(A81,Proponentes[#Data],25,FALSE)</f>
        <v>CUMPLE</v>
      </c>
      <c r="F81" s="94">
        <f>VLOOKUP(A81,Proponentes[#Data],20,FALSE)</f>
        <v>3.0485078017030598E-2</v>
      </c>
      <c r="G81" s="93" t="str">
        <f>VLOOKUP(A81,Proponentes[#Data],26,FALSE)</f>
        <v>CUMPLE</v>
      </c>
      <c r="H81" s="95">
        <f>VLOOKUP(A81,Proponentes[#Data],21,FALSE)</f>
        <v>2277.3922976974241</v>
      </c>
      <c r="I81" s="93" t="str">
        <f>VLOOKUP(A81,Proponentes[#Data],27,FALSE)</f>
        <v>CUMPLE</v>
      </c>
      <c r="J81" s="96" t="str">
        <f t="shared" si="2"/>
        <v>CUMPLE</v>
      </c>
      <c r="K81" s="98">
        <f>VLOOKUP(A81,Proponentes[#Data],35,FALSE)</f>
        <v>647.31458623361993</v>
      </c>
      <c r="L81" s="102">
        <f>VLOOKUP(A81,Hoja2!$A$2:$F$329,6,FALSE)</f>
        <v>647.31458623361993</v>
      </c>
      <c r="M81" s="97"/>
      <c r="N81" s="103">
        <f t="shared" si="3"/>
        <v>0</v>
      </c>
    </row>
    <row r="82" spans="1:14" ht="27" customHeight="1" x14ac:dyDescent="0.2">
      <c r="A82" s="89">
        <v>77</v>
      </c>
      <c r="B82" s="90">
        <v>900254067</v>
      </c>
      <c r="C82" s="91" t="s">
        <v>127</v>
      </c>
      <c r="D82" s="92">
        <f>VLOOKUP(A82,Proponentes[#Data],19,FALSE)</f>
        <v>1.6966100031691362</v>
      </c>
      <c r="E82" s="93" t="str">
        <f>VLOOKUP(A82,Proponentes[#Data],25,FALSE)</f>
        <v>CUMPLE</v>
      </c>
      <c r="F82" s="94">
        <f>VLOOKUP(A82,Proponentes[#Data],20,FALSE)</f>
        <v>0.57187118484212529</v>
      </c>
      <c r="G82" s="93" t="str">
        <f>VLOOKUP(A82,Proponentes[#Data],26,FALSE)</f>
        <v>CUMPLE</v>
      </c>
      <c r="H82" s="95">
        <f>VLOOKUP(A82,Proponentes[#Data],21,FALSE)</f>
        <v>425.3988619951794</v>
      </c>
      <c r="I82" s="93" t="str">
        <f>VLOOKUP(A82,Proponentes[#Data],27,FALSE)</f>
        <v>CUMPLE</v>
      </c>
      <c r="J82" s="96" t="str">
        <f t="shared" si="2"/>
        <v>CUMPLE</v>
      </c>
      <c r="K82" s="98">
        <f>VLOOKUP(A82,Proponentes[#Data],35,FALSE)</f>
        <v>1221.0320917449721</v>
      </c>
      <c r="L82" s="102">
        <f>VLOOKUP(A82,Hoja2!$A$2:$F$329,6,FALSE)</f>
        <v>1221.0320917449721</v>
      </c>
      <c r="M82" s="97"/>
      <c r="N82" s="103">
        <f t="shared" si="3"/>
        <v>0</v>
      </c>
    </row>
    <row r="83" spans="1:14" ht="27" customHeight="1" x14ac:dyDescent="0.2">
      <c r="A83" s="89">
        <v>78</v>
      </c>
      <c r="B83" s="90">
        <v>900071005</v>
      </c>
      <c r="C83" s="91" t="s">
        <v>128</v>
      </c>
      <c r="D83" s="92">
        <f>VLOOKUP(A83,Proponentes[#Data],19,FALSE)</f>
        <v>1.9728945750011415</v>
      </c>
      <c r="E83" s="93" t="str">
        <f>VLOOKUP(A83,Proponentes[#Data],25,FALSE)</f>
        <v>CUMPLE</v>
      </c>
      <c r="F83" s="94">
        <f>VLOOKUP(A83,Proponentes[#Data],20,FALSE)</f>
        <v>0.66905487796978791</v>
      </c>
      <c r="G83" s="93" t="str">
        <f>VLOOKUP(A83,Proponentes[#Data],26,FALSE)</f>
        <v>NO CUMPLE</v>
      </c>
      <c r="H83" s="95">
        <f>VLOOKUP(A83,Proponentes[#Data],21,FALSE)</f>
        <v>716.03149015355336</v>
      </c>
      <c r="I83" s="93" t="str">
        <f>VLOOKUP(A83,Proponentes[#Data],27,FALSE)</f>
        <v>CUMPLE</v>
      </c>
      <c r="J83" s="96" t="str">
        <f t="shared" si="2"/>
        <v>NO CUMPLE</v>
      </c>
      <c r="K83" s="98">
        <f>VLOOKUP(A83,Proponentes[#Data],35,FALSE)</f>
        <v>0</v>
      </c>
      <c r="L83" s="102">
        <f>VLOOKUP(A83,Hoja2!$A$2:$F$329,6,FALSE)</f>
        <v>0</v>
      </c>
      <c r="M83" s="97" t="s">
        <v>814</v>
      </c>
      <c r="N83" s="103">
        <f t="shared" si="3"/>
        <v>0</v>
      </c>
    </row>
    <row r="84" spans="1:14" ht="27" customHeight="1" x14ac:dyDescent="0.2">
      <c r="A84" s="89">
        <v>79</v>
      </c>
      <c r="B84" s="90">
        <v>900274388</v>
      </c>
      <c r="C84" s="91" t="s">
        <v>129</v>
      </c>
      <c r="D84" s="92">
        <f>VLOOKUP(A84,Proponentes[#Data],19,FALSE)</f>
        <v>6.7307442311775576</v>
      </c>
      <c r="E84" s="93" t="str">
        <f>VLOOKUP(A84,Proponentes[#Data],25,FALSE)</f>
        <v>CUMPLE</v>
      </c>
      <c r="F84" s="94">
        <f>VLOOKUP(A84,Proponentes[#Data],20,FALSE)</f>
        <v>0.14178595773687799</v>
      </c>
      <c r="G84" s="93" t="str">
        <f>VLOOKUP(A84,Proponentes[#Data],26,FALSE)</f>
        <v>CUMPLE</v>
      </c>
      <c r="H84" s="95">
        <f>VLOOKUP(A84,Proponentes[#Data],21,FALSE)</f>
        <v>332.17594636500201</v>
      </c>
      <c r="I84" s="93" t="str">
        <f>VLOOKUP(A84,Proponentes[#Data],27,FALSE)</f>
        <v>CUMPLE</v>
      </c>
      <c r="J84" s="96" t="str">
        <f t="shared" si="2"/>
        <v>CUMPLE</v>
      </c>
      <c r="K84" s="98">
        <f>VLOOKUP(A84,Proponentes[#Data],35,FALSE)</f>
        <v>278.19201143710006</v>
      </c>
      <c r="L84" s="102">
        <f>VLOOKUP(A84,Hoja2!$A$2:$F$329,6,FALSE)</f>
        <v>278.19201143710006</v>
      </c>
      <c r="M84" s="97"/>
      <c r="N84" s="103">
        <f t="shared" si="3"/>
        <v>0</v>
      </c>
    </row>
    <row r="85" spans="1:14" ht="27" customHeight="1" x14ac:dyDescent="0.2">
      <c r="A85" s="89">
        <v>80</v>
      </c>
      <c r="B85" s="90">
        <v>900763127</v>
      </c>
      <c r="C85" s="91" t="s">
        <v>130</v>
      </c>
      <c r="D85" s="92" t="str">
        <f>VLOOKUP(A85,Proponentes[#Data],19,FALSE)</f>
        <v>INDETERMINADO</v>
      </c>
      <c r="E85" s="93" t="str">
        <f>VLOOKUP(A85,Proponentes[#Data],25,FALSE)</f>
        <v>CUMPLE</v>
      </c>
      <c r="F85" s="94">
        <f>VLOOKUP(A85,Proponentes[#Data],20,FALSE)</f>
        <v>0</v>
      </c>
      <c r="G85" s="93" t="str">
        <f>VLOOKUP(A85,Proponentes[#Data],26,FALSE)</f>
        <v>CUMPLE</v>
      </c>
      <c r="H85" s="95">
        <f>VLOOKUP(A85,Proponentes[#Data],21,FALSE)</f>
        <v>2.4151205869709074</v>
      </c>
      <c r="I85" s="93" t="str">
        <f>VLOOKUP(A85,Proponentes[#Data],27,FALSE)</f>
        <v>NO CUMPLE</v>
      </c>
      <c r="J85" s="96" t="str">
        <f t="shared" si="2"/>
        <v>NO CUMPLE</v>
      </c>
      <c r="K85" s="98">
        <f>VLOOKUP(A85,Proponentes[#Data],35,FALSE)</f>
        <v>0</v>
      </c>
      <c r="L85" s="102">
        <f>VLOOKUP(A85,Hoja2!$A$2:$F$329,6,FALSE)</f>
        <v>0</v>
      </c>
      <c r="M85" s="97" t="s">
        <v>814</v>
      </c>
      <c r="N85" s="103">
        <f t="shared" si="3"/>
        <v>0</v>
      </c>
    </row>
    <row r="86" spans="1:14" ht="27" customHeight="1" x14ac:dyDescent="0.2">
      <c r="A86" s="89">
        <v>81</v>
      </c>
      <c r="B86" s="90">
        <v>818001438</v>
      </c>
      <c r="C86" s="91" t="s">
        <v>131</v>
      </c>
      <c r="D86" s="92">
        <f>VLOOKUP(A86,Proponentes[#Data],19,FALSE)</f>
        <v>9.849653414617201</v>
      </c>
      <c r="E86" s="93" t="str">
        <f>VLOOKUP(A86,Proponentes[#Data],25,FALSE)</f>
        <v>CUMPLE</v>
      </c>
      <c r="F86" s="94">
        <f>VLOOKUP(A86,Proponentes[#Data],20,FALSE)</f>
        <v>9.1117322655789271E-2</v>
      </c>
      <c r="G86" s="93" t="str">
        <f>VLOOKUP(A86,Proponentes[#Data],26,FALSE)</f>
        <v>NO CUMPLE</v>
      </c>
      <c r="H86" s="95">
        <f>VLOOKUP(A86,Proponentes[#Data],21,FALSE)</f>
        <v>1230.5707050703043</v>
      </c>
      <c r="I86" s="93" t="str">
        <f>VLOOKUP(A86,Proponentes[#Data],27,FALSE)</f>
        <v>CUMPLE</v>
      </c>
      <c r="J86" s="96" t="str">
        <f t="shared" si="2"/>
        <v>NO CUMPLE</v>
      </c>
      <c r="K86" s="98">
        <f>VLOOKUP(A86,Proponentes[#Data],35,FALSE)</f>
        <v>0</v>
      </c>
      <c r="L86" s="102">
        <f>VLOOKUP(A86,Hoja2!$A$2:$F$329,6,FALSE)</f>
        <v>0</v>
      </c>
      <c r="M86" s="97" t="s">
        <v>814</v>
      </c>
      <c r="N86" s="103">
        <f t="shared" si="3"/>
        <v>0</v>
      </c>
    </row>
    <row r="87" spans="1:14" ht="27" customHeight="1" x14ac:dyDescent="0.2">
      <c r="A87" s="89">
        <v>82</v>
      </c>
      <c r="B87" s="90">
        <v>800181797</v>
      </c>
      <c r="C87" s="91" t="s">
        <v>132</v>
      </c>
      <c r="D87" s="92">
        <f>VLOOKUP(A87,Proponentes[#Data],19,FALSE)</f>
        <v>1.5578821722997747</v>
      </c>
      <c r="E87" s="93" t="str">
        <f>VLOOKUP(A87,Proponentes[#Data],25,FALSE)</f>
        <v>CUMPLE</v>
      </c>
      <c r="F87" s="94">
        <f>VLOOKUP(A87,Proponentes[#Data],20,FALSE)</f>
        <v>0.32997738239181945</v>
      </c>
      <c r="G87" s="93" t="str">
        <f>VLOOKUP(A87,Proponentes[#Data],26,FALSE)</f>
        <v>CUMPLE</v>
      </c>
      <c r="H87" s="95">
        <f>VLOOKUP(A87,Proponentes[#Data],21,FALSE)</f>
        <v>278.82782363823424</v>
      </c>
      <c r="I87" s="93" t="str">
        <f>VLOOKUP(A87,Proponentes[#Data],27,FALSE)</f>
        <v>CUMPLE</v>
      </c>
      <c r="J87" s="96" t="str">
        <f t="shared" si="2"/>
        <v>CUMPLE</v>
      </c>
      <c r="K87" s="98">
        <f>VLOOKUP(A87,Proponentes[#Data],35,FALSE)</f>
        <v>1343.8400412123419</v>
      </c>
      <c r="L87" s="102">
        <f>VLOOKUP(A87,Hoja2!$A$2:$F$329,6,FALSE)</f>
        <v>1343.8400412123419</v>
      </c>
      <c r="M87" s="97"/>
      <c r="N87" s="103">
        <f t="shared" si="3"/>
        <v>0</v>
      </c>
    </row>
    <row r="88" spans="1:14" ht="27" customHeight="1" x14ac:dyDescent="0.2">
      <c r="A88" s="89">
        <v>83</v>
      </c>
      <c r="B88" s="90">
        <v>818000937</v>
      </c>
      <c r="C88" s="91" t="s">
        <v>133</v>
      </c>
      <c r="D88" s="92">
        <f>VLOOKUP(A88,Proponentes[#Data],19,FALSE)</f>
        <v>1.1106333696134807</v>
      </c>
      <c r="E88" s="93" t="str">
        <f>VLOOKUP(A88,Proponentes[#Data],25,FALSE)</f>
        <v>CUMPLE</v>
      </c>
      <c r="F88" s="94">
        <f>VLOOKUP(A88,Proponentes[#Data],20,FALSE)</f>
        <v>0.18905379414836285</v>
      </c>
      <c r="G88" s="93" t="str">
        <f>VLOOKUP(A88,Proponentes[#Data],26,FALSE)</f>
        <v>NO CUMPLE</v>
      </c>
      <c r="H88" s="95">
        <f>VLOOKUP(A88,Proponentes[#Data],21,FALSE)</f>
        <v>72.702129894845655</v>
      </c>
      <c r="I88" s="93" t="str">
        <f>VLOOKUP(A88,Proponentes[#Data],27,FALSE)</f>
        <v>CUMPLE</v>
      </c>
      <c r="J88" s="96" t="str">
        <f t="shared" si="2"/>
        <v>NO CUMPLE</v>
      </c>
      <c r="K88" s="98">
        <f>VLOOKUP(A88,Proponentes[#Data],35,FALSE)</f>
        <v>0</v>
      </c>
      <c r="L88" s="102">
        <f>VLOOKUP(A88,Hoja2!$A$2:$F$329,6,FALSE)</f>
        <v>0</v>
      </c>
      <c r="M88" s="97" t="s">
        <v>814</v>
      </c>
      <c r="N88" s="103">
        <f t="shared" si="3"/>
        <v>0</v>
      </c>
    </row>
    <row r="89" spans="1:14" ht="27" customHeight="1" x14ac:dyDescent="0.2">
      <c r="A89" s="89">
        <v>84</v>
      </c>
      <c r="B89" s="90">
        <v>837000135</v>
      </c>
      <c r="C89" s="91" t="s">
        <v>134</v>
      </c>
      <c r="D89" s="92" t="str">
        <f>VLOOKUP(A89,Proponentes[#Data],19,FALSE)</f>
        <v>INDETERMINADO</v>
      </c>
      <c r="E89" s="93" t="s">
        <v>470</v>
      </c>
      <c r="F89" s="94" t="s">
        <v>470</v>
      </c>
      <c r="G89" s="93" t="s">
        <v>470</v>
      </c>
      <c r="H89" s="95" t="s">
        <v>470</v>
      </c>
      <c r="I89" s="93" t="s">
        <v>470</v>
      </c>
      <c r="J89" s="96" t="str">
        <f t="shared" si="2"/>
        <v>NO CUMPLE</v>
      </c>
      <c r="K89" s="98">
        <f>VLOOKUP(A89,Proponentes[#Data],35,FALSE)</f>
        <v>24.655347703328353</v>
      </c>
      <c r="L89" s="102">
        <f>VLOOKUP(A89,Hoja2!$A$2:$F$329,6,FALSE)</f>
        <v>24.655347703328356</v>
      </c>
      <c r="M89" s="97" t="str">
        <f>VLOOKUP(A89,Proponentes[#Data],29,FALSE)</f>
        <v xml:space="preserve">NO CUMPLE. El oferente allega acta de asamablea para subsanación, pero el contenido del documento no expresa que hayan sido aprobados los estados financieros. </v>
      </c>
      <c r="N89" s="103">
        <f t="shared" si="3"/>
        <v>0</v>
      </c>
    </row>
    <row r="90" spans="1:14" ht="27" customHeight="1" x14ac:dyDescent="0.2">
      <c r="A90" s="89">
        <v>85</v>
      </c>
      <c r="B90" s="90">
        <v>900090967</v>
      </c>
      <c r="C90" s="91" t="s">
        <v>136</v>
      </c>
      <c r="D90" s="92">
        <f>VLOOKUP(A90,Proponentes[#Data],19,FALSE)</f>
        <v>1.4938271604938271</v>
      </c>
      <c r="E90" s="93" t="s">
        <v>470</v>
      </c>
      <c r="F90" s="94" t="s">
        <v>470</v>
      </c>
      <c r="G90" s="93" t="s">
        <v>470</v>
      </c>
      <c r="H90" s="95" t="s">
        <v>470</v>
      </c>
      <c r="I90" s="93" t="s">
        <v>470</v>
      </c>
      <c r="J90" s="96" t="str">
        <f t="shared" si="2"/>
        <v>NO CUMPLE</v>
      </c>
      <c r="K90" s="98">
        <f>VLOOKUP(A90,Proponentes[#Data],35,FALSE)</f>
        <v>36.876129559824349</v>
      </c>
      <c r="L90" s="102">
        <f>VLOOKUP(A90,Hoja2!$A$2:$F$329,6,FALSE)</f>
        <v>36.876129559824349</v>
      </c>
      <c r="M90" s="97" t="str">
        <f>VLOOKUP(A90,Proponentes[#Data],29,FALSE)</f>
        <v>NO CUMPLE. Cancela el RUP 30/8/19 y adicional el Esatado de Cambio en el Patrimonio no cumple con lo solicitado Invitación Publica. No aporta Acta de Asamblea.</v>
      </c>
      <c r="N90" s="103">
        <f t="shared" si="3"/>
        <v>0</v>
      </c>
    </row>
    <row r="91" spans="1:14" ht="27" customHeight="1" x14ac:dyDescent="0.2">
      <c r="A91" s="89">
        <v>86</v>
      </c>
      <c r="B91" s="90">
        <v>843000021</v>
      </c>
      <c r="C91" s="91" t="s">
        <v>137</v>
      </c>
      <c r="D91" s="92" t="str">
        <f>VLOOKUP(A91,Proponentes[#Data],19,FALSE)</f>
        <v>INDETERMINADO</v>
      </c>
      <c r="E91" s="93" t="str">
        <f>VLOOKUP(A91,Proponentes[#Data],25,FALSE)</f>
        <v>NO CUMPLE</v>
      </c>
      <c r="F91" s="94">
        <f>VLOOKUP(A91,Proponentes[#Data],20,FALSE)</f>
        <v>0</v>
      </c>
      <c r="G91" s="93" t="str">
        <f>VLOOKUP(A91,Proponentes[#Data],26,FALSE)</f>
        <v>NO CUMPLE</v>
      </c>
      <c r="H91" s="95">
        <f>VLOOKUP(A91,Proponentes[#Data],21,FALSE)</f>
        <v>0</v>
      </c>
      <c r="I91" s="93" t="str">
        <f>VLOOKUP(A91,Proponentes[#Data],27,FALSE)</f>
        <v>NO CUMPLE</v>
      </c>
      <c r="J91" s="96" t="str">
        <f t="shared" si="2"/>
        <v>NO CUMPLE</v>
      </c>
      <c r="K91" s="98">
        <f>VLOOKUP(A91,Proponentes[#Data],35,FALSE)</f>
        <v>0</v>
      </c>
      <c r="L91" s="102">
        <f>VLOOKUP(A91,Hoja2!$A$2:$F$329,6,FALSE)</f>
        <v>0</v>
      </c>
      <c r="M91" s="97" t="s">
        <v>816</v>
      </c>
      <c r="N91" s="103">
        <f t="shared" si="3"/>
        <v>0</v>
      </c>
    </row>
    <row r="92" spans="1:14" ht="27" customHeight="1" x14ac:dyDescent="0.2">
      <c r="A92" s="89">
        <v>87</v>
      </c>
      <c r="B92" s="90">
        <v>900322099</v>
      </c>
      <c r="C92" s="91" t="s">
        <v>138</v>
      </c>
      <c r="D92" s="92">
        <f>VLOOKUP(A92,Proponentes[#Data],19,FALSE)</f>
        <v>2.4240398388356481</v>
      </c>
      <c r="E92" s="93" t="str">
        <f>VLOOKUP(A92,Proponentes[#Data],25,FALSE)</f>
        <v>CUMPLE</v>
      </c>
      <c r="F92" s="94">
        <f>VLOOKUP(A92,Proponentes[#Data],20,FALSE)</f>
        <v>0.40074555704803327</v>
      </c>
      <c r="G92" s="93" t="str">
        <f>VLOOKUP(A92,Proponentes[#Data],26,FALSE)</f>
        <v>CUMPLE</v>
      </c>
      <c r="H92" s="95">
        <f>VLOOKUP(A92,Proponentes[#Data],21,FALSE)</f>
        <v>410.66721208139921</v>
      </c>
      <c r="I92" s="93" t="str">
        <f>VLOOKUP(A92,Proponentes[#Data],27,FALSE)</f>
        <v>CUMPLE</v>
      </c>
      <c r="J92" s="96" t="str">
        <f t="shared" si="2"/>
        <v>CUMPLE</v>
      </c>
      <c r="K92" s="98">
        <f>VLOOKUP(A92,Proponentes[#Data],35,FALSE)</f>
        <v>802.64629765953214</v>
      </c>
      <c r="L92" s="102">
        <f>VLOOKUP(A92,Hoja2!$A$2:$F$329,6,FALSE)</f>
        <v>802.64629765953214</v>
      </c>
      <c r="M92" s="97"/>
      <c r="N92" s="103">
        <f t="shared" si="3"/>
        <v>0</v>
      </c>
    </row>
    <row r="93" spans="1:14" ht="27" customHeight="1" x14ac:dyDescent="0.2">
      <c r="A93" s="89">
        <v>88</v>
      </c>
      <c r="B93" s="90">
        <v>892200893</v>
      </c>
      <c r="C93" s="91" t="s">
        <v>139</v>
      </c>
      <c r="D93" s="92">
        <f>VLOOKUP(A93,Proponentes[#Data],19,FALSE)</f>
        <v>1.3408284756158408</v>
      </c>
      <c r="E93" s="93" t="str">
        <f>VLOOKUP(A93,Proponentes[#Data],25,FALSE)</f>
        <v>CUMPLE</v>
      </c>
      <c r="F93" s="94">
        <f>VLOOKUP(A93,Proponentes[#Data],20,FALSE)</f>
        <v>0.38700136445395389</v>
      </c>
      <c r="G93" s="93" t="str">
        <f>VLOOKUP(A93,Proponentes[#Data],26,FALSE)</f>
        <v>CUMPLE</v>
      </c>
      <c r="H93" s="95">
        <f>VLOOKUP(A93,Proponentes[#Data],21,FALSE)</f>
        <v>79.088685643074157</v>
      </c>
      <c r="I93" s="93" t="str">
        <f>VLOOKUP(A93,Proponentes[#Data],27,FALSE)</f>
        <v>CUMPLE</v>
      </c>
      <c r="J93" s="96" t="str">
        <f t="shared" si="2"/>
        <v>CUMPLE</v>
      </c>
      <c r="K93" s="98">
        <f>VLOOKUP(A93,Proponentes[#Data],35,FALSE)</f>
        <v>103.61012064512509</v>
      </c>
      <c r="L93" s="102">
        <f>VLOOKUP(A93,Hoja2!$A$2:$F$329,6,FALSE)</f>
        <v>103.61012064512509</v>
      </c>
      <c r="M93" s="97"/>
      <c r="N93" s="103">
        <f t="shared" si="3"/>
        <v>0</v>
      </c>
    </row>
    <row r="94" spans="1:14" ht="27" customHeight="1" x14ac:dyDescent="0.2">
      <c r="A94" s="89">
        <v>89</v>
      </c>
      <c r="B94" s="90">
        <v>900621505</v>
      </c>
      <c r="C94" s="91" t="s">
        <v>140</v>
      </c>
      <c r="D94" s="92" t="str">
        <f>VLOOKUP(A94,Proponentes[#Data],19,FALSE)</f>
        <v>INDETERMINADO</v>
      </c>
      <c r="E94" s="93" t="s">
        <v>470</v>
      </c>
      <c r="F94" s="94" t="s">
        <v>470</v>
      </c>
      <c r="G94" s="93" t="s">
        <v>470</v>
      </c>
      <c r="H94" s="95" t="s">
        <v>470</v>
      </c>
      <c r="I94" s="93" t="s">
        <v>470</v>
      </c>
      <c r="J94" s="96" t="str">
        <f t="shared" si="2"/>
        <v>NO CUMPLE</v>
      </c>
      <c r="K94" s="98">
        <f>VLOOKUP(A94,Proponentes[#Data],35,FALSE)</f>
        <v>60.395773710794508</v>
      </c>
      <c r="L94" s="102">
        <f>VLOOKUP(A94,Hoja2!$A$2:$F$329,6,FALSE)</f>
        <v>60.395773710794508</v>
      </c>
      <c r="M94" s="97" t="str">
        <f>VLOOKUP(A94,Proponentes[#Data],29,FALSE)</f>
        <v>NO CUMPLE. No subsanó lo solicitado:
1, El estado de situación financiera no cumple con la ecuación patrimonial, El activo total presenta un saldo de $102.487.277 y el pasivo y patrimonio suma $99.586.777
2. Acta de Asamblea general</v>
      </c>
      <c r="N94" s="103">
        <f t="shared" si="3"/>
        <v>0</v>
      </c>
    </row>
    <row r="95" spans="1:14" ht="27" customHeight="1" x14ac:dyDescent="0.2">
      <c r="A95" s="89">
        <v>90</v>
      </c>
      <c r="B95" s="90">
        <v>900174216</v>
      </c>
      <c r="C95" s="91" t="s">
        <v>141</v>
      </c>
      <c r="D95" s="92">
        <f>VLOOKUP(A95,Proponentes[#Data],19,FALSE)</f>
        <v>6.6832939548744035</v>
      </c>
      <c r="E95" s="93" t="str">
        <f>VLOOKUP(A95,Proponentes[#Data],25,FALSE)</f>
        <v>CUMPLE</v>
      </c>
      <c r="F95" s="94">
        <f>VLOOKUP(A95,Proponentes[#Data],20,FALSE)</f>
        <v>0.26016643798683731</v>
      </c>
      <c r="G95" s="93" t="str">
        <f>VLOOKUP(A95,Proponentes[#Data],26,FALSE)</f>
        <v>CUMPLE</v>
      </c>
      <c r="H95" s="95">
        <f>VLOOKUP(A95,Proponentes[#Data],21,FALSE)</f>
        <v>2576.3041675320851</v>
      </c>
      <c r="I95" s="93" t="str">
        <f>VLOOKUP(A95,Proponentes[#Data],27,FALSE)</f>
        <v>CUMPLE</v>
      </c>
      <c r="J95" s="96" t="str">
        <f t="shared" si="2"/>
        <v>CUMPLE</v>
      </c>
      <c r="K95" s="98">
        <f>VLOOKUP(A95,Proponentes[#Data],35,FALSE)</f>
        <v>2243.1574892053741</v>
      </c>
      <c r="L95" s="102">
        <f>VLOOKUP(A95,Hoja2!$A$2:$F$329,6,FALSE)</f>
        <v>2243.1574892053741</v>
      </c>
      <c r="M95" s="97"/>
      <c r="N95" s="103">
        <f t="shared" si="3"/>
        <v>0</v>
      </c>
    </row>
    <row r="96" spans="1:14" ht="27" customHeight="1" x14ac:dyDescent="0.2">
      <c r="A96" s="89">
        <v>91</v>
      </c>
      <c r="B96" s="90">
        <v>806007865</v>
      </c>
      <c r="C96" s="91" t="s">
        <v>142</v>
      </c>
      <c r="D96" s="92">
        <f>VLOOKUP(A96,Proponentes[#Data],19,FALSE)</f>
        <v>1.4452136857215656</v>
      </c>
      <c r="E96" s="93" t="str">
        <f>VLOOKUP(A96,Proponentes[#Data],25,FALSE)</f>
        <v>CUMPLE</v>
      </c>
      <c r="F96" s="94">
        <f>VLOOKUP(A96,Proponentes[#Data],20,FALSE)</f>
        <v>0.63404654996643572</v>
      </c>
      <c r="G96" s="93" t="str">
        <f>VLOOKUP(A96,Proponentes[#Data],26,FALSE)</f>
        <v>CUMPLE</v>
      </c>
      <c r="H96" s="95">
        <f>VLOOKUP(A96,Proponentes[#Data],21,FALSE)</f>
        <v>28.41989528037135</v>
      </c>
      <c r="I96" s="93" t="str">
        <f>VLOOKUP(A96,Proponentes[#Data],27,FALSE)</f>
        <v>CUMPLE</v>
      </c>
      <c r="J96" s="96" t="str">
        <f t="shared" si="2"/>
        <v>CUMPLE</v>
      </c>
      <c r="K96" s="98">
        <f>VLOOKUP(A96,Proponentes[#Data],35,FALSE)</f>
        <v>284.51164769735789</v>
      </c>
      <c r="L96" s="102">
        <f>VLOOKUP(A96,Hoja2!$A$2:$F$329,6,FALSE)</f>
        <v>284.51164769735789</v>
      </c>
      <c r="M96" s="97"/>
      <c r="N96" s="103">
        <f t="shared" si="3"/>
        <v>0</v>
      </c>
    </row>
    <row r="97" spans="1:14" ht="27" customHeight="1" x14ac:dyDescent="0.2">
      <c r="A97" s="89">
        <v>92</v>
      </c>
      <c r="B97" s="90">
        <v>900106789</v>
      </c>
      <c r="C97" s="91" t="s">
        <v>143</v>
      </c>
      <c r="D97" s="92">
        <f>VLOOKUP(A97,Proponentes[#Data],19,FALSE)</f>
        <v>4.1634582946435215</v>
      </c>
      <c r="E97" s="93" t="str">
        <f>VLOOKUP(A97,Proponentes[#Data],25,FALSE)</f>
        <v>CUMPLE</v>
      </c>
      <c r="F97" s="94">
        <f>VLOOKUP(A97,Proponentes[#Data],20,FALSE)</f>
        <v>0.54325321530272763</v>
      </c>
      <c r="G97" s="93" t="str">
        <f>VLOOKUP(A97,Proponentes[#Data],26,FALSE)</f>
        <v>CUMPLE</v>
      </c>
      <c r="H97" s="95">
        <f>VLOOKUP(A97,Proponentes[#Data],21,FALSE)</f>
        <v>2509.5165677272266</v>
      </c>
      <c r="I97" s="93" t="str">
        <f>VLOOKUP(A97,Proponentes[#Data],27,FALSE)</f>
        <v>CUMPLE</v>
      </c>
      <c r="J97" s="96" t="str">
        <f t="shared" si="2"/>
        <v>CUMPLE</v>
      </c>
      <c r="K97" s="98">
        <f>VLOOKUP(A97,Proponentes[#Data],35,FALSE)</f>
        <v>567.43053679501577</v>
      </c>
      <c r="L97" s="102">
        <f>VLOOKUP(A97,Hoja2!$A$2:$F$329,6,FALSE)</f>
        <v>567.43053679501577</v>
      </c>
      <c r="M97" s="97"/>
      <c r="N97" s="103">
        <f t="shared" si="3"/>
        <v>0</v>
      </c>
    </row>
    <row r="98" spans="1:14" ht="27" customHeight="1" x14ac:dyDescent="0.2">
      <c r="A98" s="89">
        <v>93</v>
      </c>
      <c r="B98" s="90">
        <v>900231743</v>
      </c>
      <c r="C98" s="91" t="s">
        <v>144</v>
      </c>
      <c r="D98" s="92">
        <f>VLOOKUP(A98,Proponentes[#Data],19,FALSE)</f>
        <v>1.8805234814378653</v>
      </c>
      <c r="E98" s="93" t="str">
        <f>VLOOKUP(A98,Proponentes[#Data],25,FALSE)</f>
        <v>CUMPLE</v>
      </c>
      <c r="F98" s="94">
        <f>VLOOKUP(A98,Proponentes[#Data],20,FALSE)</f>
        <v>0.48007016346973475</v>
      </c>
      <c r="G98" s="93" t="str">
        <f>VLOOKUP(A98,Proponentes[#Data],26,FALSE)</f>
        <v>CUMPLE</v>
      </c>
      <c r="H98" s="95">
        <f>VLOOKUP(A98,Proponentes[#Data],21,FALSE)</f>
        <v>1427.1913826082337</v>
      </c>
      <c r="I98" s="93" t="str">
        <f>VLOOKUP(A98,Proponentes[#Data],27,FALSE)</f>
        <v>CUMPLE</v>
      </c>
      <c r="J98" s="96" t="str">
        <f t="shared" si="2"/>
        <v>CUMPLE</v>
      </c>
      <c r="K98" s="98">
        <f>VLOOKUP(A98,Proponentes[#Data],35,FALSE)</f>
        <v>1524.3233408874019</v>
      </c>
      <c r="L98" s="102">
        <f>VLOOKUP(A98,Hoja2!$A$2:$F$329,6,FALSE)</f>
        <v>1524.3233408874019</v>
      </c>
      <c r="M98" s="97"/>
      <c r="N98" s="103">
        <f t="shared" si="3"/>
        <v>0</v>
      </c>
    </row>
    <row r="99" spans="1:14" ht="27" customHeight="1" x14ac:dyDescent="0.2">
      <c r="A99" s="89">
        <v>94</v>
      </c>
      <c r="B99" s="90">
        <v>901123909</v>
      </c>
      <c r="C99" s="91" t="s">
        <v>145</v>
      </c>
      <c r="D99" s="92" t="str">
        <f>VLOOKUP(A99,Proponentes[#Data],19,FALSE)</f>
        <v>INDETERMINADO</v>
      </c>
      <c r="E99" s="93" t="str">
        <f>VLOOKUP(A99,Proponentes[#Data],25,FALSE)</f>
        <v>NO CUMPLE</v>
      </c>
      <c r="F99" s="94">
        <f>VLOOKUP(A99,Proponentes[#Data],20,FALSE)</f>
        <v>0</v>
      </c>
      <c r="G99" s="93" t="str">
        <f>VLOOKUP(A99,Proponentes[#Data],26,FALSE)</f>
        <v>NO CUMPLE</v>
      </c>
      <c r="H99" s="95">
        <f>VLOOKUP(A99,Proponentes[#Data],21,FALSE)</f>
        <v>0</v>
      </c>
      <c r="I99" s="93" t="str">
        <f>VLOOKUP(A99,Proponentes[#Data],27,FALSE)</f>
        <v>NO CUMPLE</v>
      </c>
      <c r="J99" s="96" t="str">
        <f t="shared" si="2"/>
        <v>NO CUMPLE</v>
      </c>
      <c r="K99" s="98">
        <f>VLOOKUP(A99,Proponentes[#Data],35,FALSE)</f>
        <v>0</v>
      </c>
      <c r="L99" s="102">
        <f>VLOOKUP(A99,Hoja2!$A$2:$F$329,6,FALSE)</f>
        <v>0</v>
      </c>
      <c r="M99" s="97" t="str">
        <f>VLOOKUP(A99,Proponentes[#Data],29,FALSE)</f>
        <v>NO CUMPLE. El oferente aporta acta de asamablea, pero no aportó estado de flujo efectivo y estado de cambios en el patrimonio paara subsanacion.</v>
      </c>
      <c r="N99" s="103">
        <f t="shared" si="3"/>
        <v>0</v>
      </c>
    </row>
    <row r="100" spans="1:14" ht="27" customHeight="1" x14ac:dyDescent="0.2">
      <c r="A100" s="89">
        <v>95</v>
      </c>
      <c r="B100" s="90">
        <v>823002781</v>
      </c>
      <c r="C100" s="91" t="s">
        <v>147</v>
      </c>
      <c r="D100" s="92">
        <f>VLOOKUP(A100,Proponentes[#Data],19,FALSE)</f>
        <v>10.104166666666666</v>
      </c>
      <c r="E100" s="93" t="s">
        <v>470</v>
      </c>
      <c r="F100" s="94" t="s">
        <v>470</v>
      </c>
      <c r="G100" s="93" t="s">
        <v>470</v>
      </c>
      <c r="H100" s="95" t="s">
        <v>470</v>
      </c>
      <c r="I100" s="93" t="s">
        <v>470</v>
      </c>
      <c r="J100" s="96" t="str">
        <f t="shared" si="2"/>
        <v>NO CUMPLE</v>
      </c>
      <c r="K100" s="98">
        <f>VLOOKUP(A100,Proponentes[#Data],35,FALSE)</f>
        <v>194.9813745216012</v>
      </c>
      <c r="L100" s="102">
        <f>VLOOKUP(A100,Hoja2!$A$2:$F$329,6,FALSE)</f>
        <v>194.98137452160117</v>
      </c>
      <c r="M100" s="97" t="str">
        <f>VLOOKUP(A100,Proponentes[#Data],29,FALSE)</f>
        <v xml:space="preserve">NO CUMPLE. No subsanó lo solicitado (Cerrtificado de la Junta Central de Contadores del Reivisor Fiscal)
</v>
      </c>
      <c r="N100" s="103">
        <f t="shared" si="3"/>
        <v>0</v>
      </c>
    </row>
    <row r="101" spans="1:14" ht="27" customHeight="1" x14ac:dyDescent="0.2">
      <c r="A101" s="89">
        <v>96</v>
      </c>
      <c r="B101" s="90">
        <v>900064245</v>
      </c>
      <c r="C101" s="91" t="s">
        <v>149</v>
      </c>
      <c r="D101" s="92">
        <f>VLOOKUP(A101,Proponentes[#Data],19,FALSE)</f>
        <v>57.433610549846819</v>
      </c>
      <c r="E101" s="93" t="str">
        <f>VLOOKUP(A101,Proponentes[#Data],25,FALSE)</f>
        <v>CUMPLE</v>
      </c>
      <c r="F101" s="94">
        <f>VLOOKUP(A101,Proponentes[#Data],20,FALSE)</f>
        <v>1.9352431523094279E-2</v>
      </c>
      <c r="G101" s="93" t="str">
        <f>VLOOKUP(A101,Proponentes[#Data],26,FALSE)</f>
        <v>CUMPLE</v>
      </c>
      <c r="H101" s="95">
        <f>VLOOKUP(A101,Proponentes[#Data],21,FALSE)</f>
        <v>2600.3459273821541</v>
      </c>
      <c r="I101" s="93" t="str">
        <f>VLOOKUP(A101,Proponentes[#Data],27,FALSE)</f>
        <v>CUMPLE</v>
      </c>
      <c r="J101" s="96" t="str">
        <f t="shared" si="2"/>
        <v>CUMPLE</v>
      </c>
      <c r="K101" s="98">
        <f>VLOOKUP(A101,Proponentes[#Data],35,FALSE)</f>
        <v>362.89450686698922</v>
      </c>
      <c r="L101" s="102">
        <f>VLOOKUP(A101,Hoja2!$A$2:$F$329,6,FALSE)</f>
        <v>362.89450686698922</v>
      </c>
      <c r="M101" s="97"/>
      <c r="N101" s="103">
        <f t="shared" si="3"/>
        <v>0</v>
      </c>
    </row>
    <row r="102" spans="1:14" ht="27" customHeight="1" x14ac:dyDescent="0.2">
      <c r="A102" s="89">
        <v>97</v>
      </c>
      <c r="B102" s="90">
        <v>812004257</v>
      </c>
      <c r="C102" s="91" t="s">
        <v>150</v>
      </c>
      <c r="D102" s="92">
        <f>VLOOKUP(A102,Proponentes[#Data],19,FALSE)</f>
        <v>23.016494481236204</v>
      </c>
      <c r="E102" s="93" t="str">
        <f>VLOOKUP(A102,Proponentes[#Data],25,FALSE)</f>
        <v>CUMPLE</v>
      </c>
      <c r="F102" s="94">
        <f>VLOOKUP(A102,Proponentes[#Data],20,FALSE)</f>
        <v>3.599857340752801E-2</v>
      </c>
      <c r="G102" s="93" t="str">
        <f>VLOOKUP(A102,Proponentes[#Data],26,FALSE)</f>
        <v>NO CUMPLE</v>
      </c>
      <c r="H102" s="95">
        <f>VLOOKUP(A102,Proponentes[#Data],21,FALSE)</f>
        <v>451.63382907708581</v>
      </c>
      <c r="I102" s="93" t="str">
        <f>VLOOKUP(A102,Proponentes[#Data],27,FALSE)</f>
        <v>CUMPLE</v>
      </c>
      <c r="J102" s="96" t="str">
        <f t="shared" si="2"/>
        <v>NO CUMPLE</v>
      </c>
      <c r="K102" s="98">
        <f>VLOOKUP(A102,Proponentes[#Data],35,FALSE)</f>
        <v>0</v>
      </c>
      <c r="L102" s="102">
        <f>VLOOKUP(A102,Hoja2!$A$2:$F$329,6,FALSE)</f>
        <v>0</v>
      </c>
      <c r="M102" s="97" t="s">
        <v>814</v>
      </c>
      <c r="N102" s="103">
        <f t="shared" si="3"/>
        <v>0</v>
      </c>
    </row>
    <row r="103" spans="1:14" ht="27" customHeight="1" x14ac:dyDescent="0.2">
      <c r="A103" s="89">
        <v>98</v>
      </c>
      <c r="B103" s="90">
        <v>900267143</v>
      </c>
      <c r="C103" s="91" t="s">
        <v>151</v>
      </c>
      <c r="D103" s="92">
        <f>VLOOKUP(A103,Proponentes[#Data],19,FALSE)</f>
        <v>261.52433280581477</v>
      </c>
      <c r="E103" s="93" t="str">
        <f>VLOOKUP(A103,Proponentes[#Data],25,FALSE)</f>
        <v>CUMPLE</v>
      </c>
      <c r="F103" s="94">
        <f>VLOOKUP(A103,Proponentes[#Data],20,FALSE)</f>
        <v>3.5578414184503178E-3</v>
      </c>
      <c r="G103" s="93" t="str">
        <f>VLOOKUP(A103,Proponentes[#Data],26,FALSE)</f>
        <v>CUMPLE</v>
      </c>
      <c r="H103" s="95">
        <f>VLOOKUP(A103,Proponentes[#Data],21,FALSE)</f>
        <v>233.38137410700915</v>
      </c>
      <c r="I103" s="93" t="str">
        <f>VLOOKUP(A103,Proponentes[#Data],27,FALSE)</f>
        <v>CUMPLE</v>
      </c>
      <c r="J103" s="96" t="str">
        <f t="shared" si="2"/>
        <v>CUMPLE</v>
      </c>
      <c r="K103" s="98">
        <f>VLOOKUP(A103,Proponentes[#Data],35,FALSE)</f>
        <v>51.829282268893884</v>
      </c>
      <c r="L103" s="102">
        <f>VLOOKUP(A103,Hoja2!$A$2:$F$329,6,FALSE)</f>
        <v>51.829282268893877</v>
      </c>
      <c r="M103" s="97"/>
      <c r="N103" s="103">
        <f t="shared" si="3"/>
        <v>0</v>
      </c>
    </row>
    <row r="104" spans="1:14" ht="27" customHeight="1" x14ac:dyDescent="0.2">
      <c r="A104" s="89">
        <v>99</v>
      </c>
      <c r="B104" s="90">
        <v>900238123</v>
      </c>
      <c r="C104" s="91" t="s">
        <v>152</v>
      </c>
      <c r="D104" s="92">
        <f>VLOOKUP(A104,Proponentes[#Data],19,FALSE)</f>
        <v>1.883277031317147</v>
      </c>
      <c r="E104" s="93" t="str">
        <f>VLOOKUP(A104,Proponentes[#Data],25,FALSE)</f>
        <v>CUMPLE</v>
      </c>
      <c r="F104" s="94">
        <f>VLOOKUP(A104,Proponentes[#Data],20,FALSE)</f>
        <v>0.52361168482546749</v>
      </c>
      <c r="G104" s="93" t="str">
        <f>VLOOKUP(A104,Proponentes[#Data],26,FALSE)</f>
        <v>CUMPLE</v>
      </c>
      <c r="H104" s="95">
        <f>VLOOKUP(A104,Proponentes[#Data],21,FALSE)</f>
        <v>1480.1718660187703</v>
      </c>
      <c r="I104" s="93" t="str">
        <f>VLOOKUP(A104,Proponentes[#Data],27,FALSE)</f>
        <v>CUMPLE</v>
      </c>
      <c r="J104" s="96" t="str">
        <f t="shared" si="2"/>
        <v>CUMPLE</v>
      </c>
      <c r="K104" s="98">
        <f>VLOOKUP(A104,Proponentes[#Data],35,FALSE)</f>
        <v>421.19906362487092</v>
      </c>
      <c r="L104" s="102">
        <f>VLOOKUP(A104,Hoja2!$A$2:$F$329,6,FALSE)</f>
        <v>421.19906362487097</v>
      </c>
      <c r="M104" s="97"/>
      <c r="N104" s="103">
        <f t="shared" si="3"/>
        <v>0</v>
      </c>
    </row>
    <row r="105" spans="1:14" ht="27" customHeight="1" x14ac:dyDescent="0.2">
      <c r="A105" s="89">
        <v>100</v>
      </c>
      <c r="B105" s="90">
        <v>900967134</v>
      </c>
      <c r="C105" s="91" t="s">
        <v>153</v>
      </c>
      <c r="D105" s="92">
        <f>VLOOKUP(A105,Proponentes[#Data],19,FALSE)</f>
        <v>19.837352868548852</v>
      </c>
      <c r="E105" s="93" t="str">
        <f>VLOOKUP(A105,Proponentes[#Data],25,FALSE)</f>
        <v>CUMPLE</v>
      </c>
      <c r="F105" s="94">
        <f>VLOOKUP(A105,Proponentes[#Data],20,FALSE)</f>
        <v>4.6343873140847383E-2</v>
      </c>
      <c r="G105" s="93" t="str">
        <f>VLOOKUP(A105,Proponentes[#Data],26,FALSE)</f>
        <v>CUMPLE</v>
      </c>
      <c r="H105" s="95">
        <f>VLOOKUP(A105,Proponentes[#Data],21,FALSE)</f>
        <v>110.54248438624541</v>
      </c>
      <c r="I105" s="93" t="str">
        <f>VLOOKUP(A105,Proponentes[#Data],27,FALSE)</f>
        <v>CUMPLE</v>
      </c>
      <c r="J105" s="96" t="str">
        <f t="shared" si="2"/>
        <v>CUMPLE</v>
      </c>
      <c r="K105" s="98">
        <f>VLOOKUP(A105,Proponentes[#Data],35,FALSE)</f>
        <v>24.228560085408656</v>
      </c>
      <c r="L105" s="102">
        <f>VLOOKUP(A105,Hoja2!$A$2:$F$329,6,FALSE)</f>
        <v>24.228560085408656</v>
      </c>
      <c r="M105" s="97"/>
      <c r="N105" s="103">
        <f t="shared" si="3"/>
        <v>0</v>
      </c>
    </row>
    <row r="106" spans="1:14" ht="27" customHeight="1" x14ac:dyDescent="0.2">
      <c r="A106" s="89">
        <v>101</v>
      </c>
      <c r="B106" s="90">
        <v>900877034</v>
      </c>
      <c r="C106" s="91" t="s">
        <v>154</v>
      </c>
      <c r="D106" s="92">
        <f>VLOOKUP(A106,Proponentes[#Data],19,FALSE)</f>
        <v>1.3180929250604352</v>
      </c>
      <c r="E106" s="93" t="s">
        <v>470</v>
      </c>
      <c r="F106" s="94" t="s">
        <v>470</v>
      </c>
      <c r="G106" s="93" t="s">
        <v>470</v>
      </c>
      <c r="H106" s="95" t="s">
        <v>470</v>
      </c>
      <c r="I106" s="93" t="s">
        <v>470</v>
      </c>
      <c r="J106" s="96" t="str">
        <f t="shared" si="2"/>
        <v>NO CUMPLE</v>
      </c>
      <c r="K106" s="98">
        <f>VLOOKUP(A106,Proponentes[#Data],35,FALSE)</f>
        <v>222.86386659461201</v>
      </c>
      <c r="L106" s="102">
        <f>VLOOKUP(A106,Hoja2!$A$2:$F$329,6,FALSE)</f>
        <v>222.86386659461203</v>
      </c>
      <c r="M106" s="97" t="str">
        <f>VLOOKUP(A106,Proponentes[#Data],29,FALSE)</f>
        <v>NO CUMPLE. La Fundación aportó el estado de flujos de efectivo sin el cumplimiento de los requisitos de certificación que se requiere (no está firmado por el representante Legal y el Revisor fiscal). La certificación a los estados financieros aportada no cumple con los requisitos del Código de comercio.</v>
      </c>
      <c r="N106" s="103">
        <f t="shared" si="3"/>
        <v>0</v>
      </c>
    </row>
    <row r="107" spans="1:14" ht="27" customHeight="1" x14ac:dyDescent="0.2">
      <c r="A107" s="89">
        <v>102</v>
      </c>
      <c r="B107" s="90">
        <v>900208443</v>
      </c>
      <c r="C107" s="91" t="s">
        <v>156</v>
      </c>
      <c r="D107" s="92">
        <f>VLOOKUP(A107,Proponentes[#Data],19,FALSE)</f>
        <v>5.2631812095392112</v>
      </c>
      <c r="E107" s="93" t="str">
        <f>VLOOKUP(A107,Proponentes[#Data],25,FALSE)</f>
        <v>CUMPLE</v>
      </c>
      <c r="F107" s="94">
        <f>VLOOKUP(A107,Proponentes[#Data],20,FALSE)</f>
        <v>0.42324767961180543</v>
      </c>
      <c r="G107" s="93" t="str">
        <f>VLOOKUP(A107,Proponentes[#Data],26,FALSE)</f>
        <v>CUMPLE</v>
      </c>
      <c r="H107" s="95">
        <f>VLOOKUP(A107,Proponentes[#Data],21,FALSE)</f>
        <v>886.46637910630875</v>
      </c>
      <c r="I107" s="93" t="str">
        <f>VLOOKUP(A107,Proponentes[#Data],27,FALSE)</f>
        <v>CUMPLE</v>
      </c>
      <c r="J107" s="96" t="str">
        <f t="shared" si="2"/>
        <v>CUMPLE</v>
      </c>
      <c r="K107" s="98">
        <f>VLOOKUP(A107,Proponentes[#Data],35,FALSE)</f>
        <v>477.77961450087997</v>
      </c>
      <c r="L107" s="102">
        <f>VLOOKUP(A107,Hoja2!$A$2:$F$329,6,FALSE)</f>
        <v>477.77961450087997</v>
      </c>
      <c r="M107" s="97"/>
      <c r="N107" s="103">
        <f t="shared" si="3"/>
        <v>0</v>
      </c>
    </row>
    <row r="108" spans="1:14" ht="27" customHeight="1" x14ac:dyDescent="0.2">
      <c r="A108" s="89">
        <v>103</v>
      </c>
      <c r="B108" s="90">
        <v>804003003</v>
      </c>
      <c r="C108" s="91" t="s">
        <v>158</v>
      </c>
      <c r="D108" s="92">
        <f>VLOOKUP(A108,Proponentes[#Data],19,FALSE)</f>
        <v>6.4626576838316288</v>
      </c>
      <c r="E108" s="93" t="str">
        <f>VLOOKUP(A108,Proponentes[#Data],25,FALSE)</f>
        <v>CUMPLE</v>
      </c>
      <c r="F108" s="94">
        <f>VLOOKUP(A108,Proponentes[#Data],20,FALSE)</f>
        <v>0.15293473661677121</v>
      </c>
      <c r="G108" s="93" t="str">
        <f>VLOOKUP(A108,Proponentes[#Data],26,FALSE)</f>
        <v>CUMPLE</v>
      </c>
      <c r="H108" s="95">
        <f>VLOOKUP(A108,Proponentes[#Data],21,FALSE)</f>
        <v>3025.2278545517779</v>
      </c>
      <c r="I108" s="93" t="str">
        <f>VLOOKUP(A108,Proponentes[#Data],27,FALSE)</f>
        <v>CUMPLE</v>
      </c>
      <c r="J108" s="96" t="str">
        <f t="shared" si="2"/>
        <v>CUMPLE</v>
      </c>
      <c r="K108" s="98">
        <f>VLOOKUP(A108,Proponentes[#Data],35,FALSE)</f>
        <v>1014.8331532076792</v>
      </c>
      <c r="L108" s="102">
        <f>VLOOKUP(A108,Hoja2!$A$2:$F$329,6,FALSE)</f>
        <v>1014.8331532076792</v>
      </c>
      <c r="M108" s="97"/>
      <c r="N108" s="103">
        <f t="shared" si="3"/>
        <v>0</v>
      </c>
    </row>
    <row r="109" spans="1:14" ht="27" customHeight="1" x14ac:dyDescent="0.2">
      <c r="A109" s="89">
        <v>104</v>
      </c>
      <c r="B109" s="90">
        <v>813013497</v>
      </c>
      <c r="C109" s="91" t="s">
        <v>159</v>
      </c>
      <c r="D109" s="92">
        <f>VLOOKUP(A109,Proponentes[#Data],19,FALSE)</f>
        <v>8.0063351365103248</v>
      </c>
      <c r="E109" s="93" t="str">
        <f>VLOOKUP(A109,Proponentes[#Data],25,FALSE)</f>
        <v>CUMPLE</v>
      </c>
      <c r="F109" s="94">
        <f>VLOOKUP(A109,Proponentes[#Data],20,FALSE)</f>
        <v>0.33054535757764425</v>
      </c>
      <c r="G109" s="93" t="str">
        <f>VLOOKUP(A109,Proponentes[#Data],26,FALSE)</f>
        <v>CUMPLE</v>
      </c>
      <c r="H109" s="95">
        <f>VLOOKUP(A109,Proponentes[#Data],21,FALSE)</f>
        <v>452.90599414816279</v>
      </c>
      <c r="I109" s="93" t="str">
        <f>VLOOKUP(A109,Proponentes[#Data],27,FALSE)</f>
        <v>CUMPLE</v>
      </c>
      <c r="J109" s="96" t="str">
        <f t="shared" si="2"/>
        <v>CUMPLE</v>
      </c>
      <c r="K109" s="98">
        <f>VLOOKUP(A109,Proponentes[#Data],35,FALSE)</f>
        <v>740.1565633635862</v>
      </c>
      <c r="L109" s="102">
        <f>VLOOKUP(A109,Hoja2!$A$2:$F$329,6,FALSE)</f>
        <v>740.1565633635862</v>
      </c>
      <c r="M109" s="97"/>
      <c r="N109" s="103">
        <f t="shared" si="3"/>
        <v>0</v>
      </c>
    </row>
    <row r="110" spans="1:14" ht="27" customHeight="1" x14ac:dyDescent="0.2">
      <c r="A110" s="89">
        <v>105</v>
      </c>
      <c r="B110" s="90">
        <v>900943875</v>
      </c>
      <c r="C110" s="91" t="s">
        <v>160</v>
      </c>
      <c r="D110" s="92" t="str">
        <f>VLOOKUP(A110,Proponentes[#Data],19,FALSE)</f>
        <v>INDETERMINADO</v>
      </c>
      <c r="E110" s="93" t="str">
        <f>VLOOKUP(A110,Proponentes[#Data],25,FALSE)</f>
        <v>CUMPLE</v>
      </c>
      <c r="F110" s="94">
        <f>VLOOKUP(A110,Proponentes[#Data],20,FALSE)</f>
        <v>0</v>
      </c>
      <c r="G110" s="93" t="str">
        <f>VLOOKUP(A110,Proponentes[#Data],26,FALSE)</f>
        <v>CUMPLE</v>
      </c>
      <c r="H110" s="95">
        <f>VLOOKUP(A110,Proponentes[#Data],21,FALSE)</f>
        <v>29.890884851880653</v>
      </c>
      <c r="I110" s="93" t="str">
        <f>VLOOKUP(A110,Proponentes[#Data],27,FALSE)</f>
        <v>CUMPLE</v>
      </c>
      <c r="J110" s="96" t="str">
        <f t="shared" si="2"/>
        <v>CUMPLE</v>
      </c>
      <c r="K110" s="98">
        <f>VLOOKUP(A110,Proponentes[#Data],35,FALSE)</f>
        <v>14.030315313325788</v>
      </c>
      <c r="L110" s="102">
        <f>VLOOKUP(A110,Hoja2!$A$2:$F$329,6,FALSE)</f>
        <v>14.030315313325788</v>
      </c>
      <c r="M110" s="97"/>
      <c r="N110" s="103">
        <f t="shared" si="3"/>
        <v>0</v>
      </c>
    </row>
    <row r="111" spans="1:14" ht="27" customHeight="1" x14ac:dyDescent="0.2">
      <c r="A111" s="89">
        <v>106</v>
      </c>
      <c r="B111" s="90">
        <v>900631920</v>
      </c>
      <c r="C111" s="91" t="s">
        <v>162</v>
      </c>
      <c r="D111" s="92">
        <f>VLOOKUP(A111,Proponentes[#Data],19,FALSE)</f>
        <v>3.5238319304374777</v>
      </c>
      <c r="E111" s="93" t="str">
        <f>VLOOKUP(A111,Proponentes[#Data],25,FALSE)</f>
        <v>CUMPLE</v>
      </c>
      <c r="F111" s="94">
        <f>VLOOKUP(A111,Proponentes[#Data],20,FALSE)</f>
        <v>0.21501241859841916</v>
      </c>
      <c r="G111" s="93" t="str">
        <f>VLOOKUP(A111,Proponentes[#Data],26,FALSE)</f>
        <v>NO CUMPLE</v>
      </c>
      <c r="H111" s="95">
        <f>VLOOKUP(A111,Proponentes[#Data],21,FALSE)</f>
        <v>2259.3744138864604</v>
      </c>
      <c r="I111" s="93" t="str">
        <f>VLOOKUP(A111,Proponentes[#Data],27,FALSE)</f>
        <v>CUMPLE</v>
      </c>
      <c r="J111" s="96" t="str">
        <f t="shared" si="2"/>
        <v>NO CUMPLE</v>
      </c>
      <c r="K111" s="98">
        <f>VLOOKUP(A111,Proponentes[#Data],35,FALSE)</f>
        <v>0</v>
      </c>
      <c r="L111" s="102">
        <f>VLOOKUP(A111,Hoja2!$A$2:$F$329,6,FALSE)</f>
        <v>0</v>
      </c>
      <c r="M111" s="97" t="s">
        <v>814</v>
      </c>
      <c r="N111" s="103">
        <f t="shared" si="3"/>
        <v>0</v>
      </c>
    </row>
    <row r="112" spans="1:14" ht="27" customHeight="1" x14ac:dyDescent="0.2">
      <c r="A112" s="89">
        <v>107</v>
      </c>
      <c r="B112" s="90">
        <v>818001353</v>
      </c>
      <c r="C112" s="91" t="s">
        <v>163</v>
      </c>
      <c r="D112" s="92">
        <f>VLOOKUP(A112,Proponentes[#Data],19,FALSE)</f>
        <v>10.809003076740582</v>
      </c>
      <c r="E112" s="93" t="str">
        <f>VLOOKUP(A112,Proponentes[#Data],25,FALSE)</f>
        <v>CUMPLE</v>
      </c>
      <c r="F112" s="94">
        <f>VLOOKUP(A112,Proponentes[#Data],20,FALSE)</f>
        <v>0.18202663482814013</v>
      </c>
      <c r="G112" s="93" t="str">
        <f>VLOOKUP(A112,Proponentes[#Data],26,FALSE)</f>
        <v>CUMPLE</v>
      </c>
      <c r="H112" s="95">
        <f>VLOOKUP(A112,Proponentes[#Data],21,FALSE)</f>
        <v>798.84204749093124</v>
      </c>
      <c r="I112" s="93" t="str">
        <f>VLOOKUP(A112,Proponentes[#Data],27,FALSE)</f>
        <v>CUMPLE</v>
      </c>
      <c r="J112" s="96" t="str">
        <f t="shared" si="2"/>
        <v>CUMPLE</v>
      </c>
      <c r="K112" s="98">
        <f>VLOOKUP(A112,Proponentes[#Data],35,FALSE)</f>
        <v>99.806993965973078</v>
      </c>
      <c r="L112" s="102">
        <f>VLOOKUP(A112,Hoja2!$A$2:$F$329,6,FALSE)</f>
        <v>99.806993965973078</v>
      </c>
      <c r="M112" s="97"/>
      <c r="N112" s="103">
        <f t="shared" si="3"/>
        <v>0</v>
      </c>
    </row>
    <row r="113" spans="1:14" ht="27" customHeight="1" x14ac:dyDescent="0.2">
      <c r="A113" s="89">
        <v>108</v>
      </c>
      <c r="B113" s="90">
        <v>900666427</v>
      </c>
      <c r="C113" s="91" t="s">
        <v>164</v>
      </c>
      <c r="D113" s="92">
        <f>VLOOKUP(A113,Proponentes[#Data],19,FALSE)</f>
        <v>2.4177517933703139</v>
      </c>
      <c r="E113" s="93" t="str">
        <f>VLOOKUP(A113,Proponentes[#Data],25,FALSE)</f>
        <v>CUMPLE</v>
      </c>
      <c r="F113" s="94">
        <f>VLOOKUP(A113,Proponentes[#Data],20,FALSE)</f>
        <v>0.61730724435126949</v>
      </c>
      <c r="G113" s="93" t="str">
        <f>VLOOKUP(A113,Proponentes[#Data],26,FALSE)</f>
        <v>CUMPLE</v>
      </c>
      <c r="H113" s="95">
        <f>VLOOKUP(A113,Proponentes[#Data],21,FALSE)</f>
        <v>44.25227866627381</v>
      </c>
      <c r="I113" s="93" t="str">
        <f>VLOOKUP(A113,Proponentes[#Data],27,FALSE)</f>
        <v>CUMPLE</v>
      </c>
      <c r="J113" s="96" t="str">
        <f t="shared" si="2"/>
        <v>CUMPLE</v>
      </c>
      <c r="K113" s="98">
        <f>VLOOKUP(A113,Proponentes[#Data],35,FALSE)</f>
        <v>73.587745849261623</v>
      </c>
      <c r="L113" s="102">
        <f>VLOOKUP(A113,Hoja2!$A$2:$F$329,6,FALSE)</f>
        <v>73.587745849261623</v>
      </c>
      <c r="M113" s="97"/>
      <c r="N113" s="103">
        <f t="shared" si="3"/>
        <v>0</v>
      </c>
    </row>
    <row r="114" spans="1:14" ht="27" customHeight="1" x14ac:dyDescent="0.2">
      <c r="A114" s="89">
        <v>109</v>
      </c>
      <c r="B114" s="90">
        <v>840000903</v>
      </c>
      <c r="C114" s="91" t="s">
        <v>166</v>
      </c>
      <c r="D114" s="92">
        <f>VLOOKUP(A114,Proponentes[#Data],19,FALSE)</f>
        <v>4.9732719827988872</v>
      </c>
      <c r="E114" s="93" t="str">
        <f>VLOOKUP(A114,Proponentes[#Data],25,FALSE)</f>
        <v>CUMPLE</v>
      </c>
      <c r="F114" s="94">
        <f>VLOOKUP(A114,Proponentes[#Data],20,FALSE)</f>
        <v>0.29691295026286374</v>
      </c>
      <c r="G114" s="93" t="str">
        <f>VLOOKUP(A114,Proponentes[#Data],26,FALSE)</f>
        <v>CUMPLE</v>
      </c>
      <c r="H114" s="95">
        <f>VLOOKUP(A114,Proponentes[#Data],21,FALSE)</f>
        <v>1505.7206200580595</v>
      </c>
      <c r="I114" s="93" t="str">
        <f>VLOOKUP(A114,Proponentes[#Data],27,FALSE)</f>
        <v>CUMPLE</v>
      </c>
      <c r="J114" s="96" t="str">
        <f t="shared" si="2"/>
        <v>CUMPLE</v>
      </c>
      <c r="K114" s="98">
        <f>VLOOKUP(A114,Proponentes[#Data],35,FALSE)</f>
        <v>1183.6190172718909</v>
      </c>
      <c r="L114" s="102">
        <f>VLOOKUP(A114,Hoja2!$A$2:$F$329,6,FALSE)</f>
        <v>1183.6190172718909</v>
      </c>
      <c r="M114" s="97"/>
      <c r="N114" s="103">
        <f t="shared" si="3"/>
        <v>0</v>
      </c>
    </row>
    <row r="115" spans="1:14" ht="27" customHeight="1" x14ac:dyDescent="0.2">
      <c r="A115" s="89">
        <v>110</v>
      </c>
      <c r="B115" s="90">
        <v>900005961</v>
      </c>
      <c r="C115" s="91" t="s">
        <v>167</v>
      </c>
      <c r="D115" s="92" t="str">
        <f>VLOOKUP(A115,Proponentes[#Data],19,FALSE)</f>
        <v>INDETERMINADO</v>
      </c>
      <c r="E115" s="93" t="str">
        <f>VLOOKUP(A115,Proponentes[#Data],25,FALSE)</f>
        <v>CUMPLE</v>
      </c>
      <c r="F115" s="94">
        <f>VLOOKUP(A115,Proponentes[#Data],20,FALSE)</f>
        <v>0</v>
      </c>
      <c r="G115" s="93" t="str">
        <f>VLOOKUP(A115,Proponentes[#Data],26,FALSE)</f>
        <v>CUMPLE</v>
      </c>
      <c r="H115" s="95">
        <f>VLOOKUP(A115,Proponentes[#Data],21,FALSE)</f>
        <v>259.17697520637205</v>
      </c>
      <c r="I115" s="93" t="str">
        <f>VLOOKUP(A115,Proponentes[#Data],27,FALSE)</f>
        <v>CUMPLE</v>
      </c>
      <c r="J115" s="96" t="str">
        <f t="shared" si="2"/>
        <v>CUMPLE</v>
      </c>
      <c r="K115" s="98">
        <f>VLOOKUP(A115,Proponentes[#Data],35,FALSE)</f>
        <v>0</v>
      </c>
      <c r="L115" s="102">
        <f>VLOOKUP(A115,Hoja2!$A$2:$F$329,6,FALSE)</f>
        <v>0</v>
      </c>
      <c r="M115" s="97"/>
      <c r="N115" s="103">
        <f t="shared" si="3"/>
        <v>0</v>
      </c>
    </row>
    <row r="116" spans="1:14" ht="27" customHeight="1" x14ac:dyDescent="0.2">
      <c r="A116" s="89">
        <v>111</v>
      </c>
      <c r="B116" s="90">
        <v>900133071</v>
      </c>
      <c r="C116" s="91" t="s">
        <v>168</v>
      </c>
      <c r="D116" s="92">
        <f>VLOOKUP(A116,Proponentes[#Data],19,FALSE)</f>
        <v>4.9732719827988872</v>
      </c>
      <c r="E116" s="93" t="str">
        <f>VLOOKUP(A116,Proponentes[#Data],25,FALSE)</f>
        <v>CUMPLE</v>
      </c>
      <c r="F116" s="94">
        <f>VLOOKUP(A116,Proponentes[#Data],20,FALSE)</f>
        <v>0.29691295026286374</v>
      </c>
      <c r="G116" s="93" t="str">
        <f>VLOOKUP(A116,Proponentes[#Data],26,FALSE)</f>
        <v>CUMPLE</v>
      </c>
      <c r="H116" s="95">
        <f>VLOOKUP(A116,Proponentes[#Data],21,FALSE)</f>
        <v>1505.7206200580595</v>
      </c>
      <c r="I116" s="93" t="str">
        <f>VLOOKUP(A116,Proponentes[#Data],27,FALSE)</f>
        <v>CUMPLE</v>
      </c>
      <c r="J116" s="96" t="str">
        <f t="shared" si="2"/>
        <v>CUMPLE</v>
      </c>
      <c r="K116" s="98">
        <f>VLOOKUP(A116,Proponentes[#Data],35,FALSE)</f>
        <v>894.76943344232529</v>
      </c>
      <c r="L116" s="102">
        <f>VLOOKUP(A116,Hoja2!$A$2:$F$329,6,FALSE)</f>
        <v>894.76943344232541</v>
      </c>
      <c r="M116" s="97"/>
      <c r="N116" s="103">
        <f t="shared" si="3"/>
        <v>0</v>
      </c>
    </row>
    <row r="117" spans="1:14" ht="27" customHeight="1" x14ac:dyDescent="0.2">
      <c r="A117" s="89">
        <v>112</v>
      </c>
      <c r="B117" s="90">
        <v>900517521</v>
      </c>
      <c r="C117" s="91" t="s">
        <v>169</v>
      </c>
      <c r="D117" s="92">
        <f>VLOOKUP(A117,Proponentes[#Data],19,FALSE)</f>
        <v>2.3367460306643952</v>
      </c>
      <c r="E117" s="93" t="str">
        <f>VLOOKUP(A117,Proponentes[#Data],25,FALSE)</f>
        <v>CUMPLE</v>
      </c>
      <c r="F117" s="94">
        <f>VLOOKUP(A117,Proponentes[#Data],20,FALSE)</f>
        <v>0.31759086799542791</v>
      </c>
      <c r="G117" s="93" t="str">
        <f>VLOOKUP(A117,Proponentes[#Data],26,FALSE)</f>
        <v>CUMPLE</v>
      </c>
      <c r="H117" s="95">
        <f>VLOOKUP(A117,Proponentes[#Data],21,FALSE)</f>
        <v>47.376811944220378</v>
      </c>
      <c r="I117" s="93" t="str">
        <f>VLOOKUP(A117,Proponentes[#Data],27,FALSE)</f>
        <v>CUMPLE</v>
      </c>
      <c r="J117" s="96" t="str">
        <f t="shared" si="2"/>
        <v>CUMPLE</v>
      </c>
      <c r="K117" s="98">
        <f>VLOOKUP(A117,Proponentes[#Data],35,FALSE)</f>
        <v>157.82326470677512</v>
      </c>
      <c r="L117" s="102">
        <f>VLOOKUP(A117,Hoja2!$A$2:$F$329,6,FALSE)</f>
        <v>157.82326470677512</v>
      </c>
      <c r="M117" s="97"/>
      <c r="N117" s="103">
        <f t="shared" si="3"/>
        <v>0</v>
      </c>
    </row>
    <row r="118" spans="1:14" ht="27" customHeight="1" x14ac:dyDescent="0.2">
      <c r="A118" s="89">
        <v>113</v>
      </c>
      <c r="B118" s="90">
        <v>900968008</v>
      </c>
      <c r="C118" s="91" t="s">
        <v>171</v>
      </c>
      <c r="D118" s="92">
        <f>VLOOKUP(A118,Proponentes[#Data],19,FALSE)</f>
        <v>42.48482560845752</v>
      </c>
      <c r="E118" s="93" t="str">
        <f>VLOOKUP(A118,Proponentes[#Data],25,FALSE)</f>
        <v>CUMPLE</v>
      </c>
      <c r="F118" s="94">
        <f>VLOOKUP(A118,Proponentes[#Data],20,FALSE)</f>
        <v>2.1346628343501706E-2</v>
      </c>
      <c r="G118" s="93" t="str">
        <f>VLOOKUP(A118,Proponentes[#Data],26,FALSE)</f>
        <v>NO CUMPLE</v>
      </c>
      <c r="H118" s="95">
        <f>VLOOKUP(A118,Proponentes[#Data],21,FALSE)</f>
        <v>998.96104893517338</v>
      </c>
      <c r="I118" s="93" t="str">
        <f>VLOOKUP(A118,Proponentes[#Data],27,FALSE)</f>
        <v>CUMPLE</v>
      </c>
      <c r="J118" s="96" t="str">
        <f t="shared" si="2"/>
        <v>NO CUMPLE</v>
      </c>
      <c r="K118" s="98">
        <f>VLOOKUP(A118,Proponentes[#Data],35,FALSE)</f>
        <v>0</v>
      </c>
      <c r="L118" s="102">
        <f>VLOOKUP(A118,Hoja2!$A$2:$F$329,6,FALSE)</f>
        <v>0</v>
      </c>
      <c r="M118" s="97" t="s">
        <v>814</v>
      </c>
      <c r="N118" s="103">
        <f t="shared" si="3"/>
        <v>0</v>
      </c>
    </row>
    <row r="119" spans="1:14" ht="27" customHeight="1" x14ac:dyDescent="0.2">
      <c r="A119" s="89">
        <v>114</v>
      </c>
      <c r="B119" s="90">
        <v>806012901</v>
      </c>
      <c r="C119" s="91" t="s">
        <v>172</v>
      </c>
      <c r="D119" s="92">
        <f>VLOOKUP(A119,Proponentes[#Data],19,FALSE)</f>
        <v>20.973987903225808</v>
      </c>
      <c r="E119" s="93" t="str">
        <f>VLOOKUP(A119,Proponentes[#Data],25,FALSE)</f>
        <v>CUMPLE</v>
      </c>
      <c r="F119" s="94">
        <f>VLOOKUP(A119,Proponentes[#Data],20,FALSE)</f>
        <v>1.1125244125463625E-2</v>
      </c>
      <c r="G119" s="93" t="str">
        <f>VLOOKUP(A119,Proponentes[#Data],26,FALSE)</f>
        <v>CUMPLE</v>
      </c>
      <c r="H119" s="95">
        <f>VLOOKUP(A119,Proponentes[#Data],21,FALSE)</f>
        <v>71.78050901081491</v>
      </c>
      <c r="I119" s="93" t="str">
        <f>VLOOKUP(A119,Proponentes[#Data],27,FALSE)</f>
        <v>CUMPLE</v>
      </c>
      <c r="J119" s="96" t="str">
        <f t="shared" si="2"/>
        <v>CUMPLE</v>
      </c>
      <c r="K119" s="98">
        <f>VLOOKUP(A119,Proponentes[#Data],35,FALSE)</f>
        <v>237.55968276783389</v>
      </c>
      <c r="L119" s="102">
        <f>VLOOKUP(A119,Hoja2!$A$2:$F$329,6,FALSE)</f>
        <v>237.55968276783389</v>
      </c>
      <c r="M119" s="97"/>
      <c r="N119" s="103">
        <f t="shared" si="3"/>
        <v>0</v>
      </c>
    </row>
    <row r="120" spans="1:14" ht="27" customHeight="1" x14ac:dyDescent="0.2">
      <c r="A120" s="89">
        <v>115</v>
      </c>
      <c r="B120" s="90">
        <v>900468173</v>
      </c>
      <c r="C120" s="91" t="s">
        <v>173</v>
      </c>
      <c r="D120" s="92">
        <f>VLOOKUP(A120,Proponentes[#Data],19,FALSE)</f>
        <v>1.381578938849088</v>
      </c>
      <c r="E120" s="93" t="s">
        <v>470</v>
      </c>
      <c r="F120" s="94" t="s">
        <v>470</v>
      </c>
      <c r="G120" s="93" t="s">
        <v>470</v>
      </c>
      <c r="H120" s="95" t="s">
        <v>470</v>
      </c>
      <c r="I120" s="93" t="s">
        <v>470</v>
      </c>
      <c r="J120" s="96" t="str">
        <f t="shared" si="2"/>
        <v>NO CUMPLE</v>
      </c>
      <c r="K120" s="98">
        <f>VLOOKUP(A120,Proponentes[#Data],35,FALSE)</f>
        <v>0</v>
      </c>
      <c r="L120" s="102">
        <f>VLOOKUP(A120,Hoja2!$A$2:$F$329,6,FALSE)</f>
        <v>0</v>
      </c>
      <c r="M120" s="97" t="str">
        <f>VLOOKUP(A120,Proponentes[#Data],29,FALSE)</f>
        <v>NO CUMPLE. El oferente no aportó estados financieros en forma comparativa</v>
      </c>
      <c r="N120" s="103">
        <f t="shared" si="3"/>
        <v>0</v>
      </c>
    </row>
    <row r="121" spans="1:14" ht="27" customHeight="1" x14ac:dyDescent="0.2">
      <c r="A121" s="89">
        <v>116</v>
      </c>
      <c r="B121" s="90">
        <v>900778390</v>
      </c>
      <c r="C121" s="91" t="s">
        <v>175</v>
      </c>
      <c r="D121" s="92">
        <f>VLOOKUP(A121,Proponentes[#Data],19,FALSE)</f>
        <v>1532.4327499999999</v>
      </c>
      <c r="E121" s="93" t="str">
        <f>VLOOKUP(A121,Proponentes[#Data],25,FALSE)</f>
        <v>CUMPLE</v>
      </c>
      <c r="F121" s="94">
        <f>VLOOKUP(A121,Proponentes[#Data],20,FALSE)</f>
        <v>6.5255718399388166E-4</v>
      </c>
      <c r="G121" s="93" t="str">
        <f>VLOOKUP(A121,Proponentes[#Data],26,FALSE)</f>
        <v>NO CUMPLE</v>
      </c>
      <c r="H121" s="95">
        <f>VLOOKUP(A121,Proponentes[#Data],21,FALSE)</f>
        <v>184.92973810432355</v>
      </c>
      <c r="I121" s="93" t="str">
        <f>VLOOKUP(A121,Proponentes[#Data],27,FALSE)</f>
        <v>CUMPLE</v>
      </c>
      <c r="J121" s="96" t="str">
        <f t="shared" si="2"/>
        <v>NO CUMPLE</v>
      </c>
      <c r="K121" s="98">
        <f>VLOOKUP(A121,Proponentes[#Data],35,FALSE)</f>
        <v>0</v>
      </c>
      <c r="L121" s="102">
        <f>VLOOKUP(A121,Hoja2!$A$2:$F$329,6,FALSE)</f>
        <v>0</v>
      </c>
      <c r="M121" s="97" t="s">
        <v>814</v>
      </c>
      <c r="N121" s="103">
        <f t="shared" si="3"/>
        <v>0</v>
      </c>
    </row>
    <row r="122" spans="1:14" ht="27" customHeight="1" x14ac:dyDescent="0.2">
      <c r="A122" s="89">
        <v>117</v>
      </c>
      <c r="B122" s="90">
        <v>804000939</v>
      </c>
      <c r="C122" s="91" t="s">
        <v>177</v>
      </c>
      <c r="D122" s="92">
        <f>VLOOKUP(A122,Proponentes[#Data],19,FALSE)</f>
        <v>2.3315411098954129</v>
      </c>
      <c r="E122" s="93" t="str">
        <f>VLOOKUP(A122,Proponentes[#Data],25,FALSE)</f>
        <v>CUMPLE</v>
      </c>
      <c r="F122" s="94">
        <f>VLOOKUP(A122,Proponentes[#Data],20,FALSE)</f>
        <v>0.5567457499069125</v>
      </c>
      <c r="G122" s="93" t="str">
        <f>VLOOKUP(A122,Proponentes[#Data],26,FALSE)</f>
        <v>CUMPLE</v>
      </c>
      <c r="H122" s="95">
        <f>VLOOKUP(A122,Proponentes[#Data],21,FALSE)</f>
        <v>356.33212496799968</v>
      </c>
      <c r="I122" s="93" t="str">
        <f>VLOOKUP(A122,Proponentes[#Data],27,FALSE)</f>
        <v>CUMPLE</v>
      </c>
      <c r="J122" s="96" t="str">
        <f t="shared" si="2"/>
        <v>CUMPLE</v>
      </c>
      <c r="K122" s="98">
        <f>VLOOKUP(A122,Proponentes[#Data],35,FALSE)</f>
        <v>1391.6594319525423</v>
      </c>
      <c r="L122" s="102">
        <f>VLOOKUP(A122,Hoja2!$A$2:$F$329,6,FALSE)</f>
        <v>1391.6594319525423</v>
      </c>
      <c r="M122" s="97"/>
      <c r="N122" s="103">
        <f t="shared" si="3"/>
        <v>0</v>
      </c>
    </row>
    <row r="123" spans="1:14" ht="27" customHeight="1" x14ac:dyDescent="0.2">
      <c r="A123" s="89">
        <v>118</v>
      </c>
      <c r="B123" s="90">
        <v>900310029</v>
      </c>
      <c r="C123" s="91" t="s">
        <v>178</v>
      </c>
      <c r="D123" s="92">
        <f>VLOOKUP(A123,Proponentes[#Data],19,FALSE)</f>
        <v>1.4798464710236858</v>
      </c>
      <c r="E123" s="93" t="str">
        <f>VLOOKUP(A123,Proponentes[#Data],25,FALSE)</f>
        <v>CUMPLE</v>
      </c>
      <c r="F123" s="94">
        <f>VLOOKUP(A123,Proponentes[#Data],20,FALSE)</f>
        <v>0.5784085321251079</v>
      </c>
      <c r="G123" s="93" t="str">
        <f>VLOOKUP(A123,Proponentes[#Data],26,FALSE)</f>
        <v>NO CUMPLE</v>
      </c>
      <c r="H123" s="95">
        <f>VLOOKUP(A123,Proponentes[#Data],21,FALSE)</f>
        <v>177.23746190147273</v>
      </c>
      <c r="I123" s="93" t="str">
        <f>VLOOKUP(A123,Proponentes[#Data],27,FALSE)</f>
        <v>CUMPLE</v>
      </c>
      <c r="J123" s="96" t="str">
        <f t="shared" si="2"/>
        <v>NO CUMPLE</v>
      </c>
      <c r="K123" s="98">
        <f>VLOOKUP(A123,Proponentes[#Data],35,FALSE)</f>
        <v>0</v>
      </c>
      <c r="L123" s="102">
        <f>VLOOKUP(A123,Hoja2!$A$2:$F$329,6,FALSE)</f>
        <v>0</v>
      </c>
      <c r="M123" s="97" t="s">
        <v>814</v>
      </c>
      <c r="N123" s="103">
        <f t="shared" si="3"/>
        <v>0</v>
      </c>
    </row>
    <row r="124" spans="1:14" ht="27" customHeight="1" x14ac:dyDescent="0.2">
      <c r="A124" s="89">
        <v>119</v>
      </c>
      <c r="B124" s="90">
        <v>825001160</v>
      </c>
      <c r="C124" s="91" t="s">
        <v>180</v>
      </c>
      <c r="D124" s="92">
        <f>VLOOKUP(A124,Proponentes[#Data],19,FALSE)</f>
        <v>73.813705424518531</v>
      </c>
      <c r="E124" s="93" t="str">
        <f>VLOOKUP(A124,Proponentes[#Data],25,FALSE)</f>
        <v>CUMPLE</v>
      </c>
      <c r="F124" s="94">
        <f>VLOOKUP(A124,Proponentes[#Data],20,FALSE)</f>
        <v>1.8283125154016273E-2</v>
      </c>
      <c r="G124" s="93" t="str">
        <f>VLOOKUP(A124,Proponentes[#Data],26,FALSE)</f>
        <v>CUMPLE</v>
      </c>
      <c r="H124" s="95">
        <f>VLOOKUP(A124,Proponentes[#Data],21,FALSE)</f>
        <v>3794.3023392858004</v>
      </c>
      <c r="I124" s="93" t="str">
        <f>VLOOKUP(A124,Proponentes[#Data],27,FALSE)</f>
        <v>CUMPLE</v>
      </c>
      <c r="J124" s="96" t="str">
        <f t="shared" si="2"/>
        <v>CUMPLE</v>
      </c>
      <c r="K124" s="98">
        <f>VLOOKUP(A124,Proponentes[#Data],35,FALSE)</f>
        <v>449.03051857020375</v>
      </c>
      <c r="L124" s="102">
        <f>VLOOKUP(A124,Hoja2!$A$2:$F$329,6,FALSE)</f>
        <v>449.03051857020375</v>
      </c>
      <c r="M124" s="97"/>
      <c r="N124" s="103">
        <f t="shared" si="3"/>
        <v>0</v>
      </c>
    </row>
    <row r="125" spans="1:14" ht="27" customHeight="1" x14ac:dyDescent="0.2">
      <c r="A125" s="89">
        <v>120</v>
      </c>
      <c r="B125" s="90">
        <v>828002605</v>
      </c>
      <c r="C125" s="91" t="s">
        <v>181</v>
      </c>
      <c r="D125" s="92">
        <f>VLOOKUP(A125,Proponentes[#Data],19,FALSE)</f>
        <v>24.775201787475819</v>
      </c>
      <c r="E125" s="93" t="s">
        <v>470</v>
      </c>
      <c r="F125" s="94" t="s">
        <v>470</v>
      </c>
      <c r="G125" s="93" t="s">
        <v>470</v>
      </c>
      <c r="H125" s="95" t="s">
        <v>470</v>
      </c>
      <c r="I125" s="93" t="s">
        <v>470</v>
      </c>
      <c r="J125" s="96" t="str">
        <f t="shared" si="2"/>
        <v>NO CUMPLE</v>
      </c>
      <c r="K125" s="98">
        <f>VLOOKUP(A125,Proponentes[#Data],35,FALSE)</f>
        <v>243.84944424440212</v>
      </c>
      <c r="L125" s="102">
        <f>VLOOKUP(A125,Hoja2!$A$2:$F$329,6,FALSE)</f>
        <v>243.84944424440212</v>
      </c>
      <c r="M125" s="97" t="str">
        <f>VLOOKUP(A125,Proponentes[#Data],29,FALSE)</f>
        <v>NO CUMPLE. No aporta el acta del máximo organo administrativo donde se aprueben los estadas financieros, conforme se solicitó en adenda Nro. 2 de la IP. NOTA. El oferente justifica "Rta: El acta de aprobación de los estados financieros, no se adjuntó por cuanto por la misma estructura de la entidad-Iglesia Católica, no se exige. "</v>
      </c>
      <c r="N125" s="103">
        <f t="shared" si="3"/>
        <v>0</v>
      </c>
    </row>
    <row r="126" spans="1:14" ht="27" customHeight="1" x14ac:dyDescent="0.2">
      <c r="A126" s="89">
        <v>121</v>
      </c>
      <c r="B126" s="90">
        <v>890400794</v>
      </c>
      <c r="C126" s="91" t="s">
        <v>183</v>
      </c>
      <c r="D126" s="92">
        <f>VLOOKUP(A126,Proponentes[#Data],19,FALSE)</f>
        <v>3.2225100035272658</v>
      </c>
      <c r="E126" s="93" t="str">
        <f>VLOOKUP(A126,Proponentes[#Data],25,FALSE)</f>
        <v>CUMPLE</v>
      </c>
      <c r="F126" s="94">
        <f>VLOOKUP(A126,Proponentes[#Data],20,FALSE)</f>
        <v>2.0332777145442616E-2</v>
      </c>
      <c r="G126" s="93" t="str">
        <f>VLOOKUP(A126,Proponentes[#Data],26,FALSE)</f>
        <v>CUMPLE</v>
      </c>
      <c r="H126" s="95">
        <f>VLOOKUP(A126,Proponentes[#Data],21,FALSE)</f>
        <v>970.44518642315813</v>
      </c>
      <c r="I126" s="93" t="str">
        <f>VLOOKUP(A126,Proponentes[#Data],27,FALSE)</f>
        <v>CUMPLE</v>
      </c>
      <c r="J126" s="96" t="str">
        <f t="shared" si="2"/>
        <v>CUMPLE</v>
      </c>
      <c r="K126" s="98">
        <f>VLOOKUP(A126,Proponentes[#Data],35,FALSE)</f>
        <v>12644.829006095693</v>
      </c>
      <c r="L126" s="102">
        <f>VLOOKUP(A126,Hoja2!$A$2:$F$329,6,FALSE)</f>
        <v>12644.829006095693</v>
      </c>
      <c r="M126" s="97"/>
      <c r="N126" s="103">
        <f t="shared" si="3"/>
        <v>0</v>
      </c>
    </row>
    <row r="127" spans="1:14" ht="27" customHeight="1" x14ac:dyDescent="0.2">
      <c r="A127" s="89">
        <v>122</v>
      </c>
      <c r="B127" s="90">
        <v>820002498</v>
      </c>
      <c r="C127" s="91" t="s">
        <v>184</v>
      </c>
      <c r="D127" s="92">
        <f>VLOOKUP(A127,Proponentes[#Data],19,FALSE)</f>
        <v>43.516923129875529</v>
      </c>
      <c r="E127" s="93" t="str">
        <f>VLOOKUP(A127,Proponentes[#Data],25,FALSE)</f>
        <v>CUMPLE</v>
      </c>
      <c r="F127" s="94">
        <f>VLOOKUP(A127,Proponentes[#Data],20,FALSE)</f>
        <v>1.369057017475854E-3</v>
      </c>
      <c r="G127" s="93" t="str">
        <f>VLOOKUP(A127,Proponentes[#Data],26,FALSE)</f>
        <v>CUMPLE</v>
      </c>
      <c r="H127" s="95">
        <f>VLOOKUP(A127,Proponentes[#Data],21,FALSE)</f>
        <v>125.29984446623421</v>
      </c>
      <c r="I127" s="93" t="str">
        <f>VLOOKUP(A127,Proponentes[#Data],27,FALSE)</f>
        <v>CUMPLE</v>
      </c>
      <c r="J127" s="96" t="str">
        <f t="shared" si="2"/>
        <v>CUMPLE</v>
      </c>
      <c r="K127" s="98">
        <f>VLOOKUP(A127,Proponentes[#Data],35,FALSE)</f>
        <v>28.835464954669774</v>
      </c>
      <c r="L127" s="102">
        <f>VLOOKUP(A127,Hoja2!$A$2:$F$329,6,FALSE)</f>
        <v>28.835464954669774</v>
      </c>
      <c r="M127" s="97"/>
      <c r="N127" s="103">
        <f t="shared" si="3"/>
        <v>0</v>
      </c>
    </row>
    <row r="128" spans="1:14" ht="27" customHeight="1" x14ac:dyDescent="0.2">
      <c r="A128" s="89">
        <v>123</v>
      </c>
      <c r="B128" s="90">
        <v>890303178</v>
      </c>
      <c r="C128" s="91" t="s">
        <v>185</v>
      </c>
      <c r="D128" s="92">
        <f>VLOOKUP(A128,Proponentes[#Data],19,FALSE)</f>
        <v>2.2067135183153428</v>
      </c>
      <c r="E128" s="93" t="str">
        <f>VLOOKUP(A128,Proponentes[#Data],25,FALSE)</f>
        <v>CUMPLE</v>
      </c>
      <c r="F128" s="94">
        <f>VLOOKUP(A128,Proponentes[#Data],20,FALSE)</f>
        <v>0.14119035315111217</v>
      </c>
      <c r="G128" s="93" t="str">
        <f>VLOOKUP(A128,Proponentes[#Data],26,FALSE)</f>
        <v>CUMPLE</v>
      </c>
      <c r="H128" s="95">
        <f>VLOOKUP(A128,Proponentes[#Data],21,FALSE)</f>
        <v>2215.2072427051285</v>
      </c>
      <c r="I128" s="93" t="str">
        <f>VLOOKUP(A128,Proponentes[#Data],27,FALSE)</f>
        <v>CUMPLE</v>
      </c>
      <c r="J128" s="96" t="str">
        <f t="shared" si="2"/>
        <v>CUMPLE</v>
      </c>
      <c r="K128" s="98">
        <f>VLOOKUP(A128,Proponentes[#Data],35,FALSE)</f>
        <v>1195.9762041226261</v>
      </c>
      <c r="L128" s="102">
        <f>VLOOKUP(A128,Hoja2!$A$2:$F$329,6,FALSE)</f>
        <v>1195.9762041226261</v>
      </c>
      <c r="M128" s="97"/>
      <c r="N128" s="103">
        <f t="shared" si="3"/>
        <v>0</v>
      </c>
    </row>
    <row r="129" spans="1:14" ht="27" customHeight="1" x14ac:dyDescent="0.2">
      <c r="A129" s="89">
        <v>124</v>
      </c>
      <c r="B129" s="90">
        <v>830107985</v>
      </c>
      <c r="C129" s="91" t="s">
        <v>186</v>
      </c>
      <c r="D129" s="92">
        <f>VLOOKUP(A129,Proponentes[#Data],19,FALSE)</f>
        <v>58.885785201072999</v>
      </c>
      <c r="E129" s="93" t="str">
        <f>VLOOKUP(A129,Proponentes[#Data],25,FALSE)</f>
        <v>CUMPLE</v>
      </c>
      <c r="F129" s="94">
        <f>VLOOKUP(A129,Proponentes[#Data],20,FALSE)</f>
        <v>1.1171340083935525E-2</v>
      </c>
      <c r="G129" s="93" t="str">
        <f>VLOOKUP(A129,Proponentes[#Data],26,FALSE)</f>
        <v>CUMPLE</v>
      </c>
      <c r="H129" s="95">
        <f>VLOOKUP(A129,Proponentes[#Data],21,FALSE)</f>
        <v>1972.5351122306536</v>
      </c>
      <c r="I129" s="93" t="str">
        <f>VLOOKUP(A129,Proponentes[#Data],27,FALSE)</f>
        <v>CUMPLE</v>
      </c>
      <c r="J129" s="96" t="str">
        <f t="shared" si="2"/>
        <v>CUMPLE</v>
      </c>
      <c r="K129" s="98">
        <f>VLOOKUP(A129,Proponentes[#Data],35,FALSE)</f>
        <v>1243.0183369923302</v>
      </c>
      <c r="L129" s="102">
        <f>VLOOKUP(A129,Hoja2!$A$2:$F$329,6,FALSE)</f>
        <v>1243.0183369923302</v>
      </c>
      <c r="M129" s="97"/>
      <c r="N129" s="103">
        <f t="shared" si="3"/>
        <v>0</v>
      </c>
    </row>
    <row r="130" spans="1:14" ht="27" customHeight="1" x14ac:dyDescent="0.2">
      <c r="A130" s="89">
        <v>125</v>
      </c>
      <c r="B130" s="90">
        <v>825002112</v>
      </c>
      <c r="C130" s="91" t="s">
        <v>187</v>
      </c>
      <c r="D130" s="92">
        <f>VLOOKUP(A130,Proponentes[#Data],19,FALSE)</f>
        <v>1.6119493154941709</v>
      </c>
      <c r="E130" s="93" t="str">
        <f>VLOOKUP(A130,Proponentes[#Data],25,FALSE)</f>
        <v>CUMPLE</v>
      </c>
      <c r="F130" s="94">
        <f>VLOOKUP(A130,Proponentes[#Data],20,FALSE)</f>
        <v>0.51891785271900503</v>
      </c>
      <c r="G130" s="93" t="str">
        <f>VLOOKUP(A130,Proponentes[#Data],26,FALSE)</f>
        <v>NO CUMPLE</v>
      </c>
      <c r="H130" s="95">
        <f>VLOOKUP(A130,Proponentes[#Data],21,FALSE)</f>
        <v>468.47543097826872</v>
      </c>
      <c r="I130" s="93" t="str">
        <f>VLOOKUP(A130,Proponentes[#Data],27,FALSE)</f>
        <v>CUMPLE</v>
      </c>
      <c r="J130" s="96" t="str">
        <f t="shared" si="2"/>
        <v>NO CUMPLE</v>
      </c>
      <c r="K130" s="98">
        <f>VLOOKUP(A130,Proponentes[#Data],35,FALSE)</f>
        <v>0</v>
      </c>
      <c r="L130" s="102">
        <f>VLOOKUP(A130,Hoja2!$A$2:$F$329,6,FALSE)</f>
        <v>0</v>
      </c>
      <c r="M130" s="97" t="s">
        <v>814</v>
      </c>
      <c r="N130" s="103">
        <f t="shared" si="3"/>
        <v>0</v>
      </c>
    </row>
    <row r="131" spans="1:14" ht="27" customHeight="1" x14ac:dyDescent="0.2">
      <c r="A131" s="89">
        <v>126</v>
      </c>
      <c r="B131" s="90">
        <v>890984938</v>
      </c>
      <c r="C131" s="91" t="s">
        <v>189</v>
      </c>
      <c r="D131" s="92">
        <f>VLOOKUP(A131,Proponentes[#Data],19,FALSE)</f>
        <v>3.5298833088522708</v>
      </c>
      <c r="E131" s="93" t="str">
        <f>VLOOKUP(A131,Proponentes[#Data],25,FALSE)</f>
        <v>CUMPLE</v>
      </c>
      <c r="F131" s="94">
        <f>VLOOKUP(A131,Proponentes[#Data],20,FALSE)</f>
        <v>0.11145883463900609</v>
      </c>
      <c r="G131" s="93" t="str">
        <f>VLOOKUP(A131,Proponentes[#Data],26,FALSE)</f>
        <v>CUMPLE</v>
      </c>
      <c r="H131" s="95">
        <f>VLOOKUP(A131,Proponentes[#Data],21,FALSE)</f>
        <v>5866.5800757381812</v>
      </c>
      <c r="I131" s="93" t="str">
        <f>VLOOKUP(A131,Proponentes[#Data],27,FALSE)</f>
        <v>CUMPLE</v>
      </c>
      <c r="J131" s="96" t="str">
        <f t="shared" si="2"/>
        <v>CUMPLE</v>
      </c>
      <c r="K131" s="98">
        <f>VLOOKUP(A131,Proponentes[#Data],35,FALSE)</f>
        <v>1693.7488737065523</v>
      </c>
      <c r="L131" s="102">
        <f>VLOOKUP(A131,Hoja2!$A$2:$F$329,6,FALSE)</f>
        <v>1693.7488737065523</v>
      </c>
      <c r="M131" s="97"/>
      <c r="N131" s="103">
        <f t="shared" si="3"/>
        <v>0</v>
      </c>
    </row>
    <row r="132" spans="1:14" ht="27" customHeight="1" x14ac:dyDescent="0.2">
      <c r="A132" s="89">
        <v>127</v>
      </c>
      <c r="B132" s="90">
        <v>890800971</v>
      </c>
      <c r="C132" s="91" t="s">
        <v>190</v>
      </c>
      <c r="D132" s="92">
        <f>VLOOKUP(A132,Proponentes[#Data],19,FALSE)</f>
        <v>14.345843291412116</v>
      </c>
      <c r="E132" s="93" t="str">
        <f>VLOOKUP(A132,Proponentes[#Data],25,FALSE)</f>
        <v>CUMPLE</v>
      </c>
      <c r="F132" s="94">
        <f>VLOOKUP(A132,Proponentes[#Data],20,FALSE)</f>
        <v>0.4627480910176015</v>
      </c>
      <c r="G132" s="93" t="str">
        <f>VLOOKUP(A132,Proponentes[#Data],26,FALSE)</f>
        <v>CUMPLE</v>
      </c>
      <c r="H132" s="95">
        <f>VLOOKUP(A132,Proponentes[#Data],21,FALSE)</f>
        <v>2034.0889271551328</v>
      </c>
      <c r="I132" s="93" t="str">
        <f>VLOOKUP(A132,Proponentes[#Data],27,FALSE)</f>
        <v>CUMPLE</v>
      </c>
      <c r="J132" s="96" t="str">
        <f t="shared" si="2"/>
        <v>CUMPLE</v>
      </c>
      <c r="K132" s="98">
        <f>VLOOKUP(A132,Proponentes[#Data],35,FALSE)</f>
        <v>48.624598778239992</v>
      </c>
      <c r="L132" s="102">
        <f>VLOOKUP(A132,Hoja2!$A$2:$F$329,6,FALSE)</f>
        <v>48.624598778239992</v>
      </c>
      <c r="M132" s="97"/>
      <c r="N132" s="103">
        <f t="shared" si="3"/>
        <v>0</v>
      </c>
    </row>
    <row r="133" spans="1:14" ht="27" customHeight="1" x14ac:dyDescent="0.2">
      <c r="A133" s="89">
        <v>128</v>
      </c>
      <c r="B133" s="90">
        <v>900484538</v>
      </c>
      <c r="C133" s="91" t="s">
        <v>191</v>
      </c>
      <c r="D133" s="92">
        <f>VLOOKUP(A133,Proponentes[#Data],19,FALSE)</f>
        <v>35.942857142857143</v>
      </c>
      <c r="E133" s="93" t="str">
        <f>VLOOKUP(A133,Proponentes[#Data],25,FALSE)</f>
        <v>CUMPLE</v>
      </c>
      <c r="F133" s="94">
        <f>VLOOKUP(A133,Proponentes[#Data],20,FALSE)</f>
        <v>4.0778282651753464E-3</v>
      </c>
      <c r="G133" s="93" t="str">
        <f>VLOOKUP(A133,Proponentes[#Data],26,FALSE)</f>
        <v>NO CUMPLE</v>
      </c>
      <c r="H133" s="95">
        <f>VLOOKUP(A133,Proponentes[#Data],21,FALSE)</f>
        <v>14.7684623893271</v>
      </c>
      <c r="I133" s="93" t="str">
        <f>VLOOKUP(A133,Proponentes[#Data],27,FALSE)</f>
        <v>CUMPLE</v>
      </c>
      <c r="J133" s="96" t="str">
        <f t="shared" si="2"/>
        <v>NO CUMPLE</v>
      </c>
      <c r="K133" s="98">
        <f>VLOOKUP(A133,Proponentes[#Data],35,FALSE)</f>
        <v>0</v>
      </c>
      <c r="L133" s="102">
        <f>VLOOKUP(A133,Hoja2!$A$2:$F$329,6,FALSE)</f>
        <v>0</v>
      </c>
      <c r="M133" s="97" t="s">
        <v>814</v>
      </c>
      <c r="N133" s="103">
        <f t="shared" si="3"/>
        <v>0</v>
      </c>
    </row>
    <row r="134" spans="1:14" ht="27" customHeight="1" x14ac:dyDescent="0.2">
      <c r="A134" s="89">
        <v>129</v>
      </c>
      <c r="B134" s="90">
        <v>900408053</v>
      </c>
      <c r="C134" s="91" t="s">
        <v>193</v>
      </c>
      <c r="D134" s="92" t="str">
        <f>VLOOKUP(A134,Proponentes[#Data],19,FALSE)</f>
        <v>INDETERMINADO</v>
      </c>
      <c r="E134" s="93" t="str">
        <f>VLOOKUP(A134,Proponentes[#Data],25,FALSE)</f>
        <v>CUMPLE</v>
      </c>
      <c r="F134" s="94">
        <f>VLOOKUP(A134,Proponentes[#Data],20,FALSE)</f>
        <v>0</v>
      </c>
      <c r="G134" s="93" t="str">
        <f>VLOOKUP(A134,Proponentes[#Data],26,FALSE)</f>
        <v>CUMPLE</v>
      </c>
      <c r="H134" s="95">
        <f>VLOOKUP(A134,Proponentes[#Data],21,FALSE)</f>
        <v>17.882760386226085</v>
      </c>
      <c r="I134" s="93" t="str">
        <f>VLOOKUP(A134,Proponentes[#Data],27,FALSE)</f>
        <v>CUMPLE</v>
      </c>
      <c r="J134" s="96" t="str">
        <f t="shared" si="2"/>
        <v>CUMPLE</v>
      </c>
      <c r="K134" s="98">
        <f>VLOOKUP(A134,Proponentes[#Data],35,FALSE)</f>
        <v>34.610966974036572</v>
      </c>
      <c r="L134" s="102">
        <f>VLOOKUP(A134,Hoja2!$A$2:$F$329,6,FALSE)</f>
        <v>34.610966974036572</v>
      </c>
      <c r="M134" s="97"/>
      <c r="N134" s="103">
        <f t="shared" si="3"/>
        <v>0</v>
      </c>
    </row>
    <row r="135" spans="1:14" ht="27" customHeight="1" x14ac:dyDescent="0.2">
      <c r="A135" s="89">
        <v>130</v>
      </c>
      <c r="B135" s="90">
        <v>900390785</v>
      </c>
      <c r="C135" s="91" t="s">
        <v>195</v>
      </c>
      <c r="D135" s="92">
        <f>VLOOKUP(A135,Proponentes[#Data],19,FALSE)</f>
        <v>33.455434040341238</v>
      </c>
      <c r="E135" s="93" t="str">
        <f>VLOOKUP(A135,Proponentes[#Data],25,FALSE)</f>
        <v>CUMPLE</v>
      </c>
      <c r="F135" s="94">
        <f>VLOOKUP(A135,Proponentes[#Data],20,FALSE)</f>
        <v>1.8082302462276857E-2</v>
      </c>
      <c r="G135" s="93" t="str">
        <f>VLOOKUP(A135,Proponentes[#Data],26,FALSE)</f>
        <v>CUMPLE</v>
      </c>
      <c r="H135" s="95">
        <f>VLOOKUP(A135,Proponentes[#Data],21,FALSE)</f>
        <v>538.33279395640227</v>
      </c>
      <c r="I135" s="93" t="str">
        <f>VLOOKUP(A135,Proponentes[#Data],27,FALSE)</f>
        <v>CUMPLE</v>
      </c>
      <c r="J135" s="96" t="str">
        <f t="shared" ref="J135:J198" si="4">IF(M135&lt;&gt;"","NO CUMPLE",IF(AND(E135="CUMPLE",G135="CUMPLE",I135="CUMPLE"),"CUMPLE","NO CUMPLE"))</f>
        <v>CUMPLE</v>
      </c>
      <c r="K135" s="98">
        <f>VLOOKUP(A135,Proponentes[#Data],35,FALSE)</f>
        <v>77.440227079191871</v>
      </c>
      <c r="L135" s="102">
        <f>VLOOKUP(A135,Hoja2!$A$2:$F$329,6,FALSE)</f>
        <v>77.440227079191871</v>
      </c>
      <c r="M135" s="97"/>
      <c r="N135" s="103">
        <f t="shared" ref="N135:N198" si="5">K135-L135</f>
        <v>0</v>
      </c>
    </row>
    <row r="136" spans="1:14" ht="27" customHeight="1" x14ac:dyDescent="0.2">
      <c r="A136" s="89">
        <v>131</v>
      </c>
      <c r="B136" s="90">
        <v>806006752</v>
      </c>
      <c r="C136" s="91" t="s">
        <v>196</v>
      </c>
      <c r="D136" s="92">
        <f>VLOOKUP(A136,Proponentes[#Data],19,FALSE)</f>
        <v>3.5852280413705069</v>
      </c>
      <c r="E136" s="93" t="s">
        <v>470</v>
      </c>
      <c r="F136" s="94" t="s">
        <v>470</v>
      </c>
      <c r="G136" s="93" t="s">
        <v>470</v>
      </c>
      <c r="H136" s="95" t="s">
        <v>470</v>
      </c>
      <c r="I136" s="93" t="s">
        <v>470</v>
      </c>
      <c r="J136" s="96" t="str">
        <f t="shared" si="4"/>
        <v>NO CUMPLE</v>
      </c>
      <c r="K136" s="98">
        <f>VLOOKUP(A136,Proponentes[#Data],35,FALSE)</f>
        <v>33.132102072247278</v>
      </c>
      <c r="L136" s="102">
        <f>VLOOKUP(A136,Hoja2!$A$2:$F$329,6,FALSE)</f>
        <v>33.132102072247278</v>
      </c>
      <c r="M136" s="97" t="str">
        <f>VLOOKUP(A136,Proponentes[#Data],29,FALSE)</f>
        <v xml:space="preserve">NO CUMPLE. Una vez verificado que la entidad canceló la inscripción en el rues, debió aportar el acta de asamblea del máximo órgano administrativo, donde se aprueban los estados financieros definitivos.  </v>
      </c>
      <c r="N136" s="103">
        <f t="shared" si="5"/>
        <v>0</v>
      </c>
    </row>
    <row r="137" spans="1:14" ht="27" customHeight="1" x14ac:dyDescent="0.2">
      <c r="A137" s="89">
        <v>132</v>
      </c>
      <c r="B137" s="90">
        <v>891501542</v>
      </c>
      <c r="C137" s="91" t="s">
        <v>197</v>
      </c>
      <c r="D137" s="92">
        <f>VLOOKUP(A137,Proponentes[#Data],19,FALSE)</f>
        <v>57.364075348212786</v>
      </c>
      <c r="E137" s="93" t="str">
        <f>VLOOKUP(A137,Proponentes[#Data],25,FALSE)</f>
        <v>CUMPLE</v>
      </c>
      <c r="F137" s="94">
        <f>VLOOKUP(A137,Proponentes[#Data],20,FALSE)</f>
        <v>1.7432513187561657E-2</v>
      </c>
      <c r="G137" s="93" t="str">
        <f>VLOOKUP(A137,Proponentes[#Data],26,FALSE)</f>
        <v>CUMPLE</v>
      </c>
      <c r="H137" s="95">
        <f>VLOOKUP(A137,Proponentes[#Data],21,FALSE)</f>
        <v>405.58753242299389</v>
      </c>
      <c r="I137" s="93" t="str">
        <f>VLOOKUP(A137,Proponentes[#Data],27,FALSE)</f>
        <v>CUMPLE</v>
      </c>
      <c r="J137" s="96" t="str">
        <f t="shared" si="4"/>
        <v>CUMPLE</v>
      </c>
      <c r="K137" s="98">
        <f>VLOOKUP(A137,Proponentes[#Data],35,FALSE)</f>
        <v>428.13763324527031</v>
      </c>
      <c r="L137" s="102">
        <f>VLOOKUP(A137,Hoja2!$A$2:$F$329,6,FALSE)</f>
        <v>428.13763324527031</v>
      </c>
      <c r="M137" s="97"/>
      <c r="N137" s="103">
        <f t="shared" si="5"/>
        <v>0</v>
      </c>
    </row>
    <row r="138" spans="1:14" ht="27" customHeight="1" x14ac:dyDescent="0.2">
      <c r="A138" s="89">
        <v>133</v>
      </c>
      <c r="B138" s="90">
        <v>805020145</v>
      </c>
      <c r="C138" s="91" t="s">
        <v>198</v>
      </c>
      <c r="D138" s="92">
        <f>VLOOKUP(A138,Proponentes[#Data],19,FALSE)</f>
        <v>9.7433568823771139</v>
      </c>
      <c r="E138" s="93" t="str">
        <f>VLOOKUP(A138,Proponentes[#Data],25,FALSE)</f>
        <v>CUMPLE</v>
      </c>
      <c r="F138" s="94">
        <f>VLOOKUP(A138,Proponentes[#Data],20,FALSE)</f>
        <v>3.5550248030472312E-2</v>
      </c>
      <c r="G138" s="93" t="str">
        <f>VLOOKUP(A138,Proponentes[#Data],26,FALSE)</f>
        <v>CUMPLE</v>
      </c>
      <c r="H138" s="95">
        <f>VLOOKUP(A138,Proponentes[#Data],21,FALSE)</f>
        <v>163.40734269112056</v>
      </c>
      <c r="I138" s="93" t="str">
        <f>VLOOKUP(A138,Proponentes[#Data],27,FALSE)</f>
        <v>CUMPLE</v>
      </c>
      <c r="J138" s="96" t="str">
        <f t="shared" si="4"/>
        <v>CUMPLE</v>
      </c>
      <c r="K138" s="98">
        <f>VLOOKUP(A138,Proponentes[#Data],35,FALSE)</f>
        <v>2.900841969381613</v>
      </c>
      <c r="L138" s="102">
        <f>VLOOKUP(A138,Hoja2!$A$2:$F$329,6,FALSE)</f>
        <v>2.900841969381613</v>
      </c>
      <c r="M138" s="97"/>
      <c r="N138" s="103">
        <f t="shared" si="5"/>
        <v>0</v>
      </c>
    </row>
    <row r="139" spans="1:14" ht="27" customHeight="1" x14ac:dyDescent="0.2">
      <c r="A139" s="89">
        <v>134</v>
      </c>
      <c r="B139" s="90">
        <v>806002258</v>
      </c>
      <c r="C139" s="91" t="s">
        <v>199</v>
      </c>
      <c r="D139" s="92">
        <f>VLOOKUP(A139,Proponentes[#Data],19,FALSE)</f>
        <v>10.05415254</v>
      </c>
      <c r="E139" s="93" t="str">
        <f>VLOOKUP(A139,Proponentes[#Data],25,FALSE)</f>
        <v>CUMPLE</v>
      </c>
      <c r="F139" s="94">
        <f>VLOOKUP(A139,Proponentes[#Data],20,FALSE)</f>
        <v>9.9461391302901395E-2</v>
      </c>
      <c r="G139" s="93" t="str">
        <f>VLOOKUP(A139,Proponentes[#Data],26,FALSE)</f>
        <v>CUMPLE</v>
      </c>
      <c r="H139" s="95">
        <f>VLOOKUP(A139,Proponentes[#Data],21,FALSE)</f>
        <v>1093.3435098464465</v>
      </c>
      <c r="I139" s="93" t="str">
        <f>VLOOKUP(A139,Proponentes[#Data],27,FALSE)</f>
        <v>CUMPLE</v>
      </c>
      <c r="J139" s="96" t="str">
        <f t="shared" si="4"/>
        <v>CUMPLE</v>
      </c>
      <c r="K139" s="98">
        <f>VLOOKUP(A139,Proponentes[#Data],35,FALSE)</f>
        <v>407.12407799754607</v>
      </c>
      <c r="L139" s="102">
        <f>VLOOKUP(A139,Hoja2!$A$2:$F$329,6,FALSE)</f>
        <v>407.12407799754607</v>
      </c>
      <c r="M139" s="97"/>
      <c r="N139" s="103">
        <f t="shared" si="5"/>
        <v>0</v>
      </c>
    </row>
    <row r="140" spans="1:14" ht="27" customHeight="1" x14ac:dyDescent="0.2">
      <c r="A140" s="89">
        <v>135</v>
      </c>
      <c r="B140" s="90">
        <v>817004234</v>
      </c>
      <c r="C140" s="91" t="s">
        <v>200</v>
      </c>
      <c r="D140" s="92">
        <f>VLOOKUP(A140,Proponentes[#Data],19,FALSE)</f>
        <v>84.941176470588232</v>
      </c>
      <c r="E140" s="93" t="str">
        <f>VLOOKUP(A140,Proponentes[#Data],25,FALSE)</f>
        <v>CUMPLE</v>
      </c>
      <c r="F140" s="94">
        <f>VLOOKUP(A140,Proponentes[#Data],20,FALSE)</f>
        <v>1.1772853185595568E-2</v>
      </c>
      <c r="G140" s="93" t="str">
        <f>VLOOKUP(A140,Proponentes[#Data],26,FALSE)</f>
        <v>NO CUMPLE</v>
      </c>
      <c r="H140" s="95">
        <f>VLOOKUP(A140,Proponentes[#Data],21,FALSE)</f>
        <v>172.31885388037423</v>
      </c>
      <c r="I140" s="93" t="str">
        <f>VLOOKUP(A140,Proponentes[#Data],27,FALSE)</f>
        <v>CUMPLE</v>
      </c>
      <c r="J140" s="96" t="str">
        <f t="shared" si="4"/>
        <v>NO CUMPLE</v>
      </c>
      <c r="K140" s="98">
        <f>VLOOKUP(A140,Proponentes[#Data],35,FALSE)</f>
        <v>0</v>
      </c>
      <c r="L140" s="102">
        <f>VLOOKUP(A140,Hoja2!$A$2:$F$329,6,FALSE)</f>
        <v>0</v>
      </c>
      <c r="M140" s="97" t="s">
        <v>814</v>
      </c>
      <c r="N140" s="103">
        <f t="shared" si="5"/>
        <v>0</v>
      </c>
    </row>
    <row r="141" spans="1:14" ht="27" customHeight="1" x14ac:dyDescent="0.2">
      <c r="A141" s="89">
        <v>136</v>
      </c>
      <c r="B141" s="90">
        <v>823005361</v>
      </c>
      <c r="C141" s="91" t="s">
        <v>201</v>
      </c>
      <c r="D141" s="92">
        <f>VLOOKUP(A141,Proponentes[#Data],19,FALSE)</f>
        <v>10.514043547257183</v>
      </c>
      <c r="E141" s="93" t="str">
        <f>VLOOKUP(A141,Proponentes[#Data],25,FALSE)</f>
        <v>CUMPLE</v>
      </c>
      <c r="F141" s="94">
        <f>VLOOKUP(A141,Proponentes[#Data],20,FALSE)</f>
        <v>5.3755595784771161E-2</v>
      </c>
      <c r="G141" s="93" t="str">
        <f>VLOOKUP(A141,Proponentes[#Data],26,FALSE)</f>
        <v>CUMPLE</v>
      </c>
      <c r="H141" s="95">
        <f>VLOOKUP(A141,Proponentes[#Data],21,FALSE)</f>
        <v>153.20641311120664</v>
      </c>
      <c r="I141" s="93" t="str">
        <f>VLOOKUP(A141,Proponentes[#Data],27,FALSE)</f>
        <v>CUMPLE</v>
      </c>
      <c r="J141" s="96" t="str">
        <f t="shared" si="4"/>
        <v>CUMPLE</v>
      </c>
      <c r="K141" s="98">
        <f>VLOOKUP(A141,Proponentes[#Data],35,FALSE)</f>
        <v>966.1382905047019</v>
      </c>
      <c r="L141" s="102">
        <f>VLOOKUP(A141,Hoja2!$A$2:$F$329,6,FALSE)</f>
        <v>966.1382905047019</v>
      </c>
      <c r="M141" s="97"/>
      <c r="N141" s="103">
        <f t="shared" si="5"/>
        <v>0</v>
      </c>
    </row>
    <row r="142" spans="1:14" ht="27" customHeight="1" x14ac:dyDescent="0.2">
      <c r="A142" s="89">
        <v>137</v>
      </c>
      <c r="B142" s="90">
        <v>891780111</v>
      </c>
      <c r="C142" s="91" t="s">
        <v>202</v>
      </c>
      <c r="D142" s="92">
        <f>VLOOKUP(A142,Proponentes[#Data],19,FALSE)</f>
        <v>14.801551271525156</v>
      </c>
      <c r="E142" s="93" t="str">
        <f>VLOOKUP(A142,Proponentes[#Data],25,FALSE)</f>
        <v>CUMPLE</v>
      </c>
      <c r="F142" s="94">
        <f>VLOOKUP(A142,Proponentes[#Data],20,FALSE)</f>
        <v>6.7560486171728121E-2</v>
      </c>
      <c r="G142" s="93" t="str">
        <f>VLOOKUP(A142,Proponentes[#Data],26,FALSE)</f>
        <v>NO CUMPLE</v>
      </c>
      <c r="H142" s="95">
        <f>VLOOKUP(A142,Proponentes[#Data],21,FALSE)</f>
        <v>64231.778085437305</v>
      </c>
      <c r="I142" s="93" t="str">
        <f>VLOOKUP(A142,Proponentes[#Data],27,FALSE)</f>
        <v>CUMPLE</v>
      </c>
      <c r="J142" s="96" t="str">
        <f t="shared" si="4"/>
        <v>NO CUMPLE</v>
      </c>
      <c r="K142" s="98">
        <f>VLOOKUP(A142,Proponentes[#Data],35,FALSE)</f>
        <v>0</v>
      </c>
      <c r="L142" s="102">
        <f>VLOOKUP(A142,Hoja2!$A$2:$F$329,6,FALSE)</f>
        <v>0</v>
      </c>
      <c r="M142" s="97" t="s">
        <v>814</v>
      </c>
      <c r="N142" s="103">
        <f t="shared" si="5"/>
        <v>0</v>
      </c>
    </row>
    <row r="143" spans="1:14" ht="27" customHeight="1" x14ac:dyDescent="0.2">
      <c r="A143" s="89">
        <v>138</v>
      </c>
      <c r="B143" s="90">
        <v>900652473</v>
      </c>
      <c r="C143" s="91" t="s">
        <v>203</v>
      </c>
      <c r="D143" s="92" t="str">
        <f>VLOOKUP(A143,Proponentes[#Data],19,FALSE)</f>
        <v>INDETERMINADO</v>
      </c>
      <c r="E143" s="93" t="s">
        <v>470</v>
      </c>
      <c r="F143" s="94" t="s">
        <v>470</v>
      </c>
      <c r="G143" s="93" t="s">
        <v>470</v>
      </c>
      <c r="H143" s="95" t="s">
        <v>470</v>
      </c>
      <c r="I143" s="93" t="s">
        <v>470</v>
      </c>
      <c r="J143" s="96" t="str">
        <f t="shared" si="4"/>
        <v>NO CUMPLE</v>
      </c>
      <c r="K143" s="98">
        <f>VLOOKUP(A143,Proponentes[#Data],35,FALSE)</f>
        <v>0</v>
      </c>
      <c r="L143" s="102">
        <f>VLOOKUP(A143,Hoja2!$A$2:$F$329,6,FALSE)</f>
        <v>0</v>
      </c>
      <c r="M143" s="97" t="str">
        <f>VLOOKUP(A143,Proponentes[#Data],29,FALSE)</f>
        <v>NO CUMPLE. No allegó dictamen.</v>
      </c>
      <c r="N143" s="103">
        <f t="shared" si="5"/>
        <v>0</v>
      </c>
    </row>
    <row r="144" spans="1:14" ht="27" customHeight="1" x14ac:dyDescent="0.2">
      <c r="A144" s="89">
        <v>139</v>
      </c>
      <c r="B144" s="90">
        <v>900210617</v>
      </c>
      <c r="C144" s="91" t="s">
        <v>205</v>
      </c>
      <c r="D144" s="92">
        <f>VLOOKUP(A144,Proponentes[#Data],19,FALSE)</f>
        <v>3.2803475613239068</v>
      </c>
      <c r="E144" s="93" t="str">
        <f>VLOOKUP(A144,Proponentes[#Data],25,FALSE)</f>
        <v>CUMPLE</v>
      </c>
      <c r="F144" s="94">
        <f>VLOOKUP(A144,Proponentes[#Data],20,FALSE)</f>
        <v>0.30484574616124294</v>
      </c>
      <c r="G144" s="93" t="str">
        <f>VLOOKUP(A144,Proponentes[#Data],26,FALSE)</f>
        <v>CUMPLE</v>
      </c>
      <c r="H144" s="95">
        <f>VLOOKUP(A144,Proponentes[#Data],21,FALSE)</f>
        <v>156.86785788464417</v>
      </c>
      <c r="I144" s="93" t="str">
        <f>VLOOKUP(A144,Proponentes[#Data],27,FALSE)</f>
        <v>CUMPLE</v>
      </c>
      <c r="J144" s="96" t="str">
        <f t="shared" si="4"/>
        <v>CUMPLE</v>
      </c>
      <c r="K144" s="98">
        <f>VLOOKUP(A144,Proponentes[#Data],35,FALSE)</f>
        <v>263.14231315949002</v>
      </c>
      <c r="L144" s="102">
        <f>VLOOKUP(A144,Hoja2!$A$2:$F$329,6,FALSE)</f>
        <v>263.14231315949002</v>
      </c>
      <c r="M144" s="97"/>
      <c r="N144" s="103">
        <f t="shared" si="5"/>
        <v>0</v>
      </c>
    </row>
    <row r="145" spans="1:14" ht="27" customHeight="1" x14ac:dyDescent="0.2">
      <c r="A145" s="89">
        <v>140</v>
      </c>
      <c r="B145" s="90">
        <v>900087966</v>
      </c>
      <c r="C145" s="91" t="s">
        <v>206</v>
      </c>
      <c r="D145" s="92">
        <f>VLOOKUP(A145,Proponentes[#Data],19,FALSE)</f>
        <v>113.75</v>
      </c>
      <c r="E145" s="93" t="str">
        <f>VLOOKUP(A145,Proponentes[#Data],25,FALSE)</f>
        <v>CUMPLE</v>
      </c>
      <c r="F145" s="94">
        <f>VLOOKUP(A145,Proponentes[#Data],20,FALSE)</f>
        <v>8.7912087912087912E-3</v>
      </c>
      <c r="G145" s="93" t="str">
        <f>VLOOKUP(A145,Proponentes[#Data],26,FALSE)</f>
        <v>NO CUMPLE</v>
      </c>
      <c r="H145" s="95">
        <f>VLOOKUP(A145,Proponentes[#Data],21,FALSE)</f>
        <v>1089.2193847238793</v>
      </c>
      <c r="I145" s="93" t="str">
        <f>VLOOKUP(A145,Proponentes[#Data],27,FALSE)</f>
        <v>CUMPLE</v>
      </c>
      <c r="J145" s="96" t="str">
        <f t="shared" si="4"/>
        <v>NO CUMPLE</v>
      </c>
      <c r="K145" s="98">
        <f>VLOOKUP(A145,Proponentes[#Data],35,FALSE)</f>
        <v>0</v>
      </c>
      <c r="L145" s="102">
        <f>VLOOKUP(A145,Hoja2!$A$2:$F$329,6,FALSE)</f>
        <v>0</v>
      </c>
      <c r="M145" s="97" t="s">
        <v>814</v>
      </c>
      <c r="N145" s="103">
        <f t="shared" si="5"/>
        <v>0</v>
      </c>
    </row>
    <row r="146" spans="1:14" ht="27" customHeight="1" x14ac:dyDescent="0.2">
      <c r="A146" s="89">
        <v>141</v>
      </c>
      <c r="B146" s="90">
        <v>800180234</v>
      </c>
      <c r="C146" s="91" t="s">
        <v>207</v>
      </c>
      <c r="D146" s="92">
        <f>VLOOKUP(A146,Proponentes[#Data],19,FALSE)</f>
        <v>12.784407680700156</v>
      </c>
      <c r="E146" s="93" t="str">
        <f>VLOOKUP(A146,Proponentes[#Data],25,FALSE)</f>
        <v>CUMPLE</v>
      </c>
      <c r="F146" s="94">
        <f>VLOOKUP(A146,Proponentes[#Data],20,FALSE)</f>
        <v>0.24246161166508529</v>
      </c>
      <c r="G146" s="93" t="str">
        <f>VLOOKUP(A146,Proponentes[#Data],26,FALSE)</f>
        <v>CUMPLE</v>
      </c>
      <c r="H146" s="95">
        <f>VLOOKUP(A146,Proponentes[#Data],21,FALSE)</f>
        <v>2337.6334776770404</v>
      </c>
      <c r="I146" s="93" t="str">
        <f>VLOOKUP(A146,Proponentes[#Data],27,FALSE)</f>
        <v>CUMPLE</v>
      </c>
      <c r="J146" s="96" t="str">
        <f t="shared" si="4"/>
        <v>CUMPLE</v>
      </c>
      <c r="K146" s="98">
        <f>VLOOKUP(A146,Proponentes[#Data],35,FALSE)</f>
        <v>520.2986796182123</v>
      </c>
      <c r="L146" s="102">
        <f>VLOOKUP(A146,Hoja2!$A$2:$F$329,6,FALSE)</f>
        <v>520.2986796182123</v>
      </c>
      <c r="M146" s="97"/>
      <c r="N146" s="103">
        <f t="shared" si="5"/>
        <v>0</v>
      </c>
    </row>
    <row r="147" spans="1:14" ht="27" customHeight="1" x14ac:dyDescent="0.2">
      <c r="A147" s="89">
        <v>142</v>
      </c>
      <c r="B147" s="90">
        <v>825001524</v>
      </c>
      <c r="C147" s="91" t="s">
        <v>208</v>
      </c>
      <c r="D147" s="92" t="str">
        <f>VLOOKUP(A147,Proponentes[#Data],19,FALSE)</f>
        <v>INDETERMINADO</v>
      </c>
      <c r="E147" s="93" t="str">
        <f>VLOOKUP(A147,Proponentes[#Data],25,FALSE)</f>
        <v>CUMPLE</v>
      </c>
      <c r="F147" s="94">
        <f>VLOOKUP(A147,Proponentes[#Data],20,FALSE)</f>
        <v>0</v>
      </c>
      <c r="G147" s="93" t="str">
        <f>VLOOKUP(A147,Proponentes[#Data],26,FALSE)</f>
        <v>CUMPLE</v>
      </c>
      <c r="H147" s="95">
        <f>VLOOKUP(A147,Proponentes[#Data],21,FALSE)</f>
        <v>227.13511392123809</v>
      </c>
      <c r="I147" s="93" t="str">
        <f>VLOOKUP(A147,Proponentes[#Data],27,FALSE)</f>
        <v>CUMPLE</v>
      </c>
      <c r="J147" s="96" t="str">
        <f t="shared" si="4"/>
        <v>CUMPLE</v>
      </c>
      <c r="K147" s="98">
        <f>VLOOKUP(A147,Proponentes[#Data],35,FALSE)</f>
        <v>0</v>
      </c>
      <c r="L147" s="102">
        <f>VLOOKUP(A147,Hoja2!$A$2:$F$329,6,FALSE)</f>
        <v>0</v>
      </c>
      <c r="M147" s="97"/>
      <c r="N147" s="103">
        <f t="shared" si="5"/>
        <v>0</v>
      </c>
    </row>
    <row r="148" spans="1:14" ht="27" customHeight="1" x14ac:dyDescent="0.2">
      <c r="A148" s="89">
        <v>143</v>
      </c>
      <c r="B148" s="90">
        <v>890310770</v>
      </c>
      <c r="C148" s="91" t="s">
        <v>209</v>
      </c>
      <c r="D148" s="92">
        <f>VLOOKUP(A148,Proponentes[#Data],19,FALSE)</f>
        <v>9.6651422277952186</v>
      </c>
      <c r="E148" s="93" t="str">
        <f>VLOOKUP(A148,Proponentes[#Data],25,FALSE)</f>
        <v>CUMPLE</v>
      </c>
      <c r="F148" s="94">
        <f>VLOOKUP(A148,Proponentes[#Data],20,FALSE)</f>
        <v>8.4092131033001463E-2</v>
      </c>
      <c r="G148" s="93" t="str">
        <f>VLOOKUP(A148,Proponentes[#Data],26,FALSE)</f>
        <v>CUMPLE</v>
      </c>
      <c r="H148" s="95">
        <f>VLOOKUP(A148,Proponentes[#Data],21,FALSE)</f>
        <v>1601.9329852339526</v>
      </c>
      <c r="I148" s="93" t="str">
        <f>VLOOKUP(A148,Proponentes[#Data],27,FALSE)</f>
        <v>CUMPLE</v>
      </c>
      <c r="J148" s="96" t="str">
        <f t="shared" si="4"/>
        <v>CUMPLE</v>
      </c>
      <c r="K148" s="98">
        <f>VLOOKUP(A148,Proponentes[#Data],35,FALSE)</f>
        <v>998.58915284911905</v>
      </c>
      <c r="L148" s="102">
        <f>VLOOKUP(A148,Hoja2!$A$2:$F$329,6,FALSE)</f>
        <v>998.58915284911905</v>
      </c>
      <c r="M148" s="97"/>
      <c r="N148" s="103">
        <f t="shared" si="5"/>
        <v>0</v>
      </c>
    </row>
    <row r="149" spans="1:14" ht="27" customHeight="1" x14ac:dyDescent="0.2">
      <c r="A149" s="89">
        <v>144</v>
      </c>
      <c r="B149" s="90">
        <v>900696442</v>
      </c>
      <c r="C149" s="91" t="s">
        <v>211</v>
      </c>
      <c r="D149" s="92">
        <f>VLOOKUP(A149,Proponentes[#Data],19,FALSE)</f>
        <v>10.109582749895969</v>
      </c>
      <c r="E149" s="93" t="str">
        <f>VLOOKUP(A149,Proponentes[#Data],25,FALSE)</f>
        <v>CUMPLE</v>
      </c>
      <c r="F149" s="94">
        <f>VLOOKUP(A149,Proponentes[#Data],20,FALSE)</f>
        <v>8.9358470335590481E-2</v>
      </c>
      <c r="G149" s="93" t="str">
        <f>VLOOKUP(A149,Proponentes[#Data],26,FALSE)</f>
        <v>CUMPLE</v>
      </c>
      <c r="H149" s="95">
        <f>VLOOKUP(A149,Proponentes[#Data],21,FALSE)</f>
        <v>144.86475807737079</v>
      </c>
      <c r="I149" s="93" t="str">
        <f>VLOOKUP(A149,Proponentes[#Data],27,FALSE)</f>
        <v>CUMPLE</v>
      </c>
      <c r="J149" s="96" t="str">
        <f t="shared" si="4"/>
        <v>CUMPLE</v>
      </c>
      <c r="K149" s="98">
        <f>VLOOKUP(A149,Proponentes[#Data],35,FALSE)</f>
        <v>14.864210148754111</v>
      </c>
      <c r="L149" s="102">
        <f>VLOOKUP(A149,Hoja2!$A$2:$F$329,6,FALSE)</f>
        <v>14.864210148754113</v>
      </c>
      <c r="M149" s="97"/>
      <c r="N149" s="103">
        <f t="shared" si="5"/>
        <v>0</v>
      </c>
    </row>
    <row r="150" spans="1:14" ht="27" customHeight="1" x14ac:dyDescent="0.2">
      <c r="A150" s="89">
        <v>145</v>
      </c>
      <c r="B150" s="90">
        <v>809010580</v>
      </c>
      <c r="C150" s="91" t="s">
        <v>213</v>
      </c>
      <c r="D150" s="92">
        <f>VLOOKUP(A150,Proponentes[#Data],19,FALSE)</f>
        <v>12.058249075180537</v>
      </c>
      <c r="E150" s="93" t="str">
        <f>VLOOKUP(A150,Proponentes[#Data],25,FALSE)</f>
        <v>CUMPLE</v>
      </c>
      <c r="F150" s="94">
        <f>VLOOKUP(A150,Proponentes[#Data],20,FALSE)</f>
        <v>0.36908144694656686</v>
      </c>
      <c r="G150" s="93" t="str">
        <f>VLOOKUP(A150,Proponentes[#Data],26,FALSE)</f>
        <v>CUMPLE</v>
      </c>
      <c r="H150" s="95">
        <f>VLOOKUP(A150,Proponentes[#Data],21,FALSE)</f>
        <v>541.90428031821625</v>
      </c>
      <c r="I150" s="93" t="str">
        <f>VLOOKUP(A150,Proponentes[#Data],27,FALSE)</f>
        <v>CUMPLE</v>
      </c>
      <c r="J150" s="96" t="str">
        <f t="shared" si="4"/>
        <v>CUMPLE</v>
      </c>
      <c r="K150" s="98">
        <f>VLOOKUP(A150,Proponentes[#Data],35,FALSE)</f>
        <v>1293.5334129600326</v>
      </c>
      <c r="L150" s="102">
        <f>VLOOKUP(A150,Hoja2!$A$2:$F$329,6,FALSE)</f>
        <v>1293.5334129600326</v>
      </c>
      <c r="M150" s="97"/>
      <c r="N150" s="103">
        <f t="shared" si="5"/>
        <v>0</v>
      </c>
    </row>
    <row r="151" spans="1:14" ht="27" customHeight="1" x14ac:dyDescent="0.2">
      <c r="A151" s="89">
        <v>146</v>
      </c>
      <c r="B151" s="90">
        <v>900204540</v>
      </c>
      <c r="C151" s="91" t="s">
        <v>214</v>
      </c>
      <c r="D151" s="92">
        <f>VLOOKUP(A151,Proponentes[#Data],19,FALSE)</f>
        <v>2.2859848349955301</v>
      </c>
      <c r="E151" s="93" t="str">
        <f>VLOOKUP(A151,Proponentes[#Data],25,FALSE)</f>
        <v>CUMPLE</v>
      </c>
      <c r="F151" s="94">
        <f>VLOOKUP(A151,Proponentes[#Data],20,FALSE)</f>
        <v>0.20293670411898276</v>
      </c>
      <c r="G151" s="93" t="str">
        <f>VLOOKUP(A151,Proponentes[#Data],26,FALSE)</f>
        <v>CUMPLE</v>
      </c>
      <c r="H151" s="95">
        <f>VLOOKUP(A151,Proponentes[#Data],21,FALSE)</f>
        <v>148.04390206202996</v>
      </c>
      <c r="I151" s="93" t="str">
        <f>VLOOKUP(A151,Proponentes[#Data],27,FALSE)</f>
        <v>CUMPLE</v>
      </c>
      <c r="J151" s="96" t="str">
        <f t="shared" si="4"/>
        <v>CUMPLE</v>
      </c>
      <c r="K151" s="98">
        <f>VLOOKUP(A151,Proponentes[#Data],35,FALSE)</f>
        <v>64.54373381874089</v>
      </c>
      <c r="L151" s="102">
        <f>VLOOKUP(A151,Hoja2!$A$2:$F$329,6,FALSE)</f>
        <v>64.54373381874089</v>
      </c>
      <c r="M151" s="97"/>
      <c r="N151" s="103">
        <f t="shared" si="5"/>
        <v>0</v>
      </c>
    </row>
    <row r="152" spans="1:14" ht="27" customHeight="1" x14ac:dyDescent="0.2">
      <c r="A152" s="89">
        <v>147</v>
      </c>
      <c r="B152" s="90">
        <v>900503974</v>
      </c>
      <c r="C152" s="91" t="s">
        <v>215</v>
      </c>
      <c r="D152" s="92">
        <f>VLOOKUP(A152,Proponentes[#Data],19,FALSE)</f>
        <v>20.526492398102221</v>
      </c>
      <c r="E152" s="93" t="str">
        <f>VLOOKUP(A152,Proponentes[#Data],25,FALSE)</f>
        <v>CUMPLE</v>
      </c>
      <c r="F152" s="94">
        <f>VLOOKUP(A152,Proponentes[#Data],20,FALSE)</f>
        <v>4.5070472913625044E-2</v>
      </c>
      <c r="G152" s="93" t="str">
        <f>VLOOKUP(A152,Proponentes[#Data],26,FALSE)</f>
        <v>CUMPLE</v>
      </c>
      <c r="H152" s="95">
        <f>VLOOKUP(A152,Proponentes[#Data],21,FALSE)</f>
        <v>437.35102449415297</v>
      </c>
      <c r="I152" s="93" t="str">
        <f>VLOOKUP(A152,Proponentes[#Data],27,FALSE)</f>
        <v>CUMPLE</v>
      </c>
      <c r="J152" s="96" t="str">
        <f t="shared" si="4"/>
        <v>CUMPLE</v>
      </c>
      <c r="K152" s="98">
        <f>VLOOKUP(A152,Proponentes[#Data],35,FALSE)</f>
        <v>26.133108112145926</v>
      </c>
      <c r="L152" s="102">
        <f>VLOOKUP(A152,Hoja2!$A$2:$F$329,6,FALSE)</f>
        <v>26.13310811214593</v>
      </c>
      <c r="M152" s="97"/>
      <c r="N152" s="103">
        <f t="shared" si="5"/>
        <v>0</v>
      </c>
    </row>
    <row r="153" spans="1:14" ht="27" customHeight="1" x14ac:dyDescent="0.2">
      <c r="A153" s="89">
        <v>148</v>
      </c>
      <c r="B153" s="90">
        <v>900422366</v>
      </c>
      <c r="C153" s="91" t="s">
        <v>216</v>
      </c>
      <c r="D153" s="92">
        <f>VLOOKUP(A153,Proponentes[#Data],19,FALSE)</f>
        <v>1.9066901786545194</v>
      </c>
      <c r="E153" s="93" t="str">
        <f>VLOOKUP(A153,Proponentes[#Data],25,FALSE)</f>
        <v>CUMPLE</v>
      </c>
      <c r="F153" s="94">
        <f>VLOOKUP(A153,Proponentes[#Data],20,FALSE)</f>
        <v>0.51830180895262379</v>
      </c>
      <c r="G153" s="93" t="str">
        <f>VLOOKUP(A153,Proponentes[#Data],26,FALSE)</f>
        <v>CUMPLE</v>
      </c>
      <c r="H153" s="95">
        <f>VLOOKUP(A153,Proponentes[#Data],21,FALSE)</f>
        <v>128.47528607103354</v>
      </c>
      <c r="I153" s="93" t="str">
        <f>VLOOKUP(A153,Proponentes[#Data],27,FALSE)</f>
        <v>CUMPLE</v>
      </c>
      <c r="J153" s="96" t="str">
        <f t="shared" si="4"/>
        <v>CUMPLE</v>
      </c>
      <c r="K153" s="98">
        <f>VLOOKUP(A153,Proponentes[#Data],35,FALSE)</f>
        <v>1067.1615765348372</v>
      </c>
      <c r="L153" s="102">
        <f>VLOOKUP(A153,Hoja2!$A$2:$F$329,6,FALSE)</f>
        <v>1067.1615765348372</v>
      </c>
      <c r="M153" s="97"/>
      <c r="N153" s="103">
        <f t="shared" si="5"/>
        <v>0</v>
      </c>
    </row>
    <row r="154" spans="1:14" ht="27" customHeight="1" x14ac:dyDescent="0.2">
      <c r="A154" s="89">
        <v>149</v>
      </c>
      <c r="B154" s="90">
        <v>900384924</v>
      </c>
      <c r="C154" s="91" t="s">
        <v>217</v>
      </c>
      <c r="D154" s="92">
        <f>VLOOKUP(A154,Proponentes[#Data],19,FALSE)</f>
        <v>1.4491220171094101</v>
      </c>
      <c r="E154" s="93" t="s">
        <v>470</v>
      </c>
      <c r="F154" s="94" t="s">
        <v>470</v>
      </c>
      <c r="G154" s="93" t="s">
        <v>470</v>
      </c>
      <c r="H154" s="95" t="s">
        <v>470</v>
      </c>
      <c r="I154" s="93" t="s">
        <v>470</v>
      </c>
      <c r="J154" s="96" t="str">
        <f t="shared" si="4"/>
        <v>NO CUMPLE</v>
      </c>
      <c r="K154" s="98">
        <f>VLOOKUP(A154,Proponentes[#Data],35,FALSE)</f>
        <v>57.738173338396827</v>
      </c>
      <c r="L154" s="102">
        <f>VLOOKUP(A154,Hoja2!$A$2:$F$329,6,FALSE)</f>
        <v>57.738173338396834</v>
      </c>
      <c r="M154" s="97" t="str">
        <f>VLOOKUP(A154,Proponentes[#Data],29,FALSE)</f>
        <v xml:space="preserve">NO CUMPLE. El número de Tarjeta profesional registrada en el certificado de los estados financieros no corresponde al número de tarjeta aportada. </v>
      </c>
      <c r="N154" s="103">
        <f t="shared" si="5"/>
        <v>0</v>
      </c>
    </row>
    <row r="155" spans="1:14" ht="27" customHeight="1" x14ac:dyDescent="0.2">
      <c r="A155" s="89">
        <v>150</v>
      </c>
      <c r="B155" s="90">
        <v>807004124</v>
      </c>
      <c r="C155" s="91" t="s">
        <v>218</v>
      </c>
      <c r="D155" s="92">
        <f>VLOOKUP(A155,Proponentes[#Data],19,FALSE)</f>
        <v>1.6419375472432005</v>
      </c>
      <c r="E155" s="93" t="str">
        <f>VLOOKUP(A155,Proponentes[#Data],25,FALSE)</f>
        <v>CUMPLE</v>
      </c>
      <c r="F155" s="94">
        <f>VLOOKUP(A155,Proponentes[#Data],20,FALSE)</f>
        <v>0.55288271849443194</v>
      </c>
      <c r="G155" s="93" t="str">
        <f>VLOOKUP(A155,Proponentes[#Data],26,FALSE)</f>
        <v>CUMPLE</v>
      </c>
      <c r="H155" s="95">
        <f>VLOOKUP(A155,Proponentes[#Data],21,FALSE)</f>
        <v>203.4407764129663</v>
      </c>
      <c r="I155" s="93" t="str">
        <f>VLOOKUP(A155,Proponentes[#Data],27,FALSE)</f>
        <v>CUMPLE</v>
      </c>
      <c r="J155" s="96" t="str">
        <f t="shared" si="4"/>
        <v>CUMPLE</v>
      </c>
      <c r="K155" s="98">
        <f>VLOOKUP(A155,Proponentes[#Data],35,FALSE)</f>
        <v>389.35870969527917</v>
      </c>
      <c r="L155" s="102">
        <f>VLOOKUP(A155,Hoja2!$A$2:$F$329,6,FALSE)</f>
        <v>389.35870969527923</v>
      </c>
      <c r="M155" s="97"/>
      <c r="N155" s="103">
        <f t="shared" si="5"/>
        <v>0</v>
      </c>
    </row>
    <row r="156" spans="1:14" ht="27" customHeight="1" x14ac:dyDescent="0.2">
      <c r="A156" s="89">
        <v>151</v>
      </c>
      <c r="B156" s="90">
        <v>900550203</v>
      </c>
      <c r="C156" s="91" t="s">
        <v>476</v>
      </c>
      <c r="D156" s="92">
        <f>VLOOKUP(A156,Proponentes[#Data],19,FALSE)</f>
        <v>57.290601048810004</v>
      </c>
      <c r="E156" s="93" t="str">
        <f>VLOOKUP(A156,Proponentes[#Data],25,FALSE)</f>
        <v>CUMPLE</v>
      </c>
      <c r="F156" s="94">
        <f>VLOOKUP(A156,Proponentes[#Data],20,FALSE)</f>
        <v>3.8807174834541171E-3</v>
      </c>
      <c r="G156" s="93" t="str">
        <f>VLOOKUP(A156,Proponentes[#Data],26,FALSE)</f>
        <v>CUMPLE</v>
      </c>
      <c r="H156" s="95">
        <f>VLOOKUP(A156,Proponentes[#Data],21,FALSE)</f>
        <v>252.76241492737734</v>
      </c>
      <c r="I156" s="93" t="str">
        <f>VLOOKUP(A156,Proponentes[#Data],27,FALSE)</f>
        <v>CUMPLE</v>
      </c>
      <c r="J156" s="96" t="str">
        <f t="shared" si="4"/>
        <v>CUMPLE</v>
      </c>
      <c r="K156" s="98">
        <f>VLOOKUP(A156,Proponentes[#Data],35,FALSE)</f>
        <v>252.2112023566896</v>
      </c>
      <c r="L156" s="102">
        <f>VLOOKUP(A156,Hoja2!$A$2:$F$329,6,FALSE)</f>
        <v>252.2112023566896</v>
      </c>
      <c r="M156" s="97"/>
      <c r="N156" s="103">
        <f t="shared" si="5"/>
        <v>0</v>
      </c>
    </row>
    <row r="157" spans="1:14" ht="27" customHeight="1" x14ac:dyDescent="0.2">
      <c r="A157" s="89">
        <v>152</v>
      </c>
      <c r="B157" s="90">
        <v>822005122</v>
      </c>
      <c r="C157" s="91" t="s">
        <v>220</v>
      </c>
      <c r="D157" s="92">
        <f>VLOOKUP(A157,Proponentes[#Data],19,FALSE)</f>
        <v>16.677490529819917</v>
      </c>
      <c r="E157" s="93" t="str">
        <f>VLOOKUP(A157,Proponentes[#Data],25,FALSE)</f>
        <v>CUMPLE</v>
      </c>
      <c r="F157" s="94">
        <f>VLOOKUP(A157,Proponentes[#Data],20,FALSE)</f>
        <v>5.9961059381923573E-2</v>
      </c>
      <c r="G157" s="93" t="str">
        <f>VLOOKUP(A157,Proponentes[#Data],26,FALSE)</f>
        <v>CUMPLE</v>
      </c>
      <c r="H157" s="95">
        <f>VLOOKUP(A157,Proponentes[#Data],21,FALSE)</f>
        <v>4668.6037547879769</v>
      </c>
      <c r="I157" s="93" t="str">
        <f>VLOOKUP(A157,Proponentes[#Data],27,FALSE)</f>
        <v>CUMPLE</v>
      </c>
      <c r="J157" s="96" t="str">
        <f t="shared" si="4"/>
        <v>CUMPLE</v>
      </c>
      <c r="K157" s="98">
        <f>VLOOKUP(A157,Proponentes[#Data],35,FALSE)</f>
        <v>580.27050709801858</v>
      </c>
      <c r="L157" s="102">
        <f>VLOOKUP(A157,Hoja2!$A$2:$F$329,6,FALSE)</f>
        <v>580.27050709801858</v>
      </c>
      <c r="M157" s="97"/>
      <c r="N157" s="103">
        <f t="shared" si="5"/>
        <v>0</v>
      </c>
    </row>
    <row r="158" spans="1:14" ht="27" customHeight="1" x14ac:dyDescent="0.2">
      <c r="A158" s="89">
        <v>153</v>
      </c>
      <c r="B158" s="90" t="s">
        <v>221</v>
      </c>
      <c r="C158" s="91" t="s">
        <v>222</v>
      </c>
      <c r="D158" s="92" t="str">
        <f>VLOOKUP(A158,Proponentes[#Data],19,FALSE)</f>
        <v>INDETERMINADO</v>
      </c>
      <c r="E158" s="96" t="s">
        <v>815</v>
      </c>
      <c r="F158" s="94">
        <f>VLOOKUP(A158,Proponentes[#Data],20,FALSE)</f>
        <v>0</v>
      </c>
      <c r="G158" s="96" t="s">
        <v>815</v>
      </c>
      <c r="H158" s="95">
        <f>VLOOKUP(A158,Proponentes[#Data],21,FALSE)</f>
        <v>0</v>
      </c>
      <c r="I158" s="96" t="s">
        <v>815</v>
      </c>
      <c r="J158" s="96" t="s">
        <v>815</v>
      </c>
      <c r="K158" s="98">
        <f>VLOOKUP(A158,Proponentes[#Data],35,FALSE)</f>
        <v>0</v>
      </c>
      <c r="L158" s="102">
        <f>VLOOKUP(A158,Hoja2!$A$2:$F$329,6,FALSE)</f>
        <v>0</v>
      </c>
      <c r="M158" s="97" t="str">
        <f>VLOOKUP(A158,Proponentes[#Data],29,FALSE)</f>
        <v>El oferente no es objeto de verificación ya que en la invitación no se incluyeron ni consorcios ni uniones temporales</v>
      </c>
      <c r="N158" s="103">
        <f t="shared" si="5"/>
        <v>0</v>
      </c>
    </row>
    <row r="159" spans="1:14" ht="27" customHeight="1" x14ac:dyDescent="0.2">
      <c r="A159" s="89">
        <v>154</v>
      </c>
      <c r="B159" s="90">
        <v>900018453</v>
      </c>
      <c r="C159" s="91" t="s">
        <v>224</v>
      </c>
      <c r="D159" s="92" t="str">
        <f>VLOOKUP(A159,Proponentes[#Data],19,FALSE)</f>
        <v>INDETERMINADO</v>
      </c>
      <c r="E159" s="93" t="str">
        <f>VLOOKUP(A159,Proponentes[#Data],25,FALSE)</f>
        <v>NO CUMPLE</v>
      </c>
      <c r="F159" s="94">
        <f>VLOOKUP(A159,Proponentes[#Data],20,FALSE)</f>
        <v>0</v>
      </c>
      <c r="G159" s="93" t="str">
        <f>VLOOKUP(A159,Proponentes[#Data],26,FALSE)</f>
        <v>NO CUMPLE</v>
      </c>
      <c r="H159" s="95">
        <f>VLOOKUP(A159,Proponentes[#Data],21,FALSE)</f>
        <v>0</v>
      </c>
      <c r="I159" s="93" t="str">
        <f>VLOOKUP(A159,Proponentes[#Data],27,FALSE)</f>
        <v>NO CUMPLE</v>
      </c>
      <c r="J159" s="96" t="str">
        <f t="shared" si="4"/>
        <v>NO CUMPLE</v>
      </c>
      <c r="K159" s="98">
        <f>VLOOKUP(A159,Proponentes[#Data],35,FALSE)</f>
        <v>500</v>
      </c>
      <c r="L159" s="102">
        <f>VLOOKUP(A159,Hoja2!$A$2:$F$329,6,FALSE)</f>
        <v>663.00753821887099</v>
      </c>
      <c r="M159" s="97" t="s">
        <v>816</v>
      </c>
      <c r="N159" s="103">
        <f t="shared" si="5"/>
        <v>-163.00753821887099</v>
      </c>
    </row>
    <row r="160" spans="1:14" ht="27" customHeight="1" x14ac:dyDescent="0.2">
      <c r="A160" s="89">
        <v>155</v>
      </c>
      <c r="B160" s="90">
        <v>824002390</v>
      </c>
      <c r="C160" s="91" t="s">
        <v>226</v>
      </c>
      <c r="D160" s="92">
        <f>VLOOKUP(A160,Proponentes[#Data],19,FALSE)</f>
        <v>3.5934291082654033</v>
      </c>
      <c r="E160" s="93" t="str">
        <f>VLOOKUP(A160,Proponentes[#Data],25,FALSE)</f>
        <v>CUMPLE</v>
      </c>
      <c r="F160" s="94">
        <f>VLOOKUP(A160,Proponentes[#Data],20,FALSE)</f>
        <v>0.19859702685312619</v>
      </c>
      <c r="G160" s="93" t="str">
        <f>VLOOKUP(A160,Proponentes[#Data],26,FALSE)</f>
        <v>CUMPLE</v>
      </c>
      <c r="H160" s="95">
        <f>VLOOKUP(A160,Proponentes[#Data],21,FALSE)</f>
        <v>523.91574731076321</v>
      </c>
      <c r="I160" s="93" t="str">
        <f>VLOOKUP(A160,Proponentes[#Data],27,FALSE)</f>
        <v>CUMPLE</v>
      </c>
      <c r="J160" s="96" t="str">
        <f t="shared" si="4"/>
        <v>CUMPLE</v>
      </c>
      <c r="K160" s="98">
        <f>VLOOKUP(A160,Proponentes[#Data],35,FALSE)</f>
        <v>1212.8462523298979</v>
      </c>
      <c r="L160" s="102">
        <f>VLOOKUP(A160,Hoja2!$A$2:$F$329,6,FALSE)</f>
        <v>1212.8462523298979</v>
      </c>
      <c r="M160" s="97"/>
      <c r="N160" s="103">
        <f t="shared" si="5"/>
        <v>0</v>
      </c>
    </row>
    <row r="161" spans="1:14" ht="27" customHeight="1" x14ac:dyDescent="0.2">
      <c r="A161" s="89">
        <v>156</v>
      </c>
      <c r="B161" s="90">
        <v>900916466</v>
      </c>
      <c r="C161" s="91" t="s">
        <v>227</v>
      </c>
      <c r="D161" s="92" t="str">
        <f>VLOOKUP(A161,Proponentes[#Data],19,FALSE)</f>
        <v>INDETERMINADO</v>
      </c>
      <c r="E161" s="93" t="s">
        <v>470</v>
      </c>
      <c r="F161" s="94" t="s">
        <v>470</v>
      </c>
      <c r="G161" s="93" t="s">
        <v>470</v>
      </c>
      <c r="H161" s="95" t="s">
        <v>470</v>
      </c>
      <c r="I161" s="93" t="s">
        <v>470</v>
      </c>
      <c r="J161" s="96" t="str">
        <f t="shared" si="4"/>
        <v>NO CUMPLE</v>
      </c>
      <c r="K161" s="98">
        <f>VLOOKUP(A161,Proponentes[#Data],35,FALSE)</f>
        <v>22.360884313885336</v>
      </c>
      <c r="L161" s="102">
        <f>VLOOKUP(A161,Hoja2!$A$2:$F$329,6,FALSE)</f>
        <v>22.360884313885332</v>
      </c>
      <c r="M161" s="97" t="str">
        <f>VLOOKUP(A161,Proponentes[#Data],29,FALSE)</f>
        <v>NO CUMPLE. El Oferente no aportó:
1. Acta de asamblea
2. Certificado de los estados financieros firmados por el Contador que preparó los estados financieros.
Adicional:
- Los estados financieros estan firmados por el Contador y Revisor Fiscal, con salvedad, sin embargo en el Dictamen no se hace referencia a la Salvedad.</v>
      </c>
      <c r="N161" s="103">
        <f t="shared" si="5"/>
        <v>0</v>
      </c>
    </row>
    <row r="162" spans="1:14" ht="27" customHeight="1" x14ac:dyDescent="0.2">
      <c r="A162" s="89">
        <v>157</v>
      </c>
      <c r="B162" s="90">
        <v>811026258</v>
      </c>
      <c r="C162" s="91" t="s">
        <v>229</v>
      </c>
      <c r="D162" s="92">
        <f>VLOOKUP(A162,Proponentes[#Data],19,FALSE)</f>
        <v>1.4185354894106508</v>
      </c>
      <c r="E162" s="93" t="str">
        <f>VLOOKUP(A162,Proponentes[#Data],25,FALSE)</f>
        <v>CUMPLE</v>
      </c>
      <c r="F162" s="94">
        <f>VLOOKUP(A162,Proponentes[#Data],20,FALSE)</f>
        <v>0.63227887743642119</v>
      </c>
      <c r="G162" s="93" t="str">
        <f>VLOOKUP(A162,Proponentes[#Data],26,FALSE)</f>
        <v>CUMPLE</v>
      </c>
      <c r="H162" s="95">
        <f>VLOOKUP(A162,Proponentes[#Data],21,FALSE)</f>
        <v>930.10716976848653</v>
      </c>
      <c r="I162" s="93" t="str">
        <f>VLOOKUP(A162,Proponentes[#Data],27,FALSE)</f>
        <v>CUMPLE</v>
      </c>
      <c r="J162" s="96" t="str">
        <f t="shared" si="4"/>
        <v>CUMPLE</v>
      </c>
      <c r="K162" s="98">
        <f>VLOOKUP(A162,Proponentes[#Data],35,FALSE)</f>
        <v>453.84979245139618</v>
      </c>
      <c r="L162" s="102">
        <f>VLOOKUP(A162,Hoja2!$A$2:$F$329,6,FALSE)</f>
        <v>453.84979245139618</v>
      </c>
      <c r="M162" s="97"/>
      <c r="N162" s="103">
        <f t="shared" si="5"/>
        <v>0</v>
      </c>
    </row>
    <row r="163" spans="1:14" ht="27" customHeight="1" x14ac:dyDescent="0.2">
      <c r="A163" s="89">
        <v>158</v>
      </c>
      <c r="B163" s="90">
        <v>900043314</v>
      </c>
      <c r="C163" s="91" t="s">
        <v>230</v>
      </c>
      <c r="D163" s="92">
        <f>VLOOKUP(A163,Proponentes[#Data],19,FALSE)</f>
        <v>7.0752402270153576</v>
      </c>
      <c r="E163" s="93" t="str">
        <f>VLOOKUP(A163,Proponentes[#Data],25,FALSE)</f>
        <v>CUMPLE</v>
      </c>
      <c r="F163" s="94">
        <f>VLOOKUP(A163,Proponentes[#Data],20,FALSE)</f>
        <v>5.6960705061442782E-2</v>
      </c>
      <c r="G163" s="93" t="str">
        <f>VLOOKUP(A163,Proponentes[#Data],26,FALSE)</f>
        <v>NO CUMPLE</v>
      </c>
      <c r="H163" s="95">
        <f>VLOOKUP(A163,Proponentes[#Data],21,FALSE)</f>
        <v>4.4311642330301551</v>
      </c>
      <c r="I163" s="93" t="str">
        <f>VLOOKUP(A163,Proponentes[#Data],27,FALSE)</f>
        <v>NO CUMPLE</v>
      </c>
      <c r="J163" s="96" t="str">
        <f t="shared" si="4"/>
        <v>NO CUMPLE</v>
      </c>
      <c r="K163" s="98">
        <f>VLOOKUP(A163,Proponentes[#Data],35,FALSE)</f>
        <v>0</v>
      </c>
      <c r="L163" s="102">
        <f>VLOOKUP(A163,Hoja2!$A$2:$F$329,6,FALSE)</f>
        <v>0</v>
      </c>
      <c r="M163" s="97" t="s">
        <v>814</v>
      </c>
      <c r="N163" s="103">
        <f t="shared" si="5"/>
        <v>0</v>
      </c>
    </row>
    <row r="164" spans="1:14" ht="27" customHeight="1" x14ac:dyDescent="0.2">
      <c r="A164" s="89">
        <v>159</v>
      </c>
      <c r="B164" s="90">
        <v>822002132</v>
      </c>
      <c r="C164" s="91" t="s">
        <v>231</v>
      </c>
      <c r="D164" s="92">
        <f>VLOOKUP(A164,Proponentes[#Data],19,FALSE)</f>
        <v>99.093952546024099</v>
      </c>
      <c r="E164" s="93" t="str">
        <f>VLOOKUP(A164,Proponentes[#Data],25,FALSE)</f>
        <v>CUMPLE</v>
      </c>
      <c r="F164" s="94">
        <f>VLOOKUP(A164,Proponentes[#Data],20,FALSE)</f>
        <v>8.6496387258865361E-3</v>
      </c>
      <c r="G164" s="93" t="str">
        <f>VLOOKUP(A164,Proponentes[#Data],26,FALSE)</f>
        <v>CUMPLE</v>
      </c>
      <c r="H164" s="95">
        <f>VLOOKUP(A164,Proponentes[#Data],21,FALSE)</f>
        <v>604.41859473793522</v>
      </c>
      <c r="I164" s="93" t="str">
        <f>VLOOKUP(A164,Proponentes[#Data],27,FALSE)</f>
        <v>CUMPLE</v>
      </c>
      <c r="J164" s="96" t="str">
        <f t="shared" si="4"/>
        <v>CUMPLE</v>
      </c>
      <c r="K164" s="98">
        <f>VLOOKUP(A164,Proponentes[#Data],35,FALSE)</f>
        <v>1851.4264636502328</v>
      </c>
      <c r="L164" s="102">
        <f>VLOOKUP(A164,Hoja2!$A$2:$F$329,6,FALSE)</f>
        <v>1851.4264636502328</v>
      </c>
      <c r="M164" s="97"/>
      <c r="N164" s="103">
        <f t="shared" si="5"/>
        <v>0</v>
      </c>
    </row>
    <row r="165" spans="1:14" ht="27" customHeight="1" x14ac:dyDescent="0.2">
      <c r="A165" s="89">
        <v>160</v>
      </c>
      <c r="B165" s="90">
        <v>891680186</v>
      </c>
      <c r="C165" s="91" t="s">
        <v>232</v>
      </c>
      <c r="D165" s="92">
        <f>VLOOKUP(A165,Proponentes[#Data],19,FALSE)</f>
        <v>3.2580820527781342</v>
      </c>
      <c r="E165" s="93" t="str">
        <f>VLOOKUP(A165,Proponentes[#Data],25,FALSE)</f>
        <v>CUMPLE</v>
      </c>
      <c r="F165" s="94">
        <f>VLOOKUP(A165,Proponentes[#Data],20,FALSE)</f>
        <v>9.144050549672901E-2</v>
      </c>
      <c r="G165" s="93" t="str">
        <f>VLOOKUP(A165,Proponentes[#Data],26,FALSE)</f>
        <v>CUMPLE</v>
      </c>
      <c r="H165" s="95">
        <f>VLOOKUP(A165,Proponentes[#Data],21,FALSE)</f>
        <v>2305.5126093445847</v>
      </c>
      <c r="I165" s="93" t="str">
        <f>VLOOKUP(A165,Proponentes[#Data],27,FALSE)</f>
        <v>CUMPLE</v>
      </c>
      <c r="J165" s="96" t="str">
        <f t="shared" si="4"/>
        <v>CUMPLE</v>
      </c>
      <c r="K165" s="98">
        <f>VLOOKUP(A165,Proponentes[#Data],35,FALSE)</f>
        <v>325.25004168116266</v>
      </c>
      <c r="L165" s="102">
        <f>VLOOKUP(A165,Hoja2!$A$2:$F$329,6,FALSE)</f>
        <v>325.25004168116271</v>
      </c>
      <c r="M165" s="97"/>
      <c r="N165" s="103">
        <f t="shared" si="5"/>
        <v>0</v>
      </c>
    </row>
    <row r="166" spans="1:14" ht="27" customHeight="1" x14ac:dyDescent="0.2">
      <c r="A166" s="89">
        <v>161</v>
      </c>
      <c r="B166" s="90">
        <v>825001808</v>
      </c>
      <c r="C166" s="91" t="s">
        <v>234</v>
      </c>
      <c r="D166" s="92">
        <f>VLOOKUP(A166,Proponentes[#Data],19,FALSE)</f>
        <v>75.074746817423843</v>
      </c>
      <c r="E166" s="93" t="str">
        <f>VLOOKUP(A166,Proponentes[#Data],25,FALSE)</f>
        <v>CUMPLE</v>
      </c>
      <c r="F166" s="94">
        <f>VLOOKUP(A166,Proponentes[#Data],20,FALSE)</f>
        <v>7.4834493323273016E-3</v>
      </c>
      <c r="G166" s="93" t="str">
        <f>VLOOKUP(A166,Proponentes[#Data],26,FALSE)</f>
        <v>NO CUMPLE</v>
      </c>
      <c r="H166" s="95">
        <f>VLOOKUP(A166,Proponentes[#Data],21,FALSE)</f>
        <v>219.93003395659545</v>
      </c>
      <c r="I166" s="93" t="str">
        <f>VLOOKUP(A166,Proponentes[#Data],27,FALSE)</f>
        <v>CUMPLE</v>
      </c>
      <c r="J166" s="96" t="str">
        <f t="shared" si="4"/>
        <v>NO CUMPLE</v>
      </c>
      <c r="K166" s="98">
        <f>VLOOKUP(A166,Proponentes[#Data],35,FALSE)</f>
        <v>0</v>
      </c>
      <c r="L166" s="102">
        <f>VLOOKUP(A166,Hoja2!$A$2:$F$329,6,FALSE)</f>
        <v>0</v>
      </c>
      <c r="M166" s="97" t="s">
        <v>814</v>
      </c>
      <c r="N166" s="103">
        <f t="shared" si="5"/>
        <v>0</v>
      </c>
    </row>
    <row r="167" spans="1:14" ht="27" customHeight="1" x14ac:dyDescent="0.2">
      <c r="A167" s="89">
        <v>162</v>
      </c>
      <c r="B167" s="90">
        <v>807000358</v>
      </c>
      <c r="C167" s="91" t="s">
        <v>235</v>
      </c>
      <c r="D167" s="92">
        <f>VLOOKUP(A167,Proponentes[#Data],19,FALSE)</f>
        <v>11.167958911995395</v>
      </c>
      <c r="E167" s="93" t="str">
        <f>VLOOKUP(A167,Proponentes[#Data],25,FALSE)</f>
        <v>CUMPLE</v>
      </c>
      <c r="F167" s="94">
        <f>VLOOKUP(A167,Proponentes[#Data],20,FALSE)</f>
        <v>0.27061372608191381</v>
      </c>
      <c r="G167" s="93" t="str">
        <f>VLOOKUP(A167,Proponentes[#Data],26,FALSE)</f>
        <v>CUMPLE</v>
      </c>
      <c r="H167" s="95">
        <f>VLOOKUP(A167,Proponentes[#Data],21,FALSE)</f>
        <v>1365.0660052456419</v>
      </c>
      <c r="I167" s="93" t="str">
        <f>VLOOKUP(A167,Proponentes[#Data],27,FALSE)</f>
        <v>CUMPLE</v>
      </c>
      <c r="J167" s="96" t="str">
        <f t="shared" si="4"/>
        <v>CUMPLE</v>
      </c>
      <c r="K167" s="98">
        <f>VLOOKUP(A167,Proponentes[#Data],35,FALSE)</f>
        <v>7902.2827318893433</v>
      </c>
      <c r="L167" s="102">
        <f>VLOOKUP(A167,Hoja2!$A$2:$F$329,6,FALSE)</f>
        <v>7902.2827318893433</v>
      </c>
      <c r="M167" s="97"/>
      <c r="N167" s="103">
        <f t="shared" si="5"/>
        <v>0</v>
      </c>
    </row>
    <row r="168" spans="1:14" ht="27" customHeight="1" x14ac:dyDescent="0.2">
      <c r="A168" s="89">
        <v>163</v>
      </c>
      <c r="B168" s="90" t="s">
        <v>221</v>
      </c>
      <c r="C168" s="91" t="s">
        <v>236</v>
      </c>
      <c r="D168" s="92">
        <f>VLOOKUP(A168,Proponentes[#Data],19,FALSE)</f>
        <v>14.612737576374746</v>
      </c>
      <c r="E168" s="96" t="s">
        <v>815</v>
      </c>
      <c r="F168" s="94" t="s">
        <v>470</v>
      </c>
      <c r="G168" s="96" t="s">
        <v>815</v>
      </c>
      <c r="H168" s="95" t="s">
        <v>470</v>
      </c>
      <c r="I168" s="96" t="s">
        <v>815</v>
      </c>
      <c r="J168" s="96" t="s">
        <v>815</v>
      </c>
      <c r="K168" s="98">
        <f>VLOOKUP(A168,Proponentes[#Data],35,FALSE)</f>
        <v>0</v>
      </c>
      <c r="L168" s="102">
        <f>VLOOKUP(A168,Hoja2!$A$2:$F$329,6,FALSE)</f>
        <v>0</v>
      </c>
      <c r="M168" s="97" t="s">
        <v>801</v>
      </c>
      <c r="N168" s="103">
        <f t="shared" si="5"/>
        <v>0</v>
      </c>
    </row>
    <row r="169" spans="1:14" ht="27" customHeight="1" x14ac:dyDescent="0.2">
      <c r="A169" s="89">
        <v>164</v>
      </c>
      <c r="B169" s="90">
        <v>900126291</v>
      </c>
      <c r="C169" s="91" t="s">
        <v>238</v>
      </c>
      <c r="D169" s="92">
        <f>VLOOKUP(A169,Proponentes[#Data],19,FALSE)</f>
        <v>10.757932887553624</v>
      </c>
      <c r="E169" s="93" t="str">
        <f>VLOOKUP(A169,Proponentes[#Data],25,FALSE)</f>
        <v>CUMPLE</v>
      </c>
      <c r="F169" s="94">
        <f>VLOOKUP(A169,Proponentes[#Data],20,FALSE)</f>
        <v>0.38248422417961397</v>
      </c>
      <c r="G169" s="93" t="str">
        <f>VLOOKUP(A169,Proponentes[#Data],26,FALSE)</f>
        <v>NO CUMPLE</v>
      </c>
      <c r="H169" s="95">
        <f>VLOOKUP(A169,Proponentes[#Data],21,FALSE)</f>
        <v>7054.9043733003591</v>
      </c>
      <c r="I169" s="93" t="str">
        <f>VLOOKUP(A169,Proponentes[#Data],27,FALSE)</f>
        <v>CUMPLE</v>
      </c>
      <c r="J169" s="96" t="str">
        <f t="shared" si="4"/>
        <v>NO CUMPLE</v>
      </c>
      <c r="K169" s="98">
        <f>VLOOKUP(A169,Proponentes[#Data],35,FALSE)</f>
        <v>0</v>
      </c>
      <c r="L169" s="102">
        <f>VLOOKUP(A169,Hoja2!$A$2:$F$329,6,FALSE)</f>
        <v>0</v>
      </c>
      <c r="M169" s="97" t="s">
        <v>814</v>
      </c>
      <c r="N169" s="103">
        <f t="shared" si="5"/>
        <v>0</v>
      </c>
    </row>
    <row r="170" spans="1:14" ht="27" customHeight="1" x14ac:dyDescent="0.2">
      <c r="A170" s="89">
        <v>165</v>
      </c>
      <c r="B170" s="90">
        <v>890500516</v>
      </c>
      <c r="C170" s="91" t="s">
        <v>239</v>
      </c>
      <c r="D170" s="92">
        <f>VLOOKUP(A170,Proponentes[#Data],19,FALSE)</f>
        <v>2.001331024748596</v>
      </c>
      <c r="E170" s="93" t="str">
        <f>VLOOKUP(A170,Proponentes[#Data],25,FALSE)</f>
        <v>CUMPLE</v>
      </c>
      <c r="F170" s="94">
        <f>VLOOKUP(A170,Proponentes[#Data],20,FALSE)</f>
        <v>0.34492193867935483</v>
      </c>
      <c r="G170" s="93" t="str">
        <f>VLOOKUP(A170,Proponentes[#Data],26,FALSE)</f>
        <v>CUMPLE</v>
      </c>
      <c r="H170" s="95">
        <f>VLOOKUP(A170,Proponentes[#Data],21,FALSE)</f>
        <v>13437.589278555179</v>
      </c>
      <c r="I170" s="93" t="str">
        <f>VLOOKUP(A170,Proponentes[#Data],27,FALSE)</f>
        <v>CUMPLE</v>
      </c>
      <c r="J170" s="96" t="str">
        <f t="shared" si="4"/>
        <v>CUMPLE</v>
      </c>
      <c r="K170" s="98">
        <f>VLOOKUP(A170,Proponentes[#Data],35,FALSE)</f>
        <v>1190.6182180971837</v>
      </c>
      <c r="L170" s="102">
        <f>VLOOKUP(A170,Hoja2!$A$2:$F$329,6,FALSE)</f>
        <v>1190.6182180971837</v>
      </c>
      <c r="M170" s="97"/>
      <c r="N170" s="103">
        <f t="shared" si="5"/>
        <v>0</v>
      </c>
    </row>
    <row r="171" spans="1:14" ht="27" customHeight="1" x14ac:dyDescent="0.2">
      <c r="A171" s="89">
        <v>166</v>
      </c>
      <c r="B171" s="90">
        <v>819004113</v>
      </c>
      <c r="C171" s="91" t="s">
        <v>240</v>
      </c>
      <c r="D171" s="92">
        <f>VLOOKUP(A171,Proponentes[#Data],19,FALSE)</f>
        <v>56.057692307692307</v>
      </c>
      <c r="E171" s="93" t="str">
        <f>VLOOKUP(A171,Proponentes[#Data],25,FALSE)</f>
        <v>CUMPLE</v>
      </c>
      <c r="F171" s="94">
        <f>VLOOKUP(A171,Proponentes[#Data],20,FALSE)</f>
        <v>1.600985221674877E-2</v>
      </c>
      <c r="G171" s="93" t="str">
        <f>VLOOKUP(A171,Proponentes[#Data],26,FALSE)</f>
        <v>NO CUMPLE</v>
      </c>
      <c r="H171" s="95">
        <f>VLOOKUP(A171,Proponentes[#Data],21,FALSE)</f>
        <v>345.72451202488543</v>
      </c>
      <c r="I171" s="93" t="str">
        <f>VLOOKUP(A171,Proponentes[#Data],27,FALSE)</f>
        <v>CUMPLE</v>
      </c>
      <c r="J171" s="96" t="str">
        <f t="shared" si="4"/>
        <v>NO CUMPLE</v>
      </c>
      <c r="K171" s="98">
        <f>VLOOKUP(A171,Proponentes[#Data],35,FALSE)</f>
        <v>0</v>
      </c>
      <c r="L171" s="102">
        <f>VLOOKUP(A171,Hoja2!$A$2:$F$329,6,FALSE)</f>
        <v>0</v>
      </c>
      <c r="M171" s="97" t="s">
        <v>814</v>
      </c>
      <c r="N171" s="103">
        <f t="shared" si="5"/>
        <v>0</v>
      </c>
    </row>
    <row r="172" spans="1:14" ht="27" customHeight="1" x14ac:dyDescent="0.2">
      <c r="A172" s="89">
        <v>167</v>
      </c>
      <c r="B172" s="90">
        <v>900655545</v>
      </c>
      <c r="C172" s="91" t="s">
        <v>241</v>
      </c>
      <c r="D172" s="92">
        <f>VLOOKUP(A172,Proponentes[#Data],19,FALSE)</f>
        <v>447.83852112676055</v>
      </c>
      <c r="E172" s="93" t="str">
        <f>VLOOKUP(A172,Proponentes[#Data],25,FALSE)</f>
        <v>CUMPLE</v>
      </c>
      <c r="F172" s="94">
        <f>VLOOKUP(A172,Proponentes[#Data],20,FALSE)</f>
        <v>9.3425312088241922E-4</v>
      </c>
      <c r="G172" s="93" t="str">
        <f>VLOOKUP(A172,Proponentes[#Data],26,FALSE)</f>
        <v>NO CUMPLE</v>
      </c>
      <c r="H172" s="95">
        <f>VLOOKUP(A172,Proponentes[#Data],21,FALSE)</f>
        <v>38.310496355583034</v>
      </c>
      <c r="I172" s="93" t="str">
        <f>VLOOKUP(A172,Proponentes[#Data],27,FALSE)</f>
        <v>CUMPLE</v>
      </c>
      <c r="J172" s="96" t="str">
        <f t="shared" si="4"/>
        <v>NO CUMPLE</v>
      </c>
      <c r="K172" s="98">
        <f>VLOOKUP(A172,Proponentes[#Data],35,FALSE)</f>
        <v>0</v>
      </c>
      <c r="L172" s="102">
        <f>VLOOKUP(A172,Hoja2!$A$2:$F$329,6,FALSE)</f>
        <v>0</v>
      </c>
      <c r="M172" s="97" t="s">
        <v>814</v>
      </c>
      <c r="N172" s="103">
        <f t="shared" si="5"/>
        <v>0</v>
      </c>
    </row>
    <row r="173" spans="1:14" ht="27" customHeight="1" x14ac:dyDescent="0.2">
      <c r="A173" s="89">
        <v>168</v>
      </c>
      <c r="B173" s="90">
        <v>830510399</v>
      </c>
      <c r="C173" s="91" t="s">
        <v>242</v>
      </c>
      <c r="D173" s="92">
        <f>VLOOKUP(A173,Proponentes[#Data],19,FALSE)</f>
        <v>15.364500909090909</v>
      </c>
      <c r="E173" s="93" t="str">
        <f>VLOOKUP(A173,Proponentes[#Data],25,FALSE)</f>
        <v>CUMPLE</v>
      </c>
      <c r="F173" s="94">
        <f>VLOOKUP(A173,Proponentes[#Data],20,FALSE)</f>
        <v>5.168551734590395E-3</v>
      </c>
      <c r="G173" s="93" t="str">
        <f>VLOOKUP(A173,Proponentes[#Data],26,FALSE)</f>
        <v>NO CUMPLE</v>
      </c>
      <c r="H173" s="95">
        <f>VLOOKUP(A173,Proponentes[#Data],21,FALSE)</f>
        <v>19.080601026909275</v>
      </c>
      <c r="I173" s="93" t="str">
        <f>VLOOKUP(A173,Proponentes[#Data],27,FALSE)</f>
        <v>CUMPLE</v>
      </c>
      <c r="J173" s="96" t="str">
        <f t="shared" si="4"/>
        <v>NO CUMPLE</v>
      </c>
      <c r="K173" s="98">
        <f>VLOOKUP(A173,Proponentes[#Data],35,FALSE)</f>
        <v>0</v>
      </c>
      <c r="L173" s="102">
        <f>VLOOKUP(A173,Hoja2!$A$2:$F$329,6,FALSE)</f>
        <v>0</v>
      </c>
      <c r="M173" s="97" t="s">
        <v>814</v>
      </c>
      <c r="N173" s="103">
        <f t="shared" si="5"/>
        <v>0</v>
      </c>
    </row>
    <row r="174" spans="1:14" ht="27" customHeight="1" x14ac:dyDescent="0.2">
      <c r="A174" s="89">
        <v>169</v>
      </c>
      <c r="B174" s="90">
        <v>900656694</v>
      </c>
      <c r="C174" s="91" t="s">
        <v>243</v>
      </c>
      <c r="D174" s="92">
        <f>VLOOKUP(A174,Proponentes[#Data],19,FALSE)</f>
        <v>1.0377283561498181</v>
      </c>
      <c r="E174" s="93" t="str">
        <f>VLOOKUP(A174,Proponentes[#Data],25,FALSE)</f>
        <v>CUMPLE</v>
      </c>
      <c r="F174" s="94">
        <f>VLOOKUP(A174,Proponentes[#Data],20,FALSE)</f>
        <v>0.65029688838281541</v>
      </c>
      <c r="G174" s="93" t="str">
        <f>VLOOKUP(A174,Proponentes[#Data],26,FALSE)</f>
        <v>NO CUMPLE</v>
      </c>
      <c r="H174" s="95">
        <f>VLOOKUP(A174,Proponentes[#Data],21,FALSE)</f>
        <v>5.6859014920614985</v>
      </c>
      <c r="I174" s="93" t="str">
        <f>VLOOKUP(A174,Proponentes[#Data],27,FALSE)</f>
        <v>NO CUMPLE</v>
      </c>
      <c r="J174" s="96" t="str">
        <f t="shared" si="4"/>
        <v>NO CUMPLE</v>
      </c>
      <c r="K174" s="98">
        <f>VLOOKUP(A174,Proponentes[#Data],35,FALSE)</f>
        <v>0</v>
      </c>
      <c r="L174" s="102">
        <f>VLOOKUP(A174,Hoja2!$A$2:$F$329,6,FALSE)</f>
        <v>0</v>
      </c>
      <c r="M174" s="97" t="s">
        <v>814</v>
      </c>
      <c r="N174" s="103">
        <f t="shared" si="5"/>
        <v>0</v>
      </c>
    </row>
    <row r="175" spans="1:14" ht="27" customHeight="1" x14ac:dyDescent="0.2">
      <c r="A175" s="89">
        <v>170</v>
      </c>
      <c r="B175" s="90">
        <v>900020330</v>
      </c>
      <c r="C175" s="91" t="s">
        <v>244</v>
      </c>
      <c r="D175" s="92">
        <f>VLOOKUP(A175,Proponentes[#Data],19,FALSE)</f>
        <v>16.685180588703261</v>
      </c>
      <c r="E175" s="93" t="str">
        <f>VLOOKUP(A175,Proponentes[#Data],25,FALSE)</f>
        <v>CUMPLE</v>
      </c>
      <c r="F175" s="94">
        <f>VLOOKUP(A175,Proponentes[#Data],20,FALSE)</f>
        <v>9.3500002555071664E-3</v>
      </c>
      <c r="G175" s="93" t="str">
        <f>VLOOKUP(A175,Proponentes[#Data],26,FALSE)</f>
        <v>CUMPLE</v>
      </c>
      <c r="H175" s="95">
        <f>VLOOKUP(A175,Proponentes[#Data],21,FALSE)</f>
        <v>23.808587202759036</v>
      </c>
      <c r="I175" s="93" t="str">
        <f>VLOOKUP(A175,Proponentes[#Data],27,FALSE)</f>
        <v>NO CUMPLE</v>
      </c>
      <c r="J175" s="96" t="str">
        <f t="shared" si="4"/>
        <v>NO CUMPLE</v>
      </c>
      <c r="K175" s="98">
        <f>VLOOKUP(A175,Proponentes[#Data],35,FALSE)</f>
        <v>637.0492097668872</v>
      </c>
      <c r="L175" s="102">
        <f>VLOOKUP(A175,Hoja2!$A$2:$F$329,6,FALSE)</f>
        <v>637.0492097668872</v>
      </c>
      <c r="M175" s="97" t="s">
        <v>814</v>
      </c>
      <c r="N175" s="103">
        <f t="shared" si="5"/>
        <v>0</v>
      </c>
    </row>
    <row r="176" spans="1:14" ht="27" customHeight="1" x14ac:dyDescent="0.2">
      <c r="A176" s="89">
        <v>171</v>
      </c>
      <c r="B176" s="90">
        <v>900273706</v>
      </c>
      <c r="C176" s="91" t="s">
        <v>245</v>
      </c>
      <c r="D176" s="92">
        <f>VLOOKUP(A176,Proponentes[#Data],19,FALSE)</f>
        <v>47.476275391275394</v>
      </c>
      <c r="E176" s="93" t="str">
        <f>VLOOKUP(A176,Proponentes[#Data],25,FALSE)</f>
        <v>CUMPLE</v>
      </c>
      <c r="F176" s="94">
        <f>VLOOKUP(A176,Proponentes[#Data],20,FALSE)</f>
        <v>2.0021011127798659E-2</v>
      </c>
      <c r="G176" s="93" t="str">
        <f>VLOOKUP(A176,Proponentes[#Data],26,FALSE)</f>
        <v>CUMPLE</v>
      </c>
      <c r="H176" s="95">
        <f>VLOOKUP(A176,Proponentes[#Data],21,FALSE)</f>
        <v>337.0741659381053</v>
      </c>
      <c r="I176" s="93" t="str">
        <f>VLOOKUP(A176,Proponentes[#Data],27,FALSE)</f>
        <v>CUMPLE</v>
      </c>
      <c r="J176" s="96" t="str">
        <f t="shared" si="4"/>
        <v>CUMPLE</v>
      </c>
      <c r="K176" s="98">
        <f>VLOOKUP(A176,Proponentes[#Data],35,FALSE)</f>
        <v>215.68745544969701</v>
      </c>
      <c r="L176" s="102">
        <f>VLOOKUP(A176,Hoja2!$A$2:$F$329,6,FALSE)</f>
        <v>215.68745544969698</v>
      </c>
      <c r="M176" s="97"/>
      <c r="N176" s="103">
        <f t="shared" si="5"/>
        <v>0</v>
      </c>
    </row>
    <row r="177" spans="1:14" ht="27" customHeight="1" x14ac:dyDescent="0.2">
      <c r="A177" s="89">
        <v>172</v>
      </c>
      <c r="B177" s="90">
        <v>800009090</v>
      </c>
      <c r="C177" s="91" t="s">
        <v>246</v>
      </c>
      <c r="D177" s="92">
        <f>VLOOKUP(A177,Proponentes[#Data],19,FALSE)</f>
        <v>10.936466161946829</v>
      </c>
      <c r="E177" s="93" t="str">
        <f>VLOOKUP(A177,Proponentes[#Data],25,FALSE)</f>
        <v>CUMPLE</v>
      </c>
      <c r="F177" s="94">
        <f>VLOOKUP(A177,Proponentes[#Data],20,FALSE)</f>
        <v>0.2631335069432757</v>
      </c>
      <c r="G177" s="93" t="str">
        <f>VLOOKUP(A177,Proponentes[#Data],26,FALSE)</f>
        <v>NO CUMPLE</v>
      </c>
      <c r="H177" s="95">
        <f>VLOOKUP(A177,Proponentes[#Data],21,FALSE)</f>
        <v>6505.9738007718724</v>
      </c>
      <c r="I177" s="93" t="str">
        <f>VLOOKUP(A177,Proponentes[#Data],27,FALSE)</f>
        <v>CUMPLE</v>
      </c>
      <c r="J177" s="96" t="str">
        <f t="shared" si="4"/>
        <v>NO CUMPLE</v>
      </c>
      <c r="K177" s="98">
        <f>VLOOKUP(A177,Proponentes[#Data],35,FALSE)</f>
        <v>0</v>
      </c>
      <c r="L177" s="102">
        <f>VLOOKUP(A177,Hoja2!$A$2:$F$329,6,FALSE)</f>
        <v>0</v>
      </c>
      <c r="M177" s="97" t="s">
        <v>814</v>
      </c>
      <c r="N177" s="103">
        <f t="shared" si="5"/>
        <v>0</v>
      </c>
    </row>
    <row r="178" spans="1:14" ht="27" customHeight="1" x14ac:dyDescent="0.2">
      <c r="A178" s="89">
        <v>173</v>
      </c>
      <c r="B178" s="90">
        <v>819006201</v>
      </c>
      <c r="C178" s="91" t="s">
        <v>247</v>
      </c>
      <c r="D178" s="92">
        <f>VLOOKUP(A178,Proponentes[#Data],19,FALSE)</f>
        <v>1.5515946217243564</v>
      </c>
      <c r="E178" s="93" t="str">
        <f>VLOOKUP(A178,Proponentes[#Data],25,FALSE)</f>
        <v>CUMPLE</v>
      </c>
      <c r="F178" s="94">
        <f>VLOOKUP(A178,Proponentes[#Data],20,FALSE)</f>
        <v>0.3595051012342344</v>
      </c>
      <c r="G178" s="93" t="str">
        <f>VLOOKUP(A178,Proponentes[#Data],26,FALSE)</f>
        <v>NO CUMPLE</v>
      </c>
      <c r="H178" s="95">
        <f>VLOOKUP(A178,Proponentes[#Data],21,FALSE)</f>
        <v>21.226003361847859</v>
      </c>
      <c r="I178" s="93" t="str">
        <f>VLOOKUP(A178,Proponentes[#Data],27,FALSE)</f>
        <v>CUMPLE</v>
      </c>
      <c r="J178" s="96" t="str">
        <f t="shared" si="4"/>
        <v>NO CUMPLE</v>
      </c>
      <c r="K178" s="98">
        <f>VLOOKUP(A178,Proponentes[#Data],35,FALSE)</f>
        <v>0</v>
      </c>
      <c r="L178" s="102">
        <f>VLOOKUP(A178,Hoja2!$A$2:$F$329,6,FALSE)</f>
        <v>0</v>
      </c>
      <c r="M178" s="97" t="s">
        <v>814</v>
      </c>
      <c r="N178" s="103">
        <f t="shared" si="5"/>
        <v>0</v>
      </c>
    </row>
    <row r="179" spans="1:14" ht="27" customHeight="1" x14ac:dyDescent="0.2">
      <c r="A179" s="89">
        <v>174</v>
      </c>
      <c r="B179" s="90">
        <v>900573093</v>
      </c>
      <c r="C179" s="91" t="s">
        <v>248</v>
      </c>
      <c r="D179" s="92">
        <f>VLOOKUP(A179,Proponentes[#Data],19,FALSE)</f>
        <v>43.070567442057119</v>
      </c>
      <c r="E179" s="93" t="str">
        <f>VLOOKUP(A179,Proponentes[#Data],25,FALSE)</f>
        <v>CUMPLE</v>
      </c>
      <c r="F179" s="94">
        <f>VLOOKUP(A179,Proponentes[#Data],20,FALSE)</f>
        <v>2.1389575076807627E-2</v>
      </c>
      <c r="G179" s="93" t="str">
        <f>VLOOKUP(A179,Proponentes[#Data],26,FALSE)</f>
        <v>NO CUMPLE</v>
      </c>
      <c r="H179" s="95">
        <f>VLOOKUP(A179,Proponentes[#Data],21,FALSE)</f>
        <v>485.42751015558207</v>
      </c>
      <c r="I179" s="93" t="str">
        <f>VLOOKUP(A179,Proponentes[#Data],27,FALSE)</f>
        <v>CUMPLE</v>
      </c>
      <c r="J179" s="96" t="str">
        <f t="shared" si="4"/>
        <v>NO CUMPLE</v>
      </c>
      <c r="K179" s="98">
        <f>VLOOKUP(A179,Proponentes[#Data],35,FALSE)</f>
        <v>0</v>
      </c>
      <c r="L179" s="102">
        <f>VLOOKUP(A179,Hoja2!$A$2:$F$329,6,FALSE)</f>
        <v>0</v>
      </c>
      <c r="M179" s="97" t="s">
        <v>814</v>
      </c>
      <c r="N179" s="103">
        <f t="shared" si="5"/>
        <v>0</v>
      </c>
    </row>
    <row r="180" spans="1:14" ht="27" customHeight="1" x14ac:dyDescent="0.2">
      <c r="A180" s="89">
        <v>175</v>
      </c>
      <c r="B180" s="90">
        <v>900179840</v>
      </c>
      <c r="C180" s="91" t="s">
        <v>249</v>
      </c>
      <c r="D180" s="92">
        <f>VLOOKUP(A180,Proponentes[#Data],19,FALSE)</f>
        <v>5.113517060367454</v>
      </c>
      <c r="E180" s="93" t="s">
        <v>470</v>
      </c>
      <c r="F180" s="94" t="s">
        <v>470</v>
      </c>
      <c r="G180" s="93" t="s">
        <v>470</v>
      </c>
      <c r="H180" s="95" t="s">
        <v>470</v>
      </c>
      <c r="I180" s="93" t="s">
        <v>470</v>
      </c>
      <c r="J180" s="96" t="str">
        <f t="shared" si="4"/>
        <v>NO CUMPLE</v>
      </c>
      <c r="K180" s="98">
        <f>VLOOKUP(A180,Proponentes[#Data],35,FALSE)</f>
        <v>72.287789694843198</v>
      </c>
      <c r="L180" s="102">
        <f>VLOOKUP(A180,Hoja2!$A$2:$F$329,6,FALSE)</f>
        <v>72.287789694843198</v>
      </c>
      <c r="M180" s="97" t="str">
        <f>VLOOKUP(A180,Proponentes[#Data],29,FALSE)</f>
        <v>NO CUMPLE. No aportó:
1. Acta de Asamblea general</v>
      </c>
      <c r="N180" s="103">
        <f t="shared" si="5"/>
        <v>0</v>
      </c>
    </row>
    <row r="181" spans="1:14" ht="27" customHeight="1" x14ac:dyDescent="0.2">
      <c r="A181" s="89">
        <v>176</v>
      </c>
      <c r="B181" s="90">
        <v>891501766</v>
      </c>
      <c r="C181" s="91" t="s">
        <v>250</v>
      </c>
      <c r="D181" s="92">
        <f>VLOOKUP(A181,Proponentes[#Data],19,FALSE)</f>
        <v>3.0958671199739318</v>
      </c>
      <c r="E181" s="93" t="str">
        <f>VLOOKUP(A181,Proponentes[#Data],25,FALSE)</f>
        <v>CUMPLE</v>
      </c>
      <c r="F181" s="94">
        <f>VLOOKUP(A181,Proponentes[#Data],20,FALSE)</f>
        <v>0.12727889722548083</v>
      </c>
      <c r="G181" s="93" t="str">
        <f>VLOOKUP(A181,Proponentes[#Data],26,FALSE)</f>
        <v>CUMPLE</v>
      </c>
      <c r="H181" s="95">
        <f>VLOOKUP(A181,Proponentes[#Data],21,FALSE)</f>
        <v>11974.195180385357</v>
      </c>
      <c r="I181" s="93" t="str">
        <f>VLOOKUP(A181,Proponentes[#Data],27,FALSE)</f>
        <v>CUMPLE</v>
      </c>
      <c r="J181" s="96" t="str">
        <f t="shared" si="4"/>
        <v>CUMPLE</v>
      </c>
      <c r="K181" s="98">
        <f>VLOOKUP(A181,Proponentes[#Data],35,FALSE)</f>
        <v>1162.0732015521796</v>
      </c>
      <c r="L181" s="102">
        <f>VLOOKUP(A181,Hoja2!$A$2:$F$329,6,FALSE)</f>
        <v>1162.0732015521796</v>
      </c>
      <c r="M181" s="97"/>
      <c r="N181" s="103">
        <f t="shared" si="5"/>
        <v>0</v>
      </c>
    </row>
    <row r="182" spans="1:14" ht="27" customHeight="1" x14ac:dyDescent="0.2">
      <c r="A182" s="89">
        <v>177</v>
      </c>
      <c r="B182" s="90">
        <v>806008896</v>
      </c>
      <c r="C182" s="91" t="s">
        <v>251</v>
      </c>
      <c r="D182" s="92">
        <f>VLOOKUP(A182,Proponentes[#Data],19,FALSE)</f>
        <v>92.928075330572995</v>
      </c>
      <c r="E182" s="93" t="str">
        <f>VLOOKUP(A182,Proponentes[#Data],25,FALSE)</f>
        <v>CUMPLE</v>
      </c>
      <c r="F182" s="94">
        <f>VLOOKUP(A182,Proponentes[#Data],20,FALSE)</f>
        <v>4.1764382468568763E-2</v>
      </c>
      <c r="G182" s="93" t="str">
        <f>VLOOKUP(A182,Proponentes[#Data],26,FALSE)</f>
        <v>CUMPLE</v>
      </c>
      <c r="H182" s="95">
        <f>VLOOKUP(A182,Proponentes[#Data],21,FALSE)</f>
        <v>1662.2441783518252</v>
      </c>
      <c r="I182" s="93" t="str">
        <f>VLOOKUP(A182,Proponentes[#Data],27,FALSE)</f>
        <v>CUMPLE</v>
      </c>
      <c r="J182" s="96" t="str">
        <f t="shared" si="4"/>
        <v>CUMPLE</v>
      </c>
      <c r="K182" s="98">
        <f>VLOOKUP(A182,Proponentes[#Data],35,FALSE)</f>
        <v>160.38924397832298</v>
      </c>
      <c r="L182" s="102">
        <f>VLOOKUP(A182,Hoja2!$A$2:$F$329,6,FALSE)</f>
        <v>160.38924397832298</v>
      </c>
      <c r="M182" s="97"/>
      <c r="N182" s="103">
        <f t="shared" si="5"/>
        <v>0</v>
      </c>
    </row>
    <row r="183" spans="1:14" ht="27" customHeight="1" x14ac:dyDescent="0.2">
      <c r="A183" s="89">
        <v>178</v>
      </c>
      <c r="B183" s="90">
        <v>900937890</v>
      </c>
      <c r="C183" s="91" t="s">
        <v>252</v>
      </c>
      <c r="D183" s="92">
        <f>VLOOKUP(A183,Proponentes[#Data],19,FALSE)</f>
        <v>148.61199050257221</v>
      </c>
      <c r="E183" s="93" t="str">
        <f>VLOOKUP(A183,Proponentes[#Data],25,FALSE)</f>
        <v>CUMPLE</v>
      </c>
      <c r="F183" s="94">
        <f>VLOOKUP(A183,Proponentes[#Data],20,FALSE)</f>
        <v>2.3230970784200937E-2</v>
      </c>
      <c r="G183" s="93" t="str">
        <f>VLOOKUP(A183,Proponentes[#Data],26,FALSE)</f>
        <v>CUMPLE</v>
      </c>
      <c r="H183" s="95">
        <f>VLOOKUP(A183,Proponentes[#Data],21,FALSE)</f>
        <v>540.52644798554797</v>
      </c>
      <c r="I183" s="93" t="str">
        <f>VLOOKUP(A183,Proponentes[#Data],27,FALSE)</f>
        <v>CUMPLE</v>
      </c>
      <c r="J183" s="96" t="str">
        <f t="shared" si="4"/>
        <v>CUMPLE</v>
      </c>
      <c r="K183" s="98">
        <f>VLOOKUP(A183,Proponentes[#Data],35,FALSE)</f>
        <v>329.94066673212842</v>
      </c>
      <c r="L183" s="102">
        <f>VLOOKUP(A183,Hoja2!$A$2:$F$329,6,FALSE)</f>
        <v>329.94066673212842</v>
      </c>
      <c r="M183" s="97"/>
      <c r="N183" s="103">
        <f t="shared" si="5"/>
        <v>0</v>
      </c>
    </row>
    <row r="184" spans="1:14" ht="27" customHeight="1" x14ac:dyDescent="0.2">
      <c r="A184" s="89">
        <v>179</v>
      </c>
      <c r="B184" s="90">
        <v>806016595</v>
      </c>
      <c r="C184" s="91" t="s">
        <v>253</v>
      </c>
      <c r="D184" s="92">
        <f>VLOOKUP(A184,Proponentes[#Data],19,FALSE)</f>
        <v>167.31218190326371</v>
      </c>
      <c r="E184" s="93" t="str">
        <f>VLOOKUP(A184,Proponentes[#Data],25,FALSE)</f>
        <v>CUMPLE</v>
      </c>
      <c r="F184" s="94">
        <f>VLOOKUP(A184,Proponentes[#Data],20,FALSE)</f>
        <v>5.5665790118851043E-3</v>
      </c>
      <c r="G184" s="93" t="str">
        <f>VLOOKUP(A184,Proponentes[#Data],26,FALSE)</f>
        <v>CUMPLE</v>
      </c>
      <c r="H184" s="95">
        <f>VLOOKUP(A184,Proponentes[#Data],21,FALSE)</f>
        <v>1623.1349653913219</v>
      </c>
      <c r="I184" s="93" t="str">
        <f>VLOOKUP(A184,Proponentes[#Data],27,FALSE)</f>
        <v>CUMPLE</v>
      </c>
      <c r="J184" s="96" t="str">
        <f t="shared" si="4"/>
        <v>CUMPLE</v>
      </c>
      <c r="K184" s="98">
        <f>VLOOKUP(A184,Proponentes[#Data],35,FALSE)</f>
        <v>876.08826421849813</v>
      </c>
      <c r="L184" s="102">
        <f>VLOOKUP(A184,Hoja2!$A$2:$F$329,6,FALSE)</f>
        <v>876.08826421849813</v>
      </c>
      <c r="M184" s="97"/>
      <c r="N184" s="103">
        <f t="shared" si="5"/>
        <v>0</v>
      </c>
    </row>
    <row r="185" spans="1:14" ht="27" customHeight="1" x14ac:dyDescent="0.2">
      <c r="A185" s="89">
        <v>180</v>
      </c>
      <c r="B185" s="90">
        <v>900237305</v>
      </c>
      <c r="C185" s="91" t="s">
        <v>254</v>
      </c>
      <c r="D185" s="92">
        <f>VLOOKUP(A185,Proponentes[#Data],19,FALSE)</f>
        <v>2.8668866363636365</v>
      </c>
      <c r="E185" s="93" t="str">
        <f>VLOOKUP(A185,Proponentes[#Data],25,FALSE)</f>
        <v>CUMPLE</v>
      </c>
      <c r="F185" s="94">
        <f>VLOOKUP(A185,Proponentes[#Data],20,FALSE)</f>
        <v>0.21441727216114467</v>
      </c>
      <c r="G185" s="93" t="str">
        <f>VLOOKUP(A185,Proponentes[#Data],26,FALSE)</f>
        <v>NO CUMPLE</v>
      </c>
      <c r="H185" s="95">
        <f>VLOOKUP(A185,Proponentes[#Data],21,FALSE)</f>
        <v>99.192639678499148</v>
      </c>
      <c r="I185" s="93" t="str">
        <f>VLOOKUP(A185,Proponentes[#Data],27,FALSE)</f>
        <v>CUMPLE</v>
      </c>
      <c r="J185" s="96" t="str">
        <f t="shared" si="4"/>
        <v>NO CUMPLE</v>
      </c>
      <c r="K185" s="98">
        <f>VLOOKUP(A185,Proponentes[#Data],35,FALSE)</f>
        <v>0</v>
      </c>
      <c r="L185" s="102">
        <f>VLOOKUP(A185,Hoja2!$A$2:$F$329,6,FALSE)</f>
        <v>0</v>
      </c>
      <c r="M185" s="97" t="s">
        <v>814</v>
      </c>
      <c r="N185" s="103">
        <f t="shared" si="5"/>
        <v>0</v>
      </c>
    </row>
    <row r="186" spans="1:14" ht="27" customHeight="1" x14ac:dyDescent="0.2">
      <c r="A186" s="89">
        <v>181</v>
      </c>
      <c r="B186" s="90">
        <v>900509527</v>
      </c>
      <c r="C186" s="91" t="s">
        <v>255</v>
      </c>
      <c r="D186" s="92">
        <f>VLOOKUP(A186,Proponentes[#Data],19,FALSE)</f>
        <v>30.691532291611114</v>
      </c>
      <c r="E186" s="93" t="str">
        <f>VLOOKUP(A186,Proponentes[#Data],25,FALSE)</f>
        <v>CUMPLE</v>
      </c>
      <c r="F186" s="94">
        <f>VLOOKUP(A186,Proponentes[#Data],20,FALSE)</f>
        <v>1.6634811887566058E-2</v>
      </c>
      <c r="G186" s="93" t="str">
        <f>VLOOKUP(A186,Proponentes[#Data],26,FALSE)</f>
        <v>CUMPLE</v>
      </c>
      <c r="H186" s="95">
        <f>VLOOKUP(A186,Proponentes[#Data],21,FALSE)</f>
        <v>336.15213448357474</v>
      </c>
      <c r="I186" s="93" t="str">
        <f>VLOOKUP(A186,Proponentes[#Data],27,FALSE)</f>
        <v>CUMPLE</v>
      </c>
      <c r="J186" s="96" t="str">
        <f t="shared" si="4"/>
        <v>CUMPLE</v>
      </c>
      <c r="K186" s="98">
        <f>VLOOKUP(A186,Proponentes[#Data],35,FALSE)</f>
        <v>193.04885909216719</v>
      </c>
      <c r="L186" s="102">
        <f>VLOOKUP(A186,Hoja2!$A$2:$F$329,6,FALSE)</f>
        <v>193.04885909216716</v>
      </c>
      <c r="M186" s="97"/>
      <c r="N186" s="103">
        <f t="shared" si="5"/>
        <v>0</v>
      </c>
    </row>
    <row r="187" spans="1:14" ht="27" customHeight="1" x14ac:dyDescent="0.2">
      <c r="A187" s="89">
        <v>182</v>
      </c>
      <c r="B187" s="90">
        <v>802003290</v>
      </c>
      <c r="C187" s="91" t="s">
        <v>256</v>
      </c>
      <c r="D187" s="92">
        <f>VLOOKUP(A187,Proponentes[#Data],19,FALSE)</f>
        <v>8.7603380072104571</v>
      </c>
      <c r="E187" s="93" t="str">
        <f>VLOOKUP(A187,Proponentes[#Data],25,FALSE)</f>
        <v>CUMPLE</v>
      </c>
      <c r="F187" s="94">
        <f>VLOOKUP(A187,Proponentes[#Data],20,FALSE)</f>
        <v>0.37701035619766055</v>
      </c>
      <c r="G187" s="93" t="str">
        <f>VLOOKUP(A187,Proponentes[#Data],26,FALSE)</f>
        <v>CUMPLE</v>
      </c>
      <c r="H187" s="95">
        <f>VLOOKUP(A187,Proponentes[#Data],21,FALSE)</f>
        <v>384.90457858560876</v>
      </c>
      <c r="I187" s="93" t="str">
        <f>VLOOKUP(A187,Proponentes[#Data],27,FALSE)</f>
        <v>CUMPLE</v>
      </c>
      <c r="J187" s="96" t="str">
        <f t="shared" si="4"/>
        <v>CUMPLE</v>
      </c>
      <c r="K187" s="98">
        <f>VLOOKUP(A187,Proponentes[#Data],35,FALSE)</f>
        <v>838.56850555873848</v>
      </c>
      <c r="L187" s="102">
        <f>VLOOKUP(A187,Hoja2!$A$2:$F$329,6,FALSE)</f>
        <v>838.56850555873848</v>
      </c>
      <c r="M187" s="97"/>
      <c r="N187" s="103">
        <f t="shared" si="5"/>
        <v>0</v>
      </c>
    </row>
    <row r="188" spans="1:14" ht="27" customHeight="1" x14ac:dyDescent="0.2">
      <c r="A188" s="89">
        <v>183</v>
      </c>
      <c r="B188" s="90">
        <v>806013417</v>
      </c>
      <c r="C188" s="91" t="s">
        <v>257</v>
      </c>
      <c r="D188" s="92">
        <f>VLOOKUP(A188,Proponentes[#Data],19,FALSE)</f>
        <v>5.4891380594488455</v>
      </c>
      <c r="E188" s="93" t="str">
        <f>VLOOKUP(A188,Proponentes[#Data],25,FALSE)</f>
        <v>CUMPLE</v>
      </c>
      <c r="F188" s="94">
        <f>VLOOKUP(A188,Proponentes[#Data],20,FALSE)</f>
        <v>0.16132612279442318</v>
      </c>
      <c r="G188" s="93" t="str">
        <f>VLOOKUP(A188,Proponentes[#Data],26,FALSE)</f>
        <v>CUMPLE</v>
      </c>
      <c r="H188" s="95">
        <f>VLOOKUP(A188,Proponentes[#Data],21,FALSE)</f>
        <v>500.38340039318166</v>
      </c>
      <c r="I188" s="93" t="str">
        <f>VLOOKUP(A188,Proponentes[#Data],27,FALSE)</f>
        <v>CUMPLE</v>
      </c>
      <c r="J188" s="96" t="str">
        <f t="shared" si="4"/>
        <v>CUMPLE</v>
      </c>
      <c r="K188" s="98">
        <f>VLOOKUP(A188,Proponentes[#Data],35,FALSE)</f>
        <v>372.47445894551754</v>
      </c>
      <c r="L188" s="102">
        <f>VLOOKUP(A188,Hoja2!$A$2:$F$329,6,FALSE)</f>
        <v>372.47445894551754</v>
      </c>
      <c r="M188" s="97"/>
      <c r="N188" s="103">
        <f t="shared" si="5"/>
        <v>0</v>
      </c>
    </row>
    <row r="189" spans="1:14" ht="27" customHeight="1" x14ac:dyDescent="0.2">
      <c r="A189" s="89">
        <v>184</v>
      </c>
      <c r="B189" s="90">
        <v>828000312</v>
      </c>
      <c r="C189" s="91" t="s">
        <v>258</v>
      </c>
      <c r="D189" s="92">
        <f>VLOOKUP(A189,Proponentes[#Data],19,FALSE)</f>
        <v>33.889920362170599</v>
      </c>
      <c r="E189" s="93" t="str">
        <f>VLOOKUP(A189,Proponentes[#Data],25,FALSE)</f>
        <v>CUMPLE</v>
      </c>
      <c r="F189" s="94">
        <f>VLOOKUP(A189,Proponentes[#Data],20,FALSE)</f>
        <v>0.31464800248079566</v>
      </c>
      <c r="G189" s="93" t="str">
        <f>VLOOKUP(A189,Proponentes[#Data],26,FALSE)</f>
        <v>CUMPLE</v>
      </c>
      <c r="H189" s="95">
        <f>VLOOKUP(A189,Proponentes[#Data],21,FALSE)</f>
        <v>2430.0525566466536</v>
      </c>
      <c r="I189" s="93" t="str">
        <f>VLOOKUP(A189,Proponentes[#Data],27,FALSE)</f>
        <v>CUMPLE</v>
      </c>
      <c r="J189" s="96" t="str">
        <f t="shared" si="4"/>
        <v>CUMPLE</v>
      </c>
      <c r="K189" s="98">
        <f>VLOOKUP(A189,Proponentes[#Data],35,FALSE)</f>
        <v>963.4727723740242</v>
      </c>
      <c r="L189" s="102">
        <f>VLOOKUP(A189,Hoja2!$A$2:$F$329,6,FALSE)</f>
        <v>963.4727723740242</v>
      </c>
      <c r="M189" s="97"/>
      <c r="N189" s="103">
        <f t="shared" si="5"/>
        <v>0</v>
      </c>
    </row>
    <row r="190" spans="1:14" ht="27" customHeight="1" x14ac:dyDescent="0.2">
      <c r="A190" s="89">
        <v>185</v>
      </c>
      <c r="B190" s="90">
        <v>802010646</v>
      </c>
      <c r="C190" s="91" t="s">
        <v>259</v>
      </c>
      <c r="D190" s="92">
        <f>VLOOKUP(A190,Proponentes[#Data],19,FALSE)</f>
        <v>1.4250701620009585</v>
      </c>
      <c r="E190" s="93" t="str">
        <f>VLOOKUP(A190,Proponentes[#Data],25,FALSE)</f>
        <v>CUMPLE</v>
      </c>
      <c r="F190" s="94">
        <f>VLOOKUP(A190,Proponentes[#Data],20,FALSE)</f>
        <v>0.11205081105165594</v>
      </c>
      <c r="G190" s="93" t="str">
        <f>VLOOKUP(A190,Proponentes[#Data],26,FALSE)</f>
        <v>CUMPLE</v>
      </c>
      <c r="H190" s="95">
        <f>VLOOKUP(A190,Proponentes[#Data],21,FALSE)</f>
        <v>37.039828961160033</v>
      </c>
      <c r="I190" s="93" t="str">
        <f>VLOOKUP(A190,Proponentes[#Data],27,FALSE)</f>
        <v>CUMPLE</v>
      </c>
      <c r="J190" s="96" t="str">
        <f t="shared" si="4"/>
        <v>CUMPLE</v>
      </c>
      <c r="K190" s="98">
        <f>VLOOKUP(A190,Proponentes[#Data],35,FALSE)</f>
        <v>486.13944493617754</v>
      </c>
      <c r="L190" s="102">
        <f>VLOOKUP(A190,Hoja2!$A$2:$F$329,6,FALSE)</f>
        <v>486.13944493617754</v>
      </c>
      <c r="M190" s="97"/>
      <c r="N190" s="103">
        <f t="shared" si="5"/>
        <v>0</v>
      </c>
    </row>
    <row r="191" spans="1:14" ht="27" customHeight="1" x14ac:dyDescent="0.2">
      <c r="A191" s="89">
        <v>186</v>
      </c>
      <c r="B191" s="90">
        <v>802012721</v>
      </c>
      <c r="C191" s="91" t="s">
        <v>260</v>
      </c>
      <c r="D191" s="92" t="str">
        <f>VLOOKUP(A191,Proponentes[#Data],19,FALSE)</f>
        <v>INDETERMINADO</v>
      </c>
      <c r="E191" s="93" t="s">
        <v>470</v>
      </c>
      <c r="F191" s="94" t="s">
        <v>470</v>
      </c>
      <c r="G191" s="93" t="s">
        <v>470</v>
      </c>
      <c r="H191" s="95" t="s">
        <v>470</v>
      </c>
      <c r="I191" s="93" t="s">
        <v>470</v>
      </c>
      <c r="J191" s="96" t="str">
        <f t="shared" si="4"/>
        <v>NO CUMPLE</v>
      </c>
      <c r="K191" s="98">
        <f>VLOOKUP(A191,Proponentes[#Data],35,FALSE)</f>
        <v>5.211937845998512</v>
      </c>
      <c r="L191" s="102">
        <f>VLOOKUP(A191,Hoja2!$A$2:$F$329,6,FALSE)</f>
        <v>5.211937845998512</v>
      </c>
      <c r="M191" s="97" t="str">
        <f>VLOOKUP(A191,Proponentes[#Data],29,FALSE)</f>
        <v>NO CUMPLE. El capital de trabajo no cumple con el rango mínimo de selección (12,5 SMMLV)</v>
      </c>
      <c r="N191" s="103">
        <f t="shared" si="5"/>
        <v>0</v>
      </c>
    </row>
    <row r="192" spans="1:14" ht="27" customHeight="1" x14ac:dyDescent="0.2">
      <c r="A192" s="89">
        <v>187</v>
      </c>
      <c r="B192" s="90">
        <v>900980753</v>
      </c>
      <c r="C192" s="91" t="s">
        <v>262</v>
      </c>
      <c r="D192" s="92">
        <f>VLOOKUP(A192,Proponentes[#Data],19,FALSE)</f>
        <v>81.634647911338448</v>
      </c>
      <c r="E192" s="93" t="str">
        <f>VLOOKUP(A192,Proponentes[#Data],25,FALSE)</f>
        <v>CUMPLE</v>
      </c>
      <c r="F192" s="94">
        <f>VLOOKUP(A192,Proponentes[#Data],20,FALSE)</f>
        <v>1.153742781171333E-2</v>
      </c>
      <c r="G192" s="93" t="str">
        <f>VLOOKUP(A192,Proponentes[#Data],26,FALSE)</f>
        <v>CUMPLE</v>
      </c>
      <c r="H192" s="95">
        <f>VLOOKUP(A192,Proponentes[#Data],21,FALSE)</f>
        <v>228.43283308135574</v>
      </c>
      <c r="I192" s="93" t="str">
        <f>VLOOKUP(A192,Proponentes[#Data],27,FALSE)</f>
        <v>CUMPLE</v>
      </c>
      <c r="J192" s="96" t="str">
        <f t="shared" si="4"/>
        <v>CUMPLE</v>
      </c>
      <c r="K192" s="98">
        <f>VLOOKUP(A192,Proponentes[#Data],35,FALSE)</f>
        <v>20.071344962507091</v>
      </c>
      <c r="L192" s="102">
        <f>VLOOKUP(A192,Hoja2!$A$2:$F$329,6,FALSE)</f>
        <v>20.071344962507091</v>
      </c>
      <c r="M192" s="97"/>
      <c r="N192" s="103">
        <f t="shared" si="5"/>
        <v>0</v>
      </c>
    </row>
    <row r="193" spans="1:14" ht="27" customHeight="1" x14ac:dyDescent="0.2">
      <c r="A193" s="89">
        <v>188</v>
      </c>
      <c r="B193" s="90">
        <v>805021199</v>
      </c>
      <c r="C193" s="91" t="s">
        <v>264</v>
      </c>
      <c r="D193" s="92">
        <f>VLOOKUP(A193,Proponentes[#Data],19,FALSE)</f>
        <v>12.133632810877426</v>
      </c>
      <c r="E193" s="93" t="str">
        <f>VLOOKUP(A193,Proponentes[#Data],25,FALSE)</f>
        <v>CUMPLE</v>
      </c>
      <c r="F193" s="94">
        <f>VLOOKUP(A193,Proponentes[#Data],20,FALSE)</f>
        <v>0.13396594521081376</v>
      </c>
      <c r="G193" s="93" t="str">
        <f>VLOOKUP(A193,Proponentes[#Data],26,FALSE)</f>
        <v>CUMPLE</v>
      </c>
      <c r="H193" s="95">
        <f>VLOOKUP(A193,Proponentes[#Data],21,FALSE)</f>
        <v>553.79766723502507</v>
      </c>
      <c r="I193" s="93" t="str">
        <f>VLOOKUP(A193,Proponentes[#Data],27,FALSE)</f>
        <v>CUMPLE</v>
      </c>
      <c r="J193" s="96" t="str">
        <f t="shared" si="4"/>
        <v>CUMPLE</v>
      </c>
      <c r="K193" s="98">
        <f>VLOOKUP(A193,Proponentes[#Data],35,FALSE)</f>
        <v>292.2845724869739</v>
      </c>
      <c r="L193" s="102">
        <f>VLOOKUP(A193,Hoja2!$A$2:$F$329,6,FALSE)</f>
        <v>292.2845724869739</v>
      </c>
      <c r="M193" s="97"/>
      <c r="N193" s="103">
        <f t="shared" si="5"/>
        <v>0</v>
      </c>
    </row>
    <row r="194" spans="1:14" ht="27" customHeight="1" x14ac:dyDescent="0.2">
      <c r="A194" s="89">
        <v>189</v>
      </c>
      <c r="B194" s="90">
        <v>900959868</v>
      </c>
      <c r="C194" s="91" t="s">
        <v>265</v>
      </c>
      <c r="D194" s="92">
        <f>VLOOKUP(A194,Proponentes[#Data],19,FALSE)</f>
        <v>2.4714572603461611</v>
      </c>
      <c r="E194" s="93" t="s">
        <v>470</v>
      </c>
      <c r="F194" s="94" t="s">
        <v>470</v>
      </c>
      <c r="G194" s="93" t="s">
        <v>470</v>
      </c>
      <c r="H194" s="95" t="s">
        <v>470</v>
      </c>
      <c r="I194" s="93" t="s">
        <v>470</v>
      </c>
      <c r="J194" s="96" t="str">
        <f t="shared" si="4"/>
        <v>NO CUMPLE</v>
      </c>
      <c r="K194" s="98">
        <f>VLOOKUP(A194,Proponentes[#Data],35,FALSE)</f>
        <v>20.971427424717252</v>
      </c>
      <c r="L194" s="102">
        <f>VLOOKUP(A194,Hoja2!$A$2:$F$329,6,FALSE)</f>
        <v>20.971427424717252</v>
      </c>
      <c r="M194" s="97" t="str">
        <f>VLOOKUP(A194,Proponentes[#Data],29,FALSE)</f>
        <v>NO CUMPLE. El oferente no subsana los aspectos relacionados con el revisor fiscal. Aporta escrito justificando porque no ha nombrado al revisor fiscal contemplado en los estatutos.</v>
      </c>
      <c r="N194" s="103">
        <f t="shared" si="5"/>
        <v>0</v>
      </c>
    </row>
    <row r="195" spans="1:14" ht="27" customHeight="1" x14ac:dyDescent="0.2">
      <c r="A195" s="89">
        <v>190</v>
      </c>
      <c r="B195" s="90">
        <v>800184332</v>
      </c>
      <c r="C195" s="91" t="s">
        <v>267</v>
      </c>
      <c r="D195" s="92">
        <f>VLOOKUP(A195,Proponentes[#Data],19,FALSE)</f>
        <v>19.545874036410964</v>
      </c>
      <c r="E195" s="93" t="str">
        <f>VLOOKUP(A195,Proponentes[#Data],25,FALSE)</f>
        <v>CUMPLE</v>
      </c>
      <c r="F195" s="94">
        <f>VLOOKUP(A195,Proponentes[#Data],20,FALSE)</f>
        <v>0.14240643910330711</v>
      </c>
      <c r="G195" s="93" t="str">
        <f>VLOOKUP(A195,Proponentes[#Data],26,FALSE)</f>
        <v>CUMPLE</v>
      </c>
      <c r="H195" s="95">
        <f>VLOOKUP(A195,Proponentes[#Data],21,FALSE)</f>
        <v>760.04282471296301</v>
      </c>
      <c r="I195" s="93" t="str">
        <f>VLOOKUP(A195,Proponentes[#Data],27,FALSE)</f>
        <v>CUMPLE</v>
      </c>
      <c r="J195" s="96" t="str">
        <f t="shared" si="4"/>
        <v>CUMPLE</v>
      </c>
      <c r="K195" s="98">
        <f>VLOOKUP(A195,Proponentes[#Data],35,FALSE)</f>
        <v>333.63804482346859</v>
      </c>
      <c r="L195" s="102">
        <f>VLOOKUP(A195,Hoja2!$A$2:$F$329,6,FALSE)</f>
        <v>333.63804482346859</v>
      </c>
      <c r="M195" s="97"/>
      <c r="N195" s="103">
        <f t="shared" si="5"/>
        <v>0</v>
      </c>
    </row>
    <row r="196" spans="1:14" ht="27" customHeight="1" x14ac:dyDescent="0.2">
      <c r="A196" s="89">
        <v>191</v>
      </c>
      <c r="B196" s="90">
        <v>900394860</v>
      </c>
      <c r="C196" s="91" t="s">
        <v>269</v>
      </c>
      <c r="D196" s="92">
        <f>VLOOKUP(A196,Proponentes[#Data],19,FALSE)</f>
        <v>5.2794442894546805</v>
      </c>
      <c r="E196" s="93" t="str">
        <f>VLOOKUP(A196,Proponentes[#Data],25,FALSE)</f>
        <v>CUMPLE</v>
      </c>
      <c r="F196" s="94">
        <f>VLOOKUP(A196,Proponentes[#Data],20,FALSE)</f>
        <v>0.17563850251974478</v>
      </c>
      <c r="G196" s="93" t="str">
        <f>VLOOKUP(A196,Proponentes[#Data],26,FALSE)</f>
        <v>CUMPLE</v>
      </c>
      <c r="H196" s="95">
        <f>VLOOKUP(A196,Proponentes[#Data],21,FALSE)</f>
        <v>930.3006619845529</v>
      </c>
      <c r="I196" s="93" t="str">
        <f>VLOOKUP(A196,Proponentes[#Data],27,FALSE)</f>
        <v>CUMPLE</v>
      </c>
      <c r="J196" s="96" t="str">
        <f t="shared" si="4"/>
        <v>CUMPLE</v>
      </c>
      <c r="K196" s="98">
        <f>VLOOKUP(A196,Proponentes[#Data],35,FALSE)</f>
        <v>770.09018382513614</v>
      </c>
      <c r="L196" s="102">
        <f>VLOOKUP(A196,Hoja2!$A$2:$F$329,6,FALSE)</f>
        <v>770.09018382513614</v>
      </c>
      <c r="M196" s="97"/>
      <c r="N196" s="103">
        <f t="shared" si="5"/>
        <v>0</v>
      </c>
    </row>
    <row r="197" spans="1:14" ht="27" customHeight="1" x14ac:dyDescent="0.2">
      <c r="A197" s="89">
        <v>192</v>
      </c>
      <c r="B197" s="90">
        <v>805023177</v>
      </c>
      <c r="C197" s="91" t="s">
        <v>270</v>
      </c>
      <c r="D197" s="92">
        <f>VLOOKUP(A197,Proponentes[#Data],19,FALSE)</f>
        <v>2.1519500986104836</v>
      </c>
      <c r="E197" s="93" t="str">
        <f>VLOOKUP(A197,Proponentes[#Data],25,FALSE)</f>
        <v>CUMPLE</v>
      </c>
      <c r="F197" s="94">
        <f>VLOOKUP(A197,Proponentes[#Data],20,FALSE)</f>
        <v>0.53193113358195188</v>
      </c>
      <c r="G197" s="93" t="str">
        <f>VLOOKUP(A197,Proponentes[#Data],26,FALSE)</f>
        <v>CUMPLE</v>
      </c>
      <c r="H197" s="95">
        <f>VLOOKUP(A197,Proponentes[#Data],21,FALSE)</f>
        <v>1521.1974481835878</v>
      </c>
      <c r="I197" s="93" t="str">
        <f>VLOOKUP(A197,Proponentes[#Data],27,FALSE)</f>
        <v>CUMPLE</v>
      </c>
      <c r="J197" s="96" t="str">
        <f t="shared" si="4"/>
        <v>CUMPLE</v>
      </c>
      <c r="K197" s="98">
        <f>VLOOKUP(A197,Proponentes[#Data],35,FALSE)</f>
        <v>227.75150619446472</v>
      </c>
      <c r="L197" s="102">
        <f>VLOOKUP(A197,Hoja2!$A$2:$F$329,6,FALSE)</f>
        <v>227.75150619446472</v>
      </c>
      <c r="M197" s="97"/>
      <c r="N197" s="103">
        <f t="shared" si="5"/>
        <v>0</v>
      </c>
    </row>
    <row r="198" spans="1:14" ht="27" customHeight="1" x14ac:dyDescent="0.2">
      <c r="A198" s="89">
        <v>193</v>
      </c>
      <c r="B198" s="90">
        <v>900541439</v>
      </c>
      <c r="C198" s="91" t="s">
        <v>271</v>
      </c>
      <c r="D198" s="92">
        <f>VLOOKUP(A198,Proponentes[#Data],19,FALSE)</f>
        <v>16.560165975103736</v>
      </c>
      <c r="E198" s="93" t="str">
        <f>VLOOKUP(A198,Proponentes[#Data],25,FALSE)</f>
        <v>CUMPLE</v>
      </c>
      <c r="F198" s="94">
        <f>VLOOKUP(A198,Proponentes[#Data],20,FALSE)</f>
        <v>3.2171939660926442E-2</v>
      </c>
      <c r="G198" s="93" t="str">
        <f>VLOOKUP(A198,Proponentes[#Data],26,FALSE)</f>
        <v>CUMPLE</v>
      </c>
      <c r="H198" s="95">
        <f>VLOOKUP(A198,Proponentes[#Data],21,FALSE)</f>
        <v>90.567022011409023</v>
      </c>
      <c r="I198" s="93" t="str">
        <f>VLOOKUP(A198,Proponentes[#Data],27,FALSE)</f>
        <v>CUMPLE</v>
      </c>
      <c r="J198" s="96" t="str">
        <f t="shared" si="4"/>
        <v>CUMPLE</v>
      </c>
      <c r="K198" s="98">
        <f>VLOOKUP(A198,Proponentes[#Data],35,FALSE)</f>
        <v>127.98844285027461</v>
      </c>
      <c r="L198" s="102">
        <f>VLOOKUP(A198,Hoja2!$A$2:$F$329,6,FALSE)</f>
        <v>127.98844285027461</v>
      </c>
      <c r="M198" s="97"/>
      <c r="N198" s="103">
        <f t="shared" si="5"/>
        <v>0</v>
      </c>
    </row>
    <row r="199" spans="1:14" ht="27" customHeight="1" x14ac:dyDescent="0.2">
      <c r="A199" s="89">
        <v>194</v>
      </c>
      <c r="B199" s="90">
        <v>900237534</v>
      </c>
      <c r="C199" s="91" t="s">
        <v>273</v>
      </c>
      <c r="D199" s="92">
        <f>VLOOKUP(A199,Proponentes[#Data],19,FALSE)</f>
        <v>7.6830186649454033</v>
      </c>
      <c r="E199" s="93" t="str">
        <f>VLOOKUP(A199,Proponentes[#Data],25,FALSE)</f>
        <v>CUMPLE</v>
      </c>
      <c r="F199" s="94">
        <f>VLOOKUP(A199,Proponentes[#Data],20,FALSE)</f>
        <v>9.6229945624464588E-2</v>
      </c>
      <c r="G199" s="93" t="str">
        <f>VLOOKUP(A199,Proponentes[#Data],26,FALSE)</f>
        <v>CUMPLE</v>
      </c>
      <c r="H199" s="95">
        <f>VLOOKUP(A199,Proponentes[#Data],21,FALSE)</f>
        <v>300.0642422076134</v>
      </c>
      <c r="I199" s="93" t="str">
        <f>VLOOKUP(A199,Proponentes[#Data],27,FALSE)</f>
        <v>CUMPLE</v>
      </c>
      <c r="J199" s="96" t="str">
        <f t="shared" ref="J199:J262" si="6">IF(M199&lt;&gt;"","NO CUMPLE",IF(AND(E199="CUMPLE",G199="CUMPLE",I199="CUMPLE"),"CUMPLE","NO CUMPLE"))</f>
        <v>CUMPLE</v>
      </c>
      <c r="K199" s="98">
        <f>VLOOKUP(A199,Proponentes[#Data],35,FALSE)</f>
        <v>823.15009495664674</v>
      </c>
      <c r="L199" s="102">
        <f>VLOOKUP(A199,Hoja2!$A$2:$F$329,6,FALSE)</f>
        <v>823.15009495664674</v>
      </c>
      <c r="M199" s="97"/>
      <c r="N199" s="103">
        <f t="shared" ref="N199:N262" si="7">K199-L199</f>
        <v>0</v>
      </c>
    </row>
    <row r="200" spans="1:14" ht="27" customHeight="1" x14ac:dyDescent="0.2">
      <c r="A200" s="89">
        <v>195</v>
      </c>
      <c r="B200" s="90">
        <v>900621294</v>
      </c>
      <c r="C200" s="91" t="s">
        <v>275</v>
      </c>
      <c r="D200" s="92">
        <f>VLOOKUP(A200,Proponentes[#Data],19,FALSE)</f>
        <v>7.5282790958826409</v>
      </c>
      <c r="E200" s="93" t="str">
        <f>VLOOKUP(A200,Proponentes[#Data],25,FALSE)</f>
        <v>CUMPLE</v>
      </c>
      <c r="F200" s="94">
        <f>VLOOKUP(A200,Proponentes[#Data],20,FALSE)</f>
        <v>0.49982016056678535</v>
      </c>
      <c r="G200" s="93" t="str">
        <f>VLOOKUP(A200,Proponentes[#Data],26,FALSE)</f>
        <v>CUMPLE</v>
      </c>
      <c r="H200" s="95">
        <f>VLOOKUP(A200,Proponentes[#Data],21,FALSE)</f>
        <v>213.21567992889885</v>
      </c>
      <c r="I200" s="93" t="str">
        <f>VLOOKUP(A200,Proponentes[#Data],27,FALSE)</f>
        <v>CUMPLE</v>
      </c>
      <c r="J200" s="96" t="str">
        <f t="shared" si="6"/>
        <v>CUMPLE</v>
      </c>
      <c r="K200" s="98">
        <f>VLOOKUP(A200,Proponentes[#Data],35,FALSE)</f>
        <v>47.113916488465769</v>
      </c>
      <c r="L200" s="102">
        <f>VLOOKUP(A200,Hoja2!$A$2:$F$329,6,FALSE)</f>
        <v>47.113916488465769</v>
      </c>
      <c r="M200" s="97"/>
      <c r="N200" s="103">
        <f t="shared" si="7"/>
        <v>0</v>
      </c>
    </row>
    <row r="201" spans="1:14" ht="27" customHeight="1" x14ac:dyDescent="0.2">
      <c r="A201" s="89">
        <v>196</v>
      </c>
      <c r="B201" s="90">
        <v>802021105</v>
      </c>
      <c r="C201" s="91" t="s">
        <v>276</v>
      </c>
      <c r="D201" s="92">
        <f>VLOOKUP(A201,Proponentes[#Data],19,FALSE)</f>
        <v>25.323840435556487</v>
      </c>
      <c r="E201" s="93" t="str">
        <f>VLOOKUP(A201,Proponentes[#Data],25,FALSE)</f>
        <v>CUMPLE</v>
      </c>
      <c r="F201" s="94">
        <f>VLOOKUP(A201,Proponentes[#Data],20,FALSE)</f>
        <v>0.11968581698291172</v>
      </c>
      <c r="G201" s="93" t="str">
        <f>VLOOKUP(A201,Proponentes[#Data],26,FALSE)</f>
        <v>NO CUMPLE</v>
      </c>
      <c r="H201" s="95">
        <f>VLOOKUP(A201,Proponentes[#Data],21,FALSE)</f>
        <v>56.107356940332032</v>
      </c>
      <c r="I201" s="93" t="str">
        <f>VLOOKUP(A201,Proponentes[#Data],27,FALSE)</f>
        <v>CUMPLE</v>
      </c>
      <c r="J201" s="96" t="str">
        <f t="shared" si="6"/>
        <v>NO CUMPLE</v>
      </c>
      <c r="K201" s="98">
        <f>VLOOKUP(A201,Proponentes[#Data],35,FALSE)</f>
        <v>0</v>
      </c>
      <c r="L201" s="102">
        <f>VLOOKUP(A201,Hoja2!$A$2:$F$329,6,FALSE)</f>
        <v>0</v>
      </c>
      <c r="M201" s="97" t="s">
        <v>814</v>
      </c>
      <c r="N201" s="103">
        <f t="shared" si="7"/>
        <v>0</v>
      </c>
    </row>
    <row r="202" spans="1:14" ht="27" customHeight="1" x14ac:dyDescent="0.2">
      <c r="A202" s="89">
        <v>197</v>
      </c>
      <c r="B202" s="90">
        <v>823001710</v>
      </c>
      <c r="C202" s="91" t="s">
        <v>278</v>
      </c>
      <c r="D202" s="92">
        <f>VLOOKUP(A202,Proponentes[#Data],19,FALSE)</f>
        <v>5.616049535954744</v>
      </c>
      <c r="E202" s="93" t="str">
        <f>VLOOKUP(A202,Proponentes[#Data],25,FALSE)</f>
        <v>CUMPLE</v>
      </c>
      <c r="F202" s="94">
        <f>VLOOKUP(A202,Proponentes[#Data],20,FALSE)</f>
        <v>0.51219824833170091</v>
      </c>
      <c r="G202" s="93" t="str">
        <f>VLOOKUP(A202,Proponentes[#Data],26,FALSE)</f>
        <v>NO CUMPLE</v>
      </c>
      <c r="H202" s="95">
        <f>VLOOKUP(A202,Proponentes[#Data],21,FALSE)</f>
        <v>412.57179911993006</v>
      </c>
      <c r="I202" s="93" t="str">
        <f>VLOOKUP(A202,Proponentes[#Data],27,FALSE)</f>
        <v>CUMPLE</v>
      </c>
      <c r="J202" s="96" t="str">
        <f t="shared" si="6"/>
        <v>NO CUMPLE</v>
      </c>
      <c r="K202" s="98">
        <f>VLOOKUP(A202,Proponentes[#Data],35,FALSE)</f>
        <v>0</v>
      </c>
      <c r="L202" s="102">
        <f>VLOOKUP(A202,Hoja2!$A$2:$F$329,6,FALSE)</f>
        <v>0</v>
      </c>
      <c r="M202" s="97" t="s">
        <v>814</v>
      </c>
      <c r="N202" s="103">
        <f t="shared" si="7"/>
        <v>0</v>
      </c>
    </row>
    <row r="203" spans="1:14" ht="27" customHeight="1" x14ac:dyDescent="0.2">
      <c r="A203" s="89">
        <v>198</v>
      </c>
      <c r="B203" s="90">
        <v>900413418</v>
      </c>
      <c r="C203" s="91" t="s">
        <v>280</v>
      </c>
      <c r="D203" s="92">
        <f>VLOOKUP(A203,Proponentes[#Data],19,FALSE)</f>
        <v>27.666563223339768</v>
      </c>
      <c r="E203" s="93" t="str">
        <f>VLOOKUP(A203,Proponentes[#Data],25,FALSE)</f>
        <v>CUMPLE</v>
      </c>
      <c r="F203" s="94">
        <f>VLOOKUP(A203,Proponentes[#Data],20,FALSE)</f>
        <v>2.7040925652489126E-2</v>
      </c>
      <c r="G203" s="93" t="str">
        <f>VLOOKUP(A203,Proponentes[#Data],26,FALSE)</f>
        <v>CUMPLE</v>
      </c>
      <c r="H203" s="95">
        <f>VLOOKUP(A203,Proponentes[#Data],21,FALSE)</f>
        <v>854.92228987243334</v>
      </c>
      <c r="I203" s="93" t="str">
        <f>VLOOKUP(A203,Proponentes[#Data],27,FALSE)</f>
        <v>CUMPLE</v>
      </c>
      <c r="J203" s="96" t="str">
        <f t="shared" si="6"/>
        <v>CUMPLE</v>
      </c>
      <c r="K203" s="98">
        <f>VLOOKUP(A203,Proponentes[#Data],35,FALSE)</f>
        <v>216.17840964577655</v>
      </c>
      <c r="L203" s="102">
        <f>VLOOKUP(A203,Hoja2!$A$2:$F$329,6,FALSE)</f>
        <v>216.17840964577658</v>
      </c>
      <c r="M203" s="97"/>
      <c r="N203" s="103">
        <f t="shared" si="7"/>
        <v>0</v>
      </c>
    </row>
    <row r="204" spans="1:14" ht="27" customHeight="1" x14ac:dyDescent="0.2">
      <c r="A204" s="89">
        <v>199</v>
      </c>
      <c r="B204" s="90">
        <v>800251628</v>
      </c>
      <c r="C204" s="91" t="s">
        <v>281</v>
      </c>
      <c r="D204" s="92">
        <f>VLOOKUP(A204,Proponentes[#Data],19,FALSE)</f>
        <v>2.0017902073468621</v>
      </c>
      <c r="E204" s="93" t="str">
        <f>VLOOKUP(A204,Proponentes[#Data],25,FALSE)</f>
        <v>CUMPLE</v>
      </c>
      <c r="F204" s="94">
        <f>VLOOKUP(A204,Proponentes[#Data],20,FALSE)</f>
        <v>0.35815786463496191</v>
      </c>
      <c r="G204" s="93" t="str">
        <f>VLOOKUP(A204,Proponentes[#Data],26,FALSE)</f>
        <v>CUMPLE</v>
      </c>
      <c r="H204" s="95">
        <f>VLOOKUP(A204,Proponentes[#Data],21,FALSE)</f>
        <v>776.4962094682387</v>
      </c>
      <c r="I204" s="93" t="str">
        <f>VLOOKUP(A204,Proponentes[#Data],27,FALSE)</f>
        <v>CUMPLE</v>
      </c>
      <c r="J204" s="96" t="str">
        <f t="shared" si="6"/>
        <v>CUMPLE</v>
      </c>
      <c r="K204" s="98">
        <f>VLOOKUP(A204,Proponentes[#Data],35,FALSE)</f>
        <v>719.12279007733059</v>
      </c>
      <c r="L204" s="102">
        <f>VLOOKUP(A204,Hoja2!$A$2:$F$329,6,FALSE)</f>
        <v>719.12279007733059</v>
      </c>
      <c r="M204" s="97"/>
      <c r="N204" s="103">
        <f t="shared" si="7"/>
        <v>0</v>
      </c>
    </row>
    <row r="205" spans="1:14" ht="27" customHeight="1" x14ac:dyDescent="0.2">
      <c r="A205" s="89">
        <v>200</v>
      </c>
      <c r="B205" s="90">
        <v>802011827</v>
      </c>
      <c r="C205" s="91" t="s">
        <v>282</v>
      </c>
      <c r="D205" s="92">
        <f>VLOOKUP(A205,Proponentes[#Data],19,FALSE)</f>
        <v>143.97670924117205</v>
      </c>
      <c r="E205" s="93" t="str">
        <f>VLOOKUP(A205,Proponentes[#Data],25,FALSE)</f>
        <v>CUMPLE</v>
      </c>
      <c r="F205" s="94">
        <f>VLOOKUP(A205,Proponentes[#Data],20,FALSE)</f>
        <v>6.9455678301753873E-3</v>
      </c>
      <c r="G205" s="93" t="str">
        <f>VLOOKUP(A205,Proponentes[#Data],26,FALSE)</f>
        <v>NO CUMPLE</v>
      </c>
      <c r="H205" s="95">
        <f>VLOOKUP(A205,Proponentes[#Data],21,FALSE)</f>
        <v>459.60227794173761</v>
      </c>
      <c r="I205" s="93" t="str">
        <f>VLOOKUP(A205,Proponentes[#Data],27,FALSE)</f>
        <v>CUMPLE</v>
      </c>
      <c r="J205" s="96" t="str">
        <f t="shared" si="6"/>
        <v>NO CUMPLE</v>
      </c>
      <c r="K205" s="98">
        <f>VLOOKUP(A205,Proponentes[#Data],35,FALSE)</f>
        <v>0</v>
      </c>
      <c r="L205" s="102">
        <f>VLOOKUP(A205,Hoja2!$A$2:$F$329,6,FALSE)</f>
        <v>0</v>
      </c>
      <c r="M205" s="97" t="s">
        <v>814</v>
      </c>
      <c r="N205" s="103">
        <f t="shared" si="7"/>
        <v>0</v>
      </c>
    </row>
    <row r="206" spans="1:14" ht="27" customHeight="1" x14ac:dyDescent="0.2">
      <c r="A206" s="89">
        <v>201</v>
      </c>
      <c r="B206" s="90">
        <v>818002136</v>
      </c>
      <c r="C206" s="91" t="s">
        <v>283</v>
      </c>
      <c r="D206" s="92">
        <f>VLOOKUP(A206,Proponentes[#Data],19,FALSE)</f>
        <v>1.4917676493254544</v>
      </c>
      <c r="E206" s="93" t="str">
        <f>VLOOKUP(A206,Proponentes[#Data],25,FALSE)</f>
        <v>CUMPLE</v>
      </c>
      <c r="F206" s="94">
        <f>VLOOKUP(A206,Proponentes[#Data],20,FALSE)</f>
        <v>0.61736573586037391</v>
      </c>
      <c r="G206" s="93" t="str">
        <f>VLOOKUP(A206,Proponentes[#Data],26,FALSE)</f>
        <v>NO CUMPLE</v>
      </c>
      <c r="H206" s="95">
        <f>VLOOKUP(A206,Proponentes[#Data],21,FALSE)</f>
        <v>343.36820807712928</v>
      </c>
      <c r="I206" s="93" t="str">
        <f>VLOOKUP(A206,Proponentes[#Data],27,FALSE)</f>
        <v>CUMPLE</v>
      </c>
      <c r="J206" s="96" t="str">
        <f t="shared" si="6"/>
        <v>NO CUMPLE</v>
      </c>
      <c r="K206" s="98">
        <f>VLOOKUP(A206,Proponentes[#Data],35,FALSE)</f>
        <v>0</v>
      </c>
      <c r="L206" s="102">
        <f>VLOOKUP(A206,Hoja2!$A$2:$F$329,6,FALSE)</f>
        <v>0</v>
      </c>
      <c r="M206" s="97" t="s">
        <v>814</v>
      </c>
      <c r="N206" s="103">
        <f t="shared" si="7"/>
        <v>0</v>
      </c>
    </row>
    <row r="207" spans="1:14" ht="27" customHeight="1" x14ac:dyDescent="0.2">
      <c r="A207" s="89">
        <v>202</v>
      </c>
      <c r="B207" s="90">
        <v>900135278</v>
      </c>
      <c r="C207" s="91" t="s">
        <v>285</v>
      </c>
      <c r="D207" s="92">
        <f>VLOOKUP(A207,Proponentes[#Data],19,FALSE)</f>
        <v>50.940009432360185</v>
      </c>
      <c r="E207" s="93" t="str">
        <f>VLOOKUP(A207,Proponentes[#Data],25,FALSE)</f>
        <v>CUMPLE</v>
      </c>
      <c r="F207" s="94">
        <f>VLOOKUP(A207,Proponentes[#Data],20,FALSE)</f>
        <v>1.9630934723870296E-2</v>
      </c>
      <c r="G207" s="93" t="str">
        <f>VLOOKUP(A207,Proponentes[#Data],26,FALSE)</f>
        <v>NO CUMPLE</v>
      </c>
      <c r="H207" s="95">
        <f>VLOOKUP(A207,Proponentes[#Data],21,FALSE)</f>
        <v>382.45775954093386</v>
      </c>
      <c r="I207" s="93" t="str">
        <f>VLOOKUP(A207,Proponentes[#Data],27,FALSE)</f>
        <v>CUMPLE</v>
      </c>
      <c r="J207" s="96" t="str">
        <f t="shared" si="6"/>
        <v>NO CUMPLE</v>
      </c>
      <c r="K207" s="98">
        <f>VLOOKUP(A207,Proponentes[#Data],35,FALSE)</f>
        <v>0</v>
      </c>
      <c r="L207" s="102">
        <f>VLOOKUP(A207,Hoja2!$A$2:$F$329,6,FALSE)</f>
        <v>0</v>
      </c>
      <c r="M207" s="97" t="s">
        <v>814</v>
      </c>
      <c r="N207" s="103">
        <f t="shared" si="7"/>
        <v>0</v>
      </c>
    </row>
    <row r="208" spans="1:14" ht="27" customHeight="1" x14ac:dyDescent="0.2">
      <c r="A208" s="89">
        <v>203</v>
      </c>
      <c r="B208" s="90">
        <v>900407911</v>
      </c>
      <c r="C208" s="91" t="s">
        <v>286</v>
      </c>
      <c r="D208" s="92">
        <f>VLOOKUP(A208,Proponentes[#Data],19,FALSE)</f>
        <v>4.5977088800508117</v>
      </c>
      <c r="E208" s="93" t="str">
        <f>VLOOKUP(A208,Proponentes[#Data],25,FALSE)</f>
        <v>CUMPLE</v>
      </c>
      <c r="F208" s="94">
        <f>VLOOKUP(A208,Proponentes[#Data],20,FALSE)</f>
        <v>0.21749963429371122</v>
      </c>
      <c r="G208" s="93" t="str">
        <f>VLOOKUP(A208,Proponentes[#Data],26,FALSE)</f>
        <v>NO CUMPLE</v>
      </c>
      <c r="H208" s="95">
        <f>VLOOKUP(A208,Proponentes[#Data],21,FALSE)</f>
        <v>122.01407170009999</v>
      </c>
      <c r="I208" s="93" t="str">
        <f>VLOOKUP(A208,Proponentes[#Data],27,FALSE)</f>
        <v>CUMPLE</v>
      </c>
      <c r="J208" s="96" t="str">
        <f t="shared" si="6"/>
        <v>NO CUMPLE</v>
      </c>
      <c r="K208" s="98">
        <f>VLOOKUP(A208,Proponentes[#Data],35,FALSE)</f>
        <v>0</v>
      </c>
      <c r="L208" s="102">
        <f>VLOOKUP(A208,Hoja2!$A$2:$F$329,6,FALSE)</f>
        <v>0</v>
      </c>
      <c r="M208" s="97" t="s">
        <v>814</v>
      </c>
      <c r="N208" s="103">
        <f t="shared" si="7"/>
        <v>0</v>
      </c>
    </row>
    <row r="209" spans="1:14" ht="27" customHeight="1" x14ac:dyDescent="0.2">
      <c r="A209" s="89">
        <v>204</v>
      </c>
      <c r="B209" s="90">
        <v>901021554</v>
      </c>
      <c r="C209" s="91" t="s">
        <v>287</v>
      </c>
      <c r="D209" s="92">
        <f>VLOOKUP(A209,Proponentes[#Data],19,FALSE)</f>
        <v>5.0757932360320526</v>
      </c>
      <c r="E209" s="93" t="str">
        <f>VLOOKUP(A209,Proponentes[#Data],25,FALSE)</f>
        <v>CUMPLE</v>
      </c>
      <c r="F209" s="94">
        <f>VLOOKUP(A209,Proponentes[#Data],20,FALSE)</f>
        <v>0.33146613667131103</v>
      </c>
      <c r="G209" s="93" t="str">
        <f>VLOOKUP(A209,Proponentes[#Data],26,FALSE)</f>
        <v>NO CUMPLE</v>
      </c>
      <c r="H209" s="95">
        <f>VLOOKUP(A209,Proponentes[#Data],21,FALSE)</f>
        <v>196.36222461587508</v>
      </c>
      <c r="I209" s="93" t="str">
        <f>VLOOKUP(A209,Proponentes[#Data],27,FALSE)</f>
        <v>CUMPLE</v>
      </c>
      <c r="J209" s="96" t="str">
        <f t="shared" si="6"/>
        <v>NO CUMPLE</v>
      </c>
      <c r="K209" s="98">
        <f>VLOOKUP(A209,Proponentes[#Data],35,FALSE)</f>
        <v>0</v>
      </c>
      <c r="L209" s="102">
        <f>VLOOKUP(A209,Hoja2!$A$2:$F$329,6,FALSE)</f>
        <v>0</v>
      </c>
      <c r="M209" s="97" t="s">
        <v>814</v>
      </c>
      <c r="N209" s="103">
        <f t="shared" si="7"/>
        <v>0</v>
      </c>
    </row>
    <row r="210" spans="1:14" ht="27" customHeight="1" x14ac:dyDescent="0.2">
      <c r="A210" s="89">
        <v>205</v>
      </c>
      <c r="B210" s="90">
        <v>825001517</v>
      </c>
      <c r="C210" s="91" t="s">
        <v>289</v>
      </c>
      <c r="D210" s="92">
        <f>VLOOKUP(A210,Proponentes[#Data],19,FALSE)</f>
        <v>2.3355472771832995</v>
      </c>
      <c r="E210" s="93" t="s">
        <v>470</v>
      </c>
      <c r="F210" s="94" t="s">
        <v>470</v>
      </c>
      <c r="G210" s="93" t="s">
        <v>470</v>
      </c>
      <c r="H210" s="95" t="s">
        <v>470</v>
      </c>
      <c r="I210" s="93" t="s">
        <v>470</v>
      </c>
      <c r="J210" s="96" t="str">
        <f t="shared" si="6"/>
        <v>NO CUMPLE</v>
      </c>
      <c r="K210" s="98">
        <f>VLOOKUP(A210,Proponentes[#Data],35,FALSE)</f>
        <v>172.18577899467951</v>
      </c>
      <c r="L210" s="102">
        <f>VLOOKUP(A210,Hoja2!$A$2:$F$329,6,FALSE)</f>
        <v>172.18577899467951</v>
      </c>
      <c r="M210" s="97" t="str">
        <f>VLOOKUP(A210,Proponentes[#Data],29,FALSE)</f>
        <v>NO CUMPLE. Los estados financieros no fueron objeto de verificación financiera, toda vez que ya habían aportado el rup en la evaluación preliminar.</v>
      </c>
      <c r="N210" s="103">
        <f t="shared" si="7"/>
        <v>0</v>
      </c>
    </row>
    <row r="211" spans="1:14" ht="27" customHeight="1" x14ac:dyDescent="0.2">
      <c r="A211" s="89">
        <v>206</v>
      </c>
      <c r="B211" s="90">
        <v>900244596</v>
      </c>
      <c r="C211" s="91" t="s">
        <v>290</v>
      </c>
      <c r="D211" s="92">
        <f>VLOOKUP(A211,Proponentes[#Data],19,FALSE)</f>
        <v>528.61904761904759</v>
      </c>
      <c r="E211" s="93" t="str">
        <f>VLOOKUP(A211,Proponentes[#Data],25,FALSE)</f>
        <v>CUMPLE</v>
      </c>
      <c r="F211" s="94">
        <f>VLOOKUP(A211,Proponentes[#Data],20,FALSE)</f>
        <v>1.2040594002637464E-3</v>
      </c>
      <c r="G211" s="93" t="str">
        <f>VLOOKUP(A211,Proponentes[#Data],26,FALSE)</f>
        <v>CUMPLE</v>
      </c>
      <c r="H211" s="95">
        <f>VLOOKUP(A211,Proponentes[#Data],21,FALSE)</f>
        <v>66.898840259094143</v>
      </c>
      <c r="I211" s="93" t="str">
        <f>VLOOKUP(A211,Proponentes[#Data],27,FALSE)</f>
        <v>CUMPLE</v>
      </c>
      <c r="J211" s="96" t="str">
        <f t="shared" si="6"/>
        <v>CUMPLE</v>
      </c>
      <c r="K211" s="98">
        <f>VLOOKUP(A211,Proponentes[#Data],35,FALSE)</f>
        <v>40.291969428578888</v>
      </c>
      <c r="L211" s="102">
        <f>VLOOKUP(A211,Hoja2!$A$2:$F$329,6,FALSE)</f>
        <v>40.291969428578888</v>
      </c>
      <c r="M211" s="97"/>
      <c r="N211" s="103">
        <f t="shared" si="7"/>
        <v>0</v>
      </c>
    </row>
    <row r="212" spans="1:14" ht="27" customHeight="1" x14ac:dyDescent="0.2">
      <c r="A212" s="89">
        <v>207</v>
      </c>
      <c r="B212" s="90">
        <v>900225567</v>
      </c>
      <c r="C212" s="91" t="s">
        <v>291</v>
      </c>
      <c r="D212" s="92">
        <f>VLOOKUP(A212,Proponentes[#Data],19,FALSE)</f>
        <v>5.686795752936904</v>
      </c>
      <c r="E212" s="93" t="str">
        <f>VLOOKUP(A212,Proponentes[#Data],25,FALSE)</f>
        <v>CUMPLE</v>
      </c>
      <c r="F212" s="94">
        <f>VLOOKUP(A212,Proponentes[#Data],20,FALSE)</f>
        <v>0.14622688148958757</v>
      </c>
      <c r="G212" s="93" t="str">
        <f>VLOOKUP(A212,Proponentes[#Data],26,FALSE)</f>
        <v>CUMPLE</v>
      </c>
      <c r="H212" s="95">
        <f>VLOOKUP(A212,Proponentes[#Data],21,FALSE)</f>
        <v>57.349288964347991</v>
      </c>
      <c r="I212" s="93" t="str">
        <f>VLOOKUP(A212,Proponentes[#Data],27,FALSE)</f>
        <v>CUMPLE</v>
      </c>
      <c r="J212" s="96" t="str">
        <f t="shared" si="6"/>
        <v>CUMPLE</v>
      </c>
      <c r="K212" s="98">
        <f>VLOOKUP(A212,Proponentes[#Data],35,FALSE)</f>
        <v>138.71049568132847</v>
      </c>
      <c r="L212" s="102">
        <f>VLOOKUP(A212,Hoja2!$A$2:$F$329,6,FALSE)</f>
        <v>138.71049568132847</v>
      </c>
      <c r="M212" s="97"/>
      <c r="N212" s="103">
        <f t="shared" si="7"/>
        <v>0</v>
      </c>
    </row>
    <row r="213" spans="1:14" ht="27" customHeight="1" x14ac:dyDescent="0.2">
      <c r="A213" s="89">
        <v>208</v>
      </c>
      <c r="B213" s="90">
        <v>900200181</v>
      </c>
      <c r="C213" s="91" t="s">
        <v>293</v>
      </c>
      <c r="D213" s="92">
        <f>VLOOKUP(A213,Proponentes[#Data],19,FALSE)</f>
        <v>7.5583910002923327</v>
      </c>
      <c r="E213" s="93" t="str">
        <f>VLOOKUP(A213,Proponentes[#Data],25,FALSE)</f>
        <v>CUMPLE</v>
      </c>
      <c r="F213" s="94">
        <f>VLOOKUP(A213,Proponentes[#Data],20,FALSE)</f>
        <v>0.1323032904703294</v>
      </c>
      <c r="G213" s="93" t="str">
        <f>VLOOKUP(A213,Proponentes[#Data],26,FALSE)</f>
        <v>NO CUMPLE</v>
      </c>
      <c r="H213" s="95">
        <f>VLOOKUP(A213,Proponentes[#Data],21,FALSE)</f>
        <v>913.70697100406221</v>
      </c>
      <c r="I213" s="93" t="str">
        <f>VLOOKUP(A213,Proponentes[#Data],27,FALSE)</f>
        <v>CUMPLE</v>
      </c>
      <c r="J213" s="96" t="str">
        <f t="shared" si="6"/>
        <v>NO CUMPLE</v>
      </c>
      <c r="K213" s="98">
        <f>VLOOKUP(A213,Proponentes[#Data],35,FALSE)</f>
        <v>0</v>
      </c>
      <c r="L213" s="102">
        <f>VLOOKUP(A213,Hoja2!$A$2:$F$329,6,FALSE)</f>
        <v>0</v>
      </c>
      <c r="M213" s="97" t="s">
        <v>814</v>
      </c>
      <c r="N213" s="103">
        <f t="shared" si="7"/>
        <v>0</v>
      </c>
    </row>
    <row r="214" spans="1:14" ht="27" customHeight="1" x14ac:dyDescent="0.2">
      <c r="A214" s="89">
        <v>209</v>
      </c>
      <c r="B214" s="90">
        <v>890802356</v>
      </c>
      <c r="C214" s="91" t="s">
        <v>294</v>
      </c>
      <c r="D214" s="92">
        <f>VLOOKUP(A214,Proponentes[#Data],19,FALSE)</f>
        <v>4.2588881014535831</v>
      </c>
      <c r="E214" s="93" t="str">
        <f>VLOOKUP(A214,Proponentes[#Data],25,FALSE)</f>
        <v>CUMPLE</v>
      </c>
      <c r="F214" s="94">
        <f>VLOOKUP(A214,Proponentes[#Data],20,FALSE)</f>
        <v>0.23480306976337187</v>
      </c>
      <c r="G214" s="93" t="str">
        <f>VLOOKUP(A214,Proponentes[#Data],26,FALSE)</f>
        <v>CUMPLE</v>
      </c>
      <c r="H214" s="95">
        <f>VLOOKUP(A214,Proponentes[#Data],21,FALSE)</f>
        <v>1090.7698341778205</v>
      </c>
      <c r="I214" s="93" t="str">
        <f>VLOOKUP(A214,Proponentes[#Data],27,FALSE)</f>
        <v>CUMPLE</v>
      </c>
      <c r="J214" s="96" t="str">
        <f t="shared" si="6"/>
        <v>CUMPLE</v>
      </c>
      <c r="K214" s="98">
        <f>VLOOKUP(A214,Proponentes[#Data],35,FALSE)</f>
        <v>1023.0953544749674</v>
      </c>
      <c r="L214" s="102">
        <f>VLOOKUP(A214,Hoja2!$A$2:$F$329,6,FALSE)</f>
        <v>1023.0953544749674</v>
      </c>
      <c r="M214" s="97"/>
      <c r="N214" s="103">
        <f t="shared" si="7"/>
        <v>0</v>
      </c>
    </row>
    <row r="215" spans="1:14" ht="27" customHeight="1" x14ac:dyDescent="0.2">
      <c r="A215" s="89">
        <v>210</v>
      </c>
      <c r="B215" s="90">
        <v>802018059</v>
      </c>
      <c r="C215" s="91" t="s">
        <v>295</v>
      </c>
      <c r="D215" s="92">
        <f>VLOOKUP(A215,Proponentes[#Data],19,FALSE)</f>
        <v>544.1069805084245</v>
      </c>
      <c r="E215" s="93" t="str">
        <f>VLOOKUP(A215,Proponentes[#Data],25,FALSE)</f>
        <v>CUMPLE</v>
      </c>
      <c r="F215" s="94">
        <f>VLOOKUP(A215,Proponentes[#Data],20,FALSE)</f>
        <v>6.9469393691451962E-3</v>
      </c>
      <c r="G215" s="93" t="str">
        <f>VLOOKUP(A215,Proponentes[#Data],26,FALSE)</f>
        <v>CUMPLE</v>
      </c>
      <c r="H215" s="95">
        <f>VLOOKUP(A215,Proponentes[#Data],21,FALSE)</f>
        <v>1897.0555079240107</v>
      </c>
      <c r="I215" s="93" t="str">
        <f>VLOOKUP(A215,Proponentes[#Data],27,FALSE)</f>
        <v>CUMPLE</v>
      </c>
      <c r="J215" s="96" t="str">
        <f t="shared" si="6"/>
        <v>CUMPLE</v>
      </c>
      <c r="K215" s="98">
        <f>VLOOKUP(A215,Proponentes[#Data],35,FALSE)</f>
        <v>183.19637467997651</v>
      </c>
      <c r="L215" s="102">
        <f>VLOOKUP(A215,Hoja2!$A$2:$F$329,6,FALSE)</f>
        <v>183.19637467997649</v>
      </c>
      <c r="M215" s="97"/>
      <c r="N215" s="103">
        <f t="shared" si="7"/>
        <v>0</v>
      </c>
    </row>
    <row r="216" spans="1:14" ht="27" customHeight="1" x14ac:dyDescent="0.2">
      <c r="A216" s="89">
        <v>211</v>
      </c>
      <c r="B216" s="90">
        <v>900285238</v>
      </c>
      <c r="C216" s="91" t="s">
        <v>297</v>
      </c>
      <c r="D216" s="92" t="str">
        <f>VLOOKUP(A216,Proponentes[#Data],19,FALSE)</f>
        <v>INDETERMINADO</v>
      </c>
      <c r="E216" s="93" t="str">
        <f>VLOOKUP(A216,Proponentes[#Data],25,FALSE)</f>
        <v>CUMPLE</v>
      </c>
      <c r="F216" s="94">
        <f>VLOOKUP(A216,Proponentes[#Data],20,FALSE)</f>
        <v>0</v>
      </c>
      <c r="G216" s="93" t="str">
        <f>VLOOKUP(A216,Proponentes[#Data],26,FALSE)</f>
        <v>CUMPLE</v>
      </c>
      <c r="H216" s="95">
        <f>VLOOKUP(A216,Proponentes[#Data],21,FALSE)</f>
        <v>17.999923923701509</v>
      </c>
      <c r="I216" s="93" t="str">
        <f>VLOOKUP(A216,Proponentes[#Data],27,FALSE)</f>
        <v>CUMPLE</v>
      </c>
      <c r="J216" s="96" t="str">
        <f t="shared" si="6"/>
        <v>CUMPLE</v>
      </c>
      <c r="K216" s="98">
        <f>VLOOKUP(A216,Proponentes[#Data],35,FALSE)</f>
        <v>0</v>
      </c>
      <c r="L216" s="102">
        <f>VLOOKUP(A216,Hoja2!$A$2:$F$329,6,FALSE)</f>
        <v>0</v>
      </c>
      <c r="M216" s="97"/>
      <c r="N216" s="103">
        <f t="shared" si="7"/>
        <v>0</v>
      </c>
    </row>
    <row r="217" spans="1:14" ht="27" customHeight="1" x14ac:dyDescent="0.2">
      <c r="A217" s="89">
        <v>212</v>
      </c>
      <c r="B217" s="90">
        <v>900640221</v>
      </c>
      <c r="C217" s="91" t="s">
        <v>299</v>
      </c>
      <c r="D217" s="92">
        <f>VLOOKUP(A217,Proponentes[#Data],19,FALSE)</f>
        <v>16.632549860376155</v>
      </c>
      <c r="E217" s="93" t="str">
        <f>VLOOKUP(A217,Proponentes[#Data],25,FALSE)</f>
        <v>CUMPLE</v>
      </c>
      <c r="F217" s="94">
        <f>VLOOKUP(A217,Proponentes[#Data],20,FALSE)</f>
        <v>2.0326030766143911E-2</v>
      </c>
      <c r="G217" s="93" t="str">
        <f>VLOOKUP(A217,Proponentes[#Data],26,FALSE)</f>
        <v>CUMPLE</v>
      </c>
      <c r="H217" s="95">
        <f>VLOOKUP(A217,Proponentes[#Data],21,FALSE)</f>
        <v>401.98558414521636</v>
      </c>
      <c r="I217" s="93" t="str">
        <f>VLOOKUP(A217,Proponentes[#Data],27,FALSE)</f>
        <v>CUMPLE</v>
      </c>
      <c r="J217" s="96" t="str">
        <f t="shared" si="6"/>
        <v>CUMPLE</v>
      </c>
      <c r="K217" s="98">
        <f>VLOOKUP(A217,Proponentes[#Data],35,FALSE)</f>
        <v>184.32753253612</v>
      </c>
      <c r="L217" s="102">
        <f>VLOOKUP(A217,Hoja2!$A$2:$F$329,6,FALSE)</f>
        <v>184.32753253612</v>
      </c>
      <c r="M217" s="97"/>
      <c r="N217" s="103">
        <f t="shared" si="7"/>
        <v>0</v>
      </c>
    </row>
    <row r="218" spans="1:14" ht="27" customHeight="1" x14ac:dyDescent="0.2">
      <c r="A218" s="89">
        <v>213</v>
      </c>
      <c r="B218" s="90">
        <v>823003096</v>
      </c>
      <c r="C218" s="91" t="s">
        <v>301</v>
      </c>
      <c r="D218" s="92">
        <f>VLOOKUP(A218,Proponentes[#Data],19,FALSE)</f>
        <v>1.7986555766574586</v>
      </c>
      <c r="E218" s="93" t="str">
        <f>VLOOKUP(A218,Proponentes[#Data],25,FALSE)</f>
        <v>CUMPLE</v>
      </c>
      <c r="F218" s="94">
        <f>VLOOKUP(A218,Proponentes[#Data],20,FALSE)</f>
        <v>0.25016398547267676</v>
      </c>
      <c r="G218" s="93" t="str">
        <f>VLOOKUP(A218,Proponentes[#Data],26,FALSE)</f>
        <v>NO CUMPLE</v>
      </c>
      <c r="H218" s="95">
        <f>VLOOKUP(A218,Proponentes[#Data],21,FALSE)</f>
        <v>55.859482246448565</v>
      </c>
      <c r="I218" s="93" t="str">
        <f>VLOOKUP(A218,Proponentes[#Data],27,FALSE)</f>
        <v>CUMPLE</v>
      </c>
      <c r="J218" s="96" t="str">
        <f t="shared" si="6"/>
        <v>NO CUMPLE</v>
      </c>
      <c r="K218" s="98">
        <f>VLOOKUP(A218,Proponentes[#Data],35,FALSE)</f>
        <v>0</v>
      </c>
      <c r="L218" s="102">
        <f>VLOOKUP(A218,Hoja2!$A$2:$F$329,6,FALSE)</f>
        <v>0</v>
      </c>
      <c r="M218" s="97" t="s">
        <v>814</v>
      </c>
      <c r="N218" s="103">
        <f t="shared" si="7"/>
        <v>0</v>
      </c>
    </row>
    <row r="219" spans="1:14" ht="27" customHeight="1" x14ac:dyDescent="0.2">
      <c r="A219" s="89">
        <v>214</v>
      </c>
      <c r="B219" s="90">
        <v>806015985</v>
      </c>
      <c r="C219" s="91" t="s">
        <v>303</v>
      </c>
      <c r="D219" s="92">
        <f>VLOOKUP(A219,Proponentes[#Data],19,FALSE)</f>
        <v>1.2185945132135678</v>
      </c>
      <c r="E219" s="93" t="str">
        <f>VLOOKUP(A219,Proponentes[#Data],25,FALSE)</f>
        <v>CUMPLE</v>
      </c>
      <c r="F219" s="94">
        <f>VLOOKUP(A219,Proponentes[#Data],20,FALSE)</f>
        <v>0.37014704350328415</v>
      </c>
      <c r="G219" s="93" t="str">
        <f>VLOOKUP(A219,Proponentes[#Data],26,FALSE)</f>
        <v>NO CUMPLE</v>
      </c>
      <c r="H219" s="95">
        <f>VLOOKUP(A219,Proponentes[#Data],21,FALSE)</f>
        <v>32.327820015553378</v>
      </c>
      <c r="I219" s="93" t="str">
        <f>VLOOKUP(A219,Proponentes[#Data],27,FALSE)</f>
        <v>CUMPLE</v>
      </c>
      <c r="J219" s="96" t="str">
        <f t="shared" si="6"/>
        <v>NO CUMPLE</v>
      </c>
      <c r="K219" s="98">
        <f>VLOOKUP(A219,Proponentes[#Data],35,FALSE)</f>
        <v>0</v>
      </c>
      <c r="L219" s="102">
        <f>VLOOKUP(A219,Hoja2!$A$2:$F$329,6,FALSE)</f>
        <v>0</v>
      </c>
      <c r="M219" s="97" t="s">
        <v>814</v>
      </c>
      <c r="N219" s="103">
        <f t="shared" si="7"/>
        <v>0</v>
      </c>
    </row>
    <row r="220" spans="1:14" ht="27" customHeight="1" x14ac:dyDescent="0.2">
      <c r="A220" s="89">
        <v>215</v>
      </c>
      <c r="B220" s="90">
        <v>830123253</v>
      </c>
      <c r="C220" s="91" t="s">
        <v>305</v>
      </c>
      <c r="D220" s="92">
        <f>VLOOKUP(A220,Proponentes[#Data],19,FALSE)</f>
        <v>1.4376183718806856</v>
      </c>
      <c r="E220" s="93" t="str">
        <f>VLOOKUP(A220,Proponentes[#Data],25,FALSE)</f>
        <v>CUMPLE</v>
      </c>
      <c r="F220" s="94">
        <f>VLOOKUP(A220,Proponentes[#Data],20,FALSE)</f>
        <v>0.50485897897976661</v>
      </c>
      <c r="G220" s="93" t="str">
        <f>VLOOKUP(A220,Proponentes[#Data],26,FALSE)</f>
        <v>CUMPLE</v>
      </c>
      <c r="H220" s="95">
        <f>VLOOKUP(A220,Proponentes[#Data],21,FALSE)</f>
        <v>97.774023204478596</v>
      </c>
      <c r="I220" s="93" t="str">
        <f>VLOOKUP(A220,Proponentes[#Data],27,FALSE)</f>
        <v>CUMPLE</v>
      </c>
      <c r="J220" s="96" t="str">
        <f t="shared" si="6"/>
        <v>CUMPLE</v>
      </c>
      <c r="K220" s="98">
        <f>VLOOKUP(A220,Proponentes[#Data],35,FALSE)</f>
        <v>173.70381709165963</v>
      </c>
      <c r="L220" s="102">
        <f>VLOOKUP(A220,Hoja2!$A$2:$F$329,6,FALSE)</f>
        <v>173.70381709165963</v>
      </c>
      <c r="M220" s="97"/>
      <c r="N220" s="103">
        <f t="shared" si="7"/>
        <v>0</v>
      </c>
    </row>
    <row r="221" spans="1:14" ht="27" customHeight="1" x14ac:dyDescent="0.2">
      <c r="A221" s="89">
        <v>216</v>
      </c>
      <c r="B221" s="90">
        <v>818002076</v>
      </c>
      <c r="C221" s="91" t="s">
        <v>307</v>
      </c>
      <c r="D221" s="92">
        <f>VLOOKUP(A221,Proponentes[#Data],19,FALSE)</f>
        <v>19.82181818181818</v>
      </c>
      <c r="E221" s="93" t="str">
        <f>VLOOKUP(A221,Proponentes[#Data],25,FALSE)</f>
        <v>CUMPLE</v>
      </c>
      <c r="F221" s="94">
        <f>VLOOKUP(A221,Proponentes[#Data],20,FALSE)</f>
        <v>7.9265568478245202E-3</v>
      </c>
      <c r="G221" s="93" t="str">
        <f>VLOOKUP(A221,Proponentes[#Data],26,FALSE)</f>
        <v>CUMPLE</v>
      </c>
      <c r="H221" s="95">
        <f>VLOOKUP(A221,Proponentes[#Data],21,FALSE)</f>
        <v>125.00664158161418</v>
      </c>
      <c r="I221" s="93" t="str">
        <f>VLOOKUP(A221,Proponentes[#Data],27,FALSE)</f>
        <v>CUMPLE</v>
      </c>
      <c r="J221" s="96" t="str">
        <f t="shared" si="6"/>
        <v>CUMPLE</v>
      </c>
      <c r="K221" s="98">
        <f>VLOOKUP(A221,Proponentes[#Data],35,FALSE)</f>
        <v>692.23006443585984</v>
      </c>
      <c r="L221" s="102">
        <f>VLOOKUP(A221,Hoja2!$A$2:$F$329,6,FALSE)</f>
        <v>692.23006443585984</v>
      </c>
      <c r="M221" s="97"/>
      <c r="N221" s="103">
        <f t="shared" si="7"/>
        <v>0</v>
      </c>
    </row>
    <row r="222" spans="1:14" ht="27" customHeight="1" x14ac:dyDescent="0.2">
      <c r="A222" s="89">
        <v>217</v>
      </c>
      <c r="B222" s="90">
        <v>890327635</v>
      </c>
      <c r="C222" s="91" t="s">
        <v>308</v>
      </c>
      <c r="D222" s="92">
        <f>VLOOKUP(A222,Proponentes[#Data],19,FALSE)</f>
        <v>1.2978955730919173</v>
      </c>
      <c r="E222" s="93" t="str">
        <f>VLOOKUP(A222,Proponentes[#Data],25,FALSE)</f>
        <v>CUMPLE</v>
      </c>
      <c r="F222" s="94">
        <f>VLOOKUP(A222,Proponentes[#Data],20,FALSE)</f>
        <v>0.22861264279092824</v>
      </c>
      <c r="G222" s="93" t="str">
        <f>VLOOKUP(A222,Proponentes[#Data],26,FALSE)</f>
        <v>CUMPLE</v>
      </c>
      <c r="H222" s="95">
        <f>VLOOKUP(A222,Proponentes[#Data],21,FALSE)</f>
        <v>100.09301112404542</v>
      </c>
      <c r="I222" s="93" t="str">
        <f>VLOOKUP(A222,Proponentes[#Data],27,FALSE)</f>
        <v>CUMPLE</v>
      </c>
      <c r="J222" s="96" t="str">
        <f t="shared" si="6"/>
        <v>CUMPLE</v>
      </c>
      <c r="K222" s="98">
        <f>VLOOKUP(A222,Proponentes[#Data],35,FALSE)</f>
        <v>1174.988813821207</v>
      </c>
      <c r="L222" s="102">
        <f>VLOOKUP(A222,Hoja2!$A$2:$F$329,6,FALSE)</f>
        <v>1174.988813821207</v>
      </c>
      <c r="M222" s="97"/>
      <c r="N222" s="103">
        <f t="shared" si="7"/>
        <v>0</v>
      </c>
    </row>
    <row r="223" spans="1:14" ht="27" customHeight="1" x14ac:dyDescent="0.2">
      <c r="A223" s="89">
        <v>218</v>
      </c>
      <c r="B223" s="90">
        <v>813009965</v>
      </c>
      <c r="C223" s="91" t="s">
        <v>310</v>
      </c>
      <c r="D223" s="92">
        <f>VLOOKUP(A223,Proponentes[#Data],19,FALSE)</f>
        <v>6.4893865719917079</v>
      </c>
      <c r="E223" s="93" t="str">
        <f>VLOOKUP(A223,Proponentes[#Data],25,FALSE)</f>
        <v>CUMPLE</v>
      </c>
      <c r="F223" s="94">
        <f>VLOOKUP(A223,Proponentes[#Data],20,FALSE)</f>
        <v>0.15192997165085589</v>
      </c>
      <c r="G223" s="93" t="str">
        <f>VLOOKUP(A223,Proponentes[#Data],26,FALSE)</f>
        <v>CUMPLE</v>
      </c>
      <c r="H223" s="95">
        <f>VLOOKUP(A223,Proponentes[#Data],21,FALSE)</f>
        <v>866.92921040047531</v>
      </c>
      <c r="I223" s="93" t="str">
        <f>VLOOKUP(A223,Proponentes[#Data],27,FALSE)</f>
        <v>CUMPLE</v>
      </c>
      <c r="J223" s="96" t="str">
        <f t="shared" si="6"/>
        <v>CUMPLE</v>
      </c>
      <c r="K223" s="98">
        <f>VLOOKUP(A223,Proponentes[#Data],35,FALSE)</f>
        <v>259.07494954071939</v>
      </c>
      <c r="L223" s="102">
        <f>VLOOKUP(A223,Hoja2!$A$2:$F$329,6,FALSE)</f>
        <v>259.07494954071939</v>
      </c>
      <c r="M223" s="97"/>
      <c r="N223" s="103">
        <f t="shared" si="7"/>
        <v>0</v>
      </c>
    </row>
    <row r="224" spans="1:14" ht="27" customHeight="1" x14ac:dyDescent="0.2">
      <c r="A224" s="89">
        <v>219</v>
      </c>
      <c r="B224" s="90">
        <v>832007250</v>
      </c>
      <c r="C224" s="91" t="s">
        <v>311</v>
      </c>
      <c r="D224" s="92" t="str">
        <f>VLOOKUP(A224,Proponentes[#Data],19,FALSE)</f>
        <v>INDETERMINADO</v>
      </c>
      <c r="E224" s="93" t="str">
        <f>VLOOKUP(A224,Proponentes[#Data],25,FALSE)</f>
        <v>CUMPLE</v>
      </c>
      <c r="F224" s="94">
        <f>VLOOKUP(A224,Proponentes[#Data],20,FALSE)</f>
        <v>0</v>
      </c>
      <c r="G224" s="93" t="str">
        <f>VLOOKUP(A224,Proponentes[#Data],26,FALSE)</f>
        <v>CUMPLE</v>
      </c>
      <c r="H224" s="95">
        <f>VLOOKUP(A224,Proponentes[#Data],21,FALSE)</f>
        <v>37.809484420057096</v>
      </c>
      <c r="I224" s="93" t="str">
        <f>VLOOKUP(A224,Proponentes[#Data],27,FALSE)</f>
        <v>CUMPLE</v>
      </c>
      <c r="J224" s="96" t="str">
        <f t="shared" si="6"/>
        <v>CUMPLE</v>
      </c>
      <c r="K224" s="98">
        <f>VLOOKUP(A224,Proponentes[#Data],35,FALSE)</f>
        <v>490.5654419753987</v>
      </c>
      <c r="L224" s="102">
        <f>VLOOKUP(A224,Hoja2!$A$2:$F$329,6,FALSE)</f>
        <v>490.5654419753987</v>
      </c>
      <c r="M224" s="97"/>
      <c r="N224" s="103">
        <f t="shared" si="7"/>
        <v>0</v>
      </c>
    </row>
    <row r="225" spans="1:14" ht="27" customHeight="1" x14ac:dyDescent="0.2">
      <c r="A225" s="89">
        <v>220</v>
      </c>
      <c r="B225" s="90">
        <v>901050350</v>
      </c>
      <c r="C225" s="91" t="s">
        <v>313</v>
      </c>
      <c r="D225" s="92" t="str">
        <f>VLOOKUP(A225,Proponentes[#Data],19,FALSE)</f>
        <v>INDETERMINADO</v>
      </c>
      <c r="E225" s="93" t="str">
        <f>VLOOKUP(A225,Proponentes[#Data],25,FALSE)</f>
        <v>CUMPLE</v>
      </c>
      <c r="F225" s="94">
        <f>VLOOKUP(A225,Proponentes[#Data],20,FALSE)</f>
        <v>0</v>
      </c>
      <c r="G225" s="93" t="str">
        <f>VLOOKUP(A225,Proponentes[#Data],26,FALSE)</f>
        <v>CUMPLE</v>
      </c>
      <c r="H225" s="95">
        <f>VLOOKUP(A225,Proponentes[#Data],21,FALSE)</f>
        <v>7.9132283399910159</v>
      </c>
      <c r="I225" s="93" t="str">
        <f>VLOOKUP(A225,Proponentes[#Data],27,FALSE)</f>
        <v>NO CUMPLE</v>
      </c>
      <c r="J225" s="96" t="str">
        <f t="shared" si="6"/>
        <v>NO CUMPLE</v>
      </c>
      <c r="K225" s="98">
        <f>VLOOKUP(A225,Proponentes[#Data],35,FALSE)</f>
        <v>0</v>
      </c>
      <c r="L225" s="102">
        <f>VLOOKUP(A225,Hoja2!$A$2:$F$329,6,FALSE)</f>
        <v>0</v>
      </c>
      <c r="M225" s="97" t="s">
        <v>814</v>
      </c>
      <c r="N225" s="103">
        <f t="shared" si="7"/>
        <v>0</v>
      </c>
    </row>
    <row r="226" spans="1:14" ht="27" customHeight="1" x14ac:dyDescent="0.2">
      <c r="A226" s="89">
        <v>221</v>
      </c>
      <c r="B226" s="90">
        <v>819005772</v>
      </c>
      <c r="C226" s="91" t="s">
        <v>314</v>
      </c>
      <c r="D226" s="92">
        <f>VLOOKUP(A226,Proponentes[#Data],19,FALSE)</f>
        <v>35.814055801609129</v>
      </c>
      <c r="E226" s="93" t="str">
        <f>VLOOKUP(A226,Proponentes[#Data],25,FALSE)</f>
        <v>CUMPLE</v>
      </c>
      <c r="F226" s="94">
        <f>VLOOKUP(A226,Proponentes[#Data],20,FALSE)</f>
        <v>2.5204894736842107E-2</v>
      </c>
      <c r="G226" s="93" t="str">
        <f>VLOOKUP(A226,Proponentes[#Data],26,FALSE)</f>
        <v>NO CUMPLE</v>
      </c>
      <c r="H226" s="95">
        <f>VLOOKUP(A226,Proponentes[#Data],21,FALSE)</f>
        <v>322.12313492312671</v>
      </c>
      <c r="I226" s="93" t="str">
        <f>VLOOKUP(A226,Proponentes[#Data],27,FALSE)</f>
        <v>CUMPLE</v>
      </c>
      <c r="J226" s="96" t="str">
        <f t="shared" si="6"/>
        <v>NO CUMPLE</v>
      </c>
      <c r="K226" s="98">
        <f>VLOOKUP(A226,Proponentes[#Data],35,FALSE)</f>
        <v>0</v>
      </c>
      <c r="L226" s="102">
        <f>VLOOKUP(A226,Hoja2!$A$2:$F$329,6,FALSE)</f>
        <v>0</v>
      </c>
      <c r="M226" s="97" t="s">
        <v>814</v>
      </c>
      <c r="N226" s="103">
        <f t="shared" si="7"/>
        <v>0</v>
      </c>
    </row>
    <row r="227" spans="1:14" ht="27" customHeight="1" x14ac:dyDescent="0.2">
      <c r="A227" s="89">
        <v>222</v>
      </c>
      <c r="B227" s="90">
        <v>890500675</v>
      </c>
      <c r="C227" s="91" t="s">
        <v>316</v>
      </c>
      <c r="D227" s="92">
        <f>VLOOKUP(A227,Proponentes[#Data],19,FALSE)</f>
        <v>1.0563864141028221</v>
      </c>
      <c r="E227" s="93" t="str">
        <f>VLOOKUP(A227,Proponentes[#Data],25,FALSE)</f>
        <v>CUMPLE</v>
      </c>
      <c r="F227" s="94">
        <f>VLOOKUP(A227,Proponentes[#Data],20,FALSE)</f>
        <v>0.55098698565634552</v>
      </c>
      <c r="G227" s="93" t="str">
        <f>VLOOKUP(A227,Proponentes[#Data],26,FALSE)</f>
        <v>NO CUMPLE</v>
      </c>
      <c r="H227" s="95">
        <f>VLOOKUP(A227,Proponentes[#Data],21,FALSE)</f>
        <v>3422.9297107651591</v>
      </c>
      <c r="I227" s="93" t="str">
        <f>VLOOKUP(A227,Proponentes[#Data],27,FALSE)</f>
        <v>CUMPLE</v>
      </c>
      <c r="J227" s="96" t="str">
        <f t="shared" si="6"/>
        <v>NO CUMPLE</v>
      </c>
      <c r="K227" s="98">
        <f>VLOOKUP(A227,Proponentes[#Data],35,FALSE)</f>
        <v>0</v>
      </c>
      <c r="L227" s="102">
        <f>VLOOKUP(A227,Hoja2!$A$2:$F$329,6,FALSE)</f>
        <v>0</v>
      </c>
      <c r="M227" s="97" t="s">
        <v>814</v>
      </c>
      <c r="N227" s="103">
        <f t="shared" si="7"/>
        <v>0</v>
      </c>
    </row>
    <row r="228" spans="1:14" ht="27" customHeight="1" x14ac:dyDescent="0.2">
      <c r="A228" s="89">
        <v>223</v>
      </c>
      <c r="B228" s="90">
        <v>900103852</v>
      </c>
      <c r="C228" s="91" t="s">
        <v>318</v>
      </c>
      <c r="D228" s="92">
        <f>VLOOKUP(A228,Proponentes[#Data],19,FALSE)</f>
        <v>5.5542857142857143</v>
      </c>
      <c r="E228" s="93" t="str">
        <f>VLOOKUP(A228,Proponentes[#Data],25,FALSE)</f>
        <v>CUMPLE</v>
      </c>
      <c r="F228" s="94">
        <f>VLOOKUP(A228,Proponentes[#Data],20,FALSE)</f>
        <v>0.11842461427411351</v>
      </c>
      <c r="G228" s="93" t="str">
        <f>VLOOKUP(A228,Proponentes[#Data],26,FALSE)</f>
        <v>NO CUMPLE</v>
      </c>
      <c r="H228" s="95">
        <f>VLOOKUP(A228,Proponentes[#Data],21,FALSE)</f>
        <v>144.36383308618599</v>
      </c>
      <c r="I228" s="93" t="str">
        <f>VLOOKUP(A228,Proponentes[#Data],27,FALSE)</f>
        <v>CUMPLE</v>
      </c>
      <c r="J228" s="96" t="str">
        <f t="shared" si="6"/>
        <v>NO CUMPLE</v>
      </c>
      <c r="K228" s="98">
        <f>VLOOKUP(A228,Proponentes[#Data],35,FALSE)</f>
        <v>0</v>
      </c>
      <c r="L228" s="102">
        <f>VLOOKUP(A228,Hoja2!$A$2:$F$329,6,FALSE)</f>
        <v>0</v>
      </c>
      <c r="M228" s="97" t="s">
        <v>814</v>
      </c>
      <c r="N228" s="103">
        <f t="shared" si="7"/>
        <v>0</v>
      </c>
    </row>
    <row r="229" spans="1:14" ht="27" customHeight="1" x14ac:dyDescent="0.2">
      <c r="A229" s="89">
        <v>224</v>
      </c>
      <c r="B229" s="90">
        <v>900043721</v>
      </c>
      <c r="C229" s="91" t="s">
        <v>477</v>
      </c>
      <c r="D229" s="92" t="str">
        <f>VLOOKUP(A229,Proponentes[#Data],19,FALSE)</f>
        <v>INDETERMINADO</v>
      </c>
      <c r="E229" s="96" t="s">
        <v>771</v>
      </c>
      <c r="F229" s="94">
        <f>VLOOKUP(A229,Proponentes[#Data],20,FALSE)</f>
        <v>0</v>
      </c>
      <c r="G229" s="96" t="s">
        <v>771</v>
      </c>
      <c r="H229" s="95">
        <f>VLOOKUP(A229,Proponentes[#Data],21,FALSE)</f>
        <v>0</v>
      </c>
      <c r="I229" s="96" t="s">
        <v>771</v>
      </c>
      <c r="J229" s="96" t="s">
        <v>771</v>
      </c>
      <c r="K229" s="98">
        <f>VLOOKUP(A229,Proponentes[#Data],35,FALSE)</f>
        <v>0</v>
      </c>
      <c r="L229" s="102">
        <f>VLOOKUP(A229,Hoja2!$A$2:$F$329,6,FALSE)</f>
        <v>0</v>
      </c>
      <c r="M229" s="97" t="str">
        <f>VLOOKUP(A229,Proponentes[#Data],29,FALSE)</f>
        <v>RECHAZADO. El Oferente presenta doble propuesta 224 y 42</v>
      </c>
      <c r="N229" s="103">
        <f t="shared" si="7"/>
        <v>0</v>
      </c>
    </row>
    <row r="230" spans="1:14" ht="27" customHeight="1" x14ac:dyDescent="0.2">
      <c r="A230" s="89">
        <v>225</v>
      </c>
      <c r="B230" s="90">
        <v>900125247</v>
      </c>
      <c r="C230" s="91" t="s">
        <v>319</v>
      </c>
      <c r="D230" s="92">
        <f>VLOOKUP(A230,Proponentes[#Data],19,FALSE)</f>
        <v>72.198228125</v>
      </c>
      <c r="E230" s="93" t="str">
        <f>VLOOKUP(A230,Proponentes[#Data],25,FALSE)</f>
        <v>CUMPLE</v>
      </c>
      <c r="F230" s="94">
        <f>VLOOKUP(A230,Proponentes[#Data],20,FALSE)</f>
        <v>4.0030183079200782E-2</v>
      </c>
      <c r="G230" s="93" t="str">
        <f>VLOOKUP(A230,Proponentes[#Data],26,FALSE)</f>
        <v>NO CUMPLE</v>
      </c>
      <c r="H230" s="95">
        <f>VLOOKUP(A230,Proponentes[#Data],21,FALSE)</f>
        <v>412.6855356012926</v>
      </c>
      <c r="I230" s="93" t="str">
        <f>VLOOKUP(A230,Proponentes[#Data],27,FALSE)</f>
        <v>CUMPLE</v>
      </c>
      <c r="J230" s="96" t="str">
        <f t="shared" si="6"/>
        <v>NO CUMPLE</v>
      </c>
      <c r="K230" s="98">
        <f>VLOOKUP(A230,Proponentes[#Data],35,FALSE)</f>
        <v>0</v>
      </c>
      <c r="L230" s="102">
        <f>VLOOKUP(A230,Hoja2!$A$2:$F$329,6,FALSE)</f>
        <v>0</v>
      </c>
      <c r="M230" s="97" t="s">
        <v>814</v>
      </c>
      <c r="N230" s="103">
        <f t="shared" si="7"/>
        <v>0</v>
      </c>
    </row>
    <row r="231" spans="1:14" ht="27" customHeight="1" x14ac:dyDescent="0.2">
      <c r="A231" s="89">
        <v>226</v>
      </c>
      <c r="B231" s="90">
        <v>900916233</v>
      </c>
      <c r="C231" s="91" t="s">
        <v>320</v>
      </c>
      <c r="D231" s="92">
        <f>VLOOKUP(A231,Proponentes[#Data],19,FALSE)</f>
        <v>1.5943929243624726</v>
      </c>
      <c r="E231" s="93" t="str">
        <f>VLOOKUP(A231,Proponentes[#Data],25,FALSE)</f>
        <v>CUMPLE</v>
      </c>
      <c r="F231" s="94">
        <f>VLOOKUP(A231,Proponentes[#Data],20,FALSE)</f>
        <v>0.60471502957834311</v>
      </c>
      <c r="G231" s="93" t="str">
        <f>VLOOKUP(A231,Proponentes[#Data],26,FALSE)</f>
        <v>CUMPLE</v>
      </c>
      <c r="H231" s="95">
        <f>VLOOKUP(A231,Proponentes[#Data],21,FALSE)</f>
        <v>274.13294997319218</v>
      </c>
      <c r="I231" s="93" t="str">
        <f>VLOOKUP(A231,Proponentes[#Data],27,FALSE)</f>
        <v>CUMPLE</v>
      </c>
      <c r="J231" s="96" t="str">
        <f t="shared" si="6"/>
        <v>CUMPLE</v>
      </c>
      <c r="K231" s="98">
        <f>VLOOKUP(A231,Proponentes[#Data],35,FALSE)</f>
        <v>26.283965665114629</v>
      </c>
      <c r="L231" s="102">
        <f>VLOOKUP(A231,Hoja2!$A$2:$F$329,6,FALSE)</f>
        <v>26.283965665114629</v>
      </c>
      <c r="M231" s="97"/>
      <c r="N231" s="103">
        <f t="shared" si="7"/>
        <v>0</v>
      </c>
    </row>
    <row r="232" spans="1:14" ht="27" customHeight="1" x14ac:dyDescent="0.2">
      <c r="A232" s="89">
        <v>227</v>
      </c>
      <c r="B232" s="90">
        <v>804011414</v>
      </c>
      <c r="C232" s="91" t="s">
        <v>322</v>
      </c>
      <c r="D232" s="92">
        <f>VLOOKUP(A232,Proponentes[#Data],19,FALSE)</f>
        <v>6.0245789336181961</v>
      </c>
      <c r="E232" s="93" t="str">
        <f>VLOOKUP(A232,Proponentes[#Data],25,FALSE)</f>
        <v>CUMPLE</v>
      </c>
      <c r="F232" s="94">
        <f>VLOOKUP(A232,Proponentes[#Data],20,FALSE)</f>
        <v>0.15341788645744148</v>
      </c>
      <c r="G232" s="93" t="str">
        <f>VLOOKUP(A232,Proponentes[#Data],26,FALSE)</f>
        <v>CUMPLE</v>
      </c>
      <c r="H232" s="95">
        <f>VLOOKUP(A232,Proponentes[#Data],21,FALSE)</f>
        <v>396.97519791913209</v>
      </c>
      <c r="I232" s="93" t="str">
        <f>VLOOKUP(A232,Proponentes[#Data],27,FALSE)</f>
        <v>CUMPLE</v>
      </c>
      <c r="J232" s="96" t="str">
        <f t="shared" si="6"/>
        <v>CUMPLE</v>
      </c>
      <c r="K232" s="98">
        <f>VLOOKUP(A232,Proponentes[#Data],35,FALSE)</f>
        <v>949.25564500706287</v>
      </c>
      <c r="L232" s="102">
        <f>VLOOKUP(A232,Hoja2!$A$2:$F$329,6,FALSE)</f>
        <v>949.25564500706298</v>
      </c>
      <c r="M232" s="97"/>
      <c r="N232" s="103">
        <f t="shared" si="7"/>
        <v>0</v>
      </c>
    </row>
    <row r="233" spans="1:14" ht="27" customHeight="1" x14ac:dyDescent="0.2">
      <c r="A233" s="89">
        <v>228</v>
      </c>
      <c r="B233" s="90">
        <v>900252699</v>
      </c>
      <c r="C233" s="91" t="s">
        <v>323</v>
      </c>
      <c r="D233" s="92">
        <f>VLOOKUP(A233,Proponentes[#Data],19,FALSE)</f>
        <v>1.326993021844578</v>
      </c>
      <c r="E233" s="93" t="str">
        <f>VLOOKUP(A233,Proponentes[#Data],25,FALSE)</f>
        <v>CUMPLE</v>
      </c>
      <c r="F233" s="94">
        <f>VLOOKUP(A233,Proponentes[#Data],20,FALSE)</f>
        <v>0.63876505205309864</v>
      </c>
      <c r="G233" s="93" t="str">
        <f>VLOOKUP(A233,Proponentes[#Data],26,FALSE)</f>
        <v>CUMPLE</v>
      </c>
      <c r="H233" s="95">
        <f>VLOOKUP(A233,Proponentes[#Data],21,FALSE)</f>
        <v>91.936423158108283</v>
      </c>
      <c r="I233" s="93" t="str">
        <f>VLOOKUP(A233,Proponentes[#Data],27,FALSE)</f>
        <v>CUMPLE</v>
      </c>
      <c r="J233" s="96" t="str">
        <f t="shared" si="6"/>
        <v>CUMPLE</v>
      </c>
      <c r="K233" s="98">
        <f>VLOOKUP(A233,Proponentes[#Data],35,FALSE)</f>
        <v>38.798789477768295</v>
      </c>
      <c r="L233" s="102">
        <f>VLOOKUP(A233,Hoja2!$A$2:$F$329,6,FALSE)</f>
        <v>38.798789477768295</v>
      </c>
      <c r="M233" s="97"/>
      <c r="N233" s="103">
        <f t="shared" si="7"/>
        <v>0</v>
      </c>
    </row>
    <row r="234" spans="1:14" ht="27" customHeight="1" x14ac:dyDescent="0.2">
      <c r="A234" s="89">
        <v>229</v>
      </c>
      <c r="B234" s="90">
        <v>800193248</v>
      </c>
      <c r="C234" s="91" t="s">
        <v>324</v>
      </c>
      <c r="D234" s="92">
        <f>VLOOKUP(A234,Proponentes[#Data],19,FALSE)</f>
        <v>3.7531700883966397</v>
      </c>
      <c r="E234" s="93" t="str">
        <f>VLOOKUP(A234,Proponentes[#Data],25,FALSE)</f>
        <v>CUMPLE</v>
      </c>
      <c r="F234" s="94">
        <f>VLOOKUP(A234,Proponentes[#Data],20,FALSE)</f>
        <v>0.22385353260005006</v>
      </c>
      <c r="G234" s="93" t="str">
        <f>VLOOKUP(A234,Proponentes[#Data],26,FALSE)</f>
        <v>CUMPLE</v>
      </c>
      <c r="H234" s="95">
        <f>VLOOKUP(A234,Proponentes[#Data],21,FALSE)</f>
        <v>4265.6030495727655</v>
      </c>
      <c r="I234" s="93" t="str">
        <f>VLOOKUP(A234,Proponentes[#Data],27,FALSE)</f>
        <v>CUMPLE</v>
      </c>
      <c r="J234" s="96" t="str">
        <f t="shared" si="6"/>
        <v>CUMPLE</v>
      </c>
      <c r="K234" s="98">
        <f>VLOOKUP(A234,Proponentes[#Data],35,FALSE)</f>
        <v>490.86630720894118</v>
      </c>
      <c r="L234" s="102">
        <f>VLOOKUP(A234,Hoja2!$A$2:$F$329,6,FALSE)</f>
        <v>490.86630720894118</v>
      </c>
      <c r="M234" s="97"/>
      <c r="N234" s="103">
        <f t="shared" si="7"/>
        <v>0</v>
      </c>
    </row>
    <row r="235" spans="1:14" ht="27" customHeight="1" x14ac:dyDescent="0.2">
      <c r="A235" s="89">
        <v>230</v>
      </c>
      <c r="B235" s="90">
        <v>900462645</v>
      </c>
      <c r="C235" s="91" t="s">
        <v>325</v>
      </c>
      <c r="D235" s="92">
        <f>VLOOKUP(A235,Proponentes[#Data],19,FALSE)</f>
        <v>6.2891210702503759</v>
      </c>
      <c r="E235" s="93" t="str">
        <f>VLOOKUP(A235,Proponentes[#Data],25,FALSE)</f>
        <v>CUMPLE</v>
      </c>
      <c r="F235" s="94">
        <f>VLOOKUP(A235,Proponentes[#Data],20,FALSE)</f>
        <v>0.13602050063378535</v>
      </c>
      <c r="G235" s="93" t="str">
        <f>VLOOKUP(A235,Proponentes[#Data],26,FALSE)</f>
        <v>CUMPLE</v>
      </c>
      <c r="H235" s="95">
        <f>VLOOKUP(A235,Proponentes[#Data],21,FALSE)</f>
        <v>133.4578114660265</v>
      </c>
      <c r="I235" s="93" t="str">
        <f>VLOOKUP(A235,Proponentes[#Data],27,FALSE)</f>
        <v>CUMPLE</v>
      </c>
      <c r="J235" s="96" t="str">
        <f t="shared" si="6"/>
        <v>CUMPLE</v>
      </c>
      <c r="K235" s="98">
        <f>VLOOKUP(A235,Proponentes[#Data],35,FALSE)</f>
        <v>160.75636770259655</v>
      </c>
      <c r="L235" s="102">
        <f>VLOOKUP(A235,Hoja2!$A$2:$F$329,6,FALSE)</f>
        <v>160.75636770259655</v>
      </c>
      <c r="M235" s="97"/>
      <c r="N235" s="103">
        <f t="shared" si="7"/>
        <v>0</v>
      </c>
    </row>
    <row r="236" spans="1:14" ht="27" customHeight="1" x14ac:dyDescent="0.2">
      <c r="A236" s="89">
        <v>231</v>
      </c>
      <c r="B236" s="90">
        <v>830504778</v>
      </c>
      <c r="C236" s="91" t="s">
        <v>326</v>
      </c>
      <c r="D236" s="92">
        <f>VLOOKUP(A236,Proponentes[#Data],19,FALSE)</f>
        <v>1.3525721936028863</v>
      </c>
      <c r="E236" s="93" t="str">
        <f>VLOOKUP(A236,Proponentes[#Data],25,FALSE)</f>
        <v>CUMPLE</v>
      </c>
      <c r="F236" s="94">
        <f>VLOOKUP(A236,Proponentes[#Data],20,FALSE)</f>
        <v>0.18172082001056691</v>
      </c>
      <c r="G236" s="93" t="str">
        <f>VLOOKUP(A236,Proponentes[#Data],26,FALSE)</f>
        <v>NO CUMPLE</v>
      </c>
      <c r="H236" s="95">
        <f>VLOOKUP(A236,Proponentes[#Data],21,FALSE)</f>
        <v>11.938379405783731</v>
      </c>
      <c r="I236" s="93" t="str">
        <f>VLOOKUP(A236,Proponentes[#Data],27,FALSE)</f>
        <v>NO CUMPLE</v>
      </c>
      <c r="J236" s="96" t="str">
        <f t="shared" si="6"/>
        <v>NO CUMPLE</v>
      </c>
      <c r="K236" s="98">
        <f>VLOOKUP(A236,Proponentes[#Data],35,FALSE)</f>
        <v>0</v>
      </c>
      <c r="L236" s="102">
        <f>VLOOKUP(A236,Hoja2!$A$2:$F$329,6,FALSE)</f>
        <v>0</v>
      </c>
      <c r="M236" s="97" t="s">
        <v>814</v>
      </c>
      <c r="N236" s="103">
        <f t="shared" si="7"/>
        <v>0</v>
      </c>
    </row>
    <row r="237" spans="1:14" ht="27" customHeight="1" x14ac:dyDescent="0.2">
      <c r="A237" s="89">
        <v>232</v>
      </c>
      <c r="B237" s="90">
        <v>812006950</v>
      </c>
      <c r="C237" s="91" t="s">
        <v>327</v>
      </c>
      <c r="D237" s="92">
        <f>VLOOKUP(A237,Proponentes[#Data],19,FALSE)</f>
        <v>78.452687910484073</v>
      </c>
      <c r="E237" s="93" t="str">
        <f>VLOOKUP(A237,Proponentes[#Data],25,FALSE)</f>
        <v>CUMPLE</v>
      </c>
      <c r="F237" s="94">
        <f>VLOOKUP(A237,Proponentes[#Data],20,FALSE)</f>
        <v>1.2563451388825222E-2</v>
      </c>
      <c r="G237" s="93" t="str">
        <f>VLOOKUP(A237,Proponentes[#Data],26,FALSE)</f>
        <v>CUMPLE</v>
      </c>
      <c r="H237" s="95">
        <f>VLOOKUP(A237,Proponentes[#Data],21,FALSE)</f>
        <v>1922.4842896405817</v>
      </c>
      <c r="I237" s="93" t="str">
        <f>VLOOKUP(A237,Proponentes[#Data],27,FALSE)</f>
        <v>CUMPLE</v>
      </c>
      <c r="J237" s="96" t="str">
        <f t="shared" si="6"/>
        <v>CUMPLE</v>
      </c>
      <c r="K237" s="98">
        <f>VLOOKUP(A237,Proponentes[#Data],35,FALSE)</f>
        <v>154.27481729652146</v>
      </c>
      <c r="L237" s="102">
        <f>VLOOKUP(A237,Hoja2!$A$2:$F$329,6,FALSE)</f>
        <v>154.27481729652146</v>
      </c>
      <c r="M237" s="97"/>
      <c r="N237" s="103">
        <f t="shared" si="7"/>
        <v>0</v>
      </c>
    </row>
    <row r="238" spans="1:14" ht="27" customHeight="1" x14ac:dyDescent="0.2">
      <c r="A238" s="89">
        <v>233</v>
      </c>
      <c r="B238" s="90">
        <v>823001222</v>
      </c>
      <c r="C238" s="91" t="s">
        <v>329</v>
      </c>
      <c r="D238" s="92">
        <f>VLOOKUP(A238,Proponentes[#Data],19,FALSE)</f>
        <v>25.834821428571427</v>
      </c>
      <c r="E238" s="93" t="str">
        <f>VLOOKUP(A238,Proponentes[#Data],25,FALSE)</f>
        <v>CUMPLE</v>
      </c>
      <c r="F238" s="94">
        <f>VLOOKUP(A238,Proponentes[#Data],20,FALSE)</f>
        <v>6.0731598867789479E-3</v>
      </c>
      <c r="G238" s="93" t="str">
        <f>VLOOKUP(A238,Proponentes[#Data],26,FALSE)</f>
        <v>CUMPLE</v>
      </c>
      <c r="H238" s="95">
        <f>VLOOKUP(A238,Proponentes[#Data],21,FALSE)</f>
        <v>33.588289563297899</v>
      </c>
      <c r="I238" s="93" t="str">
        <f>VLOOKUP(A238,Proponentes[#Data],27,FALSE)</f>
        <v>CUMPLE</v>
      </c>
      <c r="J238" s="96" t="str">
        <f t="shared" si="6"/>
        <v>CUMPLE</v>
      </c>
      <c r="K238" s="98">
        <f>VLOOKUP(A238,Proponentes[#Data],35,FALSE)</f>
        <v>17.405056357970857</v>
      </c>
      <c r="L238" s="102">
        <f>VLOOKUP(A238,Hoja2!$A$2:$F$329,6,FALSE)</f>
        <v>17.405056357970857</v>
      </c>
      <c r="M238" s="97"/>
      <c r="N238" s="103">
        <f t="shared" si="7"/>
        <v>0</v>
      </c>
    </row>
    <row r="239" spans="1:14" ht="27" customHeight="1" x14ac:dyDescent="0.2">
      <c r="A239" s="89">
        <v>234</v>
      </c>
      <c r="B239" s="90">
        <v>814006275</v>
      </c>
      <c r="C239" s="91" t="s">
        <v>331</v>
      </c>
      <c r="D239" s="92">
        <f>VLOOKUP(A239,Proponentes[#Data],19,FALSE)</f>
        <v>131.1987242798354</v>
      </c>
      <c r="E239" s="93" t="s">
        <v>470</v>
      </c>
      <c r="F239" s="94" t="s">
        <v>470</v>
      </c>
      <c r="G239" s="93" t="s">
        <v>470</v>
      </c>
      <c r="H239" s="95" t="s">
        <v>470</v>
      </c>
      <c r="I239" s="93" t="s">
        <v>470</v>
      </c>
      <c r="J239" s="96" t="str">
        <f t="shared" si="6"/>
        <v>NO CUMPLE</v>
      </c>
      <c r="K239" s="98">
        <f>VLOOKUP(A239,Proponentes[#Data],35,FALSE)</f>
        <v>0</v>
      </c>
      <c r="L239" s="102">
        <f>VLOOKUP(A239,Hoja2!$A$2:$F$329,6,FALSE)</f>
        <v>0</v>
      </c>
      <c r="M239" s="97" t="str">
        <f>VLOOKUP(A239,Proponentes[#Data],29,FALSE)</f>
        <v>NO CUMPLE. El Oferente no aportó:
1. Acta de Asamblea general con aprobación de estados financieros 2018.</v>
      </c>
      <c r="N239" s="103">
        <f t="shared" si="7"/>
        <v>0</v>
      </c>
    </row>
    <row r="240" spans="1:14" ht="27" customHeight="1" x14ac:dyDescent="0.2">
      <c r="A240" s="89">
        <v>235</v>
      </c>
      <c r="B240" s="90">
        <v>830143202</v>
      </c>
      <c r="C240" s="91" t="s">
        <v>478</v>
      </c>
      <c r="D240" s="92">
        <f>VLOOKUP(A240,Proponentes[#Data],19,FALSE)</f>
        <v>1.6526073769322496</v>
      </c>
      <c r="E240" s="93" t="str">
        <f>VLOOKUP(A240,Proponentes[#Data],25,FALSE)</f>
        <v>CUMPLE</v>
      </c>
      <c r="F240" s="94">
        <f>VLOOKUP(A240,Proponentes[#Data],20,FALSE)</f>
        <v>0.30977012369279805</v>
      </c>
      <c r="G240" s="93" t="str">
        <f>VLOOKUP(A240,Proponentes[#Data],26,FALSE)</f>
        <v>CUMPLE</v>
      </c>
      <c r="H240" s="95">
        <f>VLOOKUP(A240,Proponentes[#Data],21,FALSE)</f>
        <v>731.23186848219336</v>
      </c>
      <c r="I240" s="93" t="str">
        <f>VLOOKUP(A240,Proponentes[#Data],27,FALSE)</f>
        <v>CUMPLE</v>
      </c>
      <c r="J240" s="96" t="str">
        <f t="shared" si="6"/>
        <v>CUMPLE</v>
      </c>
      <c r="K240" s="98">
        <f>VLOOKUP(A240,Proponentes[#Data],35,FALSE)</f>
        <v>384.94320679325875</v>
      </c>
      <c r="L240" s="102">
        <f>VLOOKUP(A240,Hoja2!$A$2:$F$329,6,FALSE)</f>
        <v>384.94320679325875</v>
      </c>
      <c r="M240" s="97"/>
      <c r="N240" s="103">
        <f t="shared" si="7"/>
        <v>0</v>
      </c>
    </row>
    <row r="241" spans="1:14" ht="27" customHeight="1" x14ac:dyDescent="0.2">
      <c r="A241" s="89">
        <v>236</v>
      </c>
      <c r="B241" s="90">
        <v>900659065</v>
      </c>
      <c r="C241" s="91" t="s">
        <v>333</v>
      </c>
      <c r="D241" s="92">
        <f>VLOOKUP(A241,Proponentes[#Data],19,FALSE)</f>
        <v>1.8150112803280605</v>
      </c>
      <c r="E241" s="93" t="str">
        <f>VLOOKUP(A241,Proponentes[#Data],25,FALSE)</f>
        <v>CUMPLE</v>
      </c>
      <c r="F241" s="94">
        <f>VLOOKUP(A241,Proponentes[#Data],20,FALSE)</f>
        <v>0.4203137797353621</v>
      </c>
      <c r="G241" s="93" t="str">
        <f>VLOOKUP(A241,Proponentes[#Data],26,FALSE)</f>
        <v>NO CUMPLE</v>
      </c>
      <c r="H241" s="95">
        <f>VLOOKUP(A241,Proponentes[#Data],21,FALSE)</f>
        <v>227.2785455177777</v>
      </c>
      <c r="I241" s="93" t="str">
        <f>VLOOKUP(A241,Proponentes[#Data],27,FALSE)</f>
        <v>CUMPLE</v>
      </c>
      <c r="J241" s="96" t="str">
        <f t="shared" si="6"/>
        <v>NO CUMPLE</v>
      </c>
      <c r="K241" s="98">
        <f>VLOOKUP(A241,Proponentes[#Data],35,FALSE)</f>
        <v>0</v>
      </c>
      <c r="L241" s="102">
        <f>VLOOKUP(A241,Hoja2!$A$2:$F$329,6,FALSE)</f>
        <v>0</v>
      </c>
      <c r="M241" s="97" t="s">
        <v>814</v>
      </c>
      <c r="N241" s="103">
        <f t="shared" si="7"/>
        <v>0</v>
      </c>
    </row>
    <row r="242" spans="1:14" ht="27" customHeight="1" x14ac:dyDescent="0.2">
      <c r="A242" s="89">
        <v>237</v>
      </c>
      <c r="B242" s="90">
        <v>900119880</v>
      </c>
      <c r="C242" s="91" t="s">
        <v>335</v>
      </c>
      <c r="D242" s="92">
        <f>VLOOKUP(A242,Proponentes[#Data],19,FALSE)</f>
        <v>422.36940828402368</v>
      </c>
      <c r="E242" s="93" t="str">
        <f>VLOOKUP(A242,Proponentes[#Data],25,FALSE)</f>
        <v>CUMPLE</v>
      </c>
      <c r="F242" s="94">
        <f>VLOOKUP(A242,Proponentes[#Data],20,FALSE)</f>
        <v>1.9720183432712169E-3</v>
      </c>
      <c r="G242" s="93" t="str">
        <f>VLOOKUP(A242,Proponentes[#Data],26,FALSE)</f>
        <v>CUMPLE</v>
      </c>
      <c r="H242" s="95">
        <f>VLOOKUP(A242,Proponentes[#Data],21,FALSE)</f>
        <v>85.992095310318845</v>
      </c>
      <c r="I242" s="93" t="str">
        <f>VLOOKUP(A242,Proponentes[#Data],27,FALSE)</f>
        <v>CUMPLE</v>
      </c>
      <c r="J242" s="96" t="str">
        <f t="shared" si="6"/>
        <v>CUMPLE</v>
      </c>
      <c r="K242" s="98">
        <f>VLOOKUP(A242,Proponentes[#Data],35,FALSE)</f>
        <v>33.557353797093356</v>
      </c>
      <c r="L242" s="102">
        <f>VLOOKUP(A242,Hoja2!$A$2:$F$329,6,FALSE)</f>
        <v>33.557353797093356</v>
      </c>
      <c r="M242" s="97"/>
      <c r="N242" s="103">
        <f t="shared" si="7"/>
        <v>0</v>
      </c>
    </row>
    <row r="243" spans="1:14" ht="27" customHeight="1" x14ac:dyDescent="0.2">
      <c r="A243" s="89">
        <v>238</v>
      </c>
      <c r="B243" s="90">
        <v>802005487</v>
      </c>
      <c r="C243" s="91" t="s">
        <v>337</v>
      </c>
      <c r="D243" s="92">
        <f>VLOOKUP(A243,Proponentes[#Data],19,FALSE)</f>
        <v>5.0840912942771599</v>
      </c>
      <c r="E243" s="93" t="str">
        <f>VLOOKUP(A243,Proponentes[#Data],25,FALSE)</f>
        <v>CUMPLE</v>
      </c>
      <c r="F243" s="94">
        <f>VLOOKUP(A243,Proponentes[#Data],20,FALSE)</f>
        <v>0.10846267440364218</v>
      </c>
      <c r="G243" s="93" t="str">
        <f>VLOOKUP(A243,Proponentes[#Data],26,FALSE)</f>
        <v>NO CUMPLE</v>
      </c>
      <c r="H243" s="95">
        <f>VLOOKUP(A243,Proponentes[#Data],21,FALSE)</f>
        <v>174.59510503359434</v>
      </c>
      <c r="I243" s="93" t="str">
        <f>VLOOKUP(A243,Proponentes[#Data],27,FALSE)</f>
        <v>CUMPLE</v>
      </c>
      <c r="J243" s="96" t="str">
        <f t="shared" si="6"/>
        <v>NO CUMPLE</v>
      </c>
      <c r="K243" s="98">
        <f>VLOOKUP(A243,Proponentes[#Data],35,FALSE)</f>
        <v>0</v>
      </c>
      <c r="L243" s="102">
        <f>VLOOKUP(A243,Hoja2!$A$2:$F$329,6,FALSE)</f>
        <v>0</v>
      </c>
      <c r="M243" s="97" t="s">
        <v>814</v>
      </c>
      <c r="N243" s="103">
        <f t="shared" si="7"/>
        <v>0</v>
      </c>
    </row>
    <row r="244" spans="1:14" ht="27" customHeight="1" x14ac:dyDescent="0.2">
      <c r="A244" s="89">
        <v>239</v>
      </c>
      <c r="B244" s="90">
        <v>900268959</v>
      </c>
      <c r="C244" s="91" t="s">
        <v>339</v>
      </c>
      <c r="D244" s="92">
        <f>VLOOKUP(A244,Proponentes[#Data],19,FALSE)</f>
        <v>6.747320022568231</v>
      </c>
      <c r="E244" s="93" t="str">
        <f>VLOOKUP(A244,Proponentes[#Data],25,FALSE)</f>
        <v>CUMPLE</v>
      </c>
      <c r="F244" s="94">
        <f>VLOOKUP(A244,Proponentes[#Data],20,FALSE)</f>
        <v>0.14705987980200644</v>
      </c>
      <c r="G244" s="93" t="str">
        <f>VLOOKUP(A244,Proponentes[#Data],26,FALSE)</f>
        <v>CUMPLE</v>
      </c>
      <c r="H244" s="95">
        <f>VLOOKUP(A244,Proponentes[#Data],21,FALSE)</f>
        <v>1648.3198006076443</v>
      </c>
      <c r="I244" s="93" t="str">
        <f>VLOOKUP(A244,Proponentes[#Data],27,FALSE)</f>
        <v>CUMPLE</v>
      </c>
      <c r="J244" s="96" t="str">
        <f t="shared" si="6"/>
        <v>CUMPLE</v>
      </c>
      <c r="K244" s="98">
        <f>VLOOKUP(A244,Proponentes[#Data],35,FALSE)</f>
        <v>41.921541015897517</v>
      </c>
      <c r="L244" s="102">
        <f>VLOOKUP(A244,Hoja2!$A$2:$F$329,6,FALSE)</f>
        <v>41.92154101589751</v>
      </c>
      <c r="M244" s="97"/>
      <c r="N244" s="103">
        <f t="shared" si="7"/>
        <v>0</v>
      </c>
    </row>
    <row r="245" spans="1:14" ht="27" customHeight="1" x14ac:dyDescent="0.2">
      <c r="A245" s="89">
        <v>240</v>
      </c>
      <c r="B245" s="90">
        <v>900660064</v>
      </c>
      <c r="C245" s="91" t="s">
        <v>341</v>
      </c>
      <c r="D245" s="92">
        <f>VLOOKUP(A245,Proponentes[#Data],19,FALSE)</f>
        <v>7.9596972249752227</v>
      </c>
      <c r="E245" s="93" t="str">
        <f>VLOOKUP(A245,Proponentes[#Data],25,FALSE)</f>
        <v>CUMPLE</v>
      </c>
      <c r="F245" s="94">
        <f>VLOOKUP(A245,Proponentes[#Data],20,FALSE)</f>
        <v>5.5618841050530214E-2</v>
      </c>
      <c r="G245" s="93" t="str">
        <f>VLOOKUP(A245,Proponentes[#Data],26,FALSE)</f>
        <v>CUMPLE</v>
      </c>
      <c r="H245" s="95">
        <f>VLOOKUP(A245,Proponentes[#Data],21,FALSE)</f>
        <v>16.959784619546053</v>
      </c>
      <c r="I245" s="93" t="str">
        <f>VLOOKUP(A245,Proponentes[#Data],27,FALSE)</f>
        <v>CUMPLE</v>
      </c>
      <c r="J245" s="96" t="str">
        <f t="shared" si="6"/>
        <v>CUMPLE</v>
      </c>
      <c r="K245" s="98">
        <f>VLOOKUP(A245,Proponentes[#Data],35,FALSE)</f>
        <v>14.22956519413632</v>
      </c>
      <c r="L245" s="102">
        <f>VLOOKUP(A245,Hoja2!$A$2:$F$329,6,FALSE)</f>
        <v>14.22956519413632</v>
      </c>
      <c r="M245" s="97"/>
      <c r="N245" s="103">
        <f t="shared" si="7"/>
        <v>0</v>
      </c>
    </row>
    <row r="246" spans="1:14" ht="27" customHeight="1" x14ac:dyDescent="0.2">
      <c r="A246" s="89">
        <v>241</v>
      </c>
      <c r="B246" s="90">
        <v>834001100</v>
      </c>
      <c r="C246" s="91" t="s">
        <v>343</v>
      </c>
      <c r="D246" s="92">
        <f>VLOOKUP(A246,Proponentes[#Data],19,FALSE)</f>
        <v>5.6628695773975686</v>
      </c>
      <c r="E246" s="93" t="str">
        <f>VLOOKUP(A246,Proponentes[#Data],25,FALSE)</f>
        <v>CUMPLE</v>
      </c>
      <c r="F246" s="94">
        <f>VLOOKUP(A246,Proponentes[#Data],20,FALSE)</f>
        <v>0.4947341849627811</v>
      </c>
      <c r="G246" s="93" t="str">
        <f>VLOOKUP(A246,Proponentes[#Data],26,FALSE)</f>
        <v>CUMPLE</v>
      </c>
      <c r="H246" s="95">
        <f>VLOOKUP(A246,Proponentes[#Data],21,FALSE)</f>
        <v>929.7447406643513</v>
      </c>
      <c r="I246" s="93" t="str">
        <f>VLOOKUP(A246,Proponentes[#Data],27,FALSE)</f>
        <v>CUMPLE</v>
      </c>
      <c r="J246" s="96" t="str">
        <f t="shared" si="6"/>
        <v>CUMPLE</v>
      </c>
      <c r="K246" s="98">
        <f>VLOOKUP(A246,Proponentes[#Data],35,FALSE)</f>
        <v>1481.6410397117465</v>
      </c>
      <c r="L246" s="102">
        <f>VLOOKUP(A246,Hoja2!$A$2:$F$329,6,FALSE)</f>
        <v>1481.6410397117465</v>
      </c>
      <c r="M246" s="97"/>
      <c r="N246" s="103">
        <f t="shared" si="7"/>
        <v>0</v>
      </c>
    </row>
    <row r="247" spans="1:14" ht="27" customHeight="1" x14ac:dyDescent="0.2">
      <c r="A247" s="89">
        <v>242</v>
      </c>
      <c r="B247" s="90">
        <v>806009011</v>
      </c>
      <c r="C247" s="91" t="s">
        <v>344</v>
      </c>
      <c r="D247" s="92">
        <f>VLOOKUP(A247,Proponentes[#Data],19,FALSE)</f>
        <v>47.381519165546813</v>
      </c>
      <c r="E247" s="93" t="str">
        <f>VLOOKUP(A247,Proponentes[#Data],25,FALSE)</f>
        <v>CUMPLE</v>
      </c>
      <c r="F247" s="94">
        <f>VLOOKUP(A247,Proponentes[#Data],20,FALSE)</f>
        <v>4.0549826213669031E-2</v>
      </c>
      <c r="G247" s="93" t="str">
        <f>VLOOKUP(A247,Proponentes[#Data],26,FALSE)</f>
        <v>CUMPLE</v>
      </c>
      <c r="H247" s="95">
        <f>VLOOKUP(A247,Proponentes[#Data],21,FALSE)</f>
        <v>875.24453095943079</v>
      </c>
      <c r="I247" s="93" t="str">
        <f>VLOOKUP(A247,Proponentes[#Data],27,FALSE)</f>
        <v>CUMPLE</v>
      </c>
      <c r="J247" s="96" t="str">
        <f t="shared" si="6"/>
        <v>CUMPLE</v>
      </c>
      <c r="K247" s="98">
        <f>VLOOKUP(A247,Proponentes[#Data],35,FALSE)</f>
        <v>212.4211962274899</v>
      </c>
      <c r="L247" s="102">
        <f>VLOOKUP(A247,Hoja2!$A$2:$F$329,6,FALSE)</f>
        <v>212.42119622748987</v>
      </c>
      <c r="M247" s="97"/>
      <c r="N247" s="103">
        <f t="shared" si="7"/>
        <v>0</v>
      </c>
    </row>
    <row r="248" spans="1:14" ht="27" customHeight="1" x14ac:dyDescent="0.2">
      <c r="A248" s="89">
        <v>243</v>
      </c>
      <c r="B248" s="90">
        <v>900661644</v>
      </c>
      <c r="C248" s="91" t="s">
        <v>346</v>
      </c>
      <c r="D248" s="92">
        <f>VLOOKUP(A248,Proponentes[#Data],19,FALSE)</f>
        <v>8.7125204010258805</v>
      </c>
      <c r="E248" s="93" t="str">
        <f>VLOOKUP(A248,Proponentes[#Data],25,FALSE)</f>
        <v>CUMPLE</v>
      </c>
      <c r="F248" s="94">
        <f>VLOOKUP(A248,Proponentes[#Data],20,FALSE)</f>
        <v>0.1146716171430936</v>
      </c>
      <c r="G248" s="93" t="str">
        <f>VLOOKUP(A248,Proponentes[#Data],26,FALSE)</f>
        <v>CUMPLE</v>
      </c>
      <c r="H248" s="95">
        <f>VLOOKUP(A248,Proponentes[#Data],21,FALSE)</f>
        <v>239.66932168923194</v>
      </c>
      <c r="I248" s="93" t="str">
        <f>VLOOKUP(A248,Proponentes[#Data],27,FALSE)</f>
        <v>CUMPLE</v>
      </c>
      <c r="J248" s="96" t="str">
        <f t="shared" si="6"/>
        <v>CUMPLE</v>
      </c>
      <c r="K248" s="98">
        <f>VLOOKUP(A248,Proponentes[#Data],35,FALSE)</f>
        <v>212.34908752972339</v>
      </c>
      <c r="L248" s="102">
        <f>VLOOKUP(A248,Hoja2!$A$2:$F$329,6,FALSE)</f>
        <v>212.34908752972339</v>
      </c>
      <c r="M248" s="97"/>
      <c r="N248" s="103">
        <f t="shared" si="7"/>
        <v>0</v>
      </c>
    </row>
    <row r="249" spans="1:14" ht="27" customHeight="1" x14ac:dyDescent="0.2">
      <c r="A249" s="89">
        <v>244</v>
      </c>
      <c r="B249" s="90">
        <v>802013551</v>
      </c>
      <c r="C249" s="91" t="s">
        <v>347</v>
      </c>
      <c r="D249" s="92">
        <f>VLOOKUP(A249,Proponentes[#Data],19,FALSE)</f>
        <v>6.4291947639825464</v>
      </c>
      <c r="E249" s="93" t="str">
        <f>VLOOKUP(A249,Proponentes[#Data],25,FALSE)</f>
        <v>CUMPLE</v>
      </c>
      <c r="F249" s="94">
        <f>VLOOKUP(A249,Proponentes[#Data],20,FALSE)</f>
        <v>0.1111851336115951</v>
      </c>
      <c r="G249" s="93" t="str">
        <f>VLOOKUP(A249,Proponentes[#Data],26,FALSE)</f>
        <v>CUMPLE</v>
      </c>
      <c r="H249" s="95">
        <f>VLOOKUP(A249,Proponentes[#Data],21,FALSE)</f>
        <v>214.86241058016026</v>
      </c>
      <c r="I249" s="93" t="str">
        <f>VLOOKUP(A249,Proponentes[#Data],27,FALSE)</f>
        <v>CUMPLE</v>
      </c>
      <c r="J249" s="96" t="str">
        <f t="shared" si="6"/>
        <v>CUMPLE</v>
      </c>
      <c r="K249" s="98">
        <f>VLOOKUP(A249,Proponentes[#Data],35,FALSE)</f>
        <v>449.85179204034227</v>
      </c>
      <c r="L249" s="102">
        <f>VLOOKUP(A249,Hoja2!$A$2:$F$329,6,FALSE)</f>
        <v>449.85179204034222</v>
      </c>
      <c r="M249" s="97"/>
      <c r="N249" s="103">
        <f t="shared" si="7"/>
        <v>0</v>
      </c>
    </row>
    <row r="250" spans="1:14" ht="27" customHeight="1" x14ac:dyDescent="0.2">
      <c r="A250" s="89">
        <v>245</v>
      </c>
      <c r="B250" s="90">
        <v>900720926</v>
      </c>
      <c r="C250" s="91" t="s">
        <v>348</v>
      </c>
      <c r="D250" s="92">
        <f>VLOOKUP(A250,Proponentes[#Data],19,FALSE)</f>
        <v>1.0406905596788276</v>
      </c>
      <c r="E250" s="93" t="s">
        <v>470</v>
      </c>
      <c r="F250" s="94" t="s">
        <v>470</v>
      </c>
      <c r="G250" s="93" t="s">
        <v>470</v>
      </c>
      <c r="H250" s="95" t="s">
        <v>470</v>
      </c>
      <c r="I250" s="93" t="s">
        <v>470</v>
      </c>
      <c r="J250" s="96" t="str">
        <f t="shared" si="6"/>
        <v>NO CUMPLE</v>
      </c>
      <c r="K250" s="98">
        <f>VLOOKUP(A250,Proponentes[#Data],35,FALSE)</f>
        <v>0</v>
      </c>
      <c r="L250" s="102">
        <f>VLOOKUP(A250,Hoja2!$A$2:$F$329,6,FALSE)</f>
        <v>0</v>
      </c>
      <c r="M250" s="97" t="str">
        <f>VLOOKUP(A250,Proponentes[#Data],29,FALSE)</f>
        <v>NO CUMPLE. El oferente aporta el mismo RUP donde la información financiera del año 2018 no se encuentra en firme a la fecha de expedición.</v>
      </c>
      <c r="N250" s="103">
        <f t="shared" si="7"/>
        <v>0</v>
      </c>
    </row>
    <row r="251" spans="1:14" ht="27" customHeight="1" x14ac:dyDescent="0.2">
      <c r="A251" s="89">
        <v>246</v>
      </c>
      <c r="B251" s="90">
        <v>830502711</v>
      </c>
      <c r="C251" s="91" t="s">
        <v>349</v>
      </c>
      <c r="D251" s="92" t="str">
        <f>VLOOKUP(A251,Proponentes[#Data],19,FALSE)</f>
        <v>INDETERMINADO</v>
      </c>
      <c r="E251" s="93" t="str">
        <f>VLOOKUP(A251,Proponentes[#Data],25,FALSE)</f>
        <v>CUMPLE</v>
      </c>
      <c r="F251" s="94">
        <f>VLOOKUP(A251,Proponentes[#Data],20,FALSE)</f>
        <v>0</v>
      </c>
      <c r="G251" s="93" t="str">
        <f>VLOOKUP(A251,Proponentes[#Data],26,FALSE)</f>
        <v>CUMPLE</v>
      </c>
      <c r="H251" s="95">
        <f>VLOOKUP(A251,Proponentes[#Data],21,FALSE)</f>
        <v>21.016246516188552</v>
      </c>
      <c r="I251" s="93" t="str">
        <f>VLOOKUP(A251,Proponentes[#Data],27,FALSE)</f>
        <v>CUMPLE</v>
      </c>
      <c r="J251" s="96" t="str">
        <f t="shared" si="6"/>
        <v>CUMPLE</v>
      </c>
      <c r="K251" s="98">
        <f>VLOOKUP(A251,Proponentes[#Data],35,FALSE)</f>
        <v>48.80273462968119</v>
      </c>
      <c r="L251" s="102">
        <f>VLOOKUP(A251,Hoja2!$A$2:$F$329,6,FALSE)</f>
        <v>48.80273462968119</v>
      </c>
      <c r="M251" s="97"/>
      <c r="N251" s="103">
        <f t="shared" si="7"/>
        <v>0</v>
      </c>
    </row>
    <row r="252" spans="1:14" ht="27" customHeight="1" x14ac:dyDescent="0.2">
      <c r="A252" s="89">
        <v>247</v>
      </c>
      <c r="B252" s="90">
        <v>891780093</v>
      </c>
      <c r="C252" s="91" t="s">
        <v>351</v>
      </c>
      <c r="D252" s="92">
        <f>VLOOKUP(A252,Proponentes[#Data],19,FALSE)</f>
        <v>1.5252923117154493</v>
      </c>
      <c r="E252" s="93" t="str">
        <f>VLOOKUP(A252,Proponentes[#Data],25,FALSE)</f>
        <v>CUMPLE</v>
      </c>
      <c r="F252" s="94">
        <f>VLOOKUP(A252,Proponentes[#Data],20,FALSE)</f>
        <v>0.34973658235131999</v>
      </c>
      <c r="G252" s="93" t="str">
        <f>VLOOKUP(A252,Proponentes[#Data],26,FALSE)</f>
        <v>NO CUMPLE</v>
      </c>
      <c r="H252" s="95">
        <f>VLOOKUP(A252,Proponentes[#Data],21,FALSE)</f>
        <v>28410.461169691203</v>
      </c>
      <c r="I252" s="93" t="str">
        <f>VLOOKUP(A252,Proponentes[#Data],27,FALSE)</f>
        <v>CUMPLE</v>
      </c>
      <c r="J252" s="96" t="str">
        <f t="shared" si="6"/>
        <v>NO CUMPLE</v>
      </c>
      <c r="K252" s="98">
        <f>VLOOKUP(A252,Proponentes[#Data],35,FALSE)</f>
        <v>0</v>
      </c>
      <c r="L252" s="102">
        <f>VLOOKUP(A252,Hoja2!$A$2:$F$329,6,FALSE)</f>
        <v>0</v>
      </c>
      <c r="M252" s="97" t="s">
        <v>814</v>
      </c>
      <c r="N252" s="103">
        <f t="shared" si="7"/>
        <v>0</v>
      </c>
    </row>
    <row r="253" spans="1:14" ht="27" customHeight="1" x14ac:dyDescent="0.2">
      <c r="A253" s="89">
        <v>248</v>
      </c>
      <c r="B253" s="90">
        <v>900318096</v>
      </c>
      <c r="C253" s="91" t="s">
        <v>352</v>
      </c>
      <c r="D253" s="92">
        <f>VLOOKUP(A253,Proponentes[#Data],19,FALSE)</f>
        <v>32.643197799154024</v>
      </c>
      <c r="E253" s="93" t="str">
        <f>VLOOKUP(A253,Proponentes[#Data],25,FALSE)</f>
        <v>CUMPLE</v>
      </c>
      <c r="F253" s="94">
        <f>VLOOKUP(A253,Proponentes[#Data],20,FALSE)</f>
        <v>2.6542156895997746E-2</v>
      </c>
      <c r="G253" s="93" t="str">
        <f>VLOOKUP(A253,Proponentes[#Data],26,FALSE)</f>
        <v>CUMPLE</v>
      </c>
      <c r="H253" s="95">
        <f>VLOOKUP(A253,Proponentes[#Data],21,FALSE)</f>
        <v>406.96508218655356</v>
      </c>
      <c r="I253" s="93" t="str">
        <f>VLOOKUP(A253,Proponentes[#Data],27,FALSE)</f>
        <v>CUMPLE</v>
      </c>
      <c r="J253" s="96" t="str">
        <f t="shared" si="6"/>
        <v>CUMPLE</v>
      </c>
      <c r="K253" s="98">
        <f>VLOOKUP(A253,Proponentes[#Data],35,FALSE)</f>
        <v>51.55105116688668</v>
      </c>
      <c r="L253" s="102">
        <f>VLOOKUP(A253,Hoja2!$A$2:$F$329,6,FALSE)</f>
        <v>51.55105116688668</v>
      </c>
      <c r="M253" s="97"/>
      <c r="N253" s="103">
        <f t="shared" si="7"/>
        <v>0</v>
      </c>
    </row>
    <row r="254" spans="1:14" ht="27" customHeight="1" x14ac:dyDescent="0.2">
      <c r="A254" s="89">
        <v>249</v>
      </c>
      <c r="B254" s="90">
        <v>802024757</v>
      </c>
      <c r="C254" s="91" t="s">
        <v>354</v>
      </c>
      <c r="D254" s="92">
        <f>VLOOKUP(A254,Proponentes[#Data],19,FALSE)</f>
        <v>95.832930837563453</v>
      </c>
      <c r="E254" s="93" t="str">
        <f>VLOOKUP(A254,Proponentes[#Data],25,FALSE)</f>
        <v>CUMPLE</v>
      </c>
      <c r="F254" s="94">
        <f>VLOOKUP(A254,Proponentes[#Data],20,FALSE)</f>
        <v>8.250131888906477E-3</v>
      </c>
      <c r="G254" s="93" t="str">
        <f>VLOOKUP(A254,Proponentes[#Data],26,FALSE)</f>
        <v>CUMPLE</v>
      </c>
      <c r="H254" s="95">
        <f>VLOOKUP(A254,Proponentes[#Data],21,FALSE)</f>
        <v>1082.8678518468428</v>
      </c>
      <c r="I254" s="93" t="str">
        <f>VLOOKUP(A254,Proponentes[#Data],27,FALSE)</f>
        <v>CUMPLE</v>
      </c>
      <c r="J254" s="96" t="str">
        <f t="shared" si="6"/>
        <v>CUMPLE</v>
      </c>
      <c r="K254" s="98">
        <f>VLOOKUP(A254,Proponentes[#Data],35,FALSE)</f>
        <v>872.99922268463297</v>
      </c>
      <c r="L254" s="102">
        <f>VLOOKUP(A254,Hoja2!$A$2:$F$329,6,FALSE)</f>
        <v>872.99922268463308</v>
      </c>
      <c r="M254" s="97"/>
      <c r="N254" s="103">
        <f t="shared" si="7"/>
        <v>0</v>
      </c>
    </row>
    <row r="255" spans="1:14" ht="27" customHeight="1" x14ac:dyDescent="0.2">
      <c r="A255" s="89">
        <v>250</v>
      </c>
      <c r="B255" s="90">
        <v>816005155</v>
      </c>
      <c r="C255" s="91" t="s">
        <v>355</v>
      </c>
      <c r="D255" s="92">
        <f>VLOOKUP(A255,Proponentes[#Data],19,FALSE)</f>
        <v>21.613005050505052</v>
      </c>
      <c r="E255" s="93" t="str">
        <f>VLOOKUP(A255,Proponentes[#Data],25,FALSE)</f>
        <v>CUMPLE</v>
      </c>
      <c r="F255" s="94">
        <f>VLOOKUP(A255,Proponentes[#Data],20,FALSE)</f>
        <v>4.1596092488281403E-2</v>
      </c>
      <c r="G255" s="93" t="str">
        <f>VLOOKUP(A255,Proponentes[#Data],26,FALSE)</f>
        <v>CUMPLE</v>
      </c>
      <c r="H255" s="95">
        <f>VLOOKUP(A255,Proponentes[#Data],21,FALSE)</f>
        <v>788.56102285187103</v>
      </c>
      <c r="I255" s="93" t="str">
        <f>VLOOKUP(A255,Proponentes[#Data],27,FALSE)</f>
        <v>CUMPLE</v>
      </c>
      <c r="J255" s="96" t="str">
        <f t="shared" si="6"/>
        <v>CUMPLE</v>
      </c>
      <c r="K255" s="98">
        <f>VLOOKUP(A255,Proponentes[#Data],35,FALSE)</f>
        <v>1912</v>
      </c>
      <c r="L255" s="102">
        <f>VLOOKUP(A255,Hoja2!$A$2:$F$329,6,FALSE)</f>
        <v>1912</v>
      </c>
      <c r="M255" s="97"/>
      <c r="N255" s="103">
        <f t="shared" si="7"/>
        <v>0</v>
      </c>
    </row>
    <row r="256" spans="1:14" ht="27" customHeight="1" x14ac:dyDescent="0.2">
      <c r="A256" s="89">
        <v>251</v>
      </c>
      <c r="B256" s="90">
        <v>900204791</v>
      </c>
      <c r="C256" s="91" t="s">
        <v>356</v>
      </c>
      <c r="D256" s="92">
        <f>VLOOKUP(A256,Proponentes[#Data],19,FALSE)</f>
        <v>14.285214082669386</v>
      </c>
      <c r="E256" s="93" t="str">
        <f>VLOOKUP(A256,Proponentes[#Data],25,FALSE)</f>
        <v>CUMPLE</v>
      </c>
      <c r="F256" s="94">
        <f>VLOOKUP(A256,Proponentes[#Data],20,FALSE)</f>
        <v>0.44877705244642574</v>
      </c>
      <c r="G256" s="93" t="str">
        <f>VLOOKUP(A256,Proponentes[#Data],26,FALSE)</f>
        <v>NO CUMPLE</v>
      </c>
      <c r="H256" s="95">
        <f>VLOOKUP(A256,Proponentes[#Data],21,FALSE)</f>
        <v>1837.7467878896193</v>
      </c>
      <c r="I256" s="93" t="str">
        <f>VLOOKUP(A256,Proponentes[#Data],27,FALSE)</f>
        <v>CUMPLE</v>
      </c>
      <c r="J256" s="96" t="str">
        <f t="shared" si="6"/>
        <v>NO CUMPLE</v>
      </c>
      <c r="K256" s="98">
        <f>VLOOKUP(A256,Proponentes[#Data],35,FALSE)</f>
        <v>0</v>
      </c>
      <c r="L256" s="102">
        <f>VLOOKUP(A256,Hoja2!$A$2:$F$329,6,FALSE)</f>
        <v>0</v>
      </c>
      <c r="M256" s="97" t="s">
        <v>814</v>
      </c>
      <c r="N256" s="103">
        <f t="shared" si="7"/>
        <v>0</v>
      </c>
    </row>
    <row r="257" spans="1:14" ht="27" customHeight="1" x14ac:dyDescent="0.2">
      <c r="A257" s="89">
        <v>252</v>
      </c>
      <c r="B257" s="90">
        <v>804017802</v>
      </c>
      <c r="C257" s="91" t="s">
        <v>357</v>
      </c>
      <c r="D257" s="92" t="str">
        <f>VLOOKUP(A257,Proponentes[#Data],19,FALSE)</f>
        <v>INDETERMINADO</v>
      </c>
      <c r="E257" s="93" t="s">
        <v>470</v>
      </c>
      <c r="F257" s="94" t="s">
        <v>470</v>
      </c>
      <c r="G257" s="93" t="s">
        <v>470</v>
      </c>
      <c r="H257" s="95" t="s">
        <v>470</v>
      </c>
      <c r="I257" s="93" t="s">
        <v>470</v>
      </c>
      <c r="J257" s="96" t="str">
        <f t="shared" si="6"/>
        <v>NO CUMPLE</v>
      </c>
      <c r="K257" s="98">
        <f>VLOOKUP(A257,Proponentes[#Data],35,FALSE)</f>
        <v>21.457404034042497</v>
      </c>
      <c r="L257" s="102">
        <f>VLOOKUP(A257,Hoja2!$A$2:$F$329,6,FALSE)</f>
        <v>21.457404034042497</v>
      </c>
      <c r="M257" s="97" t="str">
        <f>VLOOKUP(A257,Proponentes[#Data],29,FALSE)</f>
        <v xml:space="preserve">NO CUMPLE. De acuerdo a verificacion fisica, el oferente no aporta estado de cambio en el patrimonio, notas a los estados financieros, tarjetas profesionales de cotador publico, revisor fiscal y el certificado de la Junta Central  de Contadores  </v>
      </c>
      <c r="N257" s="103">
        <f t="shared" si="7"/>
        <v>0</v>
      </c>
    </row>
    <row r="258" spans="1:14" ht="27" customHeight="1" x14ac:dyDescent="0.2">
      <c r="A258" s="89">
        <v>253</v>
      </c>
      <c r="B258" s="90">
        <v>900305127</v>
      </c>
      <c r="C258" s="91" t="s">
        <v>358</v>
      </c>
      <c r="D258" s="92">
        <f>VLOOKUP(A258,Proponentes[#Data],19,FALSE)</f>
        <v>141.93070145153592</v>
      </c>
      <c r="E258" s="93" t="str">
        <f>VLOOKUP(A258,Proponentes[#Data],25,FALSE)</f>
        <v>CUMPLE</v>
      </c>
      <c r="F258" s="94">
        <f>VLOOKUP(A258,Proponentes[#Data],20,FALSE)</f>
        <v>1.4162604309953919E-2</v>
      </c>
      <c r="G258" s="93" t="str">
        <f>VLOOKUP(A258,Proponentes[#Data],26,FALSE)</f>
        <v>CUMPLE</v>
      </c>
      <c r="H258" s="95">
        <f>VLOOKUP(A258,Proponentes[#Data],21,FALSE)</f>
        <v>13249.857597244831</v>
      </c>
      <c r="I258" s="93" t="str">
        <f>VLOOKUP(A258,Proponentes[#Data],27,FALSE)</f>
        <v>CUMPLE</v>
      </c>
      <c r="J258" s="96" t="str">
        <f t="shared" si="6"/>
        <v>CUMPLE</v>
      </c>
      <c r="K258" s="98">
        <f>VLOOKUP(A258,Proponentes[#Data],35,FALSE)</f>
        <v>1225.0022888281994</v>
      </c>
      <c r="L258" s="102">
        <f>VLOOKUP(A258,Hoja2!$A$2:$F$329,6,FALSE)</f>
        <v>1225.0022888281994</v>
      </c>
      <c r="M258" s="97"/>
      <c r="N258" s="103">
        <f t="shared" si="7"/>
        <v>0</v>
      </c>
    </row>
    <row r="259" spans="1:14" ht="27" customHeight="1" x14ac:dyDescent="0.2">
      <c r="A259" s="89">
        <v>254</v>
      </c>
      <c r="B259" s="90">
        <v>900933258</v>
      </c>
      <c r="C259" s="91" t="s">
        <v>359</v>
      </c>
      <c r="D259" s="92">
        <f>VLOOKUP(A259,Proponentes[#Data],19,FALSE)</f>
        <v>1</v>
      </c>
      <c r="E259" s="93" t="str">
        <f>VLOOKUP(A259,Proponentes[#Data],25,FALSE)</f>
        <v>CUMPLE</v>
      </c>
      <c r="F259" s="94">
        <f>VLOOKUP(A259,Proponentes[#Data],20,FALSE)</f>
        <v>0.28106329537796387</v>
      </c>
      <c r="G259" s="93" t="str">
        <f>VLOOKUP(A259,Proponentes[#Data],26,FALSE)</f>
        <v>CUMPLE</v>
      </c>
      <c r="H259" s="95">
        <f>VLOOKUP(A259,Proponentes[#Data],21,FALSE)</f>
        <v>-5.3132652913359961E-4</v>
      </c>
      <c r="I259" s="93" t="str">
        <f>VLOOKUP(A259,Proponentes[#Data],27,FALSE)</f>
        <v>NO CUMPLE</v>
      </c>
      <c r="J259" s="96" t="str">
        <f t="shared" si="6"/>
        <v>NO CUMPLE</v>
      </c>
      <c r="K259" s="98">
        <f>VLOOKUP(A259,Proponentes[#Data],35,FALSE)</f>
        <v>85.892536876849078</v>
      </c>
      <c r="L259" s="102">
        <f>VLOOKUP(A259,Hoja2!$A$2:$F$329,6,FALSE)</f>
        <v>85.892536876849078</v>
      </c>
      <c r="M259" s="97" t="s">
        <v>814</v>
      </c>
      <c r="N259" s="103">
        <f t="shared" si="7"/>
        <v>0</v>
      </c>
    </row>
    <row r="260" spans="1:14" ht="27" customHeight="1" x14ac:dyDescent="0.2">
      <c r="A260" s="89">
        <v>255</v>
      </c>
      <c r="B260" s="90">
        <v>800052272</v>
      </c>
      <c r="C260" s="91" t="s">
        <v>360</v>
      </c>
      <c r="D260" s="92">
        <f>VLOOKUP(A260,Proponentes[#Data],19,FALSE)</f>
        <v>44.83847549909256</v>
      </c>
      <c r="E260" s="93" t="str">
        <f>VLOOKUP(A260,Proponentes[#Data],25,FALSE)</f>
        <v>CUMPLE</v>
      </c>
      <c r="F260" s="94">
        <f>VLOOKUP(A260,Proponentes[#Data],20,FALSE)</f>
        <v>7.1857670764435572E-3</v>
      </c>
      <c r="G260" s="93" t="str">
        <f>VLOOKUP(A260,Proponentes[#Data],26,FALSE)</f>
        <v>CUMPLE</v>
      </c>
      <c r="H260" s="95">
        <f>VLOOKUP(A260,Proponentes[#Data],21,FALSE)</f>
        <v>408.36066444797586</v>
      </c>
      <c r="I260" s="93" t="str">
        <f>VLOOKUP(A260,Proponentes[#Data],27,FALSE)</f>
        <v>CUMPLE</v>
      </c>
      <c r="J260" s="96" t="str">
        <f t="shared" si="6"/>
        <v>CUMPLE</v>
      </c>
      <c r="K260" s="98">
        <f>VLOOKUP(A260,Proponentes[#Data],35,FALSE)</f>
        <v>123.00206084438462</v>
      </c>
      <c r="L260" s="102">
        <f>VLOOKUP(A260,Hoja2!$A$2:$F$329,6,FALSE)</f>
        <v>123.00206084438462</v>
      </c>
      <c r="M260" s="97"/>
      <c r="N260" s="103">
        <f t="shared" si="7"/>
        <v>0</v>
      </c>
    </row>
    <row r="261" spans="1:14" ht="27" customHeight="1" x14ac:dyDescent="0.2">
      <c r="A261" s="89">
        <v>256</v>
      </c>
      <c r="B261" s="90">
        <v>830054757</v>
      </c>
      <c r="C261" s="91" t="s">
        <v>361</v>
      </c>
      <c r="D261" s="92">
        <f>VLOOKUP(A261,Proponentes[#Data],19,FALSE)</f>
        <v>7.7725010647817072</v>
      </c>
      <c r="E261" s="93" t="str">
        <f>VLOOKUP(A261,Proponentes[#Data],25,FALSE)</f>
        <v>CUMPLE</v>
      </c>
      <c r="F261" s="94">
        <f>VLOOKUP(A261,Proponentes[#Data],20,FALSE)</f>
        <v>0.17485277814994024</v>
      </c>
      <c r="G261" s="93" t="str">
        <f>VLOOKUP(A261,Proponentes[#Data],26,FALSE)</f>
        <v>CUMPLE</v>
      </c>
      <c r="H261" s="95">
        <f>VLOOKUP(A261,Proponentes[#Data],21,FALSE)</f>
        <v>1184.7000854952687</v>
      </c>
      <c r="I261" s="93" t="str">
        <f>VLOOKUP(A261,Proponentes[#Data],27,FALSE)</f>
        <v>CUMPLE</v>
      </c>
      <c r="J261" s="96" t="str">
        <f t="shared" si="6"/>
        <v>CUMPLE</v>
      </c>
      <c r="K261" s="98">
        <f>VLOOKUP(A261,Proponentes[#Data],35,FALSE)</f>
        <v>809.6223855477607</v>
      </c>
      <c r="L261" s="102">
        <f>VLOOKUP(A261,Hoja2!$A$2:$F$329,6,FALSE)</f>
        <v>809.6223855477607</v>
      </c>
      <c r="M261" s="97"/>
      <c r="N261" s="103">
        <f t="shared" si="7"/>
        <v>0</v>
      </c>
    </row>
    <row r="262" spans="1:14" ht="27" customHeight="1" x14ac:dyDescent="0.2">
      <c r="A262" s="89">
        <v>257</v>
      </c>
      <c r="B262" s="90">
        <v>900486066</v>
      </c>
      <c r="C262" s="91" t="s">
        <v>362</v>
      </c>
      <c r="D262" s="92">
        <f>VLOOKUP(A262,Proponentes[#Data],19,FALSE)</f>
        <v>1.4334051680225912</v>
      </c>
      <c r="E262" s="93" t="str">
        <f>VLOOKUP(A262,Proponentes[#Data],25,FALSE)</f>
        <v>CUMPLE</v>
      </c>
      <c r="F262" s="94">
        <f>VLOOKUP(A262,Proponentes[#Data],20,FALSE)</f>
        <v>0.16722867771262692</v>
      </c>
      <c r="G262" s="93" t="str">
        <f>VLOOKUP(A262,Proponentes[#Data],26,FALSE)</f>
        <v>CUMPLE</v>
      </c>
      <c r="H262" s="95">
        <f>VLOOKUP(A262,Proponentes[#Data],21,FALSE)</f>
        <v>33.982973399861855</v>
      </c>
      <c r="I262" s="93" t="str">
        <f>VLOOKUP(A262,Proponentes[#Data],27,FALSE)</f>
        <v>CUMPLE</v>
      </c>
      <c r="J262" s="96" t="str">
        <f t="shared" si="6"/>
        <v>CUMPLE</v>
      </c>
      <c r="K262" s="98">
        <f>VLOOKUP(A262,Proponentes[#Data],35,FALSE)</f>
        <v>24.368705136884078</v>
      </c>
      <c r="L262" s="102">
        <f>VLOOKUP(A262,Hoja2!$A$2:$F$329,6,FALSE)</f>
        <v>24.368705136884078</v>
      </c>
      <c r="M262" s="97"/>
      <c r="N262" s="103">
        <f t="shared" si="7"/>
        <v>0</v>
      </c>
    </row>
    <row r="263" spans="1:14" ht="27" customHeight="1" x14ac:dyDescent="0.2">
      <c r="A263" s="89">
        <v>258</v>
      </c>
      <c r="B263" s="90">
        <v>810002676</v>
      </c>
      <c r="C263" s="91" t="s">
        <v>363</v>
      </c>
      <c r="D263" s="92">
        <f>VLOOKUP(A263,Proponentes[#Data],19,FALSE)</f>
        <v>1.2101042771053705</v>
      </c>
      <c r="E263" s="93" t="str">
        <f>VLOOKUP(A263,Proponentes[#Data],25,FALSE)</f>
        <v>CUMPLE</v>
      </c>
      <c r="F263" s="94">
        <f>VLOOKUP(A263,Proponentes[#Data],20,FALSE)</f>
        <v>0.68390563493392353</v>
      </c>
      <c r="G263" s="93" t="str">
        <f>VLOOKUP(A263,Proponentes[#Data],26,FALSE)</f>
        <v>NO CUMPLE</v>
      </c>
      <c r="H263" s="95">
        <f>VLOOKUP(A263,Proponentes[#Data],21,FALSE)</f>
        <v>29.363880181037437</v>
      </c>
      <c r="I263" s="93" t="str">
        <f>VLOOKUP(A263,Proponentes[#Data],27,FALSE)</f>
        <v>CUMPLE</v>
      </c>
      <c r="J263" s="96" t="str">
        <f t="shared" ref="J263:J326" si="8">IF(M263&lt;&gt;"","NO CUMPLE",IF(AND(E263="CUMPLE",G263="CUMPLE",I263="CUMPLE"),"CUMPLE","NO CUMPLE"))</f>
        <v>NO CUMPLE</v>
      </c>
      <c r="K263" s="98">
        <f>VLOOKUP(A263,Proponentes[#Data],35,FALSE)</f>
        <v>0</v>
      </c>
      <c r="L263" s="102">
        <f>VLOOKUP(A263,Hoja2!$A$2:$F$329,6,FALSE)</f>
        <v>0</v>
      </c>
      <c r="M263" s="97" t="s">
        <v>814</v>
      </c>
      <c r="N263" s="103">
        <f t="shared" ref="N263:N326" si="9">K263-L263</f>
        <v>0</v>
      </c>
    </row>
    <row r="264" spans="1:14" ht="27" customHeight="1" x14ac:dyDescent="0.2">
      <c r="A264" s="89">
        <v>259</v>
      </c>
      <c r="B264" s="90">
        <v>900199454</v>
      </c>
      <c r="C264" s="91" t="s">
        <v>364</v>
      </c>
      <c r="D264" s="92">
        <f>VLOOKUP(A264,Proponentes[#Data],19,FALSE)</f>
        <v>5.1192677322471125</v>
      </c>
      <c r="E264" s="93" t="str">
        <f>VLOOKUP(A264,Proponentes[#Data],25,FALSE)</f>
        <v>CUMPLE</v>
      </c>
      <c r="F264" s="94">
        <f>VLOOKUP(A264,Proponentes[#Data],20,FALSE)</f>
        <v>0.26076088322197927</v>
      </c>
      <c r="G264" s="93" t="str">
        <f>VLOOKUP(A264,Proponentes[#Data],26,FALSE)</f>
        <v>NO CUMPLE</v>
      </c>
      <c r="H264" s="95">
        <f>VLOOKUP(A264,Proponentes[#Data],21,FALSE)</f>
        <v>209.42988663423964</v>
      </c>
      <c r="I264" s="93" t="str">
        <f>VLOOKUP(A264,Proponentes[#Data],27,FALSE)</f>
        <v>CUMPLE</v>
      </c>
      <c r="J264" s="96" t="str">
        <f t="shared" si="8"/>
        <v>NO CUMPLE</v>
      </c>
      <c r="K264" s="98">
        <f>VLOOKUP(A264,Proponentes[#Data],35,FALSE)</f>
        <v>0</v>
      </c>
      <c r="L264" s="102">
        <f>VLOOKUP(A264,Hoja2!$A$2:$F$329,6,FALSE)</f>
        <v>0</v>
      </c>
      <c r="M264" s="97" t="s">
        <v>814</v>
      </c>
      <c r="N264" s="103">
        <f t="shared" si="9"/>
        <v>0</v>
      </c>
    </row>
    <row r="265" spans="1:14" ht="27" customHeight="1" x14ac:dyDescent="0.2">
      <c r="A265" s="89">
        <v>260</v>
      </c>
      <c r="B265" s="90">
        <v>800203572</v>
      </c>
      <c r="C265" s="91" t="s">
        <v>365</v>
      </c>
      <c r="D265" s="92">
        <f>VLOOKUP(A265,Proponentes[#Data],19,FALSE)</f>
        <v>25.772554418622256</v>
      </c>
      <c r="E265" s="93" t="str">
        <f>VLOOKUP(A265,Proponentes[#Data],25,FALSE)</f>
        <v>CUMPLE</v>
      </c>
      <c r="F265" s="94">
        <f>VLOOKUP(A265,Proponentes[#Data],20,FALSE)</f>
        <v>4.8070445210528105E-2</v>
      </c>
      <c r="G265" s="93" t="str">
        <f>VLOOKUP(A265,Proponentes[#Data],26,FALSE)</f>
        <v>CUMPLE</v>
      </c>
      <c r="H265" s="95">
        <f>VLOOKUP(A265,Proponentes[#Data],21,FALSE)</f>
        <v>391.99953750440761</v>
      </c>
      <c r="I265" s="93" t="str">
        <f>VLOOKUP(A265,Proponentes[#Data],27,FALSE)</f>
        <v>CUMPLE</v>
      </c>
      <c r="J265" s="96" t="str">
        <f t="shared" si="8"/>
        <v>CUMPLE</v>
      </c>
      <c r="K265" s="98">
        <f>VLOOKUP(A265,Proponentes[#Data],35,FALSE)</f>
        <v>463.01675598161091</v>
      </c>
      <c r="L265" s="102">
        <f>VLOOKUP(A265,Hoja2!$A$2:$F$329,6,FALSE)</f>
        <v>463.01675598161086</v>
      </c>
      <c r="M265" s="97"/>
      <c r="N265" s="103">
        <f t="shared" si="9"/>
        <v>0</v>
      </c>
    </row>
    <row r="266" spans="1:14" ht="27" customHeight="1" x14ac:dyDescent="0.2">
      <c r="A266" s="89">
        <v>261</v>
      </c>
      <c r="B266" s="90">
        <v>800189920</v>
      </c>
      <c r="C266" s="91" t="s">
        <v>366</v>
      </c>
      <c r="D266" s="92">
        <f>VLOOKUP(A266,Proponentes[#Data],19,FALSE)</f>
        <v>18.285872804167166</v>
      </c>
      <c r="E266" s="93" t="str">
        <f>VLOOKUP(A266,Proponentes[#Data],25,FALSE)</f>
        <v>CUMPLE</v>
      </c>
      <c r="F266" s="94">
        <f>VLOOKUP(A266,Proponentes[#Data],20,FALSE)</f>
        <v>6.4511865206099916E-2</v>
      </c>
      <c r="G266" s="93" t="str">
        <f>VLOOKUP(A266,Proponentes[#Data],26,FALSE)</f>
        <v>NO CUMPLE</v>
      </c>
      <c r="H266" s="95">
        <f>VLOOKUP(A266,Proponentes[#Data],21,FALSE)</f>
        <v>266.65230354201583</v>
      </c>
      <c r="I266" s="93" t="str">
        <f>VLOOKUP(A266,Proponentes[#Data],27,FALSE)</f>
        <v>CUMPLE</v>
      </c>
      <c r="J266" s="96" t="str">
        <f t="shared" si="8"/>
        <v>NO CUMPLE</v>
      </c>
      <c r="K266" s="98">
        <f>VLOOKUP(A266,Proponentes[#Data],35,FALSE)</f>
        <v>0</v>
      </c>
      <c r="L266" s="102">
        <f>VLOOKUP(A266,Hoja2!$A$2:$F$329,6,FALSE)</f>
        <v>0</v>
      </c>
      <c r="M266" s="97" t="s">
        <v>814</v>
      </c>
      <c r="N266" s="103">
        <f t="shared" si="9"/>
        <v>0</v>
      </c>
    </row>
    <row r="267" spans="1:14" ht="27" customHeight="1" x14ac:dyDescent="0.2">
      <c r="A267" s="89">
        <v>262</v>
      </c>
      <c r="B267" s="90" t="s">
        <v>221</v>
      </c>
      <c r="C267" s="91" t="s">
        <v>368</v>
      </c>
      <c r="D267" s="92" t="str">
        <f>VLOOKUP(A267,Proponentes[#Data],19,FALSE)</f>
        <v>INDETERMINADO</v>
      </c>
      <c r="E267" s="96" t="s">
        <v>815</v>
      </c>
      <c r="F267" s="94" t="s">
        <v>470</v>
      </c>
      <c r="G267" s="96" t="s">
        <v>815</v>
      </c>
      <c r="H267" s="95" t="s">
        <v>470</v>
      </c>
      <c r="I267" s="96" t="s">
        <v>815</v>
      </c>
      <c r="J267" s="96" t="s">
        <v>815</v>
      </c>
      <c r="K267" s="98">
        <f>VLOOKUP(A267,Proponentes[#Data],35,FALSE)</f>
        <v>0</v>
      </c>
      <c r="L267" s="102">
        <f>VLOOKUP(A267,Hoja2!$A$2:$F$329,6,FALSE)</f>
        <v>0</v>
      </c>
      <c r="M267" s="97" t="s">
        <v>801</v>
      </c>
      <c r="N267" s="103">
        <f t="shared" si="9"/>
        <v>0</v>
      </c>
    </row>
    <row r="268" spans="1:14" ht="27" customHeight="1" x14ac:dyDescent="0.2">
      <c r="A268" s="89">
        <v>263</v>
      </c>
      <c r="B268" s="90">
        <v>821001831</v>
      </c>
      <c r="C268" s="91" t="s">
        <v>369</v>
      </c>
      <c r="D268" s="92">
        <f>VLOOKUP(A268,Proponentes[#Data],19,FALSE)</f>
        <v>2.7688919697359524</v>
      </c>
      <c r="E268" s="93" t="str">
        <f>VLOOKUP(A268,Proponentes[#Data],25,FALSE)</f>
        <v>CUMPLE</v>
      </c>
      <c r="F268" s="94">
        <f>VLOOKUP(A268,Proponentes[#Data],20,FALSE)</f>
        <v>0.32322432660518674</v>
      </c>
      <c r="G268" s="93" t="str">
        <f>VLOOKUP(A268,Proponentes[#Data],26,FALSE)</f>
        <v>CUMPLE</v>
      </c>
      <c r="H268" s="95">
        <f>VLOOKUP(A268,Proponentes[#Data],21,FALSE)</f>
        <v>2295.4923839172288</v>
      </c>
      <c r="I268" s="93" t="str">
        <f>VLOOKUP(A268,Proponentes[#Data],27,FALSE)</f>
        <v>CUMPLE</v>
      </c>
      <c r="J268" s="96" t="str">
        <f t="shared" si="8"/>
        <v>CUMPLE</v>
      </c>
      <c r="K268" s="98">
        <f>VLOOKUP(A268,Proponentes[#Data],35,FALSE)</f>
        <v>1489.7826560870558</v>
      </c>
      <c r="L268" s="102">
        <f>VLOOKUP(A268,Hoja2!$A$2:$F$329,6,FALSE)</f>
        <v>1489.7826560870558</v>
      </c>
      <c r="M268" s="97"/>
      <c r="N268" s="103">
        <f t="shared" si="9"/>
        <v>0</v>
      </c>
    </row>
    <row r="269" spans="1:14" ht="27" customHeight="1" x14ac:dyDescent="0.2">
      <c r="A269" s="89">
        <v>264</v>
      </c>
      <c r="B269" s="90">
        <v>900039320</v>
      </c>
      <c r="C269" s="91" t="s">
        <v>370</v>
      </c>
      <c r="D269" s="92">
        <f>VLOOKUP(A269,Proponentes[#Data],19,FALSE)</f>
        <v>26.03561919295592</v>
      </c>
      <c r="E269" s="93" t="str">
        <f>VLOOKUP(A269,Proponentes[#Data],25,FALSE)</f>
        <v>CUMPLE</v>
      </c>
      <c r="F269" s="94">
        <f>VLOOKUP(A269,Proponentes[#Data],20,FALSE)</f>
        <v>2.5303316449522752E-2</v>
      </c>
      <c r="G269" s="93" t="str">
        <f>VLOOKUP(A269,Proponentes[#Data],26,FALSE)</f>
        <v>NO CUMPLE</v>
      </c>
      <c r="H269" s="95">
        <f>VLOOKUP(A269,Proponentes[#Data],21,FALSE)</f>
        <v>223.86205918011487</v>
      </c>
      <c r="I269" s="93" t="str">
        <f>VLOOKUP(A269,Proponentes[#Data],27,FALSE)</f>
        <v>CUMPLE</v>
      </c>
      <c r="J269" s="96" t="str">
        <f t="shared" si="8"/>
        <v>NO CUMPLE</v>
      </c>
      <c r="K269" s="98">
        <f>VLOOKUP(A269,Proponentes[#Data],35,FALSE)</f>
        <v>0</v>
      </c>
      <c r="L269" s="102">
        <f>VLOOKUP(A269,Hoja2!$A$2:$F$329,6,FALSE)</f>
        <v>0</v>
      </c>
      <c r="M269" s="97" t="s">
        <v>814</v>
      </c>
      <c r="N269" s="103">
        <f t="shared" si="9"/>
        <v>0</v>
      </c>
    </row>
    <row r="270" spans="1:14" ht="27" customHeight="1" x14ac:dyDescent="0.2">
      <c r="A270" s="89">
        <v>265</v>
      </c>
      <c r="B270" s="90">
        <v>891102721</v>
      </c>
      <c r="C270" s="91" t="s">
        <v>372</v>
      </c>
      <c r="D270" s="92">
        <f>VLOOKUP(A270,Proponentes[#Data],19,FALSE)</f>
        <v>349.3269666157903</v>
      </c>
      <c r="E270" s="93" t="str">
        <f>VLOOKUP(A270,Proponentes[#Data],25,FALSE)</f>
        <v>CUMPLE</v>
      </c>
      <c r="F270" s="94">
        <f>VLOOKUP(A270,Proponentes[#Data],20,FALSE)</f>
        <v>0.4169155617878797</v>
      </c>
      <c r="G270" s="93" t="str">
        <f>VLOOKUP(A270,Proponentes[#Data],26,FALSE)</f>
        <v>CUMPLE</v>
      </c>
      <c r="H270" s="95">
        <f>VLOOKUP(A270,Proponentes[#Data],21,FALSE)</f>
        <v>322.71211641847276</v>
      </c>
      <c r="I270" s="93" t="str">
        <f>VLOOKUP(A270,Proponentes[#Data],27,FALSE)</f>
        <v>CUMPLE</v>
      </c>
      <c r="J270" s="96" t="str">
        <f t="shared" si="8"/>
        <v>CUMPLE</v>
      </c>
      <c r="K270" s="98">
        <f>VLOOKUP(A270,Proponentes[#Data],35,FALSE)</f>
        <v>805.35557513349272</v>
      </c>
      <c r="L270" s="102">
        <f>VLOOKUP(A270,Hoja2!$A$2:$F$329,6,FALSE)</f>
        <v>805.35557513349272</v>
      </c>
      <c r="M270" s="97"/>
      <c r="N270" s="103">
        <f t="shared" si="9"/>
        <v>0</v>
      </c>
    </row>
    <row r="271" spans="1:14" ht="27" customHeight="1" x14ac:dyDescent="0.2">
      <c r="A271" s="89">
        <v>266</v>
      </c>
      <c r="B271" s="90">
        <v>900400705</v>
      </c>
      <c r="C271" s="91" t="s">
        <v>373</v>
      </c>
      <c r="D271" s="92">
        <f>VLOOKUP(A271,Proponentes[#Data],19,FALSE)</f>
        <v>6.152002339728754</v>
      </c>
      <c r="E271" s="93" t="str">
        <f>VLOOKUP(A271,Proponentes[#Data],25,FALSE)</f>
        <v>CUMPLE</v>
      </c>
      <c r="F271" s="94">
        <f>VLOOKUP(A271,Proponentes[#Data],20,FALSE)</f>
        <v>0.40952207306611454</v>
      </c>
      <c r="G271" s="93" t="str">
        <f>VLOOKUP(A271,Proponentes[#Data],26,FALSE)</f>
        <v>CUMPLE</v>
      </c>
      <c r="H271" s="95">
        <f>VLOOKUP(A271,Proponentes[#Data],21,FALSE)</f>
        <v>125.54764066869859</v>
      </c>
      <c r="I271" s="93" t="str">
        <f>VLOOKUP(A271,Proponentes[#Data],27,FALSE)</f>
        <v>CUMPLE</v>
      </c>
      <c r="J271" s="96" t="str">
        <f t="shared" si="8"/>
        <v>CUMPLE</v>
      </c>
      <c r="K271" s="98">
        <f>VLOOKUP(A271,Proponentes[#Data],35,FALSE)</f>
        <v>488.04752505565779</v>
      </c>
      <c r="L271" s="102">
        <f>VLOOKUP(A271,Hoja2!$A$2:$F$329,6,FALSE)</f>
        <v>488.04752505565784</v>
      </c>
      <c r="M271" s="97"/>
      <c r="N271" s="103">
        <f t="shared" si="9"/>
        <v>0</v>
      </c>
    </row>
    <row r="272" spans="1:14" ht="27" customHeight="1" x14ac:dyDescent="0.2">
      <c r="A272" s="89">
        <v>267</v>
      </c>
      <c r="B272" s="90">
        <v>828000775</v>
      </c>
      <c r="C272" s="91" t="s">
        <v>374</v>
      </c>
      <c r="D272" s="92">
        <f>VLOOKUP(A272,Proponentes[#Data],19,FALSE)</f>
        <v>13.517750726744186</v>
      </c>
      <c r="E272" s="93" t="str">
        <f>VLOOKUP(A272,Proponentes[#Data],25,FALSE)</f>
        <v>CUMPLE</v>
      </c>
      <c r="F272" s="94">
        <f>VLOOKUP(A272,Proponentes[#Data],20,FALSE)</f>
        <v>0.31931488915451445</v>
      </c>
      <c r="G272" s="93" t="str">
        <f>VLOOKUP(A272,Proponentes[#Data],26,FALSE)</f>
        <v>CUMPLE</v>
      </c>
      <c r="H272" s="95">
        <f>VLOOKUP(A272,Proponentes[#Data],21,FALSE)</f>
        <v>20.799531708118188</v>
      </c>
      <c r="I272" s="93" t="str">
        <f>VLOOKUP(A272,Proponentes[#Data],27,FALSE)</f>
        <v>NO CUMPLE</v>
      </c>
      <c r="J272" s="96" t="str">
        <f t="shared" si="8"/>
        <v>NO CUMPLE</v>
      </c>
      <c r="K272" s="98">
        <f>VLOOKUP(A272,Proponentes[#Data],35,FALSE)</f>
        <v>1000</v>
      </c>
      <c r="L272" s="102">
        <f>VLOOKUP(A272,Hoja2!$A$2:$F$329,6,FALSE)</f>
        <v>1601.4302361784826</v>
      </c>
      <c r="M272" s="97" t="s">
        <v>814</v>
      </c>
      <c r="N272" s="103">
        <f t="shared" si="9"/>
        <v>-601.43023617848257</v>
      </c>
    </row>
    <row r="273" spans="1:14" ht="27" customHeight="1" x14ac:dyDescent="0.2">
      <c r="A273" s="89">
        <v>268</v>
      </c>
      <c r="B273" s="90">
        <v>900548374</v>
      </c>
      <c r="C273" s="91" t="s">
        <v>375</v>
      </c>
      <c r="D273" s="92">
        <f>VLOOKUP(A273,Proponentes[#Data],19,FALSE)</f>
        <v>32.060256410256407</v>
      </c>
      <c r="E273" s="93" t="str">
        <f>VLOOKUP(A273,Proponentes[#Data],25,FALSE)</f>
        <v>CUMPLE</v>
      </c>
      <c r="F273" s="94">
        <f>VLOOKUP(A273,Proponentes[#Data],20,FALSE)</f>
        <v>1.6581985161249178E-2</v>
      </c>
      <c r="G273" s="93" t="str">
        <f>VLOOKUP(A273,Proponentes[#Data],26,FALSE)</f>
        <v>CUMPLE</v>
      </c>
      <c r="H273" s="95">
        <f>VLOOKUP(A273,Proponentes[#Data],21,FALSE)</f>
        <v>731.38908075680217</v>
      </c>
      <c r="I273" s="93" t="str">
        <f>VLOOKUP(A273,Proponentes[#Data],27,FALSE)</f>
        <v>CUMPLE</v>
      </c>
      <c r="J273" s="96" t="str">
        <f t="shared" si="8"/>
        <v>CUMPLE</v>
      </c>
      <c r="K273" s="98">
        <f>VLOOKUP(A273,Proponentes[#Data],35,FALSE)</f>
        <v>31.045721793822693</v>
      </c>
      <c r="L273" s="102">
        <f>VLOOKUP(A273,Hoja2!$A$2:$F$329,6,FALSE)</f>
        <v>31.045721793822693</v>
      </c>
      <c r="M273" s="97"/>
      <c r="N273" s="103">
        <f t="shared" si="9"/>
        <v>0</v>
      </c>
    </row>
    <row r="274" spans="1:14" ht="27" customHeight="1" x14ac:dyDescent="0.2">
      <c r="A274" s="89">
        <v>269</v>
      </c>
      <c r="B274" s="90">
        <v>830093333</v>
      </c>
      <c r="C274" s="91" t="s">
        <v>376</v>
      </c>
      <c r="D274" s="92">
        <f>VLOOKUP(A274,Proponentes[#Data],19,FALSE)</f>
        <v>1.6310949978328404</v>
      </c>
      <c r="E274" s="93" t="str">
        <f>VLOOKUP(A274,Proponentes[#Data],25,FALSE)</f>
        <v>CUMPLE</v>
      </c>
      <c r="F274" s="94">
        <f>VLOOKUP(A274,Proponentes[#Data],20,FALSE)</f>
        <v>0.64608777050882604</v>
      </c>
      <c r="G274" s="93" t="str">
        <f>VLOOKUP(A274,Proponentes[#Data],26,FALSE)</f>
        <v>CUMPLE</v>
      </c>
      <c r="H274" s="95">
        <f>VLOOKUP(A274,Proponentes[#Data],21,FALSE)</f>
        <v>1203.0530710673384</v>
      </c>
      <c r="I274" s="93" t="str">
        <f>VLOOKUP(A274,Proponentes[#Data],27,FALSE)</f>
        <v>CUMPLE</v>
      </c>
      <c r="J274" s="96" t="str">
        <f t="shared" si="8"/>
        <v>CUMPLE</v>
      </c>
      <c r="K274" s="98">
        <f>VLOOKUP(A274,Proponentes[#Data],35,FALSE)</f>
        <v>1745.1385109603807</v>
      </c>
      <c r="L274" s="102">
        <f>VLOOKUP(A274,Hoja2!$A$2:$F$329,6,FALSE)</f>
        <v>1745.1385109603805</v>
      </c>
      <c r="M274" s="97"/>
      <c r="N274" s="103">
        <f t="shared" si="9"/>
        <v>0</v>
      </c>
    </row>
    <row r="275" spans="1:14" ht="27" customHeight="1" x14ac:dyDescent="0.2">
      <c r="A275" s="89">
        <v>270</v>
      </c>
      <c r="B275" s="90">
        <v>900576662</v>
      </c>
      <c r="C275" s="91" t="s">
        <v>377</v>
      </c>
      <c r="D275" s="92">
        <f>VLOOKUP(A275,Proponentes[#Data],19,FALSE)</f>
        <v>11.757068667051357</v>
      </c>
      <c r="E275" s="93" t="str">
        <f>VLOOKUP(A275,Proponentes[#Data],25,FALSE)</f>
        <v>CUMPLE</v>
      </c>
      <c r="F275" s="94">
        <f>VLOOKUP(A275,Proponentes[#Data],20,FALSE)</f>
        <v>0.21251269035532994</v>
      </c>
      <c r="G275" s="93" t="str">
        <f>VLOOKUP(A275,Proponentes[#Data],26,FALSE)</f>
        <v>CUMPLE</v>
      </c>
      <c r="H275" s="95">
        <f>VLOOKUP(A275,Proponentes[#Data],21,FALSE)</f>
        <v>180.09071192924662</v>
      </c>
      <c r="I275" s="93" t="str">
        <f>VLOOKUP(A275,Proponentes[#Data],27,FALSE)</f>
        <v>CUMPLE</v>
      </c>
      <c r="J275" s="96" t="str">
        <f t="shared" si="8"/>
        <v>CUMPLE</v>
      </c>
      <c r="K275" s="98">
        <f>VLOOKUP(A275,Proponentes[#Data],35,FALSE)</f>
        <v>3493.2936793549939</v>
      </c>
      <c r="L275" s="102">
        <f>VLOOKUP(A275,Hoja2!$A$2:$F$329,6,FALSE)</f>
        <v>3493.2936793549939</v>
      </c>
      <c r="M275" s="97"/>
      <c r="N275" s="103">
        <f t="shared" si="9"/>
        <v>0</v>
      </c>
    </row>
    <row r="276" spans="1:14" ht="27" customHeight="1" x14ac:dyDescent="0.2">
      <c r="A276" s="89">
        <v>271</v>
      </c>
      <c r="B276" s="90">
        <v>860066093</v>
      </c>
      <c r="C276" s="91" t="s">
        <v>379</v>
      </c>
      <c r="D276" s="92">
        <f>VLOOKUP(A276,Proponentes[#Data],19,FALSE)</f>
        <v>1.4991855192301879</v>
      </c>
      <c r="E276" s="93" t="str">
        <f>VLOOKUP(A276,Proponentes[#Data],25,FALSE)</f>
        <v>CUMPLE</v>
      </c>
      <c r="F276" s="94">
        <f>VLOOKUP(A276,Proponentes[#Data],20,FALSE)</f>
        <v>0.12960218632363152</v>
      </c>
      <c r="G276" s="93" t="str">
        <f>VLOOKUP(A276,Proponentes[#Data],26,FALSE)</f>
        <v>NO CUMPLE</v>
      </c>
      <c r="H276" s="95">
        <f>VLOOKUP(A276,Proponentes[#Data],21,FALSE)</f>
        <v>1156.7751377826296</v>
      </c>
      <c r="I276" s="93" t="str">
        <f>VLOOKUP(A276,Proponentes[#Data],27,FALSE)</f>
        <v>CUMPLE</v>
      </c>
      <c r="J276" s="96" t="str">
        <f t="shared" si="8"/>
        <v>NO CUMPLE</v>
      </c>
      <c r="K276" s="98">
        <f>VLOOKUP(A276,Proponentes[#Data],35,FALSE)</f>
        <v>0</v>
      </c>
      <c r="L276" s="102">
        <f>VLOOKUP(A276,Hoja2!$A$2:$F$329,6,FALSE)</f>
        <v>0</v>
      </c>
      <c r="M276" s="97" t="s">
        <v>814</v>
      </c>
      <c r="N276" s="103">
        <f t="shared" si="9"/>
        <v>0</v>
      </c>
    </row>
    <row r="277" spans="1:14" ht="27" customHeight="1" x14ac:dyDescent="0.2">
      <c r="A277" s="89">
        <v>272</v>
      </c>
      <c r="B277" s="90">
        <v>813010867</v>
      </c>
      <c r="C277" s="91" t="s">
        <v>381</v>
      </c>
      <c r="D277" s="92">
        <f>VLOOKUP(A277,Proponentes[#Data],19,FALSE)</f>
        <v>4.9869262525845377</v>
      </c>
      <c r="E277" s="93" t="str">
        <f>VLOOKUP(A277,Proponentes[#Data],25,FALSE)</f>
        <v>CUMPLE</v>
      </c>
      <c r="F277" s="94">
        <f>VLOOKUP(A277,Proponentes[#Data],20,FALSE)</f>
        <v>0.12532952943185904</v>
      </c>
      <c r="G277" s="93" t="str">
        <f>VLOOKUP(A277,Proponentes[#Data],26,FALSE)</f>
        <v>NO CUMPLE</v>
      </c>
      <c r="H277" s="95">
        <f>VLOOKUP(A277,Proponentes[#Data],21,FALSE)</f>
        <v>4240.8818462630843</v>
      </c>
      <c r="I277" s="93" t="str">
        <f>VLOOKUP(A277,Proponentes[#Data],27,FALSE)</f>
        <v>CUMPLE</v>
      </c>
      <c r="J277" s="96" t="str">
        <f t="shared" si="8"/>
        <v>NO CUMPLE</v>
      </c>
      <c r="K277" s="98">
        <f>VLOOKUP(A277,Proponentes[#Data],35,FALSE)</f>
        <v>0</v>
      </c>
      <c r="L277" s="102">
        <f>VLOOKUP(A277,Hoja2!$A$2:$F$329,6,FALSE)</f>
        <v>0</v>
      </c>
      <c r="M277" s="97" t="s">
        <v>814</v>
      </c>
      <c r="N277" s="103">
        <f t="shared" si="9"/>
        <v>0</v>
      </c>
    </row>
    <row r="278" spans="1:14" ht="27" customHeight="1" x14ac:dyDescent="0.2">
      <c r="A278" s="89">
        <v>273</v>
      </c>
      <c r="B278" s="90">
        <v>806013684</v>
      </c>
      <c r="C278" s="91" t="s">
        <v>382</v>
      </c>
      <c r="D278" s="92" t="str">
        <f>VLOOKUP(A278,Proponentes[#Data],19,FALSE)</f>
        <v>INDETERMINADO</v>
      </c>
      <c r="E278" s="93" t="str">
        <f>VLOOKUP(A278,Proponentes[#Data],25,FALSE)</f>
        <v>CUMPLE</v>
      </c>
      <c r="F278" s="94">
        <f>VLOOKUP(A278,Proponentes[#Data],20,FALSE)</f>
        <v>5.6441882492135997E-2</v>
      </c>
      <c r="G278" s="93" t="str">
        <f>VLOOKUP(A278,Proponentes[#Data],26,FALSE)</f>
        <v>CUMPLE</v>
      </c>
      <c r="H278" s="95">
        <f>VLOOKUP(A278,Proponentes[#Data],21,FALSE)</f>
        <v>59.354685816962842</v>
      </c>
      <c r="I278" s="93" t="str">
        <f>VLOOKUP(A278,Proponentes[#Data],27,FALSE)</f>
        <v>CUMPLE</v>
      </c>
      <c r="J278" s="96" t="str">
        <f t="shared" si="8"/>
        <v>CUMPLE</v>
      </c>
      <c r="K278" s="98">
        <f>VLOOKUP(A278,Proponentes[#Data],35,FALSE)</f>
        <v>46.193765498394804</v>
      </c>
      <c r="L278" s="102">
        <f>VLOOKUP(A278,Hoja2!$A$2:$F$329,6,FALSE)</f>
        <v>46.193765498394797</v>
      </c>
      <c r="M278" s="97"/>
      <c r="N278" s="103">
        <f t="shared" si="9"/>
        <v>0</v>
      </c>
    </row>
    <row r="279" spans="1:14" ht="27" customHeight="1" x14ac:dyDescent="0.2">
      <c r="A279" s="89">
        <v>274</v>
      </c>
      <c r="B279" s="90">
        <v>800196208</v>
      </c>
      <c r="C279" s="91" t="s">
        <v>383</v>
      </c>
      <c r="D279" s="92">
        <f>VLOOKUP(A279,Proponentes[#Data],19,FALSE)</f>
        <v>1.3584595498873291</v>
      </c>
      <c r="E279" s="93" t="str">
        <f>VLOOKUP(A279,Proponentes[#Data],25,FALSE)</f>
        <v>CUMPLE</v>
      </c>
      <c r="F279" s="94">
        <f>VLOOKUP(A279,Proponentes[#Data],20,FALSE)</f>
        <v>0.17227429545851952</v>
      </c>
      <c r="G279" s="93" t="str">
        <f>VLOOKUP(A279,Proponentes[#Data],26,FALSE)</f>
        <v>CUMPLE</v>
      </c>
      <c r="H279" s="95">
        <f>VLOOKUP(A279,Proponentes[#Data],21,FALSE)</f>
        <v>66.091948470987163</v>
      </c>
      <c r="I279" s="93" t="str">
        <f>VLOOKUP(A279,Proponentes[#Data],27,FALSE)</f>
        <v>CUMPLE</v>
      </c>
      <c r="J279" s="96" t="str">
        <f t="shared" si="8"/>
        <v>CUMPLE</v>
      </c>
      <c r="K279" s="98">
        <f>VLOOKUP(A279,Proponentes[#Data],35,FALSE)</f>
        <v>844.67022436172181</v>
      </c>
      <c r="L279" s="102">
        <f>VLOOKUP(A279,Hoja2!$A$2:$F$329,6,FALSE)</f>
        <v>844.67022436172181</v>
      </c>
      <c r="M279" s="97"/>
      <c r="N279" s="103">
        <f t="shared" si="9"/>
        <v>0</v>
      </c>
    </row>
    <row r="280" spans="1:14" ht="27" customHeight="1" x14ac:dyDescent="0.2">
      <c r="A280" s="89">
        <v>275</v>
      </c>
      <c r="B280" s="90">
        <v>900631966</v>
      </c>
      <c r="C280" s="91" t="s">
        <v>384</v>
      </c>
      <c r="D280" s="92">
        <f>VLOOKUP(A280,Proponentes[#Data],19,FALSE)</f>
        <v>31.416976423593454</v>
      </c>
      <c r="E280" s="93" t="str">
        <f>VLOOKUP(A280,Proponentes[#Data],25,FALSE)</f>
        <v>CUMPLE</v>
      </c>
      <c r="F280" s="94">
        <f>VLOOKUP(A280,Proponentes[#Data],20,FALSE)</f>
        <v>2.7550245228707818E-2</v>
      </c>
      <c r="G280" s="93" t="str">
        <f>VLOOKUP(A280,Proponentes[#Data],26,FALSE)</f>
        <v>CUMPLE</v>
      </c>
      <c r="H280" s="95">
        <f>VLOOKUP(A280,Proponentes[#Data],21,FALSE)</f>
        <v>124.96136773109082</v>
      </c>
      <c r="I280" s="93" t="str">
        <f>VLOOKUP(A280,Proponentes[#Data],27,FALSE)</f>
        <v>CUMPLE</v>
      </c>
      <c r="J280" s="96" t="str">
        <f t="shared" si="8"/>
        <v>CUMPLE</v>
      </c>
      <c r="K280" s="98">
        <f>VLOOKUP(A280,Proponentes[#Data],35,FALSE)</f>
        <v>25.217708113674565</v>
      </c>
      <c r="L280" s="102">
        <f>VLOOKUP(A280,Hoja2!$A$2:$F$329,6,FALSE)</f>
        <v>25.217708113674565</v>
      </c>
      <c r="M280" s="97"/>
      <c r="N280" s="103">
        <f t="shared" si="9"/>
        <v>0</v>
      </c>
    </row>
    <row r="281" spans="1:14" ht="27" customHeight="1" x14ac:dyDescent="0.2">
      <c r="A281" s="89">
        <v>276</v>
      </c>
      <c r="B281" s="90">
        <v>801001664</v>
      </c>
      <c r="C281" s="91" t="s">
        <v>386</v>
      </c>
      <c r="D281" s="92">
        <f>VLOOKUP(A281,Proponentes[#Data],19,FALSE)</f>
        <v>55.360818656419113</v>
      </c>
      <c r="E281" s="93" t="str">
        <f>VLOOKUP(A281,Proponentes[#Data],25,FALSE)</f>
        <v>CUMPLE</v>
      </c>
      <c r="F281" s="94">
        <f>VLOOKUP(A281,Proponentes[#Data],20,FALSE)</f>
        <v>4.6564274530120846E-2</v>
      </c>
      <c r="G281" s="93" t="str">
        <f>VLOOKUP(A281,Proponentes[#Data],26,FALSE)</f>
        <v>CUMPLE</v>
      </c>
      <c r="H281" s="95">
        <f>VLOOKUP(A281,Proponentes[#Data],21,FALSE)</f>
        <v>126.54476184495891</v>
      </c>
      <c r="I281" s="93" t="str">
        <f>VLOOKUP(A281,Proponentes[#Data],27,FALSE)</f>
        <v>CUMPLE</v>
      </c>
      <c r="J281" s="96" t="str">
        <f t="shared" si="8"/>
        <v>CUMPLE</v>
      </c>
      <c r="K281" s="98">
        <f>VLOOKUP(A281,Proponentes[#Data],35,FALSE)</f>
        <v>739.44039711274763</v>
      </c>
      <c r="L281" s="102">
        <f>VLOOKUP(A281,Hoja2!$A$2:$F$329,6,FALSE)</f>
        <v>739.44039711274752</v>
      </c>
      <c r="M281" s="97"/>
      <c r="N281" s="103">
        <f t="shared" si="9"/>
        <v>0</v>
      </c>
    </row>
    <row r="282" spans="1:14" ht="27" customHeight="1" x14ac:dyDescent="0.2">
      <c r="A282" s="89">
        <v>277</v>
      </c>
      <c r="B282" s="90">
        <v>900268395</v>
      </c>
      <c r="C282" s="91" t="s">
        <v>387</v>
      </c>
      <c r="D282" s="92">
        <f>VLOOKUP(A282,Proponentes[#Data],19,FALSE)</f>
        <v>5</v>
      </c>
      <c r="E282" s="93" t="str">
        <f>VLOOKUP(A282,Proponentes[#Data],25,FALSE)</f>
        <v>CUMPLE</v>
      </c>
      <c r="F282" s="94">
        <f>VLOOKUP(A282,Proponentes[#Data],20,FALSE)</f>
        <v>0.5033333333333333</v>
      </c>
      <c r="G282" s="93" t="str">
        <f>VLOOKUP(A282,Proponentes[#Data],26,FALSE)</f>
        <v>NO CUMPLE</v>
      </c>
      <c r="H282" s="95">
        <f>VLOOKUP(A282,Proponentes[#Data],21,FALSE)</f>
        <v>772.83858783069036</v>
      </c>
      <c r="I282" s="93" t="str">
        <f>VLOOKUP(A282,Proponentes[#Data],27,FALSE)</f>
        <v>CUMPLE</v>
      </c>
      <c r="J282" s="96" t="str">
        <f t="shared" si="8"/>
        <v>NO CUMPLE</v>
      </c>
      <c r="K282" s="98">
        <f>VLOOKUP(A282,Proponentes[#Data],35,FALSE)</f>
        <v>0</v>
      </c>
      <c r="L282" s="102">
        <f>VLOOKUP(A282,Hoja2!$A$2:$F$329,6,FALSE)</f>
        <v>0</v>
      </c>
      <c r="M282" s="97" t="s">
        <v>814</v>
      </c>
      <c r="N282" s="103">
        <f t="shared" si="9"/>
        <v>0</v>
      </c>
    </row>
    <row r="283" spans="1:14" ht="27" customHeight="1" x14ac:dyDescent="0.2">
      <c r="A283" s="89">
        <v>278</v>
      </c>
      <c r="B283" s="90">
        <v>900915653</v>
      </c>
      <c r="C283" s="91" t="s">
        <v>389</v>
      </c>
      <c r="D283" s="92">
        <f>VLOOKUP(A283,Proponentes[#Data],19,FALSE)</f>
        <v>93.902788704978605</v>
      </c>
      <c r="E283" s="93" t="str">
        <f>VLOOKUP(A283,Proponentes[#Data],25,FALSE)</f>
        <v>CUMPLE</v>
      </c>
      <c r="F283" s="94">
        <f>VLOOKUP(A283,Proponentes[#Data],20,FALSE)</f>
        <v>8.7565941682212559E-3</v>
      </c>
      <c r="G283" s="93" t="str">
        <f>VLOOKUP(A283,Proponentes[#Data],26,FALSE)</f>
        <v>CUMPLE</v>
      </c>
      <c r="H283" s="95">
        <f>VLOOKUP(A283,Proponentes[#Data],21,FALSE)</f>
        <v>113.68886158460892</v>
      </c>
      <c r="I283" s="93" t="str">
        <f>VLOOKUP(A283,Proponentes[#Data],27,FALSE)</f>
        <v>CUMPLE</v>
      </c>
      <c r="J283" s="96" t="str">
        <f t="shared" si="8"/>
        <v>CUMPLE</v>
      </c>
      <c r="K283" s="98">
        <f>VLOOKUP(A283,Proponentes[#Data],35,FALSE)</f>
        <v>22.957959701150102</v>
      </c>
      <c r="L283" s="102">
        <f>VLOOKUP(A283,Hoja2!$A$2:$F$329,6,FALSE)</f>
        <v>22.957959701150102</v>
      </c>
      <c r="M283" s="97"/>
      <c r="N283" s="103">
        <f t="shared" si="9"/>
        <v>0</v>
      </c>
    </row>
    <row r="284" spans="1:14" ht="27" customHeight="1" x14ac:dyDescent="0.2">
      <c r="A284" s="89">
        <v>279</v>
      </c>
      <c r="B284" s="90">
        <v>900593622</v>
      </c>
      <c r="C284" s="91" t="s">
        <v>391</v>
      </c>
      <c r="D284" s="92" t="str">
        <f>VLOOKUP(A284,Proponentes[#Data],19,FALSE)</f>
        <v>INDETERMINADO</v>
      </c>
      <c r="E284" s="93" t="str">
        <f>VLOOKUP(A284,Proponentes[#Data],25,FALSE)</f>
        <v>CUMPLE</v>
      </c>
      <c r="F284" s="94">
        <f>VLOOKUP(A284,Proponentes[#Data],20,FALSE)</f>
        <v>0</v>
      </c>
      <c r="G284" s="93" t="str">
        <f>VLOOKUP(A284,Proponentes[#Data],26,FALSE)</f>
        <v>CUMPLE</v>
      </c>
      <c r="H284" s="95">
        <f>VLOOKUP(A284,Proponentes[#Data],21,FALSE)</f>
        <v>27.062318564065905</v>
      </c>
      <c r="I284" s="93" t="str">
        <f>VLOOKUP(A284,Proponentes[#Data],27,FALSE)</f>
        <v>CUMPLE</v>
      </c>
      <c r="J284" s="96" t="str">
        <f t="shared" si="8"/>
        <v>CUMPLE</v>
      </c>
      <c r="K284" s="98">
        <f>VLOOKUP(A284,Proponentes[#Data],35,FALSE)</f>
        <v>0</v>
      </c>
      <c r="L284" s="102">
        <f>VLOOKUP(A284,Hoja2!$A$2:$F$329,6,FALSE)</f>
        <v>0</v>
      </c>
      <c r="M284" s="97"/>
      <c r="N284" s="103">
        <f t="shared" si="9"/>
        <v>0</v>
      </c>
    </row>
    <row r="285" spans="1:14" ht="27" customHeight="1" x14ac:dyDescent="0.2">
      <c r="A285" s="89">
        <v>280</v>
      </c>
      <c r="B285" s="90">
        <v>804006708</v>
      </c>
      <c r="C285" s="91" t="s">
        <v>392</v>
      </c>
      <c r="D285" s="92">
        <f>VLOOKUP(A285,Proponentes[#Data],19,FALSE)</f>
        <v>32.275375191951632</v>
      </c>
      <c r="E285" s="93" t="str">
        <f>VLOOKUP(A285,Proponentes[#Data],25,FALSE)</f>
        <v>CUMPLE</v>
      </c>
      <c r="F285" s="94">
        <f>VLOOKUP(A285,Proponentes[#Data],20,FALSE)</f>
        <v>3.098337336290255E-2</v>
      </c>
      <c r="G285" s="93" t="str">
        <f>VLOOKUP(A285,Proponentes[#Data],26,FALSE)</f>
        <v>CUMPLE</v>
      </c>
      <c r="H285" s="95">
        <f>VLOOKUP(A285,Proponentes[#Data],21,FALSE)</f>
        <v>1225.9382006868602</v>
      </c>
      <c r="I285" s="93" t="str">
        <f>VLOOKUP(A285,Proponentes[#Data],27,FALSE)</f>
        <v>CUMPLE</v>
      </c>
      <c r="J285" s="96" t="str">
        <f t="shared" si="8"/>
        <v>CUMPLE</v>
      </c>
      <c r="K285" s="98">
        <f>VLOOKUP(A285,Proponentes[#Data],35,FALSE)</f>
        <v>89.719968691024519</v>
      </c>
      <c r="L285" s="102">
        <f>VLOOKUP(A285,Hoja2!$A$2:$F$329,6,FALSE)</f>
        <v>89.719968691024519</v>
      </c>
      <c r="M285" s="97"/>
      <c r="N285" s="103">
        <f t="shared" si="9"/>
        <v>0</v>
      </c>
    </row>
    <row r="286" spans="1:14" ht="27" customHeight="1" x14ac:dyDescent="0.2">
      <c r="A286" s="89">
        <v>281</v>
      </c>
      <c r="B286" s="90">
        <v>830144521</v>
      </c>
      <c r="C286" s="91" t="s">
        <v>393</v>
      </c>
      <c r="D286" s="92">
        <f>VLOOKUP(A286,Proponentes[#Data],19,FALSE)</f>
        <v>3.4744534263638975</v>
      </c>
      <c r="E286" s="93" t="str">
        <f>VLOOKUP(A286,Proponentes[#Data],25,FALSE)</f>
        <v>CUMPLE</v>
      </c>
      <c r="F286" s="94">
        <f>VLOOKUP(A286,Proponentes[#Data],20,FALSE)</f>
        <v>0.28781505384762779</v>
      </c>
      <c r="G286" s="93" t="str">
        <f>VLOOKUP(A286,Proponentes[#Data],26,FALSE)</f>
        <v>CUMPLE</v>
      </c>
      <c r="H286" s="95">
        <f>VLOOKUP(A286,Proponentes[#Data],21,FALSE)</f>
        <v>2255.1295108414765</v>
      </c>
      <c r="I286" s="93" t="str">
        <f>VLOOKUP(A286,Proponentes[#Data],27,FALSE)</f>
        <v>CUMPLE</v>
      </c>
      <c r="J286" s="96" t="str">
        <f t="shared" si="8"/>
        <v>CUMPLE</v>
      </c>
      <c r="K286" s="98">
        <f>VLOOKUP(A286,Proponentes[#Data],35,FALSE)</f>
        <v>1827.1874343836234</v>
      </c>
      <c r="L286" s="102">
        <f>VLOOKUP(A286,Hoja2!$A$2:$F$329,6,FALSE)</f>
        <v>1827.1874343836234</v>
      </c>
      <c r="M286" s="97"/>
      <c r="N286" s="103">
        <f t="shared" si="9"/>
        <v>0</v>
      </c>
    </row>
    <row r="287" spans="1:14" ht="27" customHeight="1" x14ac:dyDescent="0.2">
      <c r="A287" s="89">
        <v>282</v>
      </c>
      <c r="B287" s="90">
        <v>900656736</v>
      </c>
      <c r="C287" s="91" t="s">
        <v>394</v>
      </c>
      <c r="D287" s="92" t="str">
        <f>VLOOKUP(A287,Proponentes[#Data],19,FALSE)</f>
        <v>INDETERMINADO</v>
      </c>
      <c r="E287" s="93" t="str">
        <f>VLOOKUP(A287,Proponentes[#Data],25,FALSE)</f>
        <v>NO CUMPLE</v>
      </c>
      <c r="F287" s="94">
        <f>VLOOKUP(A287,Proponentes[#Data],20,FALSE)</f>
        <v>0</v>
      </c>
      <c r="G287" s="93" t="str">
        <f>VLOOKUP(A287,Proponentes[#Data],26,FALSE)</f>
        <v>NO CUMPLE</v>
      </c>
      <c r="H287" s="95">
        <f>VLOOKUP(A287,Proponentes[#Data],21,FALSE)</f>
        <v>0</v>
      </c>
      <c r="I287" s="93" t="str">
        <f>VLOOKUP(A287,Proponentes[#Data],27,FALSE)</f>
        <v>NO CUMPLE</v>
      </c>
      <c r="J287" s="96" t="str">
        <f t="shared" si="8"/>
        <v>NO CUMPLE</v>
      </c>
      <c r="K287" s="98">
        <f>VLOOKUP(A287,Proponentes[#Data],35,FALSE)</f>
        <v>0</v>
      </c>
      <c r="L287" s="102">
        <f>VLOOKUP(A287,Hoja2!$A$2:$F$329,6,FALSE)</f>
        <v>0</v>
      </c>
      <c r="M287" s="97" t="s">
        <v>816</v>
      </c>
      <c r="N287" s="103">
        <f t="shared" si="9"/>
        <v>0</v>
      </c>
    </row>
    <row r="288" spans="1:14" ht="27" customHeight="1" x14ac:dyDescent="0.2">
      <c r="A288" s="89">
        <v>283</v>
      </c>
      <c r="B288" s="90">
        <v>800007880</v>
      </c>
      <c r="C288" s="91" t="s">
        <v>396</v>
      </c>
      <c r="D288" s="92">
        <f>VLOOKUP(A288,Proponentes[#Data],19,FALSE)</f>
        <v>1.6789570217230165</v>
      </c>
      <c r="E288" s="93" t="str">
        <f>VLOOKUP(A288,Proponentes[#Data],25,FALSE)</f>
        <v>CUMPLE</v>
      </c>
      <c r="F288" s="94">
        <f>VLOOKUP(A288,Proponentes[#Data],20,FALSE)</f>
        <v>0.5956078607502161</v>
      </c>
      <c r="G288" s="93" t="str">
        <f>VLOOKUP(A288,Proponentes[#Data],26,FALSE)</f>
        <v>CUMPLE</v>
      </c>
      <c r="H288" s="95">
        <f>VLOOKUP(A288,Proponentes[#Data],21,FALSE)</f>
        <v>182.94470943684217</v>
      </c>
      <c r="I288" s="93" t="str">
        <f>VLOOKUP(A288,Proponentes[#Data],27,FALSE)</f>
        <v>CUMPLE</v>
      </c>
      <c r="J288" s="96" t="str">
        <f t="shared" si="8"/>
        <v>CUMPLE</v>
      </c>
      <c r="K288" s="98">
        <f>VLOOKUP(A288,Proponentes[#Data],35,FALSE)</f>
        <v>343.55751265821675</v>
      </c>
      <c r="L288" s="102">
        <f>VLOOKUP(A288,Hoja2!$A$2:$F$329,6,FALSE)</f>
        <v>343.55751265821675</v>
      </c>
      <c r="M288" s="97"/>
      <c r="N288" s="103">
        <f t="shared" si="9"/>
        <v>0</v>
      </c>
    </row>
    <row r="289" spans="1:14" ht="27" customHeight="1" x14ac:dyDescent="0.2">
      <c r="A289" s="89">
        <v>284</v>
      </c>
      <c r="B289" s="90">
        <v>900228992</v>
      </c>
      <c r="C289" s="91" t="s">
        <v>397</v>
      </c>
      <c r="D289" s="92">
        <f>VLOOKUP(A289,Proponentes[#Data],19,FALSE)</f>
        <v>1.1507479867848991</v>
      </c>
      <c r="E289" s="93" t="s">
        <v>470</v>
      </c>
      <c r="F289" s="94" t="s">
        <v>470</v>
      </c>
      <c r="G289" s="93" t="s">
        <v>470</v>
      </c>
      <c r="H289" s="95" t="s">
        <v>470</v>
      </c>
      <c r="I289" s="93" t="s">
        <v>470</v>
      </c>
      <c r="J289" s="96" t="str">
        <f t="shared" si="8"/>
        <v>NO CUMPLE</v>
      </c>
      <c r="K289" s="98">
        <f>VLOOKUP(A289,Proponentes[#Data],35,FALSE)</f>
        <v>1500</v>
      </c>
      <c r="L289" s="102">
        <f>VLOOKUP(A289,Hoja2!$A$2:$F$329,6,FALSE)</f>
        <v>1614.9270531285754</v>
      </c>
      <c r="M289" s="97" t="str">
        <f>VLOOKUP(A289,Proponentes[#Data],29,FALSE)</f>
        <v xml:space="preserve">NO CUMPLE. El estado de la situación financiera, estado de resultado integral, estado de flujos  y estado de cambios en el patrimonio no están en forma comparativa
</v>
      </c>
      <c r="N289" s="103">
        <f t="shared" si="9"/>
        <v>-114.92705312857538</v>
      </c>
    </row>
    <row r="290" spans="1:14" ht="27" customHeight="1" x14ac:dyDescent="0.2">
      <c r="A290" s="89">
        <v>285</v>
      </c>
      <c r="B290" s="90">
        <v>901000607</v>
      </c>
      <c r="C290" s="91" t="s">
        <v>399</v>
      </c>
      <c r="D290" s="92">
        <f>VLOOKUP(A290,Proponentes[#Data],19,FALSE)</f>
        <v>4.1035187904061239</v>
      </c>
      <c r="E290" s="93" t="s">
        <v>470</v>
      </c>
      <c r="F290" s="94" t="s">
        <v>470</v>
      </c>
      <c r="G290" s="93" t="s">
        <v>470</v>
      </c>
      <c r="H290" s="95" t="s">
        <v>470</v>
      </c>
      <c r="I290" s="93" t="s">
        <v>470</v>
      </c>
      <c r="J290" s="96" t="str">
        <f t="shared" si="8"/>
        <v>NO CUMPLE</v>
      </c>
      <c r="K290" s="98">
        <f>VLOOKUP(A290,Proponentes[#Data],35,FALSE)</f>
        <v>110.23199483650131</v>
      </c>
      <c r="L290" s="102">
        <f>VLOOKUP(A290,Hoja2!$A$2:$F$329,6,FALSE)</f>
        <v>110.2319948365013</v>
      </c>
      <c r="M290" s="97" t="str">
        <f>VLOOKUP(A290,Proponentes[#Data],29,FALSE)</f>
        <v xml:space="preserve">NO CUMPLE. El estado de resultado integral no está comparativo, no adjunta dictamen y/o estatutos.
</v>
      </c>
      <c r="N290" s="103">
        <f t="shared" si="9"/>
        <v>0</v>
      </c>
    </row>
    <row r="291" spans="1:14" ht="27" customHeight="1" x14ac:dyDescent="0.2">
      <c r="A291" s="89">
        <v>286</v>
      </c>
      <c r="B291" s="90">
        <v>900597666</v>
      </c>
      <c r="C291" s="91" t="s">
        <v>401</v>
      </c>
      <c r="D291" s="92">
        <f>VLOOKUP(A291,Proponentes[#Data],19,FALSE)</f>
        <v>190.11913043478262</v>
      </c>
      <c r="E291" s="93" t="str">
        <f>VLOOKUP(A291,Proponentes[#Data],25,FALSE)</f>
        <v>CUMPLE</v>
      </c>
      <c r="F291" s="94">
        <f>VLOOKUP(A291,Proponentes[#Data],20,FALSE)</f>
        <v>5.2598599505115787E-3</v>
      </c>
      <c r="G291" s="93" t="str">
        <f>VLOOKUP(A291,Proponentes[#Data],26,FALSE)</f>
        <v>NO CUMPLE</v>
      </c>
      <c r="H291" s="95">
        <f>VLOOKUP(A291,Proponentes[#Data],21,FALSE)</f>
        <v>262.62866554927086</v>
      </c>
      <c r="I291" s="93" t="str">
        <f>VLOOKUP(A291,Proponentes[#Data],27,FALSE)</f>
        <v>CUMPLE</v>
      </c>
      <c r="J291" s="96" t="str">
        <f t="shared" si="8"/>
        <v>NO CUMPLE</v>
      </c>
      <c r="K291" s="98">
        <f>VLOOKUP(A291,Proponentes[#Data],35,FALSE)</f>
        <v>0</v>
      </c>
      <c r="L291" s="102">
        <f>VLOOKUP(A291,Hoja2!$A$2:$F$329,6,FALSE)</f>
        <v>0</v>
      </c>
      <c r="M291" s="97" t="s">
        <v>814</v>
      </c>
      <c r="N291" s="103">
        <f t="shared" si="9"/>
        <v>0</v>
      </c>
    </row>
    <row r="292" spans="1:14" ht="27" customHeight="1" x14ac:dyDescent="0.2">
      <c r="A292" s="89">
        <v>287</v>
      </c>
      <c r="B292" s="90">
        <v>900886573</v>
      </c>
      <c r="C292" s="91" t="s">
        <v>402</v>
      </c>
      <c r="D292" s="92">
        <f>VLOOKUP(A292,Proponentes[#Data],19,FALSE)</f>
        <v>31.122448979591837</v>
      </c>
      <c r="E292" s="93" t="str">
        <f>VLOOKUP(A292,Proponentes[#Data],25,FALSE)</f>
        <v>CUMPLE</v>
      </c>
      <c r="F292" s="94">
        <f>VLOOKUP(A292,Proponentes[#Data],20,FALSE)</f>
        <v>1.06544901065449E-2</v>
      </c>
      <c r="G292" s="93" t="str">
        <f>VLOOKUP(A292,Proponentes[#Data],26,FALSE)</f>
        <v>NO CUMPLE</v>
      </c>
      <c r="H292" s="95">
        <f>VLOOKUP(A292,Proponentes[#Data],21,FALSE)</f>
        <v>42.776615836428711</v>
      </c>
      <c r="I292" s="93" t="str">
        <f>VLOOKUP(A292,Proponentes[#Data],27,FALSE)</f>
        <v>CUMPLE</v>
      </c>
      <c r="J292" s="96" t="str">
        <f t="shared" si="8"/>
        <v>NO CUMPLE</v>
      </c>
      <c r="K292" s="98">
        <f>VLOOKUP(A292,Proponentes[#Data],35,FALSE)</f>
        <v>0</v>
      </c>
      <c r="L292" s="102">
        <f>VLOOKUP(A292,Hoja2!$A$2:$F$329,6,FALSE)</f>
        <v>0</v>
      </c>
      <c r="M292" s="97" t="s">
        <v>814</v>
      </c>
      <c r="N292" s="103">
        <f t="shared" si="9"/>
        <v>0</v>
      </c>
    </row>
    <row r="293" spans="1:14" ht="27" customHeight="1" x14ac:dyDescent="0.2">
      <c r="A293" s="89">
        <v>288</v>
      </c>
      <c r="B293" s="90">
        <v>804002245</v>
      </c>
      <c r="C293" s="91" t="s">
        <v>404</v>
      </c>
      <c r="D293" s="92">
        <f>VLOOKUP(A293,Proponentes[#Data],19,FALSE)</f>
        <v>4.1210195671594478</v>
      </c>
      <c r="E293" s="93" t="str">
        <f>VLOOKUP(A293,Proponentes[#Data],25,FALSE)</f>
        <v>CUMPLE</v>
      </c>
      <c r="F293" s="94">
        <f>VLOOKUP(A293,Proponentes[#Data],20,FALSE)</f>
        <v>0.64529607014508183</v>
      </c>
      <c r="G293" s="93" t="str">
        <f>VLOOKUP(A293,Proponentes[#Data],26,FALSE)</f>
        <v>CUMPLE</v>
      </c>
      <c r="H293" s="95">
        <f>VLOOKUP(A293,Proponentes[#Data],21,FALSE)</f>
        <v>261.56359737041669</v>
      </c>
      <c r="I293" s="93" t="str">
        <f>VLOOKUP(A293,Proponentes[#Data],27,FALSE)</f>
        <v>CUMPLE</v>
      </c>
      <c r="J293" s="96" t="str">
        <f t="shared" si="8"/>
        <v>CUMPLE</v>
      </c>
      <c r="K293" s="98">
        <f>VLOOKUP(A293,Proponentes[#Data],35,FALSE)</f>
        <v>402.19859971016297</v>
      </c>
      <c r="L293" s="102">
        <f>VLOOKUP(A293,Hoja2!$A$2:$F$329,6,FALSE)</f>
        <v>402.19859971016297</v>
      </c>
      <c r="M293" s="97"/>
      <c r="N293" s="103">
        <f t="shared" si="9"/>
        <v>0</v>
      </c>
    </row>
    <row r="294" spans="1:14" ht="27" customHeight="1" x14ac:dyDescent="0.2">
      <c r="A294" s="89">
        <v>289</v>
      </c>
      <c r="B294" s="90">
        <v>900088061</v>
      </c>
      <c r="C294" s="91" t="s">
        <v>406</v>
      </c>
      <c r="D294" s="92">
        <f>VLOOKUP(A294,Proponentes[#Data],19,FALSE)</f>
        <v>15.805958205291489</v>
      </c>
      <c r="E294" s="93" t="str">
        <f>VLOOKUP(A294,Proponentes[#Data],25,FALSE)</f>
        <v>CUMPLE</v>
      </c>
      <c r="F294" s="94">
        <f>VLOOKUP(A294,Proponentes[#Data],20,FALSE)</f>
        <v>6.3267281047549653E-2</v>
      </c>
      <c r="G294" s="93" t="str">
        <f>VLOOKUP(A294,Proponentes[#Data],26,FALSE)</f>
        <v>NO CUMPLE</v>
      </c>
      <c r="H294" s="95">
        <f>VLOOKUP(A294,Proponentes[#Data],21,FALSE)</f>
        <v>614.56149500794572</v>
      </c>
      <c r="I294" s="93" t="str">
        <f>VLOOKUP(A294,Proponentes[#Data],27,FALSE)</f>
        <v>CUMPLE</v>
      </c>
      <c r="J294" s="96" t="str">
        <f t="shared" si="8"/>
        <v>NO CUMPLE</v>
      </c>
      <c r="K294" s="98">
        <f>VLOOKUP(A294,Proponentes[#Data],35,FALSE)</f>
        <v>0</v>
      </c>
      <c r="L294" s="102">
        <f>VLOOKUP(A294,Hoja2!$A$2:$F$329,6,FALSE)</f>
        <v>0</v>
      </c>
      <c r="M294" s="97" t="s">
        <v>814</v>
      </c>
      <c r="N294" s="103">
        <f t="shared" si="9"/>
        <v>0</v>
      </c>
    </row>
    <row r="295" spans="1:14" ht="27" customHeight="1" x14ac:dyDescent="0.2">
      <c r="A295" s="89">
        <v>290</v>
      </c>
      <c r="B295" s="90">
        <v>900869649</v>
      </c>
      <c r="C295" s="91" t="s">
        <v>407</v>
      </c>
      <c r="D295" s="92">
        <f>VLOOKUP(A295,Proponentes[#Data],19,FALSE)</f>
        <v>22.118127358490565</v>
      </c>
      <c r="E295" s="93" t="str">
        <f>VLOOKUP(A295,Proponentes[#Data],25,FALSE)</f>
        <v>CUMPLE</v>
      </c>
      <c r="F295" s="94">
        <f>VLOOKUP(A295,Proponentes[#Data],20,FALSE)</f>
        <v>4.5211784152971085E-2</v>
      </c>
      <c r="G295" s="93" t="str">
        <f>VLOOKUP(A295,Proponentes[#Data],26,FALSE)</f>
        <v>NO CUMPLE</v>
      </c>
      <c r="H295" s="95">
        <f>VLOOKUP(A295,Proponentes[#Data],21,FALSE)</f>
        <v>540.62993590269957</v>
      </c>
      <c r="I295" s="93" t="str">
        <f>VLOOKUP(A295,Proponentes[#Data],27,FALSE)</f>
        <v>CUMPLE</v>
      </c>
      <c r="J295" s="96" t="str">
        <f t="shared" si="8"/>
        <v>NO CUMPLE</v>
      </c>
      <c r="K295" s="98">
        <f>VLOOKUP(A295,Proponentes[#Data],35,FALSE)</f>
        <v>0</v>
      </c>
      <c r="L295" s="102">
        <f>VLOOKUP(A295,Hoja2!$A$2:$F$329,6,FALSE)</f>
        <v>0</v>
      </c>
      <c r="M295" s="97" t="s">
        <v>814</v>
      </c>
      <c r="N295" s="103">
        <f t="shared" si="9"/>
        <v>0</v>
      </c>
    </row>
    <row r="296" spans="1:14" ht="27" customHeight="1" x14ac:dyDescent="0.2">
      <c r="A296" s="89">
        <v>291</v>
      </c>
      <c r="B296" s="90">
        <v>805024569</v>
      </c>
      <c r="C296" s="91" t="s">
        <v>408</v>
      </c>
      <c r="D296" s="92">
        <f>VLOOKUP(A296,Proponentes[#Data],19,FALSE)</f>
        <v>1.8909167207085342</v>
      </c>
      <c r="E296" s="93" t="str">
        <f>VLOOKUP(A296,Proponentes[#Data],25,FALSE)</f>
        <v>CUMPLE</v>
      </c>
      <c r="F296" s="94">
        <f>VLOOKUP(A296,Proponentes[#Data],20,FALSE)</f>
        <v>0.4329892725428035</v>
      </c>
      <c r="G296" s="93" t="str">
        <f>VLOOKUP(A296,Proponentes[#Data],26,FALSE)</f>
        <v>CUMPLE</v>
      </c>
      <c r="H296" s="95">
        <f>VLOOKUP(A296,Proponentes[#Data],21,FALSE)</f>
        <v>813.3469827898507</v>
      </c>
      <c r="I296" s="93" t="str">
        <f>VLOOKUP(A296,Proponentes[#Data],27,FALSE)</f>
        <v>CUMPLE</v>
      </c>
      <c r="J296" s="96" t="str">
        <f t="shared" si="8"/>
        <v>CUMPLE</v>
      </c>
      <c r="K296" s="98">
        <f>VLOOKUP(A296,Proponentes[#Data],35,FALSE)</f>
        <v>535.82413591421232</v>
      </c>
      <c r="L296" s="102">
        <f>VLOOKUP(A296,Hoja2!$A$2:$F$329,6,FALSE)</f>
        <v>535.82413591421232</v>
      </c>
      <c r="M296" s="97"/>
      <c r="N296" s="103">
        <f t="shared" si="9"/>
        <v>0</v>
      </c>
    </row>
    <row r="297" spans="1:14" ht="27" customHeight="1" x14ac:dyDescent="0.2">
      <c r="A297" s="89">
        <v>292</v>
      </c>
      <c r="B297" s="90">
        <v>900067446</v>
      </c>
      <c r="C297" s="91" t="s">
        <v>409</v>
      </c>
      <c r="D297" s="92">
        <f>VLOOKUP(A297,Proponentes[#Data],19,FALSE)</f>
        <v>1.0996189521480588</v>
      </c>
      <c r="E297" s="93" t="str">
        <f>VLOOKUP(A297,Proponentes[#Data],25,FALSE)</f>
        <v>CUMPLE</v>
      </c>
      <c r="F297" s="94">
        <f>VLOOKUP(A297,Proponentes[#Data],20,FALSE)</f>
        <v>0.62757149225919384</v>
      </c>
      <c r="G297" s="93" t="str">
        <f>VLOOKUP(A297,Proponentes[#Data],26,FALSE)</f>
        <v>NO CUMPLE</v>
      </c>
      <c r="H297" s="95">
        <f>VLOOKUP(A297,Proponentes[#Data],21,FALSE)</f>
        <v>19.371993778649369</v>
      </c>
      <c r="I297" s="93" t="str">
        <f>VLOOKUP(A297,Proponentes[#Data],27,FALSE)</f>
        <v>CUMPLE</v>
      </c>
      <c r="J297" s="96" t="str">
        <f t="shared" si="8"/>
        <v>NO CUMPLE</v>
      </c>
      <c r="K297" s="98">
        <f>VLOOKUP(A297,Proponentes[#Data],35,FALSE)</f>
        <v>0</v>
      </c>
      <c r="L297" s="102">
        <f>VLOOKUP(A297,Hoja2!$A$2:$F$329,6,FALSE)</f>
        <v>0</v>
      </c>
      <c r="M297" s="97" t="s">
        <v>814</v>
      </c>
      <c r="N297" s="103">
        <f t="shared" si="9"/>
        <v>0</v>
      </c>
    </row>
    <row r="298" spans="1:14" ht="27" customHeight="1" x14ac:dyDescent="0.2">
      <c r="A298" s="89">
        <v>293</v>
      </c>
      <c r="B298" s="90">
        <v>900100850</v>
      </c>
      <c r="C298" s="91" t="s">
        <v>410</v>
      </c>
      <c r="D298" s="92" t="str">
        <f>VLOOKUP(A298,Proponentes[#Data],19,FALSE)</f>
        <v>INDETERMINADO</v>
      </c>
      <c r="E298" s="93" t="str">
        <f>VLOOKUP(A298,Proponentes[#Data],25,FALSE)</f>
        <v>NO CUMPLE</v>
      </c>
      <c r="F298" s="94">
        <f>VLOOKUP(A298,Proponentes[#Data],20,FALSE)</f>
        <v>0</v>
      </c>
      <c r="G298" s="93" t="str">
        <f>VLOOKUP(A298,Proponentes[#Data],26,FALSE)</f>
        <v>NO CUMPLE</v>
      </c>
      <c r="H298" s="95">
        <f>VLOOKUP(A298,Proponentes[#Data],21,FALSE)</f>
        <v>0</v>
      </c>
      <c r="I298" s="93" t="str">
        <f>VLOOKUP(A298,Proponentes[#Data],27,FALSE)</f>
        <v>NO CUMPLE</v>
      </c>
      <c r="J298" s="96" t="str">
        <f t="shared" si="8"/>
        <v>NO CUMPLE</v>
      </c>
      <c r="K298" s="98">
        <f>VLOOKUP(A298,Proponentes[#Data],35,FALSE)</f>
        <v>0</v>
      </c>
      <c r="L298" s="102">
        <f>VLOOKUP(A298,Hoja2!$A$2:$F$329,6,FALSE)</f>
        <v>0</v>
      </c>
      <c r="M298" s="97" t="s">
        <v>816</v>
      </c>
      <c r="N298" s="103">
        <f t="shared" si="9"/>
        <v>0</v>
      </c>
    </row>
    <row r="299" spans="1:14" ht="27" customHeight="1" x14ac:dyDescent="0.2">
      <c r="A299" s="89">
        <v>294</v>
      </c>
      <c r="B299" s="90">
        <v>816006359</v>
      </c>
      <c r="C299" s="91" t="s">
        <v>411</v>
      </c>
      <c r="D299" s="92">
        <f>VLOOKUP(A299,Proponentes[#Data],19,FALSE)</f>
        <v>5.4563248248679983</v>
      </c>
      <c r="E299" s="93" t="str">
        <f>VLOOKUP(A299,Proponentes[#Data],25,FALSE)</f>
        <v>CUMPLE</v>
      </c>
      <c r="F299" s="94">
        <f>VLOOKUP(A299,Proponentes[#Data],20,FALSE)</f>
        <v>0.37247068525265259</v>
      </c>
      <c r="G299" s="93" t="str">
        <f>VLOOKUP(A299,Proponentes[#Data],26,FALSE)</f>
        <v>CUMPLE</v>
      </c>
      <c r="H299" s="95">
        <f>VLOOKUP(A299,Proponentes[#Data],21,FALSE)</f>
        <v>14785.063928241938</v>
      </c>
      <c r="I299" s="93" t="str">
        <f>VLOOKUP(A299,Proponentes[#Data],27,FALSE)</f>
        <v>CUMPLE</v>
      </c>
      <c r="J299" s="96" t="str">
        <f t="shared" si="8"/>
        <v>CUMPLE</v>
      </c>
      <c r="K299" s="98">
        <f>VLOOKUP(A299,Proponentes[#Data],35,FALSE)</f>
        <v>512.53660826927739</v>
      </c>
      <c r="L299" s="102">
        <f>VLOOKUP(A299,Hoja2!$A$2:$F$329,6,FALSE)</f>
        <v>512.53660826927739</v>
      </c>
      <c r="M299" s="97"/>
      <c r="N299" s="103">
        <f t="shared" si="9"/>
        <v>0</v>
      </c>
    </row>
    <row r="300" spans="1:14" ht="27" customHeight="1" x14ac:dyDescent="0.2">
      <c r="A300" s="89">
        <v>295</v>
      </c>
      <c r="B300" s="90">
        <v>900237637</v>
      </c>
      <c r="C300" s="91" t="s">
        <v>412</v>
      </c>
      <c r="D300" s="92">
        <f>VLOOKUP(A300,Proponentes[#Data],19,FALSE)</f>
        <v>36.24235611976799</v>
      </c>
      <c r="E300" s="93" t="str">
        <f>VLOOKUP(A300,Proponentes[#Data],25,FALSE)</f>
        <v>CUMPLE</v>
      </c>
      <c r="F300" s="94">
        <f>VLOOKUP(A300,Proponentes[#Data],20,FALSE)</f>
        <v>0.35115376062271614</v>
      </c>
      <c r="G300" s="93" t="str">
        <f>VLOOKUP(A300,Proponentes[#Data],26,FALSE)</f>
        <v>CUMPLE</v>
      </c>
      <c r="H300" s="95">
        <f>VLOOKUP(A300,Proponentes[#Data],21,FALSE)</f>
        <v>1938.1510162827431</v>
      </c>
      <c r="I300" s="93" t="str">
        <f>VLOOKUP(A300,Proponentes[#Data],27,FALSE)</f>
        <v>CUMPLE</v>
      </c>
      <c r="J300" s="96" t="str">
        <f t="shared" si="8"/>
        <v>CUMPLE</v>
      </c>
      <c r="K300" s="98">
        <f>VLOOKUP(A300,Proponentes[#Data],35,FALSE)</f>
        <v>96.77189772727273</v>
      </c>
      <c r="L300" s="102">
        <f>VLOOKUP(A300,Hoja2!$A$2:$F$329,6,FALSE)</f>
        <v>96.77189772727273</v>
      </c>
      <c r="M300" s="97"/>
      <c r="N300" s="103">
        <f t="shared" si="9"/>
        <v>0</v>
      </c>
    </row>
    <row r="301" spans="1:14" ht="27" customHeight="1" x14ac:dyDescent="0.2">
      <c r="A301" s="89">
        <v>296</v>
      </c>
      <c r="B301" s="90">
        <v>825001418</v>
      </c>
      <c r="C301" s="91" t="s">
        <v>413</v>
      </c>
      <c r="D301" s="92">
        <f>VLOOKUP(A301,Proponentes[#Data],19,FALSE)</f>
        <v>202.46133333333333</v>
      </c>
      <c r="E301" s="93" t="str">
        <f>VLOOKUP(A301,Proponentes[#Data],25,FALSE)</f>
        <v>CUMPLE</v>
      </c>
      <c r="F301" s="94">
        <f>VLOOKUP(A301,Proponentes[#Data],20,FALSE)</f>
        <v>4.2401508362990836E-3</v>
      </c>
      <c r="G301" s="93" t="str">
        <f>VLOOKUP(A301,Proponentes[#Data],26,FALSE)</f>
        <v>NO CUMPLE</v>
      </c>
      <c r="H301" s="95">
        <f>VLOOKUP(A301,Proponentes[#Data],21,FALSE)</f>
        <v>364.91506020895622</v>
      </c>
      <c r="I301" s="93" t="str">
        <f>VLOOKUP(A301,Proponentes[#Data],27,FALSE)</f>
        <v>CUMPLE</v>
      </c>
      <c r="J301" s="96" t="str">
        <f t="shared" si="8"/>
        <v>NO CUMPLE</v>
      </c>
      <c r="K301" s="98">
        <f>VLOOKUP(A301,Proponentes[#Data],35,FALSE)</f>
        <v>0</v>
      </c>
      <c r="L301" s="102">
        <f>VLOOKUP(A301,Hoja2!$A$2:$F$329,6,FALSE)</f>
        <v>0</v>
      </c>
      <c r="M301" s="97" t="s">
        <v>814</v>
      </c>
      <c r="N301" s="103">
        <f t="shared" si="9"/>
        <v>0</v>
      </c>
    </row>
    <row r="302" spans="1:14" ht="27" customHeight="1" x14ac:dyDescent="0.2">
      <c r="A302" s="89">
        <v>297</v>
      </c>
      <c r="B302" s="90">
        <v>901297455</v>
      </c>
      <c r="C302" s="91" t="s">
        <v>414</v>
      </c>
      <c r="D302" s="92">
        <f>VLOOKUP(A302,Proponentes[#Data],19,FALSE)</f>
        <v>116</v>
      </c>
      <c r="E302" s="93" t="s">
        <v>470</v>
      </c>
      <c r="F302" s="94" t="s">
        <v>470</v>
      </c>
      <c r="G302" s="93" t="s">
        <v>470</v>
      </c>
      <c r="H302" s="95" t="s">
        <v>470</v>
      </c>
      <c r="I302" s="93" t="s">
        <v>470</v>
      </c>
      <c r="J302" s="96" t="str">
        <f t="shared" si="8"/>
        <v>NO CUMPLE</v>
      </c>
      <c r="K302" s="98">
        <f>VLOOKUP(A302,Proponentes[#Data],35,FALSE)</f>
        <v>0</v>
      </c>
      <c r="L302" s="102">
        <f>VLOOKUP(A302,Hoja2!$A$2:$F$329,6,FALSE)</f>
        <v>0</v>
      </c>
      <c r="M302" s="97" t="str">
        <f>VLOOKUP(A302,Proponentes[#Data],29,FALSE)</f>
        <v>NO CUMPLE. El RUP aportado contiene la información financiera en proceso de adquirir firmeza, al momento de la expedición del documentos allegado.</v>
      </c>
      <c r="N302" s="103">
        <f t="shared" si="9"/>
        <v>0</v>
      </c>
    </row>
    <row r="303" spans="1:14" ht="27" customHeight="1" x14ac:dyDescent="0.2">
      <c r="A303" s="89">
        <v>298</v>
      </c>
      <c r="B303" s="90">
        <v>900937582</v>
      </c>
      <c r="C303" s="91" t="s">
        <v>415</v>
      </c>
      <c r="D303" s="92">
        <f>VLOOKUP(A303,Proponentes[#Data],19,FALSE)</f>
        <v>16.966666666666665</v>
      </c>
      <c r="E303" s="93" t="str">
        <f>VLOOKUP(A303,Proponentes[#Data],25,FALSE)</f>
        <v>CUMPLE</v>
      </c>
      <c r="F303" s="94">
        <f>VLOOKUP(A303,Proponentes[#Data],20,FALSE)</f>
        <v>1.0138560324433931E-2</v>
      </c>
      <c r="G303" s="93" t="str">
        <f>VLOOKUP(A303,Proponentes[#Data],26,FALSE)</f>
        <v>NO CUMPLE</v>
      </c>
      <c r="H303" s="95">
        <f>VLOOKUP(A303,Proponentes[#Data],21,FALSE)</f>
        <v>1.1568427611590646</v>
      </c>
      <c r="I303" s="93" t="str">
        <f>VLOOKUP(A303,Proponentes[#Data],27,FALSE)</f>
        <v>NO CUMPLE</v>
      </c>
      <c r="J303" s="96" t="str">
        <f t="shared" si="8"/>
        <v>NO CUMPLE</v>
      </c>
      <c r="K303" s="98">
        <f>VLOOKUP(A303,Proponentes[#Data],35,FALSE)</f>
        <v>0</v>
      </c>
      <c r="L303" s="102">
        <f>VLOOKUP(A303,Hoja2!$A$2:$F$329,6,FALSE)</f>
        <v>0</v>
      </c>
      <c r="M303" s="97" t="s">
        <v>814</v>
      </c>
      <c r="N303" s="103">
        <f t="shared" si="9"/>
        <v>0</v>
      </c>
    </row>
    <row r="304" spans="1:14" ht="27" customHeight="1" x14ac:dyDescent="0.2">
      <c r="A304" s="89">
        <v>299</v>
      </c>
      <c r="B304" s="90">
        <v>900053307</v>
      </c>
      <c r="C304" s="91" t="s">
        <v>416</v>
      </c>
      <c r="D304" s="92" t="str">
        <f>VLOOKUP(A304,Proponentes[#Data],19,FALSE)</f>
        <v>INDETERMINADO</v>
      </c>
      <c r="E304" s="93" t="str">
        <f>VLOOKUP(A304,Proponentes[#Data],25,FALSE)</f>
        <v>NO CUMPLE</v>
      </c>
      <c r="F304" s="94">
        <f>VLOOKUP(A304,Proponentes[#Data],20,FALSE)</f>
        <v>0</v>
      </c>
      <c r="G304" s="93" t="str">
        <f>VLOOKUP(A304,Proponentes[#Data],26,FALSE)</f>
        <v>NO CUMPLE</v>
      </c>
      <c r="H304" s="95">
        <f>VLOOKUP(A304,Proponentes[#Data],21,FALSE)</f>
        <v>0</v>
      </c>
      <c r="I304" s="93" t="str">
        <f>VLOOKUP(A304,Proponentes[#Data],27,FALSE)</f>
        <v>NO CUMPLE</v>
      </c>
      <c r="J304" s="96" t="str">
        <f t="shared" si="8"/>
        <v>NO CUMPLE</v>
      </c>
      <c r="K304" s="98">
        <f>VLOOKUP(A304,Proponentes[#Data],35,FALSE)</f>
        <v>0</v>
      </c>
      <c r="L304" s="102">
        <f>VLOOKUP(A304,Hoja2!$A$2:$F$329,6,FALSE)</f>
        <v>0</v>
      </c>
      <c r="M304" s="97" t="s">
        <v>816</v>
      </c>
      <c r="N304" s="103">
        <f t="shared" si="9"/>
        <v>0</v>
      </c>
    </row>
    <row r="305" spans="1:14" ht="27" customHeight="1" x14ac:dyDescent="0.2">
      <c r="A305" s="89">
        <v>300</v>
      </c>
      <c r="B305" s="90">
        <v>900198330</v>
      </c>
      <c r="C305" s="91" t="s">
        <v>417</v>
      </c>
      <c r="D305" s="92" t="str">
        <f>VLOOKUP(A305,Proponentes[#Data],19,FALSE)</f>
        <v>INDETERMINADO</v>
      </c>
      <c r="E305" s="93" t="str">
        <f>VLOOKUP(A305,Proponentes[#Data],25,FALSE)</f>
        <v>CUMPLE</v>
      </c>
      <c r="F305" s="94">
        <f>VLOOKUP(A305,Proponentes[#Data],20,FALSE)</f>
        <v>0</v>
      </c>
      <c r="G305" s="93" t="str">
        <f>VLOOKUP(A305,Proponentes[#Data],26,FALSE)</f>
        <v>CUMPLE</v>
      </c>
      <c r="H305" s="95">
        <f>VLOOKUP(A305,Proponentes[#Data],21,FALSE)</f>
        <v>319.14248728439009</v>
      </c>
      <c r="I305" s="93" t="str">
        <f>VLOOKUP(A305,Proponentes[#Data],27,FALSE)</f>
        <v>CUMPLE</v>
      </c>
      <c r="J305" s="96" t="str">
        <f t="shared" si="8"/>
        <v>CUMPLE</v>
      </c>
      <c r="K305" s="98">
        <f>VLOOKUP(A305,Proponentes[#Data],35,FALSE)</f>
        <v>210.18384588270808</v>
      </c>
      <c r="L305" s="102">
        <f>VLOOKUP(A305,Hoja2!$A$2:$F$329,6,FALSE)</f>
        <v>210.18384588270808</v>
      </c>
      <c r="M305" s="97"/>
      <c r="N305" s="103">
        <f t="shared" si="9"/>
        <v>0</v>
      </c>
    </row>
    <row r="306" spans="1:14" ht="27" customHeight="1" x14ac:dyDescent="0.2">
      <c r="A306" s="89">
        <v>301</v>
      </c>
      <c r="B306" s="90">
        <v>900034146</v>
      </c>
      <c r="C306" s="91" t="s">
        <v>418</v>
      </c>
      <c r="D306" s="92">
        <f>VLOOKUP(A306,Proponentes[#Data],19,FALSE)</f>
        <v>33.906620209059234</v>
      </c>
      <c r="E306" s="93" t="str">
        <f>VLOOKUP(A306,Proponentes[#Data],25,FALSE)</f>
        <v>CUMPLE</v>
      </c>
      <c r="F306" s="94">
        <f>VLOOKUP(A306,Proponentes[#Data],20,FALSE)</f>
        <v>2.9492765537652087E-2</v>
      </c>
      <c r="G306" s="93" t="str">
        <f>VLOOKUP(A306,Proponentes[#Data],26,FALSE)</f>
        <v>CUMPLE</v>
      </c>
      <c r="H306" s="95">
        <f>VLOOKUP(A306,Proponentes[#Data],21,FALSE)</f>
        <v>228.08881847470644</v>
      </c>
      <c r="I306" s="93" t="str">
        <f>VLOOKUP(A306,Proponentes[#Data],27,FALSE)</f>
        <v>CUMPLE</v>
      </c>
      <c r="J306" s="96" t="str">
        <f t="shared" si="8"/>
        <v>CUMPLE</v>
      </c>
      <c r="K306" s="98">
        <f>VLOOKUP(A306,Proponentes[#Data],35,FALSE)</f>
        <v>256.74626812178559</v>
      </c>
      <c r="L306" s="102">
        <f>VLOOKUP(A306,Hoja2!$A$2:$F$329,6,FALSE)</f>
        <v>256.74626812178559</v>
      </c>
      <c r="M306" s="97"/>
      <c r="N306" s="103">
        <f t="shared" si="9"/>
        <v>0</v>
      </c>
    </row>
    <row r="307" spans="1:14" ht="27" customHeight="1" x14ac:dyDescent="0.2">
      <c r="A307" s="89">
        <v>302</v>
      </c>
      <c r="B307" s="90">
        <v>860024041</v>
      </c>
      <c r="C307" s="91" t="s">
        <v>419</v>
      </c>
      <c r="D307" s="92">
        <f>VLOOKUP(A307,Proponentes[#Data],19,FALSE)</f>
        <v>2.3984376835651955</v>
      </c>
      <c r="E307" s="93" t="str">
        <f>VLOOKUP(A307,Proponentes[#Data],25,FALSE)</f>
        <v>CUMPLE</v>
      </c>
      <c r="F307" s="94">
        <f>VLOOKUP(A307,Proponentes[#Data],20,FALSE)</f>
        <v>0.41693807883869394</v>
      </c>
      <c r="G307" s="93" t="str">
        <f>VLOOKUP(A307,Proponentes[#Data],26,FALSE)</f>
        <v>CUMPLE</v>
      </c>
      <c r="H307" s="95">
        <f>VLOOKUP(A307,Proponentes[#Data],21,FALSE)</f>
        <v>5318.4288191509404</v>
      </c>
      <c r="I307" s="93" t="str">
        <f>VLOOKUP(A307,Proponentes[#Data],27,FALSE)</f>
        <v>CUMPLE</v>
      </c>
      <c r="J307" s="96" t="str">
        <f t="shared" si="8"/>
        <v>CUMPLE</v>
      </c>
      <c r="K307" s="98">
        <f>VLOOKUP(A307,Proponentes[#Data],35,FALSE)</f>
        <v>1129.1758299450644</v>
      </c>
      <c r="L307" s="102">
        <f>VLOOKUP(A307,Hoja2!$A$2:$F$329,6,FALSE)</f>
        <v>1129.1758299450644</v>
      </c>
      <c r="M307" s="97"/>
      <c r="N307" s="103">
        <f t="shared" si="9"/>
        <v>0</v>
      </c>
    </row>
    <row r="308" spans="1:14" ht="27" customHeight="1" x14ac:dyDescent="0.2">
      <c r="A308" s="89">
        <v>303</v>
      </c>
      <c r="B308" s="90" t="s">
        <v>221</v>
      </c>
      <c r="C308" s="91" t="s">
        <v>421</v>
      </c>
      <c r="D308" s="92" t="str">
        <f>VLOOKUP(A308,Proponentes[#Data],19,FALSE)</f>
        <v>INDETERMINADO</v>
      </c>
      <c r="E308" s="96" t="s">
        <v>815</v>
      </c>
      <c r="F308" s="94">
        <f>VLOOKUP(A308,Proponentes[#Data],20,FALSE)</f>
        <v>0</v>
      </c>
      <c r="G308" s="96" t="s">
        <v>815</v>
      </c>
      <c r="H308" s="95">
        <f>VLOOKUP(A308,Proponentes[#Data],21,FALSE)</f>
        <v>0</v>
      </c>
      <c r="I308" s="96" t="s">
        <v>815</v>
      </c>
      <c r="J308" s="96" t="s">
        <v>815</v>
      </c>
      <c r="K308" s="98">
        <f>VLOOKUP(A308,Proponentes[#Data],35,FALSE)</f>
        <v>0</v>
      </c>
      <c r="L308" s="102">
        <f>VLOOKUP(A308,Hoja2!$A$2:$F$329,6,FALSE)</f>
        <v>0</v>
      </c>
      <c r="M308" s="97" t="s">
        <v>801</v>
      </c>
      <c r="N308" s="103">
        <f t="shared" si="9"/>
        <v>0</v>
      </c>
    </row>
    <row r="309" spans="1:14" ht="27" customHeight="1" x14ac:dyDescent="0.2">
      <c r="A309" s="89">
        <v>304</v>
      </c>
      <c r="B309" s="90">
        <v>900801587</v>
      </c>
      <c r="C309" s="91" t="s">
        <v>422</v>
      </c>
      <c r="D309" s="92">
        <f>VLOOKUP(A309,Proponentes[#Data],19,FALSE)</f>
        <v>92.451166216216222</v>
      </c>
      <c r="E309" s="93" t="str">
        <f>VLOOKUP(A309,Proponentes[#Data],25,FALSE)</f>
        <v>CUMPLE</v>
      </c>
      <c r="F309" s="94">
        <f>VLOOKUP(A309,Proponentes[#Data],20,FALSE)</f>
        <v>1.0816521207112658E-2</v>
      </c>
      <c r="G309" s="93" t="str">
        <f>VLOOKUP(A309,Proponentes[#Data],26,FALSE)</f>
        <v>CUMPLE</v>
      </c>
      <c r="H309" s="95">
        <f>VLOOKUP(A309,Proponentes[#Data],21,FALSE)</f>
        <v>326.88107946229758</v>
      </c>
      <c r="I309" s="93" t="str">
        <f>VLOOKUP(A309,Proponentes[#Data],27,FALSE)</f>
        <v>CUMPLE</v>
      </c>
      <c r="J309" s="96" t="str">
        <f t="shared" si="8"/>
        <v>CUMPLE</v>
      </c>
      <c r="K309" s="98">
        <f>VLOOKUP(A309,Proponentes[#Data],35,FALSE)</f>
        <v>64.959054634203866</v>
      </c>
      <c r="L309" s="102">
        <f>VLOOKUP(A309,Hoja2!$A$2:$F$329,6,FALSE)</f>
        <v>64.959054634203866</v>
      </c>
      <c r="M309" s="97"/>
      <c r="N309" s="103">
        <f t="shared" si="9"/>
        <v>0</v>
      </c>
    </row>
    <row r="310" spans="1:14" ht="27" customHeight="1" x14ac:dyDescent="0.2">
      <c r="A310" s="89">
        <v>305</v>
      </c>
      <c r="B310" s="90">
        <v>900240336</v>
      </c>
      <c r="C310" s="91" t="s">
        <v>423</v>
      </c>
      <c r="D310" s="92">
        <f>VLOOKUP(A310,Proponentes[#Data],19,FALSE)</f>
        <v>10.717694741462521</v>
      </c>
      <c r="E310" s="93" t="str">
        <f>VLOOKUP(A310,Proponentes[#Data],25,FALSE)</f>
        <v>CUMPLE</v>
      </c>
      <c r="F310" s="94">
        <f>VLOOKUP(A310,Proponentes[#Data],20,FALSE)</f>
        <v>9.3303646364492496E-2</v>
      </c>
      <c r="G310" s="93" t="str">
        <f>VLOOKUP(A310,Proponentes[#Data],26,FALSE)</f>
        <v>CUMPLE</v>
      </c>
      <c r="H310" s="95">
        <f>VLOOKUP(A310,Proponentes[#Data],21,FALSE)</f>
        <v>767.73043241526545</v>
      </c>
      <c r="I310" s="93" t="str">
        <f>VLOOKUP(A310,Proponentes[#Data],27,FALSE)</f>
        <v>CUMPLE</v>
      </c>
      <c r="J310" s="96" t="str">
        <f t="shared" si="8"/>
        <v>CUMPLE</v>
      </c>
      <c r="K310" s="98">
        <f>VLOOKUP(A310,Proponentes[#Data],35,FALSE)</f>
        <v>10277.677783659785</v>
      </c>
      <c r="L310" s="102">
        <f>VLOOKUP(A310,Hoja2!$A$2:$F$329,6,FALSE)</f>
        <v>10277.677783659785</v>
      </c>
      <c r="M310" s="97"/>
      <c r="N310" s="103">
        <f t="shared" si="9"/>
        <v>0</v>
      </c>
    </row>
    <row r="311" spans="1:14" ht="27" customHeight="1" x14ac:dyDescent="0.2">
      <c r="A311" s="89">
        <v>306</v>
      </c>
      <c r="B311" s="90">
        <v>901012656</v>
      </c>
      <c r="C311" s="91" t="s">
        <v>424</v>
      </c>
      <c r="D311" s="92">
        <f>VLOOKUP(A311,Proponentes[#Data],19,FALSE)</f>
        <v>3.12861408310525</v>
      </c>
      <c r="E311" s="93" t="s">
        <v>470</v>
      </c>
      <c r="F311" s="94" t="s">
        <v>470</v>
      </c>
      <c r="G311" s="93" t="s">
        <v>470</v>
      </c>
      <c r="H311" s="95" t="s">
        <v>470</v>
      </c>
      <c r="I311" s="93" t="s">
        <v>470</v>
      </c>
      <c r="J311" s="96" t="str">
        <f t="shared" si="8"/>
        <v>NO CUMPLE</v>
      </c>
      <c r="K311" s="98">
        <f>VLOOKUP(A311,Proponentes[#Data],35,FALSE)</f>
        <v>927.40993942886121</v>
      </c>
      <c r="L311" s="102">
        <f>VLOOKUP(A311,Hoja2!$A$2:$F$329,6,FALSE)</f>
        <v>927.40993942886109</v>
      </c>
      <c r="M311" s="97" t="str">
        <f>VLOOKUP(A311,Proponentes[#Data],29,FALSE)</f>
        <v xml:space="preserve">NO CUMPLE. Aporta el certificado de los estados financieros suscritos por el representante legal y contador con fecha febrero de 2019  y el acta de Asamblea Extraordinaria donde se aprueban los estados financieros es de fecha 15 de agosto de 2019. </v>
      </c>
      <c r="N311" s="103">
        <f t="shared" si="9"/>
        <v>0</v>
      </c>
    </row>
    <row r="312" spans="1:14" ht="27" customHeight="1" x14ac:dyDescent="0.2">
      <c r="A312" s="89">
        <v>307</v>
      </c>
      <c r="B312" s="90">
        <v>900260765</v>
      </c>
      <c r="C312" s="91" t="s">
        <v>426</v>
      </c>
      <c r="D312" s="92">
        <f>VLOOKUP(A312,Proponentes[#Data],19,FALSE)</f>
        <v>183.61144008315833</v>
      </c>
      <c r="E312" s="93" t="str">
        <f>VLOOKUP(A312,Proponentes[#Data],25,FALSE)</f>
        <v>CUMPLE</v>
      </c>
      <c r="F312" s="94">
        <f>VLOOKUP(A312,Proponentes[#Data],20,FALSE)</f>
        <v>5.446283736716493E-3</v>
      </c>
      <c r="G312" s="93" t="str">
        <f>VLOOKUP(A312,Proponentes[#Data],26,FALSE)</f>
        <v>CUMPLE</v>
      </c>
      <c r="H312" s="95">
        <f>VLOOKUP(A312,Proponentes[#Data],21,FALSE)</f>
        <v>3382.773087345251</v>
      </c>
      <c r="I312" s="93" t="str">
        <f>VLOOKUP(A312,Proponentes[#Data],27,FALSE)</f>
        <v>CUMPLE</v>
      </c>
      <c r="J312" s="96" t="str">
        <f t="shared" si="8"/>
        <v>CUMPLE</v>
      </c>
      <c r="K312" s="98">
        <f>VLOOKUP(A312,Proponentes[#Data],35,FALSE)</f>
        <v>474.51202303532682</v>
      </c>
      <c r="L312" s="102">
        <f>VLOOKUP(A312,Hoja2!$A$2:$F$329,6,FALSE)</f>
        <v>474.51202303532682</v>
      </c>
      <c r="M312" s="97"/>
      <c r="N312" s="103">
        <f t="shared" si="9"/>
        <v>0</v>
      </c>
    </row>
    <row r="313" spans="1:14" ht="27" customHeight="1" x14ac:dyDescent="0.2">
      <c r="A313" s="89">
        <v>308</v>
      </c>
      <c r="B313" s="90">
        <v>800063126</v>
      </c>
      <c r="C313" s="91" t="s">
        <v>427</v>
      </c>
      <c r="D313" s="92">
        <f>VLOOKUP(A313,Proponentes[#Data],19,FALSE)</f>
        <v>2.5354880947520972</v>
      </c>
      <c r="E313" s="93" t="str">
        <f>VLOOKUP(A313,Proponentes[#Data],25,FALSE)</f>
        <v>CUMPLE</v>
      </c>
      <c r="F313" s="94">
        <f>VLOOKUP(A313,Proponentes[#Data],20,FALSE)</f>
        <v>0.39440137860232116</v>
      </c>
      <c r="G313" s="93" t="str">
        <f>VLOOKUP(A313,Proponentes[#Data],26,FALSE)</f>
        <v>CUMPLE</v>
      </c>
      <c r="H313" s="95">
        <f>VLOOKUP(A313,Proponentes[#Data],21,FALSE)</f>
        <v>1092.4281296340125</v>
      </c>
      <c r="I313" s="93" t="str">
        <f>VLOOKUP(A313,Proponentes[#Data],27,FALSE)</f>
        <v>CUMPLE</v>
      </c>
      <c r="J313" s="96" t="str">
        <f t="shared" si="8"/>
        <v>CUMPLE</v>
      </c>
      <c r="K313" s="98">
        <f>VLOOKUP(A313,Proponentes[#Data],35,FALSE)</f>
        <v>285.29059204368798</v>
      </c>
      <c r="L313" s="102">
        <f>VLOOKUP(A313,Hoja2!$A$2:$F$329,6,FALSE)</f>
        <v>285.29059204368798</v>
      </c>
      <c r="M313" s="97"/>
      <c r="N313" s="103">
        <f t="shared" si="9"/>
        <v>0</v>
      </c>
    </row>
    <row r="314" spans="1:14" ht="27" customHeight="1" x14ac:dyDescent="0.2">
      <c r="A314" s="89">
        <v>309</v>
      </c>
      <c r="B314" s="90">
        <v>805029466</v>
      </c>
      <c r="C314" s="91" t="s">
        <v>428</v>
      </c>
      <c r="D314" s="92">
        <f>VLOOKUP(A314,Proponentes[#Data],19,FALSE)</f>
        <v>2.6511748378175226</v>
      </c>
      <c r="E314" s="93" t="str">
        <f>VLOOKUP(A314,Proponentes[#Data],25,FALSE)</f>
        <v>CUMPLE</v>
      </c>
      <c r="F314" s="94">
        <f>VLOOKUP(A314,Proponentes[#Data],20,FALSE)</f>
        <v>0.37719126846542167</v>
      </c>
      <c r="G314" s="93" t="str">
        <f>VLOOKUP(A314,Proponentes[#Data],26,FALSE)</f>
        <v>NO CUMPLE</v>
      </c>
      <c r="H314" s="95">
        <f>VLOOKUP(A314,Proponentes[#Data],21,FALSE)</f>
        <v>2861.392470378546</v>
      </c>
      <c r="I314" s="93" t="str">
        <f>VLOOKUP(A314,Proponentes[#Data],27,FALSE)</f>
        <v>CUMPLE</v>
      </c>
      <c r="J314" s="96" t="str">
        <f t="shared" si="8"/>
        <v>NO CUMPLE</v>
      </c>
      <c r="K314" s="98">
        <f>VLOOKUP(A314,Proponentes[#Data],35,FALSE)</f>
        <v>0</v>
      </c>
      <c r="L314" s="102">
        <f>VLOOKUP(A314,Hoja2!$A$2:$F$329,6,FALSE)</f>
        <v>0</v>
      </c>
      <c r="M314" s="97" t="s">
        <v>814</v>
      </c>
      <c r="N314" s="103">
        <f t="shared" si="9"/>
        <v>0</v>
      </c>
    </row>
    <row r="315" spans="1:14" ht="27" customHeight="1" x14ac:dyDescent="0.2">
      <c r="A315" s="89">
        <v>310</v>
      </c>
      <c r="B315" s="90">
        <v>800148631</v>
      </c>
      <c r="C315" s="91" t="s">
        <v>429</v>
      </c>
      <c r="D315" s="92">
        <f>VLOOKUP(A315,Proponentes[#Data],19,FALSE)</f>
        <v>4.2028558028927661</v>
      </c>
      <c r="E315" s="93" t="str">
        <f>VLOOKUP(A315,Proponentes[#Data],25,FALSE)</f>
        <v>CUMPLE</v>
      </c>
      <c r="F315" s="94">
        <f>VLOOKUP(A315,Proponentes[#Data],20,FALSE)</f>
        <v>8.3055596715961549E-2</v>
      </c>
      <c r="G315" s="93" t="str">
        <f>VLOOKUP(A315,Proponentes[#Data],26,FALSE)</f>
        <v>CUMPLE</v>
      </c>
      <c r="H315" s="95">
        <f>VLOOKUP(A315,Proponentes[#Data],21,FALSE)</f>
        <v>3620.3406286075865</v>
      </c>
      <c r="I315" s="93" t="str">
        <f>VLOOKUP(A315,Proponentes[#Data],27,FALSE)</f>
        <v>CUMPLE</v>
      </c>
      <c r="J315" s="96" t="str">
        <f t="shared" si="8"/>
        <v>CUMPLE</v>
      </c>
      <c r="K315" s="98">
        <f>VLOOKUP(A315,Proponentes[#Data],35,FALSE)</f>
        <v>729.29665608850962</v>
      </c>
      <c r="L315" s="102">
        <f>VLOOKUP(A315,Hoja2!$A$2:$F$329,6,FALSE)</f>
        <v>729.29665608850962</v>
      </c>
      <c r="M315" s="97"/>
      <c r="N315" s="103">
        <f t="shared" si="9"/>
        <v>0</v>
      </c>
    </row>
    <row r="316" spans="1:14" ht="27" customHeight="1" x14ac:dyDescent="0.2">
      <c r="A316" s="89">
        <v>311</v>
      </c>
      <c r="B316" s="90">
        <v>901312959</v>
      </c>
      <c r="C316" s="91" t="s">
        <v>430</v>
      </c>
      <c r="D316" s="92" t="str">
        <f>VLOOKUP(A316,Proponentes[#Data],19,FALSE)</f>
        <v>INDETERMINADO</v>
      </c>
      <c r="E316" s="93" t="str">
        <f>VLOOKUP(A316,Proponentes[#Data],25,FALSE)</f>
        <v>CUMPLE</v>
      </c>
      <c r="F316" s="94">
        <f>VLOOKUP(A316,Proponentes[#Data],20,FALSE)</f>
        <v>0</v>
      </c>
      <c r="G316" s="93" t="str">
        <f>VLOOKUP(A316,Proponentes[#Data],26,FALSE)</f>
        <v>CUMPLE</v>
      </c>
      <c r="H316" s="95">
        <f>VLOOKUP(A316,Proponentes[#Data],21,FALSE)</f>
        <v>72.453617609127221</v>
      </c>
      <c r="I316" s="93" t="str">
        <f>VLOOKUP(A316,Proponentes[#Data],27,FALSE)</f>
        <v>CUMPLE</v>
      </c>
      <c r="J316" s="96" t="str">
        <f t="shared" si="8"/>
        <v>CUMPLE</v>
      </c>
      <c r="K316" s="98">
        <f>VLOOKUP(A316,Proponentes[#Data],35,FALSE)</f>
        <v>0</v>
      </c>
      <c r="L316" s="102">
        <f>VLOOKUP(A316,Hoja2!$A$2:$F$329,6,FALSE)</f>
        <v>0</v>
      </c>
      <c r="M316" s="97"/>
      <c r="N316" s="103">
        <f t="shared" si="9"/>
        <v>0</v>
      </c>
    </row>
    <row r="317" spans="1:14" ht="27" customHeight="1" x14ac:dyDescent="0.2">
      <c r="A317" s="89">
        <v>312</v>
      </c>
      <c r="B317" s="90">
        <v>800034694</v>
      </c>
      <c r="C317" s="91" t="s">
        <v>431</v>
      </c>
      <c r="D317" s="92">
        <f>VLOOKUP(A317,Proponentes[#Data],19,FALSE)</f>
        <v>2.438376794945142</v>
      </c>
      <c r="E317" s="93" t="str">
        <f>VLOOKUP(A317,Proponentes[#Data],25,FALSE)</f>
        <v>CUMPLE</v>
      </c>
      <c r="F317" s="94">
        <f>VLOOKUP(A317,Proponentes[#Data],20,FALSE)</f>
        <v>0.40049012995772476</v>
      </c>
      <c r="G317" s="93" t="str">
        <f>VLOOKUP(A317,Proponentes[#Data],26,FALSE)</f>
        <v>CUMPLE</v>
      </c>
      <c r="H317" s="95">
        <f>VLOOKUP(A317,Proponentes[#Data],21,FALSE)</f>
        <v>635.8612476995977</v>
      </c>
      <c r="I317" s="93" t="str">
        <f>VLOOKUP(A317,Proponentes[#Data],27,FALSE)</f>
        <v>CUMPLE</v>
      </c>
      <c r="J317" s="96" t="str">
        <f t="shared" si="8"/>
        <v>CUMPLE</v>
      </c>
      <c r="K317" s="98">
        <f>VLOOKUP(A317,Proponentes[#Data],35,FALSE)</f>
        <v>973.80662274546091</v>
      </c>
      <c r="L317" s="102">
        <f>VLOOKUP(A317,Hoja2!$A$2:$F$329,6,FALSE)</f>
        <v>973.80662274546091</v>
      </c>
      <c r="M317" s="97"/>
      <c r="N317" s="103">
        <f t="shared" si="9"/>
        <v>0</v>
      </c>
    </row>
    <row r="318" spans="1:14" ht="27" customHeight="1" x14ac:dyDescent="0.2">
      <c r="A318" s="89">
        <v>313</v>
      </c>
      <c r="B318" s="90">
        <v>800218607</v>
      </c>
      <c r="C318" s="91" t="s">
        <v>432</v>
      </c>
      <c r="D318" s="92">
        <f>VLOOKUP(A318,Proponentes[#Data],19,FALSE)</f>
        <v>9.0705662162440106</v>
      </c>
      <c r="E318" s="93" t="str">
        <f>VLOOKUP(A318,Proponentes[#Data],25,FALSE)</f>
        <v>CUMPLE</v>
      </c>
      <c r="F318" s="94">
        <f>VLOOKUP(A318,Proponentes[#Data],20,FALSE)</f>
        <v>0.1075350388485008</v>
      </c>
      <c r="G318" s="93" t="str">
        <f>VLOOKUP(A318,Proponentes[#Data],26,FALSE)</f>
        <v>CUMPLE</v>
      </c>
      <c r="H318" s="95">
        <f>VLOOKUP(A318,Proponentes[#Data],21,FALSE)</f>
        <v>473.84545160339854</v>
      </c>
      <c r="I318" s="93" t="str">
        <f>VLOOKUP(A318,Proponentes[#Data],27,FALSE)</f>
        <v>CUMPLE</v>
      </c>
      <c r="J318" s="96" t="str">
        <f t="shared" si="8"/>
        <v>CUMPLE</v>
      </c>
      <c r="K318" s="98">
        <f>VLOOKUP(A318,Proponentes[#Data],35,FALSE)</f>
        <v>142.96474626126866</v>
      </c>
      <c r="L318" s="102">
        <f>VLOOKUP(A318,Hoja2!$A$2:$F$329,6,FALSE)</f>
        <v>142.96474626126866</v>
      </c>
      <c r="M318" s="97"/>
      <c r="N318" s="103">
        <f t="shared" si="9"/>
        <v>0</v>
      </c>
    </row>
    <row r="319" spans="1:14" ht="27" customHeight="1" x14ac:dyDescent="0.2">
      <c r="A319" s="89">
        <v>314</v>
      </c>
      <c r="B319" s="90">
        <v>900748884</v>
      </c>
      <c r="C319" s="91" t="s">
        <v>433</v>
      </c>
      <c r="D319" s="92">
        <f>VLOOKUP(A319,Proponentes[#Data],19,FALSE)</f>
        <v>22.509920919994713</v>
      </c>
      <c r="E319" s="93" t="str">
        <f>VLOOKUP(A319,Proponentes[#Data],25,FALSE)</f>
        <v>CUMPLE</v>
      </c>
      <c r="F319" s="94">
        <f>VLOOKUP(A319,Proponentes[#Data],20,FALSE)</f>
        <v>0.14620318177450653</v>
      </c>
      <c r="G319" s="93" t="str">
        <f>VLOOKUP(A319,Proponentes[#Data],26,FALSE)</f>
        <v>NO CUMPLE</v>
      </c>
      <c r="H319" s="95">
        <f>VLOOKUP(A319,Proponentes[#Data],21,FALSE)</f>
        <v>18.078374285728085</v>
      </c>
      <c r="I319" s="93" t="str">
        <f>VLOOKUP(A319,Proponentes[#Data],27,FALSE)</f>
        <v>CUMPLE</v>
      </c>
      <c r="J319" s="96" t="str">
        <f t="shared" si="8"/>
        <v>NO CUMPLE</v>
      </c>
      <c r="K319" s="98">
        <f>VLOOKUP(A319,Proponentes[#Data],35,FALSE)</f>
        <v>0</v>
      </c>
      <c r="L319" s="102">
        <f>VLOOKUP(A319,Hoja2!$A$2:$F$329,6,FALSE)</f>
        <v>0</v>
      </c>
      <c r="M319" s="97" t="s">
        <v>814</v>
      </c>
      <c r="N319" s="103">
        <f t="shared" si="9"/>
        <v>0</v>
      </c>
    </row>
    <row r="320" spans="1:14" ht="27" customHeight="1" x14ac:dyDescent="0.2">
      <c r="A320" s="89">
        <v>315</v>
      </c>
      <c r="B320" s="90">
        <v>806014866</v>
      </c>
      <c r="C320" s="91" t="s">
        <v>434</v>
      </c>
      <c r="D320" s="92">
        <f>VLOOKUP(A320,Proponentes[#Data],19,FALSE)</f>
        <v>13.122994873342641</v>
      </c>
      <c r="E320" s="93" t="str">
        <f>VLOOKUP(A320,Proponentes[#Data],25,FALSE)</f>
        <v>CUMPLE</v>
      </c>
      <c r="F320" s="94">
        <f>VLOOKUP(A320,Proponentes[#Data],20,FALSE)</f>
        <v>0.26424831783610764</v>
      </c>
      <c r="G320" s="93" t="str">
        <f>VLOOKUP(A320,Proponentes[#Data],26,FALSE)</f>
        <v>CUMPLE</v>
      </c>
      <c r="H320" s="95">
        <f>VLOOKUP(A320,Proponentes[#Data],21,FALSE)</f>
        <v>1293.3113102512209</v>
      </c>
      <c r="I320" s="93" t="str">
        <f>VLOOKUP(A320,Proponentes[#Data],27,FALSE)</f>
        <v>CUMPLE</v>
      </c>
      <c r="J320" s="96" t="str">
        <f t="shared" si="8"/>
        <v>CUMPLE</v>
      </c>
      <c r="K320" s="98">
        <f>VLOOKUP(A320,Proponentes[#Data],35,FALSE)</f>
        <v>142.14190935012886</v>
      </c>
      <c r="L320" s="102">
        <f>VLOOKUP(A320,Hoja2!$A$2:$F$329,6,FALSE)</f>
        <v>142.14190935012886</v>
      </c>
      <c r="M320" s="97"/>
      <c r="N320" s="103">
        <f t="shared" si="9"/>
        <v>0</v>
      </c>
    </row>
    <row r="321" spans="1:14" ht="27" customHeight="1" x14ac:dyDescent="0.2">
      <c r="A321" s="89">
        <v>316</v>
      </c>
      <c r="B321" s="90">
        <v>900512759</v>
      </c>
      <c r="C321" s="91" t="s">
        <v>436</v>
      </c>
      <c r="D321" s="92">
        <f>VLOOKUP(A321,Proponentes[#Data],19,FALSE)</f>
        <v>76.07433699025097</v>
      </c>
      <c r="E321" s="93" t="str">
        <f>VLOOKUP(A321,Proponentes[#Data],25,FALSE)</f>
        <v>CUMPLE</v>
      </c>
      <c r="F321" s="94">
        <f>VLOOKUP(A321,Proponentes[#Data],20,FALSE)</f>
        <v>1.302633710627776E-2</v>
      </c>
      <c r="G321" s="93" t="str">
        <f>VLOOKUP(A321,Proponentes[#Data],26,FALSE)</f>
        <v>CUMPLE</v>
      </c>
      <c r="H321" s="95">
        <f>VLOOKUP(A321,Proponentes[#Data],21,FALSE)</f>
        <v>745.0121383960701</v>
      </c>
      <c r="I321" s="93" t="str">
        <f>VLOOKUP(A321,Proponentes[#Data],27,FALSE)</f>
        <v>CUMPLE</v>
      </c>
      <c r="J321" s="96" t="str">
        <f t="shared" si="8"/>
        <v>CUMPLE</v>
      </c>
      <c r="K321" s="98">
        <f>VLOOKUP(A321,Proponentes[#Data],35,FALSE)</f>
        <v>730.70404082165362</v>
      </c>
      <c r="L321" s="102">
        <f>VLOOKUP(A321,Hoja2!$A$2:$F$329,6,FALSE)</f>
        <v>730.70404082165362</v>
      </c>
      <c r="M321" s="97"/>
      <c r="N321" s="103">
        <f t="shared" si="9"/>
        <v>0</v>
      </c>
    </row>
    <row r="322" spans="1:14" ht="27" customHeight="1" x14ac:dyDescent="0.2">
      <c r="A322" s="89">
        <v>317</v>
      </c>
      <c r="B322" s="90">
        <v>900054260</v>
      </c>
      <c r="C322" s="91" t="s">
        <v>437</v>
      </c>
      <c r="D322" s="92">
        <f>VLOOKUP(A322,Proponentes[#Data],19,FALSE)</f>
        <v>9.7951770069930078</v>
      </c>
      <c r="E322" s="93" t="str">
        <f>VLOOKUP(A322,Proponentes[#Data],25,FALSE)</f>
        <v>CUMPLE</v>
      </c>
      <c r="F322" s="94">
        <f>VLOOKUP(A322,Proponentes[#Data],20,FALSE)</f>
        <v>1.6248484784479798E-2</v>
      </c>
      <c r="G322" s="93" t="str">
        <f>VLOOKUP(A322,Proponentes[#Data],26,FALSE)</f>
        <v>NO CUMPLE</v>
      </c>
      <c r="H322" s="95">
        <f>VLOOKUP(A322,Proponentes[#Data],21,FALSE)</f>
        <v>759.38051673920074</v>
      </c>
      <c r="I322" s="93" t="str">
        <f>VLOOKUP(A322,Proponentes[#Data],27,FALSE)</f>
        <v>CUMPLE</v>
      </c>
      <c r="J322" s="96" t="str">
        <f t="shared" si="8"/>
        <v>NO CUMPLE</v>
      </c>
      <c r="K322" s="98">
        <f>VLOOKUP(A322,Proponentes[#Data],35,FALSE)</f>
        <v>0</v>
      </c>
      <c r="L322" s="102">
        <f>VLOOKUP(A322,Hoja2!$A$2:$F$329,6,FALSE)</f>
        <v>0</v>
      </c>
      <c r="M322" s="97" t="s">
        <v>814</v>
      </c>
      <c r="N322" s="103">
        <f t="shared" si="9"/>
        <v>0</v>
      </c>
    </row>
    <row r="323" spans="1:14" ht="27" customHeight="1" x14ac:dyDescent="0.2">
      <c r="A323" s="89">
        <v>318</v>
      </c>
      <c r="B323" s="90">
        <v>900204863</v>
      </c>
      <c r="C323" s="91" t="s">
        <v>439</v>
      </c>
      <c r="D323" s="92">
        <f>VLOOKUP(A323,Proponentes[#Data],19,FALSE)</f>
        <v>15.795141649831649</v>
      </c>
      <c r="E323" s="93" t="str">
        <f>VLOOKUP(A323,Proponentes[#Data],25,FALSE)</f>
        <v>CUMPLE</v>
      </c>
      <c r="F323" s="94">
        <f>VLOOKUP(A323,Proponentes[#Data],20,FALSE)</f>
        <v>5.3714275408585775E-2</v>
      </c>
      <c r="G323" s="93" t="str">
        <f>VLOOKUP(A323,Proponentes[#Data],26,FALSE)</f>
        <v>CUMPLE</v>
      </c>
      <c r="H323" s="95">
        <f>VLOOKUP(A323,Proponentes[#Data],21,FALSE)</f>
        <v>530.62096010703817</v>
      </c>
      <c r="I323" s="93" t="str">
        <f>VLOOKUP(A323,Proponentes[#Data],27,FALSE)</f>
        <v>CUMPLE</v>
      </c>
      <c r="J323" s="96" t="str">
        <f t="shared" si="8"/>
        <v>CUMPLE</v>
      </c>
      <c r="K323" s="98">
        <f>VLOOKUP(A323,Proponentes[#Data],35,FALSE)</f>
        <v>962.84892091366714</v>
      </c>
      <c r="L323" s="102">
        <f>VLOOKUP(A323,Hoja2!$A$2:$F$329,6,FALSE)</f>
        <v>962.84892091366726</v>
      </c>
      <c r="M323" s="97"/>
      <c r="N323" s="103">
        <f t="shared" si="9"/>
        <v>0</v>
      </c>
    </row>
    <row r="324" spans="1:14" ht="27" customHeight="1" x14ac:dyDescent="0.2">
      <c r="A324" s="89">
        <v>319</v>
      </c>
      <c r="B324" s="90">
        <v>830075085</v>
      </c>
      <c r="C324" s="91" t="s">
        <v>440</v>
      </c>
      <c r="D324" s="92">
        <f>VLOOKUP(A324,Proponentes[#Data],19,FALSE)</f>
        <v>23.944476092093751</v>
      </c>
      <c r="E324" s="93" t="str">
        <f>VLOOKUP(A324,Proponentes[#Data],25,FALSE)</f>
        <v>CUMPLE</v>
      </c>
      <c r="F324" s="94">
        <f>VLOOKUP(A324,Proponentes[#Data],20,FALSE)</f>
        <v>3.7700308965815707E-2</v>
      </c>
      <c r="G324" s="93" t="str">
        <f>VLOOKUP(A324,Proponentes[#Data],26,FALSE)</f>
        <v>CUMPLE</v>
      </c>
      <c r="H324" s="95">
        <f>VLOOKUP(A324,Proponentes[#Data],21,FALSE)</f>
        <v>10165.278777369354</v>
      </c>
      <c r="I324" s="93" t="str">
        <f>VLOOKUP(A324,Proponentes[#Data],27,FALSE)</f>
        <v>CUMPLE</v>
      </c>
      <c r="J324" s="96" t="str">
        <f t="shared" si="8"/>
        <v>CUMPLE</v>
      </c>
      <c r="K324" s="98">
        <f>VLOOKUP(A324,Proponentes[#Data],35,FALSE)</f>
        <v>690.20990268970775</v>
      </c>
      <c r="L324" s="102">
        <f>VLOOKUP(A324,Hoja2!$A$2:$F$329,6,FALSE)</f>
        <v>690.20990268970763</v>
      </c>
      <c r="M324" s="97"/>
      <c r="N324" s="103">
        <f t="shared" si="9"/>
        <v>0</v>
      </c>
    </row>
    <row r="325" spans="1:14" ht="27" customHeight="1" x14ac:dyDescent="0.2">
      <c r="A325" s="89">
        <v>320</v>
      </c>
      <c r="B325" s="90">
        <v>860018862</v>
      </c>
      <c r="C325" s="91" t="s">
        <v>441</v>
      </c>
      <c r="D325" s="92">
        <f>VLOOKUP(A325,Proponentes[#Data],19,FALSE)</f>
        <v>8.0540437209041702</v>
      </c>
      <c r="E325" s="93" t="str">
        <f>VLOOKUP(A325,Proponentes[#Data],25,FALSE)</f>
        <v>CUMPLE</v>
      </c>
      <c r="F325" s="94">
        <f>VLOOKUP(A325,Proponentes[#Data],20,FALSE)</f>
        <v>0.30128060389305117</v>
      </c>
      <c r="G325" s="93" t="str">
        <f>VLOOKUP(A325,Proponentes[#Data],26,FALSE)</f>
        <v>CUMPLE</v>
      </c>
      <c r="H325" s="95">
        <f>VLOOKUP(A325,Proponentes[#Data],21,FALSE)</f>
        <v>10481.799331905193</v>
      </c>
      <c r="I325" s="93" t="str">
        <f>VLOOKUP(A325,Proponentes[#Data],27,FALSE)</f>
        <v>CUMPLE</v>
      </c>
      <c r="J325" s="96" t="str">
        <f t="shared" si="8"/>
        <v>CUMPLE</v>
      </c>
      <c r="K325" s="98">
        <f>VLOOKUP(A325,Proponentes[#Data],35,FALSE)</f>
        <v>1093.8188751913003</v>
      </c>
      <c r="L325" s="102">
        <f>VLOOKUP(A325,Hoja2!$A$2:$F$329,6,FALSE)</f>
        <v>1093.8188751913003</v>
      </c>
      <c r="M325" s="97"/>
      <c r="N325" s="103">
        <f t="shared" si="9"/>
        <v>0</v>
      </c>
    </row>
    <row r="326" spans="1:14" ht="27" customHeight="1" x14ac:dyDescent="0.2">
      <c r="A326" s="89">
        <v>321</v>
      </c>
      <c r="B326" s="90">
        <v>890807284</v>
      </c>
      <c r="C326" s="91" t="s">
        <v>442</v>
      </c>
      <c r="D326" s="92">
        <f>VLOOKUP(A326,Proponentes[#Data],19,FALSE)</f>
        <v>3.554400598865826</v>
      </c>
      <c r="E326" s="93" t="str">
        <f>VLOOKUP(A326,Proponentes[#Data],25,FALSE)</f>
        <v>CUMPLE</v>
      </c>
      <c r="F326" s="94">
        <f>VLOOKUP(A326,Proponentes[#Data],20,FALSE)</f>
        <v>0.13122963942551272</v>
      </c>
      <c r="G326" s="93" t="str">
        <f>VLOOKUP(A326,Proponentes[#Data],26,FALSE)</f>
        <v>CUMPLE</v>
      </c>
      <c r="H326" s="95">
        <f>VLOOKUP(A326,Proponentes[#Data],21,FALSE)</f>
        <v>2180.3015773152551</v>
      </c>
      <c r="I326" s="93" t="str">
        <f>VLOOKUP(A326,Proponentes[#Data],27,FALSE)</f>
        <v>CUMPLE</v>
      </c>
      <c r="J326" s="96" t="str">
        <f t="shared" si="8"/>
        <v>CUMPLE</v>
      </c>
      <c r="K326" s="98">
        <f>VLOOKUP(A326,Proponentes[#Data],35,FALSE)</f>
        <v>4182.4491255151133</v>
      </c>
      <c r="L326" s="102">
        <f>VLOOKUP(A326,Hoja2!$A$2:$F$329,6,FALSE)</f>
        <v>4182.4491255151133</v>
      </c>
      <c r="M326" s="97"/>
      <c r="N326" s="103">
        <f t="shared" si="9"/>
        <v>0</v>
      </c>
    </row>
    <row r="327" spans="1:14" ht="27" customHeight="1" x14ac:dyDescent="0.2">
      <c r="A327" s="89">
        <v>322</v>
      </c>
      <c r="B327" s="90">
        <v>901011895</v>
      </c>
      <c r="C327" s="91" t="s">
        <v>443</v>
      </c>
      <c r="D327" s="92" t="str">
        <f>VLOOKUP(A327,Proponentes[#Data],19,FALSE)</f>
        <v>INDETERMINADO</v>
      </c>
      <c r="E327" s="93" t="s">
        <v>470</v>
      </c>
      <c r="F327" s="94" t="s">
        <v>470</v>
      </c>
      <c r="G327" s="93" t="s">
        <v>470</v>
      </c>
      <c r="H327" s="95" t="s">
        <v>470</v>
      </c>
      <c r="I327" s="93" t="s">
        <v>470</v>
      </c>
      <c r="J327" s="96" t="str">
        <f t="shared" ref="J327:J333" si="10">IF(M327&lt;&gt;"","NO CUMPLE",IF(AND(E327="CUMPLE",G327="CUMPLE",I327="CUMPLE"),"CUMPLE","NO CUMPLE"))</f>
        <v>NO CUMPLE</v>
      </c>
      <c r="K327" s="98">
        <f>VLOOKUP(A327,Proponentes[#Data],35,FALSE)</f>
        <v>0</v>
      </c>
      <c r="L327" s="102">
        <f>VLOOKUP(A327,Hoja2!$A$2:$F$329,6,FALSE)</f>
        <v>0</v>
      </c>
      <c r="M327" s="97" t="str">
        <f>VLOOKUP(A327,Proponentes[#Data],29,FALSE)</f>
        <v>NO CUMPLE. El indicador de capital de trabajo, acorde a la información financiera aportada, es de 11.1 ($9.204.773), valor inferior al solicitado en la invitación pública.</v>
      </c>
      <c r="N327" s="103">
        <f t="shared" ref="N327:N333" si="11">K327-L327</f>
        <v>0</v>
      </c>
    </row>
    <row r="328" spans="1:14" ht="27" customHeight="1" x14ac:dyDescent="0.2">
      <c r="A328" s="89">
        <v>323</v>
      </c>
      <c r="B328" s="90">
        <v>901123937</v>
      </c>
      <c r="C328" s="91" t="s">
        <v>445</v>
      </c>
      <c r="D328" s="92">
        <f>VLOOKUP(A328,Proponentes[#Data],19,FALSE)</f>
        <v>10</v>
      </c>
      <c r="E328" s="93" t="str">
        <f>VLOOKUP(A328,Proponentes[#Data],25,FALSE)</f>
        <v>CUMPLE</v>
      </c>
      <c r="F328" s="94">
        <f>VLOOKUP(A328,Proponentes[#Data],20,FALSE)</f>
        <v>2.7777777777777776E-2</v>
      </c>
      <c r="G328" s="93" t="str">
        <f>VLOOKUP(A328,Proponentes[#Data],26,FALSE)</f>
        <v>CUMPLE</v>
      </c>
      <c r="H328" s="95">
        <f>VLOOKUP(A328,Proponentes[#Data],21,FALSE)</f>
        <v>21.736085282738166</v>
      </c>
      <c r="I328" s="93" t="str">
        <f>VLOOKUP(A328,Proponentes[#Data],27,FALSE)</f>
        <v>CUMPLE</v>
      </c>
      <c r="J328" s="96" t="str">
        <f t="shared" si="10"/>
        <v>CUMPLE</v>
      </c>
      <c r="K328" s="98">
        <f>VLOOKUP(A328,Proponentes[#Data],35,FALSE)</f>
        <v>50.838294709913804</v>
      </c>
      <c r="L328" s="102">
        <f>VLOOKUP(A328,Hoja2!$A$2:$F$329,6,FALSE)</f>
        <v>50.838294709913804</v>
      </c>
      <c r="M328" s="97"/>
      <c r="N328" s="103">
        <f t="shared" si="11"/>
        <v>0</v>
      </c>
    </row>
    <row r="329" spans="1:14" ht="27" customHeight="1" x14ac:dyDescent="0.2">
      <c r="A329" s="89">
        <v>324</v>
      </c>
      <c r="B329" s="90">
        <v>900198924</v>
      </c>
      <c r="C329" s="91" t="s">
        <v>447</v>
      </c>
      <c r="D329" s="92">
        <f>VLOOKUP(A329,Proponentes[#Data],19,FALSE)</f>
        <v>19.184229937339929</v>
      </c>
      <c r="E329" s="93" t="str">
        <f>VLOOKUP(A329,Proponentes[#Data],25,FALSE)</f>
        <v>CUMPLE</v>
      </c>
      <c r="F329" s="94">
        <f>VLOOKUP(A329,Proponentes[#Data],20,FALSE)</f>
        <v>4.8972200467707575E-2</v>
      </c>
      <c r="G329" s="93" t="str">
        <f>VLOOKUP(A329,Proponentes[#Data],26,FALSE)</f>
        <v>CUMPLE</v>
      </c>
      <c r="H329" s="95">
        <f>VLOOKUP(A329,Proponentes[#Data],21,FALSE)</f>
        <v>672.73139632611856</v>
      </c>
      <c r="I329" s="93" t="str">
        <f>VLOOKUP(A329,Proponentes[#Data],27,FALSE)</f>
        <v>CUMPLE</v>
      </c>
      <c r="J329" s="96" t="str">
        <f t="shared" si="10"/>
        <v>CUMPLE</v>
      </c>
      <c r="K329" s="98">
        <f>VLOOKUP(A329,Proponentes[#Data],35,FALSE)</f>
        <v>519.88235320197305</v>
      </c>
      <c r="L329" s="102">
        <f>VLOOKUP(A329,Hoja2!$A$2:$F$329,6,FALSE)</f>
        <v>519.88235320197305</v>
      </c>
      <c r="M329" s="97"/>
      <c r="N329" s="103">
        <f t="shared" si="11"/>
        <v>0</v>
      </c>
    </row>
    <row r="330" spans="1:14" ht="27" customHeight="1" x14ac:dyDescent="0.2">
      <c r="A330" s="89">
        <v>325</v>
      </c>
      <c r="B330" s="90">
        <v>800181165</v>
      </c>
      <c r="C330" s="91" t="s">
        <v>448</v>
      </c>
      <c r="D330" s="92">
        <f>VLOOKUP(A330,Proponentes[#Data],19,FALSE)</f>
        <v>13.714744917075864</v>
      </c>
      <c r="E330" s="93" t="str">
        <f>VLOOKUP(A330,Proponentes[#Data],25,FALSE)</f>
        <v>CUMPLE</v>
      </c>
      <c r="F330" s="94">
        <f>VLOOKUP(A330,Proponentes[#Data],20,FALSE)</f>
        <v>3.8247271384625282E-2</v>
      </c>
      <c r="G330" s="93" t="str">
        <f>VLOOKUP(A330,Proponentes[#Data],26,FALSE)</f>
        <v>CUMPLE</v>
      </c>
      <c r="H330" s="95">
        <f>VLOOKUP(A330,Proponentes[#Data],21,FALSE)</f>
        <v>1557.1538286906666</v>
      </c>
      <c r="I330" s="93" t="str">
        <f>VLOOKUP(A330,Proponentes[#Data],27,FALSE)</f>
        <v>CUMPLE</v>
      </c>
      <c r="J330" s="96" t="str">
        <f t="shared" si="10"/>
        <v>CUMPLE</v>
      </c>
      <c r="K330" s="98">
        <f>VLOOKUP(A330,Proponentes[#Data],35,FALSE)</f>
        <v>650.50445448795972</v>
      </c>
      <c r="L330" s="102">
        <f>VLOOKUP(A330,Hoja2!$A$2:$F$329,6,FALSE)</f>
        <v>650.50445448795972</v>
      </c>
      <c r="M330" s="97"/>
      <c r="N330" s="103">
        <f t="shared" si="11"/>
        <v>0</v>
      </c>
    </row>
    <row r="331" spans="1:14" ht="27" customHeight="1" x14ac:dyDescent="0.2">
      <c r="A331" s="89">
        <v>326</v>
      </c>
      <c r="B331" s="90">
        <v>860013779</v>
      </c>
      <c r="C331" s="91" t="s">
        <v>450</v>
      </c>
      <c r="D331" s="92" t="str">
        <f>VLOOKUP(A331,Proponentes[#Data],19,FALSE)</f>
        <v>INDETERMINADO</v>
      </c>
      <c r="E331" s="93" t="str">
        <f>VLOOKUP(A331,Proponentes[#Data],25,FALSE)</f>
        <v>NO CUMPLE</v>
      </c>
      <c r="F331" s="94">
        <f>VLOOKUP(A331,Proponentes[#Data],20,FALSE)</f>
        <v>0</v>
      </c>
      <c r="G331" s="93" t="str">
        <f>VLOOKUP(A331,Proponentes[#Data],26,FALSE)</f>
        <v>NO CUMPLE</v>
      </c>
      <c r="H331" s="95">
        <f>VLOOKUP(A331,Proponentes[#Data],21,FALSE)</f>
        <v>0</v>
      </c>
      <c r="I331" s="93" t="str">
        <f>VLOOKUP(A331,Proponentes[#Data],27,FALSE)</f>
        <v>NO CUMPLE</v>
      </c>
      <c r="J331" s="96" t="str">
        <f t="shared" si="10"/>
        <v>NO CUMPLE</v>
      </c>
      <c r="K331" s="98">
        <f>VLOOKUP(A331,Proponentes[#Data],35,FALSE)</f>
        <v>500</v>
      </c>
      <c r="L331" s="102">
        <f>VLOOKUP(A331,Hoja2!$A$2:$F$329,6,FALSE)</f>
        <v>1627.4750026584647</v>
      </c>
      <c r="M331" s="97" t="s">
        <v>816</v>
      </c>
      <c r="N331" s="103">
        <f t="shared" si="11"/>
        <v>-1127.4750026584647</v>
      </c>
    </row>
    <row r="332" spans="1:14" ht="27" customHeight="1" x14ac:dyDescent="0.2">
      <c r="A332" s="89">
        <v>327</v>
      </c>
      <c r="B332" s="90" t="s">
        <v>221</v>
      </c>
      <c r="C332" s="91" t="s">
        <v>452</v>
      </c>
      <c r="D332" s="92" t="str">
        <f>VLOOKUP(A332,Proponentes[#Data],19,FALSE)</f>
        <v>INDETERMINADO</v>
      </c>
      <c r="E332" s="96" t="s">
        <v>815</v>
      </c>
      <c r="F332" s="94">
        <f>VLOOKUP(A332,Proponentes[#Data],20,FALSE)</f>
        <v>0</v>
      </c>
      <c r="G332" s="96" t="s">
        <v>815</v>
      </c>
      <c r="H332" s="95">
        <f>VLOOKUP(A332,Proponentes[#Data],21,FALSE)</f>
        <v>0</v>
      </c>
      <c r="I332" s="96" t="s">
        <v>815</v>
      </c>
      <c r="J332" s="96" t="s">
        <v>815</v>
      </c>
      <c r="K332" s="98">
        <f>VLOOKUP(A332,Proponentes[#Data],35,FALSE)</f>
        <v>0</v>
      </c>
      <c r="L332" s="102">
        <f>VLOOKUP(A332,Hoja2!$A$2:$F$329,6,FALSE)</f>
        <v>0</v>
      </c>
      <c r="M332" s="97" t="s">
        <v>801</v>
      </c>
      <c r="N332" s="103">
        <f t="shared" si="11"/>
        <v>0</v>
      </c>
    </row>
    <row r="333" spans="1:14" ht="27" customHeight="1" x14ac:dyDescent="0.2">
      <c r="A333" s="89">
        <v>328</v>
      </c>
      <c r="B333" s="90">
        <v>828001706</v>
      </c>
      <c r="C333" s="91" t="s">
        <v>453</v>
      </c>
      <c r="D333" s="92">
        <f>VLOOKUP(A333,Proponentes[#Data],19,FALSE)</f>
        <v>26.934666550272702</v>
      </c>
      <c r="E333" s="93" t="str">
        <f>VLOOKUP(A333,Proponentes[#Data],25,FALSE)</f>
        <v>CUMPLE</v>
      </c>
      <c r="F333" s="94">
        <f>VLOOKUP(A333,Proponentes[#Data],20,FALSE)</f>
        <v>2.6272672569104451E-2</v>
      </c>
      <c r="G333" s="93" t="str">
        <f>VLOOKUP(A333,Proponentes[#Data],26,FALSE)</f>
        <v>CUMPLE</v>
      </c>
      <c r="H333" s="95">
        <f>VLOOKUP(A333,Proponentes[#Data],21,FALSE)</f>
        <v>453.82487719111816</v>
      </c>
      <c r="I333" s="93" t="str">
        <f>VLOOKUP(A333,Proponentes[#Data],27,FALSE)</f>
        <v>CUMPLE</v>
      </c>
      <c r="J333" s="96" t="str">
        <f t="shared" si="10"/>
        <v>CUMPLE</v>
      </c>
      <c r="K333" s="98">
        <f>VLOOKUP(A333,Proponentes[#Data],35,FALSE)</f>
        <v>162.33813776446948</v>
      </c>
      <c r="L333" s="102">
        <f>VLOOKUP(A333,Hoja2!$A$2:$F$329,6,FALSE)</f>
        <v>162.33813776446951</v>
      </c>
      <c r="M333" s="97"/>
      <c r="N333" s="103">
        <f t="shared" si="11"/>
        <v>0</v>
      </c>
    </row>
  </sheetData>
  <autoFilter ref="A5:N333" xr:uid="{00000000-0009-0000-0000-000000000000}"/>
  <mergeCells count="13">
    <mergeCell ref="K4:K5"/>
    <mergeCell ref="L4:L5"/>
    <mergeCell ref="M4:M5"/>
    <mergeCell ref="A1:M1"/>
    <mergeCell ref="A2:M2"/>
    <mergeCell ref="A3:M3"/>
    <mergeCell ref="A4:A5"/>
    <mergeCell ref="B4:B5"/>
    <mergeCell ref="C4:C5"/>
    <mergeCell ref="D4:E4"/>
    <mergeCell ref="F4:G4"/>
    <mergeCell ref="H4:I4"/>
    <mergeCell ref="J4:J5"/>
  </mergeCells>
  <conditionalFormatting sqref="J6:J167 J169:J266 J268:J307 J309:J331 J333">
    <cfRule type="cellIs" dxfId="64" priority="16" operator="equal">
      <formula>"NO CUMPLE"</formula>
    </cfRule>
  </conditionalFormatting>
  <conditionalFormatting sqref="E6">
    <cfRule type="cellIs" dxfId="63" priority="15" operator="equal">
      <formula>"NO CUMPLE"</formula>
    </cfRule>
  </conditionalFormatting>
  <conditionalFormatting sqref="G6">
    <cfRule type="cellIs" dxfId="62" priority="14" operator="equal">
      <formula>"NO CUMPLE"</formula>
    </cfRule>
  </conditionalFormatting>
  <conditionalFormatting sqref="I6">
    <cfRule type="cellIs" dxfId="61" priority="13" operator="equal">
      <formula>"NO CUMPLE"</formula>
    </cfRule>
  </conditionalFormatting>
  <conditionalFormatting sqref="G7:G46 G159:G167 G169:G228 G268:G307 G309:G331 G333 G48:G157 G230:G266">
    <cfRule type="cellIs" dxfId="60" priority="9" operator="equal">
      <formula>"NO CUMPLE"</formula>
    </cfRule>
  </conditionalFormatting>
  <conditionalFormatting sqref="I7:I46 I159:I167 I169:I228 I268:I307 I309:I331 I333 I48:I157 I230:I266">
    <cfRule type="cellIs" dxfId="59" priority="8" operator="equal">
      <formula>"NO CUMPLE"</formula>
    </cfRule>
  </conditionalFormatting>
  <conditionalFormatting sqref="E7:E46 E159:E167 E169:E228 E268:E307 E309:E331 E333 E48:E157 E230:E266">
    <cfRule type="cellIs" dxfId="58" priority="10" operator="equal">
      <formula>"NO CUMPLE"</formula>
    </cfRule>
  </conditionalFormatting>
  <conditionalFormatting sqref="I158 G158 E158">
    <cfRule type="cellIs" dxfId="57" priority="7" operator="equal">
      <formula>"NO CUMPLE"</formula>
    </cfRule>
  </conditionalFormatting>
  <conditionalFormatting sqref="I168:J168 G168 E168">
    <cfRule type="cellIs" dxfId="56" priority="6" operator="equal">
      <formula>"NO CUMPLE"</formula>
    </cfRule>
  </conditionalFormatting>
  <conditionalFormatting sqref="I267:J267 G267 E267">
    <cfRule type="cellIs" dxfId="55" priority="5" operator="equal">
      <formula>"NO CUMPLE"</formula>
    </cfRule>
  </conditionalFormatting>
  <conditionalFormatting sqref="I308:J308 G308 E308">
    <cfRule type="cellIs" dxfId="54" priority="4" operator="equal">
      <formula>"NO CUMPLE"</formula>
    </cfRule>
  </conditionalFormatting>
  <conditionalFormatting sqref="I332:J332 G332 E332">
    <cfRule type="cellIs" dxfId="53" priority="3" operator="equal">
      <formula>"NO CUMPLE"</formula>
    </cfRule>
  </conditionalFormatting>
  <conditionalFormatting sqref="I47 G47 E47">
    <cfRule type="cellIs" dxfId="52" priority="2" operator="equal">
      <formula>"NO CUMPLE"</formula>
    </cfRule>
  </conditionalFormatting>
  <conditionalFormatting sqref="I229 G229 E229">
    <cfRule type="cellIs" dxfId="51" priority="1" operator="equal">
      <formula>"NO CUMPLE"</formula>
    </cfRule>
  </conditionalFormatting>
  <pageMargins left="0.43" right="0.47" top="0.39" bottom="0.52" header="0.31496062992125984" footer="0.31496062992125984"/>
  <pageSetup paperSize="184" scale="49" fitToHeight="0" orientation="landscape" horizontalDpi="4294967294" verticalDpi="4294967294" r:id="rId1"/>
  <headerFooter>
    <oddFooter>&amp;CPágina &amp;P&amp;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K333"/>
  <sheetViews>
    <sheetView showGridLines="0" zoomScale="90" zoomScaleNormal="90" workbookViewId="0">
      <pane xSplit="1" ySplit="1" topLeftCell="B26" activePane="bottomRight" state="frozen"/>
      <selection activeCell="C43" sqref="C43"/>
      <selection pane="topRight" activeCell="C43" sqref="C43"/>
      <selection pane="bottomLeft" activeCell="C43" sqref="C43"/>
      <selection pane="bottomRight" activeCell="C43" sqref="C43"/>
    </sheetView>
  </sheetViews>
  <sheetFormatPr baseColWidth="10" defaultColWidth="11.5" defaultRowHeight="15" x14ac:dyDescent="0.2"/>
  <cols>
    <col min="1" max="1" width="12.1640625" style="9" customWidth="1"/>
    <col min="2" max="2" width="18.6640625" style="9" bestFit="1" customWidth="1"/>
    <col min="3" max="3" width="50.6640625" style="26" customWidth="1"/>
    <col min="4" max="4" width="20" bestFit="1" customWidth="1"/>
    <col min="5" max="5" width="22.1640625" style="9" customWidth="1"/>
    <col min="6" max="6" width="18.83203125" style="9" bestFit="1" customWidth="1"/>
    <col min="7" max="8" width="20.83203125" style="9" customWidth="1"/>
    <col min="9" max="9" width="17.6640625" style="9" customWidth="1"/>
    <col min="10" max="10" width="21" style="9" customWidth="1"/>
    <col min="11" max="11" width="21" style="9" hidden="1" customWidth="1"/>
    <col min="12" max="12" width="17.6640625" style="9" hidden="1" customWidth="1"/>
    <col min="13" max="13" width="27.83203125" style="9" hidden="1" customWidth="1"/>
    <col min="14" max="14" width="24.1640625" style="9" bestFit="1" customWidth="1"/>
    <col min="15" max="15" width="19.6640625" style="9" customWidth="1"/>
    <col min="16" max="16" width="21.5" style="9" customWidth="1"/>
    <col min="17" max="18" width="17.5" style="9" customWidth="1"/>
    <col min="19" max="19" width="20.6640625" style="9" customWidth="1"/>
    <col min="20" max="20" width="19.33203125" style="9" customWidth="1"/>
    <col min="21" max="21" width="16.33203125" style="9" bestFit="1" customWidth="1"/>
    <col min="22" max="22" width="18.5" style="9" bestFit="1" customWidth="1"/>
    <col min="23" max="23" width="18.5" style="9" customWidth="1"/>
    <col min="24" max="24" width="20.33203125" style="9" bestFit="1" customWidth="1"/>
    <col min="25" max="25" width="11.5" customWidth="1"/>
    <col min="26" max="26" width="20.6640625" style="46" customWidth="1"/>
    <col min="27" max="27" width="19.33203125" style="9" customWidth="1"/>
    <col min="28" max="28" width="15.5" style="9" customWidth="1"/>
    <col min="29" max="29" width="70.6640625" style="9" customWidth="1"/>
    <col min="30" max="16384" width="11.5" style="9"/>
  </cols>
  <sheetData>
    <row r="1" spans="1:37" ht="48.75" customHeight="1" x14ac:dyDescent="0.2">
      <c r="A1" s="1" t="s">
        <v>0</v>
      </c>
      <c r="B1" s="2" t="s">
        <v>1</v>
      </c>
      <c r="C1" s="3" t="s">
        <v>2</v>
      </c>
      <c r="D1" s="2" t="s">
        <v>5</v>
      </c>
      <c r="E1" s="2" t="s">
        <v>6</v>
      </c>
      <c r="F1" s="4" t="s">
        <v>466</v>
      </c>
      <c r="G1" s="2" t="s">
        <v>7</v>
      </c>
      <c r="H1" s="2" t="s">
        <v>8</v>
      </c>
      <c r="I1" s="4" t="s">
        <v>9</v>
      </c>
      <c r="J1" s="2" t="s">
        <v>10</v>
      </c>
      <c r="K1" s="2" t="s">
        <v>11</v>
      </c>
      <c r="L1" s="2" t="s">
        <v>12</v>
      </c>
      <c r="M1" s="2" t="s">
        <v>13</v>
      </c>
      <c r="N1" s="3" t="s">
        <v>14</v>
      </c>
      <c r="O1" s="3" t="s">
        <v>15</v>
      </c>
      <c r="P1" s="3" t="s">
        <v>16</v>
      </c>
      <c r="Q1" s="3" t="s">
        <v>17</v>
      </c>
      <c r="R1" s="3" t="s">
        <v>571</v>
      </c>
      <c r="S1" s="3" t="s">
        <v>18</v>
      </c>
      <c r="T1" s="3" t="s">
        <v>19</v>
      </c>
      <c r="U1" s="3" t="s">
        <v>20</v>
      </c>
      <c r="V1" s="5" t="s">
        <v>21</v>
      </c>
      <c r="W1" s="2" t="s">
        <v>3</v>
      </c>
      <c r="X1" s="2" t="s">
        <v>4</v>
      </c>
      <c r="Y1" s="6" t="s">
        <v>22</v>
      </c>
      <c r="Z1" s="6" t="s">
        <v>23</v>
      </c>
      <c r="AA1" s="7" t="s">
        <v>24</v>
      </c>
      <c r="AB1" s="84" t="s">
        <v>772</v>
      </c>
      <c r="AC1" s="8" t="s">
        <v>25</v>
      </c>
      <c r="AD1" s="8" t="s">
        <v>766</v>
      </c>
      <c r="AE1" s="8" t="s">
        <v>767</v>
      </c>
      <c r="AF1" s="8" t="s">
        <v>768</v>
      </c>
      <c r="AG1" s="8" t="s">
        <v>769</v>
      </c>
      <c r="AH1" s="8" t="s">
        <v>770</v>
      </c>
      <c r="AI1" s="8" t="s">
        <v>474</v>
      </c>
      <c r="AJ1" s="84" t="s">
        <v>773</v>
      </c>
      <c r="AK1" s="8" t="s">
        <v>775</v>
      </c>
    </row>
    <row r="2" spans="1:37" ht="16" x14ac:dyDescent="0.2">
      <c r="A2" s="10">
        <v>1</v>
      </c>
      <c r="B2" s="11">
        <v>900745755</v>
      </c>
      <c r="C2" s="12" t="s">
        <v>26</v>
      </c>
      <c r="D2" s="13">
        <v>80605921</v>
      </c>
      <c r="E2" s="13">
        <v>34406590</v>
      </c>
      <c r="F2" s="25">
        <f>Proponentes[[#This Row],[Activo Corriente]]+Proponentes[[#This Row],[Activo NO Corriente]]</f>
        <v>115012511</v>
      </c>
      <c r="G2" s="13">
        <v>13029049</v>
      </c>
      <c r="H2" s="13">
        <v>53072125</v>
      </c>
      <c r="I2" s="25">
        <f>Proponentes[[#This Row],[Pasivo Corriente]]+Proponentes[[#This Row],[Pasivo NO Corriente]]</f>
        <v>66101174</v>
      </c>
      <c r="J2" s="14">
        <f>Proponentes[[#This Row],[Total ACTIVO]]-Proponentes[[#This Row],[Total Pasivo]]</f>
        <v>48911337</v>
      </c>
      <c r="K2" s="48">
        <f>VLOOKUP(Proponentes[[#This Row],[Propuesta]],Hoja2!$A$2:$G$239,7,FALSE)</f>
        <v>239166231.8599011</v>
      </c>
      <c r="L2" s="15" t="s">
        <v>27</v>
      </c>
      <c r="M2" s="15" t="s">
        <v>28</v>
      </c>
      <c r="N2" s="55">
        <f>IFERROR(VLOOKUP(Proponentes[[#This Row],[Cap Op en SMMLV]],Base!$A$15:$F$20,3),0)</f>
        <v>1</v>
      </c>
      <c r="O2" s="16">
        <f>IFERROR(VLOOKUP(Proponentes[[#This Row],[Cap Op en SMMLV]],Base!$A$15:$F$20,4),0)</f>
        <v>0.76</v>
      </c>
      <c r="P2" s="17">
        <f>IFERROR(VLOOKUP(Proponentes[[#This Row],[Cap Op en SMMLV]],Tabla2[],6),0)</f>
        <v>12.5</v>
      </c>
      <c r="Q2" s="18">
        <f>IFERROR(VLOOKUP(Proponentes[[#This Row],[Cap Op en SMMLV]],Base!$A$15:$F$20,5),0)</f>
        <v>10351450</v>
      </c>
      <c r="R2" s="18">
        <f>IFERROR(VLOOKUP(Proponentes[[#This Row],[Cap Op en SMMLV]],Tabla2[[DE]:[HASTA]],2),0)</f>
        <v>500</v>
      </c>
      <c r="S2" s="19">
        <f>IFERROR(Proponentes[[#This Row],[Activo Corriente]]/Proponentes[[#This Row],[Pasivo Corriente]],"INDETERMINADO")</f>
        <v>6.1866311961832361</v>
      </c>
      <c r="T2" s="20">
        <f>IFERROR(Proponentes[[#This Row],[Total Pasivo]]/Proponentes[[#This Row],[Total ACTIVO]],0)</f>
        <v>0.57473029173321843</v>
      </c>
      <c r="U2" s="21">
        <f>(Proponentes[[#This Row],[Activo Corriente]]-Proponentes[[#This Row],[Pasivo Corriente]])/Base!$B$3</f>
        <v>81.603147385148944</v>
      </c>
      <c r="V2" s="22">
        <f>Proponentes[[#This Row],[Activo Corriente]]-Proponentes[[#This Row],[Pasivo Corriente]]</f>
        <v>67576872</v>
      </c>
      <c r="W2" s="13">
        <f>IFERROR(VLOOKUP(Proponentes[[#This Row],[Propuesta]],Hoja2!$A$2:$G$329,7,FALSE),0)</f>
        <v>239166231.8599011</v>
      </c>
      <c r="X2" s="83">
        <f>IF(Proponentes[[#This Row],[Cap Op en Pesos]]=0,0,IF(Proponentes[[#This Row],[Cap Op en Pesos]]=0,1,Proponentes[[#This Row],[Cap Op en Pesos]]/Base!B$3))</f>
        <v>288.80764513655225</v>
      </c>
      <c r="Y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 s="23" t="str">
        <f>IF(AND(Proponentes[[#This Row],[Cumple
Liquidez]]="CUMPLE",Proponentes[[#This Row],[Cumple
Endeudamiento]]="CUMPLE",Proponentes[[#This Row],[Cumple
Capital de Trabajo]]="CUMPLE"),"CUMPLE","NO CUMPLE")</f>
        <v>CUMPLE</v>
      </c>
      <c r="AC2" s="24" t="s">
        <v>779</v>
      </c>
      <c r="AD2" s="10">
        <f>IF(Proponentes[[#This Row],[Liquidez
Oferente]]&lt;=1,1,IF(Proponentes[[#This Row],[Liquidez
Oferente]]&lt;=1.1,2,IF(Proponentes[[#This Row],[Liquidez
Oferente]]&lt;=1.2,3,IF(Proponentes[[#This Row],[Liquidez
Oferente]]&lt;=1.3,4,IF(Proponentes[[#This Row],[Liquidez
Oferente]]&lt;=1.4,5,6)))))</f>
        <v>6</v>
      </c>
      <c r="AE2" s="10">
        <f>IF(Proponentes[[#This Row],[Endeudamiento
Oferente]]&lt;=66%,6,IF(Proponentes[[#This Row],[Endeudamiento
Oferente]]&lt;=58,5,IF(Proponentes[[#This Row],[Endeudamiento
Oferente]]&lt;=70,4,IF(Proponentes[[#This Row],[Endeudamiento
Oferente]]&lt;=72,3,IF(Proponentes[[#This Row],[Endeudamiento
Oferente]]&lt;=74,2,1)))))</f>
        <v>6</v>
      </c>
      <c r="AF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 s="10">
        <f>IF(Proponentes[[#This Row],[Cap Op en SMMLV]]&lt;=500,1,IF(Proponentes[[#This Row],[Cap Op en SMMLV]]&lt;=1000,2,IF(Proponentes[[#This Row],[Cap Op en SMMLV]]&lt;=1500,3,IF(Proponentes[[#This Row],[Cap Op en SMMLV]]&lt;=2000,4,IF(Proponentes[[#This Row],[Cap Op en SMMLV]]&lt;=2500,5,6)))))</f>
        <v>1</v>
      </c>
      <c r="AH2" s="10">
        <f>MIN(Proponentes[[#This Row],[a]:[d]])</f>
        <v>1</v>
      </c>
      <c r="AI2" s="87">
        <f>IF(Proponentes[[#This Row],[e]]=Proponentes[[#This Row],[d]],Proponentes[[#This Row],[Cap Op en SMMLV]],VLOOKUP(Proponentes[[#This Row],[e]],Base!$D$1:$E$6,2,FALSE))</f>
        <v>288.80764513655225</v>
      </c>
      <c r="AJ2" s="101" t="str">
        <f>VLOOKUP(Proponentes[[#This Row],[Propuesta]],Hoja2!$A$2:$D$329,4,FALSE)</f>
        <v>CUMPLE</v>
      </c>
      <c r="AK2" s="101"/>
    </row>
    <row r="3" spans="1:37" ht="16" x14ac:dyDescent="0.2">
      <c r="A3" s="10">
        <v>2</v>
      </c>
      <c r="B3" s="11">
        <v>800217959</v>
      </c>
      <c r="C3" s="12" t="s">
        <v>29</v>
      </c>
      <c r="D3" s="13">
        <v>328776123</v>
      </c>
      <c r="E3" s="13">
        <v>1966529000</v>
      </c>
      <c r="F3" s="25">
        <f>Proponentes[[#This Row],[Activo Corriente]]+Proponentes[[#This Row],[Activo NO Corriente]]</f>
        <v>2295305123</v>
      </c>
      <c r="G3" s="13">
        <v>86220499</v>
      </c>
      <c r="H3" s="13">
        <v>242555624</v>
      </c>
      <c r="I3" s="25">
        <f>Proponentes[[#This Row],[Pasivo Corriente]]+Proponentes[[#This Row],[Pasivo NO Corriente]]</f>
        <v>328776123</v>
      </c>
      <c r="J3" s="14">
        <f>Proponentes[[#This Row],[Total ACTIVO]]-Proponentes[[#This Row],[Total Pasivo]]</f>
        <v>1966529000</v>
      </c>
      <c r="K3" s="48">
        <f>VLOOKUP(Proponentes[[#This Row],[Propuesta]],Hoja2!$A$2:$G$239,7,FALSE)</f>
        <v>0</v>
      </c>
      <c r="L3" s="15"/>
      <c r="M3" s="15" t="s">
        <v>28</v>
      </c>
      <c r="N3" s="55">
        <f>IFERROR(VLOOKUP(Proponentes[[#This Row],[Cap Op en SMMLV]],Base!$A$15:$F$20,3),0)</f>
        <v>0</v>
      </c>
      <c r="O3" s="16">
        <f>IFERROR(VLOOKUP(Proponentes[[#This Row],[Cap Op en SMMLV]],Base!$A$15:$F$20,4),0)</f>
        <v>0</v>
      </c>
      <c r="P3" s="17">
        <f>IFERROR(VLOOKUP(Proponentes[[#This Row],[Cap Op en SMMLV]],Tabla2[],6),0)</f>
        <v>0</v>
      </c>
      <c r="Q3" s="18">
        <f>IFERROR(VLOOKUP(Proponentes[[#This Row],[Cap Op en SMMLV]],Base!$A$15:$F$20,5),0)</f>
        <v>0</v>
      </c>
      <c r="R3" s="18">
        <f>IFERROR(VLOOKUP(Proponentes[[#This Row],[Cap Op en SMMLV]],Tabla2[[DE]:[HASTA]],2),0)</f>
        <v>0</v>
      </c>
      <c r="S3" s="19">
        <f>IFERROR(Proponentes[[#This Row],[Activo Corriente]]/Proponentes[[#This Row],[Pasivo Corriente]],"INDETERMINADO")</f>
        <v>3.8132013478604434</v>
      </c>
      <c r="T3" s="20">
        <f>IFERROR(Proponentes[[#This Row],[Total Pasivo]]/Proponentes[[#This Row],[Total ACTIVO]],0)</f>
        <v>0.14323852620094552</v>
      </c>
      <c r="U3" s="21">
        <f>(Proponentes[[#This Row],[Activo Corriente]]-Proponentes[[#This Row],[Pasivo Corriente]])/Base!$B$3</f>
        <v>292.90054050398737</v>
      </c>
      <c r="V3" s="22">
        <f>Proponentes[[#This Row],[Activo Corriente]]-Proponentes[[#This Row],[Pasivo Corriente]]</f>
        <v>242555624</v>
      </c>
      <c r="W3" s="13">
        <f>IFERROR(VLOOKUP(Proponentes[[#This Row],[Propuesta]],Hoja2!$A$2:$G$329,7,FALSE),0)</f>
        <v>0</v>
      </c>
      <c r="X3" s="83">
        <f>IF(Proponentes[[#This Row],[Cap Op en Pesos]]=0,0,IF(Proponentes[[#This Row],[Cap Op en Pesos]]=0,1,Proponentes[[#This Row],[Cap Op en Pesos]]/Base!B$3))</f>
        <v>0</v>
      </c>
      <c r="Y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 s="23" t="str">
        <f>IF(AND(Proponentes[[#This Row],[Cumple
Liquidez]]="CUMPLE",Proponentes[[#This Row],[Cumple
Endeudamiento]]="CUMPLE",Proponentes[[#This Row],[Cumple
Capital de Trabajo]]="CUMPLE"),"CUMPLE","NO CUMPLE")</f>
        <v>NO CUMPLE</v>
      </c>
      <c r="AC3" s="24"/>
      <c r="AD3" s="10">
        <f>IF(Proponentes[[#This Row],[Liquidez
Oferente]]&lt;=1,1,IF(Proponentes[[#This Row],[Liquidez
Oferente]]&lt;=1.1,2,IF(Proponentes[[#This Row],[Liquidez
Oferente]]&lt;=1.2,3,IF(Proponentes[[#This Row],[Liquidez
Oferente]]&lt;=1.3,4,IF(Proponentes[[#This Row],[Liquidez
Oferente]]&lt;=1.4,5,6)))))</f>
        <v>6</v>
      </c>
      <c r="AE3" s="10">
        <f>IF(Proponentes[[#This Row],[Endeudamiento
Oferente]]&lt;=66%,6,IF(Proponentes[[#This Row],[Endeudamiento
Oferente]]&lt;=58,5,IF(Proponentes[[#This Row],[Endeudamiento
Oferente]]&lt;=70,4,IF(Proponentes[[#This Row],[Endeudamiento
Oferente]]&lt;=72,3,IF(Proponentes[[#This Row],[Endeudamiento
Oferente]]&lt;=74,2,1)))))</f>
        <v>6</v>
      </c>
      <c r="AF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 s="10">
        <f>IF(Proponentes[[#This Row],[Cap Op en SMMLV]]&lt;=500,1,IF(Proponentes[[#This Row],[Cap Op en SMMLV]]&lt;=1000,2,IF(Proponentes[[#This Row],[Cap Op en SMMLV]]&lt;=1500,3,IF(Proponentes[[#This Row],[Cap Op en SMMLV]]&lt;=2000,4,IF(Proponentes[[#This Row],[Cap Op en SMMLV]]&lt;=2500,5,6)))))</f>
        <v>1</v>
      </c>
      <c r="AH3" s="10">
        <f>MIN(Proponentes[[#This Row],[a]:[d]])</f>
        <v>1</v>
      </c>
      <c r="AI3" s="87">
        <f>IF(Proponentes[[#This Row],[e]]=Proponentes[[#This Row],[d]],Proponentes[[#This Row],[Cap Op en SMMLV]],VLOOKUP(Proponentes[[#This Row],[e]],Base!$D$1:$E$6,2,FALSE))</f>
        <v>0</v>
      </c>
      <c r="AJ3" s="101" t="str">
        <f>VLOOKUP(Proponentes[[#This Row],[Propuesta]],Hoja2!$A$2:$D$329,4,FALSE)</f>
        <v>NO CUMPLE</v>
      </c>
      <c r="AK3" s="101"/>
    </row>
    <row r="4" spans="1:37" ht="16" x14ac:dyDescent="0.2">
      <c r="A4" s="10">
        <v>3</v>
      </c>
      <c r="B4" s="11">
        <v>900597006</v>
      </c>
      <c r="C4" s="12" t="s">
        <v>30</v>
      </c>
      <c r="D4" s="13">
        <v>427764205</v>
      </c>
      <c r="E4" s="13">
        <v>45758965</v>
      </c>
      <c r="F4" s="25">
        <f>Proponentes[[#This Row],[Activo Corriente]]+Proponentes[[#This Row],[Activo NO Corriente]]</f>
        <v>473523170</v>
      </c>
      <c r="G4" s="13">
        <v>18459687</v>
      </c>
      <c r="H4" s="13">
        <v>0</v>
      </c>
      <c r="I4" s="25">
        <f>Proponentes[[#This Row],[Pasivo Corriente]]+Proponentes[[#This Row],[Pasivo NO Corriente]]</f>
        <v>18459687</v>
      </c>
      <c r="J4" s="14">
        <f>Proponentes[[#This Row],[Total ACTIVO]]-Proponentes[[#This Row],[Total Pasivo]]</f>
        <v>455063483</v>
      </c>
      <c r="K4" s="48">
        <f>VLOOKUP(Proponentes[[#This Row],[Propuesta]],Hoja2!$A$2:$G$239,7,FALSE)</f>
        <v>0</v>
      </c>
      <c r="L4" s="15" t="s">
        <v>31</v>
      </c>
      <c r="M4" s="15" t="s">
        <v>28</v>
      </c>
      <c r="N4" s="55">
        <f>IFERROR(VLOOKUP(Proponentes[[#This Row],[Cap Op en SMMLV]],Base!$A$15:$F$20,3),0)</f>
        <v>0</v>
      </c>
      <c r="O4" s="16">
        <f>IFERROR(VLOOKUP(Proponentes[[#This Row],[Cap Op en SMMLV]],Base!$A$15:$F$20,4),0)</f>
        <v>0</v>
      </c>
      <c r="P4" s="17">
        <f>IFERROR(VLOOKUP(Proponentes[[#This Row],[Cap Op en SMMLV]],Tabla2[],6),0)</f>
        <v>0</v>
      </c>
      <c r="Q4" s="18">
        <f>IFERROR(VLOOKUP(Proponentes[[#This Row],[Cap Op en SMMLV]],Base!$A$15:$F$20,5),0)</f>
        <v>0</v>
      </c>
      <c r="R4" s="18">
        <f>IFERROR(VLOOKUP(Proponentes[[#This Row],[Cap Op en SMMLV]],Tabla2[[DE]:[HASTA]],2),0)</f>
        <v>0</v>
      </c>
      <c r="S4" s="19">
        <f>IFERROR(Proponentes[[#This Row],[Activo Corriente]]/Proponentes[[#This Row],[Pasivo Corriente]],"INDETERMINADO")</f>
        <v>23.172885054876609</v>
      </c>
      <c r="T4" s="20">
        <f>IFERROR(Proponentes[[#This Row],[Total Pasivo]]/Proponentes[[#This Row],[Total ACTIVO]],0)</f>
        <v>3.8983703796373892E-2</v>
      </c>
      <c r="U4" s="21">
        <f>(Proponentes[[#This Row],[Activo Corriente]]-Proponentes[[#This Row],[Pasivo Corriente]])/Base!$B$3</f>
        <v>494.25988388100217</v>
      </c>
      <c r="V4" s="22">
        <f>Proponentes[[#This Row],[Activo Corriente]]-Proponentes[[#This Row],[Pasivo Corriente]]</f>
        <v>409304518</v>
      </c>
      <c r="W4" s="13">
        <f>IFERROR(VLOOKUP(Proponentes[[#This Row],[Propuesta]],Hoja2!$A$2:$G$329,7,FALSE),0)</f>
        <v>0</v>
      </c>
      <c r="X4" s="83">
        <f>IF(Proponentes[[#This Row],[Cap Op en Pesos]]=0,0,IF(Proponentes[[#This Row],[Cap Op en Pesos]]=0,1,Proponentes[[#This Row],[Cap Op en Pesos]]/Base!B$3))</f>
        <v>0</v>
      </c>
      <c r="Y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4" s="23" t="str">
        <f>IF(AND(Proponentes[[#This Row],[Cumple
Liquidez]]="CUMPLE",Proponentes[[#This Row],[Cumple
Endeudamiento]]="CUMPLE",Proponentes[[#This Row],[Cumple
Capital de Trabajo]]="CUMPLE"),"CUMPLE","NO CUMPLE")</f>
        <v>NO CUMPLE</v>
      </c>
      <c r="AC4" s="24"/>
      <c r="AD4" s="10">
        <f>IF(Proponentes[[#This Row],[Liquidez
Oferente]]&lt;=1,1,IF(Proponentes[[#This Row],[Liquidez
Oferente]]&lt;=1.1,2,IF(Proponentes[[#This Row],[Liquidez
Oferente]]&lt;=1.2,3,IF(Proponentes[[#This Row],[Liquidez
Oferente]]&lt;=1.3,4,IF(Proponentes[[#This Row],[Liquidez
Oferente]]&lt;=1.4,5,6)))))</f>
        <v>6</v>
      </c>
      <c r="AE4" s="10">
        <f>IF(Proponentes[[#This Row],[Endeudamiento
Oferente]]&lt;=66%,6,IF(Proponentes[[#This Row],[Endeudamiento
Oferente]]&lt;=58,5,IF(Proponentes[[#This Row],[Endeudamiento
Oferente]]&lt;=70,4,IF(Proponentes[[#This Row],[Endeudamiento
Oferente]]&lt;=72,3,IF(Proponentes[[#This Row],[Endeudamiento
Oferente]]&lt;=74,2,1)))))</f>
        <v>6</v>
      </c>
      <c r="AF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4" s="10">
        <f>IF(Proponentes[[#This Row],[Cap Op en SMMLV]]&lt;=500,1,IF(Proponentes[[#This Row],[Cap Op en SMMLV]]&lt;=1000,2,IF(Proponentes[[#This Row],[Cap Op en SMMLV]]&lt;=1500,3,IF(Proponentes[[#This Row],[Cap Op en SMMLV]]&lt;=2000,4,IF(Proponentes[[#This Row],[Cap Op en SMMLV]]&lt;=2500,5,6)))))</f>
        <v>1</v>
      </c>
      <c r="AH4" s="10">
        <f>MIN(Proponentes[[#This Row],[a]:[d]])</f>
        <v>1</v>
      </c>
      <c r="AI4" s="87">
        <f>IF(Proponentes[[#This Row],[e]]=Proponentes[[#This Row],[d]],Proponentes[[#This Row],[Cap Op en SMMLV]],VLOOKUP(Proponentes[[#This Row],[e]],Base!$D$1:$E$6,2,FALSE))</f>
        <v>0</v>
      </c>
      <c r="AJ4" s="101" t="str">
        <f>VLOOKUP(Proponentes[[#This Row],[Propuesta]],Hoja2!$A$2:$D$329,4,FALSE)</f>
        <v>NO CUMPLE</v>
      </c>
      <c r="AK4" s="101"/>
    </row>
    <row r="5" spans="1:37" ht="32" x14ac:dyDescent="0.2">
      <c r="A5" s="10">
        <v>4</v>
      </c>
      <c r="B5" s="11">
        <v>900812373</v>
      </c>
      <c r="C5" s="12" t="s">
        <v>32</v>
      </c>
      <c r="D5" s="13">
        <v>263034402</v>
      </c>
      <c r="E5" s="13">
        <v>1015139457</v>
      </c>
      <c r="F5" s="25">
        <f>Proponentes[[#This Row],[Activo Corriente]]+Proponentes[[#This Row],[Activo NO Corriente]]</f>
        <v>1278173859</v>
      </c>
      <c r="G5" s="13">
        <v>128374984</v>
      </c>
      <c r="H5" s="13">
        <v>0</v>
      </c>
      <c r="I5" s="25">
        <f>Proponentes[[#This Row],[Pasivo Corriente]]+Proponentes[[#This Row],[Pasivo NO Corriente]]</f>
        <v>128374984</v>
      </c>
      <c r="J5" s="14">
        <f>Proponentes[[#This Row],[Total ACTIVO]]-Proponentes[[#This Row],[Total Pasivo]]</f>
        <v>1149798875</v>
      </c>
      <c r="K5" s="48">
        <f>VLOOKUP(Proponentes[[#This Row],[Propuesta]],Hoja2!$A$2:$G$239,7,FALSE)</f>
        <v>101742039.25458543</v>
      </c>
      <c r="L5" s="15"/>
      <c r="M5" s="15" t="s">
        <v>28</v>
      </c>
      <c r="N5" s="55">
        <f>IFERROR(VLOOKUP(Proponentes[[#This Row],[Cap Op en SMMLV]],Base!$A$15:$F$20,3),0)</f>
        <v>1</v>
      </c>
      <c r="O5" s="16">
        <f>IFERROR(VLOOKUP(Proponentes[[#This Row],[Cap Op en SMMLV]],Base!$A$15:$F$20,4),0)</f>
        <v>0.76</v>
      </c>
      <c r="P5" s="17">
        <f>IFERROR(VLOOKUP(Proponentes[[#This Row],[Cap Op en SMMLV]],Tabla2[],6),0)</f>
        <v>12.5</v>
      </c>
      <c r="Q5" s="18">
        <f>IFERROR(VLOOKUP(Proponentes[[#This Row],[Cap Op en SMMLV]],Base!$A$15:$F$20,5),0)</f>
        <v>10351450</v>
      </c>
      <c r="R5" s="18">
        <f>IFERROR(VLOOKUP(Proponentes[[#This Row],[Cap Op en SMMLV]],Tabla2[[DE]:[HASTA]],2),0)</f>
        <v>500</v>
      </c>
      <c r="S5" s="19">
        <f>IFERROR(Proponentes[[#This Row],[Activo Corriente]]/Proponentes[[#This Row],[Pasivo Corriente]],"INDETERMINADO")</f>
        <v>2.0489537276203285</v>
      </c>
      <c r="T5" s="20">
        <f>IFERROR(Proponentes[[#This Row],[Total Pasivo]]/Proponentes[[#This Row],[Total ACTIVO]],0)</f>
        <v>0.10043624589571581</v>
      </c>
      <c r="U5" s="21">
        <f>(Proponentes[[#This Row],[Activo Corriente]]-Proponentes[[#This Row],[Pasivo Corriente]])/Base!$B$3</f>
        <v>162.6093663206604</v>
      </c>
      <c r="V5" s="22">
        <f>Proponentes[[#This Row],[Activo Corriente]]-Proponentes[[#This Row],[Pasivo Corriente]]</f>
        <v>134659418</v>
      </c>
      <c r="W5" s="13">
        <f>IFERROR(VLOOKUP(Proponentes[[#This Row],[Propuesta]],Hoja2!$A$2:$G$329,7,FALSE),0)</f>
        <v>101742039.25458543</v>
      </c>
      <c r="X5" s="83">
        <f>IF(Proponentes[[#This Row],[Cap Op en Pesos]]=0,0,IF(Proponentes[[#This Row],[Cap Op en Pesos]]=0,1,Proponentes[[#This Row],[Cap Op en Pesos]]/Base!B$3))</f>
        <v>122.85964678207574</v>
      </c>
      <c r="Y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5" s="23" t="str">
        <f>IF(AND(Proponentes[[#This Row],[Cumple
Liquidez]]="CUMPLE",Proponentes[[#This Row],[Cumple
Endeudamiento]]="CUMPLE",Proponentes[[#This Row],[Cumple
Capital de Trabajo]]="CUMPLE"),"CUMPLE","NO CUMPLE")</f>
        <v>CUMPLE</v>
      </c>
      <c r="AC5" s="24"/>
      <c r="AD5" s="10">
        <f>IF(Proponentes[[#This Row],[Liquidez
Oferente]]&lt;=1,1,IF(Proponentes[[#This Row],[Liquidez
Oferente]]&lt;=1.1,2,IF(Proponentes[[#This Row],[Liquidez
Oferente]]&lt;=1.2,3,IF(Proponentes[[#This Row],[Liquidez
Oferente]]&lt;=1.3,4,IF(Proponentes[[#This Row],[Liquidez
Oferente]]&lt;=1.4,5,6)))))</f>
        <v>6</v>
      </c>
      <c r="AE5" s="10">
        <f>IF(Proponentes[[#This Row],[Endeudamiento
Oferente]]&lt;=66%,6,IF(Proponentes[[#This Row],[Endeudamiento
Oferente]]&lt;=58,5,IF(Proponentes[[#This Row],[Endeudamiento
Oferente]]&lt;=70,4,IF(Proponentes[[#This Row],[Endeudamiento
Oferente]]&lt;=72,3,IF(Proponentes[[#This Row],[Endeudamiento
Oferente]]&lt;=74,2,1)))))</f>
        <v>6</v>
      </c>
      <c r="AF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5" s="10">
        <f>IF(Proponentes[[#This Row],[Cap Op en SMMLV]]&lt;=500,1,IF(Proponentes[[#This Row],[Cap Op en SMMLV]]&lt;=1000,2,IF(Proponentes[[#This Row],[Cap Op en SMMLV]]&lt;=1500,3,IF(Proponentes[[#This Row],[Cap Op en SMMLV]]&lt;=2000,4,IF(Proponentes[[#This Row],[Cap Op en SMMLV]]&lt;=2500,5,6)))))</f>
        <v>1</v>
      </c>
      <c r="AH5" s="10">
        <f>MIN(Proponentes[[#This Row],[a]:[d]])</f>
        <v>1</v>
      </c>
      <c r="AI5" s="87">
        <f>IF(Proponentes[[#This Row],[e]]=Proponentes[[#This Row],[d]],Proponentes[[#This Row],[Cap Op en SMMLV]],VLOOKUP(Proponentes[[#This Row],[e]],Base!$D$1:$E$6,2,FALSE))</f>
        <v>122.85964678207574</v>
      </c>
      <c r="AJ5" s="101" t="str">
        <f>VLOOKUP(Proponentes[[#This Row],[Propuesta]],Hoja2!$A$2:$D$329,4,FALSE)</f>
        <v>CUMPLE</v>
      </c>
      <c r="AK5" s="101"/>
    </row>
    <row r="6" spans="1:37" ht="16" x14ac:dyDescent="0.2">
      <c r="A6" s="10">
        <v>5</v>
      </c>
      <c r="B6" s="11">
        <v>900896160</v>
      </c>
      <c r="C6" s="12" t="s">
        <v>33</v>
      </c>
      <c r="D6" s="13">
        <v>292870000</v>
      </c>
      <c r="E6" s="13">
        <v>52000000</v>
      </c>
      <c r="F6" s="25">
        <f>Proponentes[[#This Row],[Activo Corriente]]+Proponentes[[#This Row],[Activo NO Corriente]]</f>
        <v>344870000</v>
      </c>
      <c r="G6" s="13">
        <v>35800000</v>
      </c>
      <c r="H6" s="13">
        <v>0</v>
      </c>
      <c r="I6" s="25">
        <f>Proponentes[[#This Row],[Pasivo Corriente]]+Proponentes[[#This Row],[Pasivo NO Corriente]]</f>
        <v>35800000</v>
      </c>
      <c r="J6" s="14">
        <f>Proponentes[[#This Row],[Total ACTIVO]]-Proponentes[[#This Row],[Total Pasivo]]</f>
        <v>309070000</v>
      </c>
      <c r="K6" s="48">
        <f>VLOOKUP(Proponentes[[#This Row],[Propuesta]],Hoja2!$A$2:$G$239,7,FALSE)</f>
        <v>0</v>
      </c>
      <c r="L6" s="15" t="s">
        <v>27</v>
      </c>
      <c r="M6" s="15" t="s">
        <v>28</v>
      </c>
      <c r="N6" s="55">
        <f>IFERROR(VLOOKUP(Proponentes[[#This Row],[Cap Op en SMMLV]],Base!$A$15:$F$20,3),0)</f>
        <v>0</v>
      </c>
      <c r="O6" s="16">
        <f>IFERROR(VLOOKUP(Proponentes[[#This Row],[Cap Op en SMMLV]],Base!$A$15:$F$20,4),0)</f>
        <v>0</v>
      </c>
      <c r="P6" s="17">
        <f>IFERROR(VLOOKUP(Proponentes[[#This Row],[Cap Op en SMMLV]],Tabla2[],6),0)</f>
        <v>0</v>
      </c>
      <c r="Q6" s="18">
        <f>IFERROR(VLOOKUP(Proponentes[[#This Row],[Cap Op en SMMLV]],Base!$A$15:$F$20,5),0)</f>
        <v>0</v>
      </c>
      <c r="R6" s="18">
        <f>IFERROR(VLOOKUP(Proponentes[[#This Row],[Cap Op en SMMLV]],Tabla2[[DE]:[HASTA]],2),0)</f>
        <v>0</v>
      </c>
      <c r="S6" s="19">
        <f>IFERROR(Proponentes[[#This Row],[Activo Corriente]]/Proponentes[[#This Row],[Pasivo Corriente]],"INDETERMINADO")</f>
        <v>8.18072625698324</v>
      </c>
      <c r="T6" s="20">
        <f>IFERROR(Proponentes[[#This Row],[Total Pasivo]]/Proponentes[[#This Row],[Total ACTIVO]],0)</f>
        <v>0.1038072317104996</v>
      </c>
      <c r="U6" s="21">
        <f>(Proponentes[[#This Row],[Activo Corriente]]-Proponentes[[#This Row],[Pasivo Corriente]])/Base!$B$3</f>
        <v>310.42752464630559</v>
      </c>
      <c r="V6" s="22">
        <f>Proponentes[[#This Row],[Activo Corriente]]-Proponentes[[#This Row],[Pasivo Corriente]]</f>
        <v>257070000</v>
      </c>
      <c r="W6" s="13">
        <f>IFERROR(VLOOKUP(Proponentes[[#This Row],[Propuesta]],Hoja2!$A$2:$G$329,7,FALSE),0)</f>
        <v>0</v>
      </c>
      <c r="X6" s="83">
        <f>IF(Proponentes[[#This Row],[Cap Op en Pesos]]=0,0,IF(Proponentes[[#This Row],[Cap Op en Pesos]]=0,1,Proponentes[[#This Row],[Cap Op en Pesos]]/Base!B$3))</f>
        <v>0</v>
      </c>
      <c r="Y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6" s="23" t="str">
        <f>IF(AND(Proponentes[[#This Row],[Cumple
Liquidez]]="CUMPLE",Proponentes[[#This Row],[Cumple
Endeudamiento]]="CUMPLE",Proponentes[[#This Row],[Cumple
Capital de Trabajo]]="CUMPLE"),"CUMPLE","NO CUMPLE")</f>
        <v>NO CUMPLE</v>
      </c>
      <c r="AC6" s="24"/>
      <c r="AD6" s="10">
        <f>IF(Proponentes[[#This Row],[Liquidez
Oferente]]&lt;=1,1,IF(Proponentes[[#This Row],[Liquidez
Oferente]]&lt;=1.1,2,IF(Proponentes[[#This Row],[Liquidez
Oferente]]&lt;=1.2,3,IF(Proponentes[[#This Row],[Liquidez
Oferente]]&lt;=1.3,4,IF(Proponentes[[#This Row],[Liquidez
Oferente]]&lt;=1.4,5,6)))))</f>
        <v>6</v>
      </c>
      <c r="AE6" s="10">
        <f>IF(Proponentes[[#This Row],[Endeudamiento
Oferente]]&lt;=66%,6,IF(Proponentes[[#This Row],[Endeudamiento
Oferente]]&lt;=58,5,IF(Proponentes[[#This Row],[Endeudamiento
Oferente]]&lt;=70,4,IF(Proponentes[[#This Row],[Endeudamiento
Oferente]]&lt;=72,3,IF(Proponentes[[#This Row],[Endeudamiento
Oferente]]&lt;=74,2,1)))))</f>
        <v>6</v>
      </c>
      <c r="AF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6" s="10">
        <f>IF(Proponentes[[#This Row],[Cap Op en SMMLV]]&lt;=500,1,IF(Proponentes[[#This Row],[Cap Op en SMMLV]]&lt;=1000,2,IF(Proponentes[[#This Row],[Cap Op en SMMLV]]&lt;=1500,3,IF(Proponentes[[#This Row],[Cap Op en SMMLV]]&lt;=2000,4,IF(Proponentes[[#This Row],[Cap Op en SMMLV]]&lt;=2500,5,6)))))</f>
        <v>1</v>
      </c>
      <c r="AH6" s="10">
        <f>MIN(Proponentes[[#This Row],[a]:[d]])</f>
        <v>1</v>
      </c>
      <c r="AI6" s="87">
        <f>IF(Proponentes[[#This Row],[e]]=Proponentes[[#This Row],[d]],Proponentes[[#This Row],[Cap Op en SMMLV]],VLOOKUP(Proponentes[[#This Row],[e]],Base!$D$1:$E$6,2,FALSE))</f>
        <v>0</v>
      </c>
      <c r="AJ6" s="101" t="str">
        <f>VLOOKUP(Proponentes[[#This Row],[Propuesta]],Hoja2!$A$2:$D$329,4,FALSE)</f>
        <v>NO CUMPLE</v>
      </c>
      <c r="AK6" s="101"/>
    </row>
    <row r="7" spans="1:37" ht="16" x14ac:dyDescent="0.2">
      <c r="A7" s="10">
        <v>6</v>
      </c>
      <c r="B7" s="11">
        <v>900921635</v>
      </c>
      <c r="C7" s="12" t="s">
        <v>34</v>
      </c>
      <c r="D7" s="13">
        <v>50403277</v>
      </c>
      <c r="E7" s="13">
        <v>573533333</v>
      </c>
      <c r="F7" s="25">
        <f>Proponentes[[#This Row],[Activo Corriente]]+Proponentes[[#This Row],[Activo NO Corriente]]</f>
        <v>623936610</v>
      </c>
      <c r="G7" s="13">
        <v>48557587</v>
      </c>
      <c r="H7" s="13">
        <v>0</v>
      </c>
      <c r="I7" s="25">
        <f>Proponentes[[#This Row],[Pasivo Corriente]]+Proponentes[[#This Row],[Pasivo NO Corriente]]</f>
        <v>48557587</v>
      </c>
      <c r="J7" s="14">
        <f>Proponentes[[#This Row],[Total ACTIVO]]-Proponentes[[#This Row],[Total Pasivo]]</f>
        <v>575379023</v>
      </c>
      <c r="K7" s="48">
        <f>VLOOKUP(Proponentes[[#This Row],[Propuesta]],Hoja2!$A$2:$G$239,7,FALSE)</f>
        <v>0</v>
      </c>
      <c r="L7" s="15" t="s">
        <v>31</v>
      </c>
      <c r="M7" s="15" t="s">
        <v>28</v>
      </c>
      <c r="N7" s="55">
        <f>IFERROR(VLOOKUP(Proponentes[[#This Row],[Cap Op en SMMLV]],Base!$A$15:$F$20,3),0)</f>
        <v>0</v>
      </c>
      <c r="O7" s="16">
        <f>IFERROR(VLOOKUP(Proponentes[[#This Row],[Cap Op en SMMLV]],Base!$A$15:$F$20,4),0)</f>
        <v>0</v>
      </c>
      <c r="P7" s="17">
        <f>IFERROR(VLOOKUP(Proponentes[[#This Row],[Cap Op en SMMLV]],Tabla2[],6),0)</f>
        <v>0</v>
      </c>
      <c r="Q7" s="18">
        <f>IFERROR(VLOOKUP(Proponentes[[#This Row],[Cap Op en SMMLV]],Base!$A$15:$F$20,5),0)</f>
        <v>0</v>
      </c>
      <c r="R7" s="18">
        <f>IFERROR(VLOOKUP(Proponentes[[#This Row],[Cap Op en SMMLV]],Tabla2[[DE]:[HASTA]],2),0)</f>
        <v>0</v>
      </c>
      <c r="S7" s="19">
        <f>IFERROR(Proponentes[[#This Row],[Activo Corriente]]/Proponentes[[#This Row],[Pasivo Corriente]],"INDETERMINADO")</f>
        <v>1.0380103319384466</v>
      </c>
      <c r="T7" s="20">
        <f>IFERROR(Proponentes[[#This Row],[Total Pasivo]]/Proponentes[[#This Row],[Total ACTIVO]],0)</f>
        <v>7.7824551760153973E-2</v>
      </c>
      <c r="U7" s="21">
        <f>(Proponentes[[#This Row],[Activo Corriente]]-Proponentes[[#This Row],[Pasivo Corriente]])/Base!$B$3</f>
        <v>2.2287819580831671</v>
      </c>
      <c r="V7" s="22">
        <f>Proponentes[[#This Row],[Activo Corriente]]-Proponentes[[#This Row],[Pasivo Corriente]]</f>
        <v>1845690</v>
      </c>
      <c r="W7" s="13">
        <f>IFERROR(VLOOKUP(Proponentes[[#This Row],[Propuesta]],Hoja2!$A$2:$G$329,7,FALSE),0)</f>
        <v>0</v>
      </c>
      <c r="X7" s="83">
        <f>IF(Proponentes[[#This Row],[Cap Op en Pesos]]=0,0,IF(Proponentes[[#This Row],[Cap Op en Pesos]]=0,1,Proponentes[[#This Row],[Cap Op en Pesos]]/Base!B$3))</f>
        <v>0</v>
      </c>
      <c r="Y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7" s="23" t="str">
        <f>IF(AND(Proponentes[[#This Row],[Cumple
Liquidez]]="CUMPLE",Proponentes[[#This Row],[Cumple
Endeudamiento]]="CUMPLE",Proponentes[[#This Row],[Cumple
Capital de Trabajo]]="CUMPLE"),"CUMPLE","NO CUMPLE")</f>
        <v>NO CUMPLE</v>
      </c>
      <c r="AC7" s="24"/>
      <c r="AD7" s="10">
        <f>IF(Proponentes[[#This Row],[Liquidez
Oferente]]&lt;=1,1,IF(Proponentes[[#This Row],[Liquidez
Oferente]]&lt;=1.1,2,IF(Proponentes[[#This Row],[Liquidez
Oferente]]&lt;=1.2,3,IF(Proponentes[[#This Row],[Liquidez
Oferente]]&lt;=1.3,4,IF(Proponentes[[#This Row],[Liquidez
Oferente]]&lt;=1.4,5,6)))))</f>
        <v>2</v>
      </c>
      <c r="AE7" s="10">
        <f>IF(Proponentes[[#This Row],[Endeudamiento
Oferente]]&lt;=66%,6,IF(Proponentes[[#This Row],[Endeudamiento
Oferente]]&lt;=58,5,IF(Proponentes[[#This Row],[Endeudamiento
Oferente]]&lt;=70,4,IF(Proponentes[[#This Row],[Endeudamiento
Oferente]]&lt;=72,3,IF(Proponentes[[#This Row],[Endeudamiento
Oferente]]&lt;=74,2,1)))))</f>
        <v>6</v>
      </c>
      <c r="AF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7" s="10">
        <f>IF(Proponentes[[#This Row],[Cap Op en SMMLV]]&lt;=500,1,IF(Proponentes[[#This Row],[Cap Op en SMMLV]]&lt;=1000,2,IF(Proponentes[[#This Row],[Cap Op en SMMLV]]&lt;=1500,3,IF(Proponentes[[#This Row],[Cap Op en SMMLV]]&lt;=2000,4,IF(Proponentes[[#This Row],[Cap Op en SMMLV]]&lt;=2500,5,6)))))</f>
        <v>1</v>
      </c>
      <c r="AH7" s="10">
        <f>MIN(Proponentes[[#This Row],[a]:[d]])</f>
        <v>1</v>
      </c>
      <c r="AI7" s="87">
        <f>IF(Proponentes[[#This Row],[e]]=Proponentes[[#This Row],[d]],Proponentes[[#This Row],[Cap Op en SMMLV]],VLOOKUP(Proponentes[[#This Row],[e]],Base!$D$1:$E$6,2,FALSE))</f>
        <v>0</v>
      </c>
      <c r="AJ7" s="101" t="str">
        <f>VLOOKUP(Proponentes[[#This Row],[Propuesta]],Hoja2!$A$2:$D$329,4,FALSE)</f>
        <v>NO CUMPLE</v>
      </c>
      <c r="AK7" s="101"/>
    </row>
    <row r="8" spans="1:37" ht="16" x14ac:dyDescent="0.2">
      <c r="A8" s="10">
        <v>7</v>
      </c>
      <c r="B8" s="11">
        <v>822007470</v>
      </c>
      <c r="C8" s="12" t="s">
        <v>35</v>
      </c>
      <c r="D8" s="13">
        <v>252745187</v>
      </c>
      <c r="E8" s="13">
        <v>334020600</v>
      </c>
      <c r="F8" s="25">
        <f>Proponentes[[#This Row],[Activo Corriente]]+Proponentes[[#This Row],[Activo NO Corriente]]</f>
        <v>586765787</v>
      </c>
      <c r="G8" s="13">
        <v>4500000</v>
      </c>
      <c r="H8" s="13">
        <v>0</v>
      </c>
      <c r="I8" s="25">
        <f>Proponentes[[#This Row],[Pasivo Corriente]]+Proponentes[[#This Row],[Pasivo NO Corriente]]</f>
        <v>4500000</v>
      </c>
      <c r="J8" s="14">
        <f>Proponentes[[#This Row],[Total ACTIVO]]-Proponentes[[#This Row],[Total Pasivo]]</f>
        <v>582265787</v>
      </c>
      <c r="K8" s="48">
        <f>VLOOKUP(Proponentes[[#This Row],[Propuesta]],Hoja2!$A$2:$G$239,7,FALSE)</f>
        <v>465063127.26733774</v>
      </c>
      <c r="L8" s="15" t="s">
        <v>36</v>
      </c>
      <c r="M8" s="15" t="s">
        <v>28</v>
      </c>
      <c r="N8" s="55">
        <f>IFERROR(VLOOKUP(Proponentes[[#This Row],[Cap Op en SMMLV]],Base!$A$15:$F$20,3),0)</f>
        <v>1.1000000000000001</v>
      </c>
      <c r="O8" s="16">
        <f>IFERROR(VLOOKUP(Proponentes[[#This Row],[Cap Op en SMMLV]],Base!$A$15:$F$20,4),0)</f>
        <v>0.74</v>
      </c>
      <c r="P8" s="17">
        <f>IFERROR(VLOOKUP(Proponentes[[#This Row],[Cap Op en SMMLV]],Tabla2[],6),0)</f>
        <v>25</v>
      </c>
      <c r="Q8" s="18">
        <f>IFERROR(VLOOKUP(Proponentes[[#This Row],[Cap Op en SMMLV]],Base!$A$15:$F$20,5),0)</f>
        <v>20702900</v>
      </c>
      <c r="R8" s="18">
        <f>IFERROR(VLOOKUP(Proponentes[[#This Row],[Cap Op en SMMLV]],Tabla2[[DE]:[HASTA]],2),0)</f>
        <v>1000</v>
      </c>
      <c r="S8" s="19">
        <f>IFERROR(Proponentes[[#This Row],[Activo Corriente]]/Proponentes[[#This Row],[Pasivo Corriente]],"INDETERMINADO")</f>
        <v>56.165597111111111</v>
      </c>
      <c r="T8" s="20">
        <f>IFERROR(Proponentes[[#This Row],[Total Pasivo]]/Proponentes[[#This Row],[Total ACTIVO]],0)</f>
        <v>7.6691588018576824E-3</v>
      </c>
      <c r="U8" s="21">
        <f>(Proponentes[[#This Row],[Activo Corriente]]-Proponentes[[#This Row],[Pasivo Corriente]])/Base!$B$3</f>
        <v>299.77103087007134</v>
      </c>
      <c r="V8" s="22">
        <f>Proponentes[[#This Row],[Activo Corriente]]-Proponentes[[#This Row],[Pasivo Corriente]]</f>
        <v>248245187</v>
      </c>
      <c r="W8" s="13">
        <f>IFERROR(VLOOKUP(Proponentes[[#This Row],[Propuesta]],Hoja2!$A$2:$G$329,7,FALSE),0)</f>
        <v>465063127.26733774</v>
      </c>
      <c r="X8" s="83">
        <f>IF(Proponentes[[#This Row],[Cap Op en Pesos]]=0,0,IF(Proponentes[[#This Row],[Cap Op en Pesos]]=0,1,Proponentes[[#This Row],[Cap Op en Pesos]]/Base!B$3))</f>
        <v>561.5917664522093</v>
      </c>
      <c r="Y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8" s="23" t="str">
        <f>IF(AND(Proponentes[[#This Row],[Cumple
Liquidez]]="CUMPLE",Proponentes[[#This Row],[Cumple
Endeudamiento]]="CUMPLE",Proponentes[[#This Row],[Cumple
Capital de Trabajo]]="CUMPLE"),"CUMPLE","NO CUMPLE")</f>
        <v>CUMPLE</v>
      </c>
      <c r="AC8" s="24"/>
      <c r="AD8" s="10">
        <f>IF(Proponentes[[#This Row],[Liquidez
Oferente]]&lt;=1,1,IF(Proponentes[[#This Row],[Liquidez
Oferente]]&lt;=1.1,2,IF(Proponentes[[#This Row],[Liquidez
Oferente]]&lt;=1.2,3,IF(Proponentes[[#This Row],[Liquidez
Oferente]]&lt;=1.3,4,IF(Proponentes[[#This Row],[Liquidez
Oferente]]&lt;=1.4,5,6)))))</f>
        <v>6</v>
      </c>
      <c r="AE8" s="10">
        <f>IF(Proponentes[[#This Row],[Endeudamiento
Oferente]]&lt;=66%,6,IF(Proponentes[[#This Row],[Endeudamiento
Oferente]]&lt;=58,5,IF(Proponentes[[#This Row],[Endeudamiento
Oferente]]&lt;=70,4,IF(Proponentes[[#This Row],[Endeudamiento
Oferente]]&lt;=72,3,IF(Proponentes[[#This Row],[Endeudamiento
Oferente]]&lt;=74,2,1)))))</f>
        <v>6</v>
      </c>
      <c r="AF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8" s="10">
        <f>IF(Proponentes[[#This Row],[Cap Op en SMMLV]]&lt;=500,1,IF(Proponentes[[#This Row],[Cap Op en SMMLV]]&lt;=1000,2,IF(Proponentes[[#This Row],[Cap Op en SMMLV]]&lt;=1500,3,IF(Proponentes[[#This Row],[Cap Op en SMMLV]]&lt;=2000,4,IF(Proponentes[[#This Row],[Cap Op en SMMLV]]&lt;=2500,5,6)))))</f>
        <v>2</v>
      </c>
      <c r="AH8" s="10">
        <f>MIN(Proponentes[[#This Row],[a]:[d]])</f>
        <v>2</v>
      </c>
      <c r="AI8" s="87">
        <f>IF(Proponentes[[#This Row],[e]]=Proponentes[[#This Row],[d]],Proponentes[[#This Row],[Cap Op en SMMLV]],VLOOKUP(Proponentes[[#This Row],[e]],Base!$D$1:$E$6,2,FALSE))</f>
        <v>561.5917664522093</v>
      </c>
      <c r="AJ8" s="101" t="str">
        <f>VLOOKUP(Proponentes[[#This Row],[Propuesta]],Hoja2!$A$2:$D$329,4,FALSE)</f>
        <v>NO CUMPLE</v>
      </c>
      <c r="AK8" s="101"/>
    </row>
    <row r="9" spans="1:37" ht="16" x14ac:dyDescent="0.2">
      <c r="A9" s="10">
        <v>8</v>
      </c>
      <c r="B9" s="11">
        <v>900479920</v>
      </c>
      <c r="C9" s="12" t="s">
        <v>37</v>
      </c>
      <c r="D9" s="13">
        <v>99106770</v>
      </c>
      <c r="E9" s="13">
        <v>10526750</v>
      </c>
      <c r="F9" s="25">
        <f>Proponentes[[#This Row],[Activo Corriente]]+Proponentes[[#This Row],[Activo NO Corriente]]</f>
        <v>109633520</v>
      </c>
      <c r="G9" s="13">
        <v>7692957</v>
      </c>
      <c r="H9" s="13">
        <v>0</v>
      </c>
      <c r="I9" s="25">
        <f>Proponentes[[#This Row],[Pasivo Corriente]]+Proponentes[[#This Row],[Pasivo NO Corriente]]</f>
        <v>7692957</v>
      </c>
      <c r="J9" s="14">
        <f>Proponentes[[#This Row],[Total ACTIVO]]-Proponentes[[#This Row],[Total Pasivo]]</f>
        <v>101940563</v>
      </c>
      <c r="K9" s="48">
        <f>VLOOKUP(Proponentes[[#This Row],[Propuesta]],Hoja2!$A$2:$G$239,7,FALSE)</f>
        <v>145018074.78771546</v>
      </c>
      <c r="L9" s="15" t="s">
        <v>31</v>
      </c>
      <c r="M9" s="15" t="s">
        <v>28</v>
      </c>
      <c r="N9" s="55">
        <f>IFERROR(VLOOKUP(Proponentes[[#This Row],[Cap Op en SMMLV]],Base!$A$15:$F$20,3),0)</f>
        <v>1</v>
      </c>
      <c r="O9" s="16">
        <f>IFERROR(VLOOKUP(Proponentes[[#This Row],[Cap Op en SMMLV]],Base!$A$15:$F$20,4),0)</f>
        <v>0.76</v>
      </c>
      <c r="P9" s="17">
        <f>IFERROR(VLOOKUP(Proponentes[[#This Row],[Cap Op en SMMLV]],Tabla2[],6),0)</f>
        <v>12.5</v>
      </c>
      <c r="Q9" s="18">
        <f>IFERROR(VLOOKUP(Proponentes[[#This Row],[Cap Op en SMMLV]],Base!$A$15:$F$20,5),0)</f>
        <v>10351450</v>
      </c>
      <c r="R9" s="18">
        <f>IFERROR(VLOOKUP(Proponentes[[#This Row],[Cap Op en SMMLV]],Tabla2[[DE]:[HASTA]],2),0)</f>
        <v>500</v>
      </c>
      <c r="S9" s="19">
        <f>IFERROR(Proponentes[[#This Row],[Activo Corriente]]/Proponentes[[#This Row],[Pasivo Corriente]],"INDETERMINADO")</f>
        <v>12.882792663471276</v>
      </c>
      <c r="T9" s="20">
        <f>IFERROR(Proponentes[[#This Row],[Total Pasivo]]/Proponentes[[#This Row],[Total ACTIVO]],0)</f>
        <v>7.016975282741994E-2</v>
      </c>
      <c r="U9" s="21">
        <f>(Proponentes[[#This Row],[Activo Corriente]]-Proponentes[[#This Row],[Pasivo Corriente]])/Base!$B$3</f>
        <v>110.38769085490439</v>
      </c>
      <c r="V9" s="22">
        <f>Proponentes[[#This Row],[Activo Corriente]]-Proponentes[[#This Row],[Pasivo Corriente]]</f>
        <v>91413813</v>
      </c>
      <c r="W9" s="13">
        <f>IFERROR(VLOOKUP(Proponentes[[#This Row],[Propuesta]],Hoja2!$A$2:$G$329,7,FALSE),0)</f>
        <v>145018074.78771546</v>
      </c>
      <c r="X9" s="83">
        <f>IF(Proponentes[[#This Row],[Cap Op en Pesos]]=0,0,IF(Proponentes[[#This Row],[Cap Op en Pesos]]=0,1,Proponentes[[#This Row],[Cap Op en Pesos]]/Base!B$3))</f>
        <v>175.11806895134916</v>
      </c>
      <c r="Y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9" s="23" t="str">
        <f>IF(AND(Proponentes[[#This Row],[Cumple
Liquidez]]="CUMPLE",Proponentes[[#This Row],[Cumple
Endeudamiento]]="CUMPLE",Proponentes[[#This Row],[Cumple
Capital de Trabajo]]="CUMPLE"),"CUMPLE","NO CUMPLE")</f>
        <v>CUMPLE</v>
      </c>
      <c r="AC9" s="24"/>
      <c r="AD9" s="10">
        <f>IF(Proponentes[[#This Row],[Liquidez
Oferente]]&lt;=1,1,IF(Proponentes[[#This Row],[Liquidez
Oferente]]&lt;=1.1,2,IF(Proponentes[[#This Row],[Liquidez
Oferente]]&lt;=1.2,3,IF(Proponentes[[#This Row],[Liquidez
Oferente]]&lt;=1.3,4,IF(Proponentes[[#This Row],[Liquidez
Oferente]]&lt;=1.4,5,6)))))</f>
        <v>6</v>
      </c>
      <c r="AE9" s="10">
        <f>IF(Proponentes[[#This Row],[Endeudamiento
Oferente]]&lt;=66%,6,IF(Proponentes[[#This Row],[Endeudamiento
Oferente]]&lt;=58,5,IF(Proponentes[[#This Row],[Endeudamiento
Oferente]]&lt;=70,4,IF(Proponentes[[#This Row],[Endeudamiento
Oferente]]&lt;=72,3,IF(Proponentes[[#This Row],[Endeudamiento
Oferente]]&lt;=74,2,1)))))</f>
        <v>6</v>
      </c>
      <c r="AF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9" s="10">
        <f>IF(Proponentes[[#This Row],[Cap Op en SMMLV]]&lt;=500,1,IF(Proponentes[[#This Row],[Cap Op en SMMLV]]&lt;=1000,2,IF(Proponentes[[#This Row],[Cap Op en SMMLV]]&lt;=1500,3,IF(Proponentes[[#This Row],[Cap Op en SMMLV]]&lt;=2000,4,IF(Proponentes[[#This Row],[Cap Op en SMMLV]]&lt;=2500,5,6)))))</f>
        <v>1</v>
      </c>
      <c r="AH9" s="10">
        <f>MIN(Proponentes[[#This Row],[a]:[d]])</f>
        <v>1</v>
      </c>
      <c r="AI9" s="87">
        <f>IF(Proponentes[[#This Row],[e]]=Proponentes[[#This Row],[d]],Proponentes[[#This Row],[Cap Op en SMMLV]],VLOOKUP(Proponentes[[#This Row],[e]],Base!$D$1:$E$6,2,FALSE))</f>
        <v>175.11806895134916</v>
      </c>
      <c r="AJ9" s="101" t="str">
        <f>VLOOKUP(Proponentes[[#This Row],[Propuesta]],Hoja2!$A$2:$D$329,4,FALSE)</f>
        <v>NO CUMPLE</v>
      </c>
      <c r="AK9" s="101"/>
    </row>
    <row r="10" spans="1:37" ht="16" x14ac:dyDescent="0.2">
      <c r="A10" s="10">
        <v>9</v>
      </c>
      <c r="B10" s="11">
        <v>812005406</v>
      </c>
      <c r="C10" s="12" t="s">
        <v>38</v>
      </c>
      <c r="D10" s="13">
        <v>1629866285</v>
      </c>
      <c r="E10" s="13">
        <v>87664630</v>
      </c>
      <c r="F10" s="25">
        <f>Proponentes[[#This Row],[Activo Corriente]]+Proponentes[[#This Row],[Activo NO Corriente]]</f>
        <v>1717530915</v>
      </c>
      <c r="G10" s="13">
        <v>103869235</v>
      </c>
      <c r="H10" s="13">
        <v>0</v>
      </c>
      <c r="I10" s="25">
        <f>Proponentes[[#This Row],[Pasivo Corriente]]+Proponentes[[#This Row],[Pasivo NO Corriente]]</f>
        <v>103869235</v>
      </c>
      <c r="J10" s="14">
        <f>Proponentes[[#This Row],[Total ACTIVO]]-Proponentes[[#This Row],[Total Pasivo]]</f>
        <v>1613661680</v>
      </c>
      <c r="K10" s="48">
        <f>VLOOKUP(Proponentes[[#This Row],[Propuesta]],Hoja2!$A$2:$G$239,7,FALSE)</f>
        <v>0</v>
      </c>
      <c r="L10" s="15"/>
      <c r="M10" s="15" t="s">
        <v>28</v>
      </c>
      <c r="N10" s="55">
        <f>IFERROR(VLOOKUP(Proponentes[[#This Row],[Cap Op en SMMLV]],Base!$A$15:$F$20,3),0)</f>
        <v>0</v>
      </c>
      <c r="O10" s="16">
        <f>IFERROR(VLOOKUP(Proponentes[[#This Row],[Cap Op en SMMLV]],Base!$A$15:$F$20,4),0)</f>
        <v>0</v>
      </c>
      <c r="P10" s="17">
        <f>IFERROR(VLOOKUP(Proponentes[[#This Row],[Cap Op en SMMLV]],Tabla2[],6),0)</f>
        <v>0</v>
      </c>
      <c r="Q10" s="18">
        <f>IFERROR(VLOOKUP(Proponentes[[#This Row],[Cap Op en SMMLV]],Base!$A$15:$F$20,5),0)</f>
        <v>0</v>
      </c>
      <c r="R10" s="18">
        <f>IFERROR(VLOOKUP(Proponentes[[#This Row],[Cap Op en SMMLV]],Tabla2[[DE]:[HASTA]],2),0)</f>
        <v>0</v>
      </c>
      <c r="S10" s="19">
        <f>IFERROR(Proponentes[[#This Row],[Activo Corriente]]/Proponentes[[#This Row],[Pasivo Corriente]],"INDETERMINADO")</f>
        <v>15.691521026413644</v>
      </c>
      <c r="T10" s="20">
        <f>IFERROR(Proponentes[[#This Row],[Total Pasivo]]/Proponentes[[#This Row],[Total ACTIVO]],0)</f>
        <v>6.0475904155704821E-2</v>
      </c>
      <c r="U10" s="21">
        <f>(Proponentes[[#This Row],[Activo Corriente]]-Proponentes[[#This Row],[Pasivo Corriente]])/Base!$B$3</f>
        <v>1842.7334455559367</v>
      </c>
      <c r="V10" s="22">
        <f>Proponentes[[#This Row],[Activo Corriente]]-Proponentes[[#This Row],[Pasivo Corriente]]</f>
        <v>1525997050</v>
      </c>
      <c r="W10" s="13">
        <f>IFERROR(VLOOKUP(Proponentes[[#This Row],[Propuesta]],Hoja2!$A$2:$G$329,7,FALSE),0)</f>
        <v>0</v>
      </c>
      <c r="X10" s="83">
        <f>IF(Proponentes[[#This Row],[Cap Op en Pesos]]=0,0,IF(Proponentes[[#This Row],[Cap Op en Pesos]]=0,1,Proponentes[[#This Row],[Cap Op en Pesos]]/Base!B$3))</f>
        <v>0</v>
      </c>
      <c r="Y1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0" s="23" t="str">
        <f>IF(AND(Proponentes[[#This Row],[Cumple
Liquidez]]="CUMPLE",Proponentes[[#This Row],[Cumple
Endeudamiento]]="CUMPLE",Proponentes[[#This Row],[Cumple
Capital de Trabajo]]="CUMPLE"),"CUMPLE","NO CUMPLE")</f>
        <v>NO CUMPLE</v>
      </c>
      <c r="AC10" s="24"/>
      <c r="AD10" s="10">
        <f>IF(Proponentes[[#This Row],[Liquidez
Oferente]]&lt;=1,1,IF(Proponentes[[#This Row],[Liquidez
Oferente]]&lt;=1.1,2,IF(Proponentes[[#This Row],[Liquidez
Oferente]]&lt;=1.2,3,IF(Proponentes[[#This Row],[Liquidez
Oferente]]&lt;=1.3,4,IF(Proponentes[[#This Row],[Liquidez
Oferente]]&lt;=1.4,5,6)))))</f>
        <v>6</v>
      </c>
      <c r="AE10" s="10">
        <f>IF(Proponentes[[#This Row],[Endeudamiento
Oferente]]&lt;=66%,6,IF(Proponentes[[#This Row],[Endeudamiento
Oferente]]&lt;=58,5,IF(Proponentes[[#This Row],[Endeudamiento
Oferente]]&lt;=70,4,IF(Proponentes[[#This Row],[Endeudamiento
Oferente]]&lt;=72,3,IF(Proponentes[[#This Row],[Endeudamiento
Oferente]]&lt;=74,2,1)))))</f>
        <v>6</v>
      </c>
      <c r="AF1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0" s="10">
        <f>IF(Proponentes[[#This Row],[Cap Op en SMMLV]]&lt;=500,1,IF(Proponentes[[#This Row],[Cap Op en SMMLV]]&lt;=1000,2,IF(Proponentes[[#This Row],[Cap Op en SMMLV]]&lt;=1500,3,IF(Proponentes[[#This Row],[Cap Op en SMMLV]]&lt;=2000,4,IF(Proponentes[[#This Row],[Cap Op en SMMLV]]&lt;=2500,5,6)))))</f>
        <v>1</v>
      </c>
      <c r="AH10" s="10">
        <f>MIN(Proponentes[[#This Row],[a]:[d]])</f>
        <v>1</v>
      </c>
      <c r="AI10" s="87">
        <f>IF(Proponentes[[#This Row],[e]]=Proponentes[[#This Row],[d]],Proponentes[[#This Row],[Cap Op en SMMLV]],VLOOKUP(Proponentes[[#This Row],[e]],Base!$D$1:$E$6,2,FALSE))</f>
        <v>0</v>
      </c>
      <c r="AJ10" s="101" t="str">
        <f>VLOOKUP(Proponentes[[#This Row],[Propuesta]],Hoja2!$A$2:$D$329,4,FALSE)</f>
        <v>NO CUMPLE</v>
      </c>
      <c r="AK10" s="101"/>
    </row>
    <row r="11" spans="1:37" ht="16" x14ac:dyDescent="0.2">
      <c r="A11" s="10">
        <v>10</v>
      </c>
      <c r="B11" s="11">
        <v>837000444</v>
      </c>
      <c r="C11" s="12" t="s">
        <v>39</v>
      </c>
      <c r="D11" s="13">
        <v>307237883</v>
      </c>
      <c r="E11" s="13">
        <v>60844342</v>
      </c>
      <c r="F11" s="25">
        <f>Proponentes[[#This Row],[Activo Corriente]]+Proponentes[[#This Row],[Activo NO Corriente]]</f>
        <v>368082225</v>
      </c>
      <c r="G11" s="13">
        <v>11247546</v>
      </c>
      <c r="H11" s="13">
        <v>0</v>
      </c>
      <c r="I11" s="25">
        <f>Proponentes[[#This Row],[Pasivo Corriente]]+Proponentes[[#This Row],[Pasivo NO Corriente]]</f>
        <v>11247546</v>
      </c>
      <c r="J11" s="14">
        <f>Proponentes[[#This Row],[Total ACTIVO]]-Proponentes[[#This Row],[Total Pasivo]]</f>
        <v>356834679</v>
      </c>
      <c r="K11" s="48">
        <f>VLOOKUP(Proponentes[[#This Row],[Propuesta]],Hoja2!$A$2:$G$239,7,FALSE)</f>
        <v>0</v>
      </c>
      <c r="L11" s="15"/>
      <c r="M11" s="15" t="s">
        <v>28</v>
      </c>
      <c r="N11" s="55">
        <f>IFERROR(VLOOKUP(Proponentes[[#This Row],[Cap Op en SMMLV]],Base!$A$15:$F$20,3),0)</f>
        <v>0</v>
      </c>
      <c r="O11" s="16">
        <f>IFERROR(VLOOKUP(Proponentes[[#This Row],[Cap Op en SMMLV]],Base!$A$15:$F$20,4),0)</f>
        <v>0</v>
      </c>
      <c r="P11" s="17">
        <f>IFERROR(VLOOKUP(Proponentes[[#This Row],[Cap Op en SMMLV]],Tabla2[],6),0)</f>
        <v>0</v>
      </c>
      <c r="Q11" s="18">
        <f>IFERROR(VLOOKUP(Proponentes[[#This Row],[Cap Op en SMMLV]],Base!$A$15:$F$20,5),0)</f>
        <v>0</v>
      </c>
      <c r="R11" s="18">
        <f>IFERROR(VLOOKUP(Proponentes[[#This Row],[Cap Op en SMMLV]],Tabla2[[DE]:[HASTA]],2),0)</f>
        <v>0</v>
      </c>
      <c r="S11" s="19">
        <f>IFERROR(Proponentes[[#This Row],[Activo Corriente]]/Proponentes[[#This Row],[Pasivo Corriente]],"INDETERMINADO")</f>
        <v>27.315992572957693</v>
      </c>
      <c r="T11" s="20">
        <f>IFERROR(Proponentes[[#This Row],[Total Pasivo]]/Proponentes[[#This Row],[Total ACTIVO]],0)</f>
        <v>3.0557156081090307E-2</v>
      </c>
      <c r="U11" s="21">
        <f>(Proponentes[[#This Row],[Activo Corriente]]-Proponentes[[#This Row],[Pasivo Corriente]])/Base!$B$3</f>
        <v>357.42617821657836</v>
      </c>
      <c r="V11" s="22">
        <f>Proponentes[[#This Row],[Activo Corriente]]-Proponentes[[#This Row],[Pasivo Corriente]]</f>
        <v>295990337</v>
      </c>
      <c r="W11" s="13">
        <f>IFERROR(VLOOKUP(Proponentes[[#This Row],[Propuesta]],Hoja2!$A$2:$G$329,7,FALSE),0)</f>
        <v>0</v>
      </c>
      <c r="X11" s="83">
        <f>IF(Proponentes[[#This Row],[Cap Op en Pesos]]=0,0,IF(Proponentes[[#This Row],[Cap Op en Pesos]]=0,1,Proponentes[[#This Row],[Cap Op en Pesos]]/Base!B$3))</f>
        <v>0</v>
      </c>
      <c r="Y1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1" s="23" t="str">
        <f>IF(AND(Proponentes[[#This Row],[Cumple
Liquidez]]="CUMPLE",Proponentes[[#This Row],[Cumple
Endeudamiento]]="CUMPLE",Proponentes[[#This Row],[Cumple
Capital de Trabajo]]="CUMPLE"),"CUMPLE","NO CUMPLE")</f>
        <v>NO CUMPLE</v>
      </c>
      <c r="AC11" s="24"/>
      <c r="AD11" s="10">
        <f>IF(Proponentes[[#This Row],[Liquidez
Oferente]]&lt;=1,1,IF(Proponentes[[#This Row],[Liquidez
Oferente]]&lt;=1.1,2,IF(Proponentes[[#This Row],[Liquidez
Oferente]]&lt;=1.2,3,IF(Proponentes[[#This Row],[Liquidez
Oferente]]&lt;=1.3,4,IF(Proponentes[[#This Row],[Liquidez
Oferente]]&lt;=1.4,5,6)))))</f>
        <v>6</v>
      </c>
      <c r="AE11" s="10">
        <f>IF(Proponentes[[#This Row],[Endeudamiento
Oferente]]&lt;=66%,6,IF(Proponentes[[#This Row],[Endeudamiento
Oferente]]&lt;=58,5,IF(Proponentes[[#This Row],[Endeudamiento
Oferente]]&lt;=70,4,IF(Proponentes[[#This Row],[Endeudamiento
Oferente]]&lt;=72,3,IF(Proponentes[[#This Row],[Endeudamiento
Oferente]]&lt;=74,2,1)))))</f>
        <v>6</v>
      </c>
      <c r="AF1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1" s="10">
        <f>IF(Proponentes[[#This Row],[Cap Op en SMMLV]]&lt;=500,1,IF(Proponentes[[#This Row],[Cap Op en SMMLV]]&lt;=1000,2,IF(Proponentes[[#This Row],[Cap Op en SMMLV]]&lt;=1500,3,IF(Proponentes[[#This Row],[Cap Op en SMMLV]]&lt;=2000,4,IF(Proponentes[[#This Row],[Cap Op en SMMLV]]&lt;=2500,5,6)))))</f>
        <v>1</v>
      </c>
      <c r="AH11" s="10">
        <f>MIN(Proponentes[[#This Row],[a]:[d]])</f>
        <v>1</v>
      </c>
      <c r="AI11" s="87">
        <f>IF(Proponentes[[#This Row],[e]]=Proponentes[[#This Row],[d]],Proponentes[[#This Row],[Cap Op en SMMLV]],VLOOKUP(Proponentes[[#This Row],[e]],Base!$D$1:$E$6,2,FALSE))</f>
        <v>0</v>
      </c>
      <c r="AJ11" s="101" t="str">
        <f>VLOOKUP(Proponentes[[#This Row],[Propuesta]],Hoja2!$A$2:$D$329,4,FALSE)</f>
        <v>NO CUMPLE</v>
      </c>
      <c r="AK11" s="101"/>
    </row>
    <row r="12" spans="1:37" ht="32" x14ac:dyDescent="0.2">
      <c r="A12" s="10">
        <v>11</v>
      </c>
      <c r="B12" s="11">
        <v>824001749</v>
      </c>
      <c r="C12" s="12" t="s">
        <v>40</v>
      </c>
      <c r="D12" s="13">
        <v>0</v>
      </c>
      <c r="E12" s="13">
        <v>0</v>
      </c>
      <c r="F12" s="25">
        <f>Proponentes[[#This Row],[Activo Corriente]]+Proponentes[[#This Row],[Activo NO Corriente]]</f>
        <v>0</v>
      </c>
      <c r="G12" s="13">
        <v>0</v>
      </c>
      <c r="H12" s="13">
        <v>0</v>
      </c>
      <c r="I12" s="25">
        <f>Proponentes[[#This Row],[Pasivo Corriente]]+Proponentes[[#This Row],[Pasivo NO Corriente]]</f>
        <v>0</v>
      </c>
      <c r="J12" s="14">
        <f>Proponentes[[#This Row],[Total ACTIVO]]-Proponentes[[#This Row],[Total Pasivo]]</f>
        <v>0</v>
      </c>
      <c r="K12" s="48">
        <f>VLOOKUP(Proponentes[[#This Row],[Propuesta]],Hoja2!$A$2:$G$239,7,FALSE)</f>
        <v>0</v>
      </c>
      <c r="L12" s="15" t="s">
        <v>41</v>
      </c>
      <c r="M12" s="15" t="s">
        <v>28</v>
      </c>
      <c r="N12" s="55">
        <f>IFERROR(VLOOKUP(Proponentes[[#This Row],[Cap Op en SMMLV]],Base!$A$15:$F$20,3),0)</f>
        <v>0</v>
      </c>
      <c r="O12" s="16">
        <f>IFERROR(VLOOKUP(Proponentes[[#This Row],[Cap Op en SMMLV]],Base!$A$15:$F$20,4),0)</f>
        <v>0</v>
      </c>
      <c r="P12" s="17">
        <f>IFERROR(VLOOKUP(Proponentes[[#This Row],[Cap Op en SMMLV]],Tabla2[],6),0)</f>
        <v>0</v>
      </c>
      <c r="Q12" s="18">
        <f>IFERROR(VLOOKUP(Proponentes[[#This Row],[Cap Op en SMMLV]],Base!$A$15:$F$20,5),0)</f>
        <v>0</v>
      </c>
      <c r="R12" s="18">
        <f>IFERROR(VLOOKUP(Proponentes[[#This Row],[Cap Op en SMMLV]],Tabla2[[DE]:[HASTA]],2),0)</f>
        <v>0</v>
      </c>
      <c r="S12" s="19" t="str">
        <f>IFERROR(Proponentes[[#This Row],[Activo Corriente]]/Proponentes[[#This Row],[Pasivo Corriente]],"INDETERMINADO")</f>
        <v>INDETERMINADO</v>
      </c>
      <c r="T12" s="20">
        <f>IFERROR(Proponentes[[#This Row],[Total Pasivo]]/Proponentes[[#This Row],[Total ACTIVO]],0)</f>
        <v>0</v>
      </c>
      <c r="U12" s="21">
        <f>(Proponentes[[#This Row],[Activo Corriente]]-Proponentes[[#This Row],[Pasivo Corriente]])/Base!$B$3</f>
        <v>0</v>
      </c>
      <c r="V12" s="22">
        <f>Proponentes[[#This Row],[Activo Corriente]]-Proponentes[[#This Row],[Pasivo Corriente]]</f>
        <v>0</v>
      </c>
      <c r="W12" s="13">
        <f>IFERROR(VLOOKUP(Proponentes[[#This Row],[Propuesta]],Hoja2!$A$2:$G$329,7,FALSE),0)</f>
        <v>0</v>
      </c>
      <c r="X12" s="83">
        <f>IF(Proponentes[[#This Row],[Cap Op en Pesos]]=0,0,IF(Proponentes[[#This Row],[Cap Op en Pesos]]=0,1,Proponentes[[#This Row],[Cap Op en Pesos]]/Base!B$3))</f>
        <v>0</v>
      </c>
      <c r="Y1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1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12" s="23" t="str">
        <f>IF(AND(Proponentes[[#This Row],[Cumple
Liquidez]]="CUMPLE",Proponentes[[#This Row],[Cumple
Endeudamiento]]="CUMPLE",Proponentes[[#This Row],[Cumple
Capital de Trabajo]]="CUMPLE"),"CUMPLE","NO CUMPLE")</f>
        <v>NO CUMPLE</v>
      </c>
      <c r="AC12" s="24"/>
      <c r="AD12" s="10">
        <f>IF(Proponentes[[#This Row],[Liquidez
Oferente]]&lt;=1,1,IF(Proponentes[[#This Row],[Liquidez
Oferente]]&lt;=1.1,2,IF(Proponentes[[#This Row],[Liquidez
Oferente]]&lt;=1.2,3,IF(Proponentes[[#This Row],[Liquidez
Oferente]]&lt;=1.3,4,IF(Proponentes[[#This Row],[Liquidez
Oferente]]&lt;=1.4,5,6)))))</f>
        <v>6</v>
      </c>
      <c r="AE12" s="10">
        <f>IF(Proponentes[[#This Row],[Endeudamiento
Oferente]]&lt;=66%,6,IF(Proponentes[[#This Row],[Endeudamiento
Oferente]]&lt;=58,5,IF(Proponentes[[#This Row],[Endeudamiento
Oferente]]&lt;=70,4,IF(Proponentes[[#This Row],[Endeudamiento
Oferente]]&lt;=72,3,IF(Proponentes[[#This Row],[Endeudamiento
Oferente]]&lt;=74,2,1)))))</f>
        <v>6</v>
      </c>
      <c r="AF1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12" s="10">
        <f>IF(Proponentes[[#This Row],[Cap Op en SMMLV]]&lt;=500,1,IF(Proponentes[[#This Row],[Cap Op en SMMLV]]&lt;=1000,2,IF(Proponentes[[#This Row],[Cap Op en SMMLV]]&lt;=1500,3,IF(Proponentes[[#This Row],[Cap Op en SMMLV]]&lt;=2000,4,IF(Proponentes[[#This Row],[Cap Op en SMMLV]]&lt;=2500,5,6)))))</f>
        <v>1</v>
      </c>
      <c r="AH12" s="10">
        <f>MIN(Proponentes[[#This Row],[a]:[d]])</f>
        <v>1</v>
      </c>
      <c r="AI12" s="87">
        <f>IF(Proponentes[[#This Row],[e]]=Proponentes[[#This Row],[d]],Proponentes[[#This Row],[Cap Op en SMMLV]],VLOOKUP(Proponentes[[#This Row],[e]],Base!$D$1:$E$6,2,FALSE))</f>
        <v>0</v>
      </c>
      <c r="AJ12" s="101" t="str">
        <f>VLOOKUP(Proponentes[[#This Row],[Propuesta]],Hoja2!$A$2:$D$329,4,FALSE)</f>
        <v>NO CUMPLE</v>
      </c>
      <c r="AK12" s="101"/>
    </row>
    <row r="13" spans="1:37" ht="16" x14ac:dyDescent="0.2">
      <c r="A13" s="10">
        <v>12</v>
      </c>
      <c r="B13" s="11">
        <v>900217392</v>
      </c>
      <c r="C13" s="12" t="s">
        <v>42</v>
      </c>
      <c r="D13" s="13">
        <v>4528207000</v>
      </c>
      <c r="E13" s="13">
        <v>417786000</v>
      </c>
      <c r="F13" s="25">
        <f>Proponentes[[#This Row],[Activo Corriente]]+Proponentes[[#This Row],[Activo NO Corriente]]</f>
        <v>4945993000</v>
      </c>
      <c r="G13" s="13">
        <v>16300000</v>
      </c>
      <c r="H13" s="13">
        <v>0</v>
      </c>
      <c r="I13" s="25">
        <f>Proponentes[[#This Row],[Pasivo Corriente]]+Proponentes[[#This Row],[Pasivo NO Corriente]]</f>
        <v>16300000</v>
      </c>
      <c r="J13" s="14">
        <f>Proponentes[[#This Row],[Total ACTIVO]]-Proponentes[[#This Row],[Total Pasivo]]</f>
        <v>4929693000</v>
      </c>
      <c r="K13" s="48">
        <f>VLOOKUP(Proponentes[[#This Row],[Propuesta]],Hoja2!$A$2:$G$239,7,FALSE)</f>
        <v>204248485.22497195</v>
      </c>
      <c r="L13" s="15" t="s">
        <v>43</v>
      </c>
      <c r="M13" s="15" t="s">
        <v>28</v>
      </c>
      <c r="N13" s="55">
        <f>IFERROR(VLOOKUP(Proponentes[[#This Row],[Cap Op en SMMLV]],Base!$A$15:$F$20,3),0)</f>
        <v>1</v>
      </c>
      <c r="O13" s="16">
        <f>IFERROR(VLOOKUP(Proponentes[[#This Row],[Cap Op en SMMLV]],Base!$A$15:$F$20,4),0)</f>
        <v>0.76</v>
      </c>
      <c r="P13" s="17">
        <f>IFERROR(VLOOKUP(Proponentes[[#This Row],[Cap Op en SMMLV]],Tabla2[],6),0)</f>
        <v>12.5</v>
      </c>
      <c r="Q13" s="18">
        <f>IFERROR(VLOOKUP(Proponentes[[#This Row],[Cap Op en SMMLV]],Base!$A$15:$F$20,5),0)</f>
        <v>10351450</v>
      </c>
      <c r="R13" s="18">
        <f>IFERROR(VLOOKUP(Proponentes[[#This Row],[Cap Op en SMMLV]],Tabla2[[DE]:[HASTA]],2),0)</f>
        <v>500</v>
      </c>
      <c r="S13" s="19">
        <f>IFERROR(Proponentes[[#This Row],[Activo Corriente]]/Proponentes[[#This Row],[Pasivo Corriente]],"INDETERMINADO")</f>
        <v>277.80411042944786</v>
      </c>
      <c r="T13" s="20">
        <f>IFERROR(Proponentes[[#This Row],[Total Pasivo]]/Proponentes[[#This Row],[Total ACTIVO]],0)</f>
        <v>3.2955970621066388E-3</v>
      </c>
      <c r="U13" s="21">
        <f>(Proponentes[[#This Row],[Activo Corriente]]-Proponentes[[#This Row],[Pasivo Corriente]])/Base!$B$3</f>
        <v>5448.3997410990733</v>
      </c>
      <c r="V13" s="22">
        <f>Proponentes[[#This Row],[Activo Corriente]]-Proponentes[[#This Row],[Pasivo Corriente]]</f>
        <v>4511907000</v>
      </c>
      <c r="W13" s="13">
        <f>IFERROR(VLOOKUP(Proponentes[[#This Row],[Propuesta]],Hoja2!$A$2:$G$329,7,FALSE),0)</f>
        <v>204248485.22497195</v>
      </c>
      <c r="X13" s="83">
        <f>IF(Proponentes[[#This Row],[Cap Op en Pesos]]=0,0,IF(Proponentes[[#This Row],[Cap Op en Pesos]]=0,1,Proponentes[[#This Row],[Cap Op en Pesos]]/Base!B$3))</f>
        <v>246.64236076222647</v>
      </c>
      <c r="Y1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3" s="23" t="str">
        <f>IF(AND(Proponentes[[#This Row],[Cumple
Liquidez]]="CUMPLE",Proponentes[[#This Row],[Cumple
Endeudamiento]]="CUMPLE",Proponentes[[#This Row],[Cumple
Capital de Trabajo]]="CUMPLE"),"CUMPLE","NO CUMPLE")</f>
        <v>CUMPLE</v>
      </c>
      <c r="AC13" s="24" t="s">
        <v>780</v>
      </c>
      <c r="AD13" s="10">
        <f>IF(Proponentes[[#This Row],[Liquidez
Oferente]]&lt;=1,1,IF(Proponentes[[#This Row],[Liquidez
Oferente]]&lt;=1.1,2,IF(Proponentes[[#This Row],[Liquidez
Oferente]]&lt;=1.2,3,IF(Proponentes[[#This Row],[Liquidez
Oferente]]&lt;=1.3,4,IF(Proponentes[[#This Row],[Liquidez
Oferente]]&lt;=1.4,5,6)))))</f>
        <v>6</v>
      </c>
      <c r="AE13" s="10">
        <f>IF(Proponentes[[#This Row],[Endeudamiento
Oferente]]&lt;=66%,6,IF(Proponentes[[#This Row],[Endeudamiento
Oferente]]&lt;=58,5,IF(Proponentes[[#This Row],[Endeudamiento
Oferente]]&lt;=70,4,IF(Proponentes[[#This Row],[Endeudamiento
Oferente]]&lt;=72,3,IF(Proponentes[[#This Row],[Endeudamiento
Oferente]]&lt;=74,2,1)))))</f>
        <v>6</v>
      </c>
      <c r="AF1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3" s="10">
        <f>IF(Proponentes[[#This Row],[Cap Op en SMMLV]]&lt;=500,1,IF(Proponentes[[#This Row],[Cap Op en SMMLV]]&lt;=1000,2,IF(Proponentes[[#This Row],[Cap Op en SMMLV]]&lt;=1500,3,IF(Proponentes[[#This Row],[Cap Op en SMMLV]]&lt;=2000,4,IF(Proponentes[[#This Row],[Cap Op en SMMLV]]&lt;=2500,5,6)))))</f>
        <v>1</v>
      </c>
      <c r="AH13" s="10">
        <f>MIN(Proponentes[[#This Row],[a]:[d]])</f>
        <v>1</v>
      </c>
      <c r="AI13" s="87">
        <f>IF(Proponentes[[#This Row],[e]]=Proponentes[[#This Row],[d]],Proponentes[[#This Row],[Cap Op en SMMLV]],VLOOKUP(Proponentes[[#This Row],[e]],Base!$D$1:$E$6,2,FALSE))</f>
        <v>246.64236076222647</v>
      </c>
      <c r="AJ13" s="101" t="str">
        <f>VLOOKUP(Proponentes[[#This Row],[Propuesta]],Hoja2!$A$2:$D$329,4,FALSE)</f>
        <v>CUMPLE</v>
      </c>
      <c r="AK13" s="101"/>
    </row>
    <row r="14" spans="1:37" ht="16" x14ac:dyDescent="0.2">
      <c r="A14" s="10">
        <v>13</v>
      </c>
      <c r="B14" s="11">
        <v>806008935</v>
      </c>
      <c r="C14" s="12" t="s">
        <v>44</v>
      </c>
      <c r="D14" s="13">
        <v>1291740027</v>
      </c>
      <c r="E14" s="13">
        <v>1145452366</v>
      </c>
      <c r="F14" s="25">
        <f>Proponentes[[#This Row],[Activo Corriente]]+Proponentes[[#This Row],[Activo NO Corriente]]</f>
        <v>2437192393</v>
      </c>
      <c r="G14" s="13">
        <v>194356010</v>
      </c>
      <c r="H14" s="13">
        <v>723658526</v>
      </c>
      <c r="I14" s="25">
        <f>Proponentes[[#This Row],[Pasivo Corriente]]+Proponentes[[#This Row],[Pasivo NO Corriente]]</f>
        <v>918014536</v>
      </c>
      <c r="J14" s="14">
        <f>Proponentes[[#This Row],[Total ACTIVO]]-Proponentes[[#This Row],[Total Pasivo]]</f>
        <v>1519177857</v>
      </c>
      <c r="K14" s="48">
        <f>VLOOKUP(Proponentes[[#This Row],[Propuesta]],Hoja2!$A$2:$G$239,7,FALSE)</f>
        <v>479888056.74355602</v>
      </c>
      <c r="L14" s="15"/>
      <c r="M14" s="15" t="s">
        <v>28</v>
      </c>
      <c r="N14" s="55">
        <f>IFERROR(VLOOKUP(Proponentes[[#This Row],[Cap Op en SMMLV]],Base!$A$15:$F$20,3),0)</f>
        <v>1.1000000000000001</v>
      </c>
      <c r="O14" s="16">
        <f>IFERROR(VLOOKUP(Proponentes[[#This Row],[Cap Op en SMMLV]],Base!$A$15:$F$20,4),0)</f>
        <v>0.74</v>
      </c>
      <c r="P14" s="17">
        <f>IFERROR(VLOOKUP(Proponentes[[#This Row],[Cap Op en SMMLV]],Tabla2[],6),0)</f>
        <v>25</v>
      </c>
      <c r="Q14" s="18">
        <f>IFERROR(VLOOKUP(Proponentes[[#This Row],[Cap Op en SMMLV]],Base!$A$15:$F$20,5),0)</f>
        <v>20702900</v>
      </c>
      <c r="R14" s="18">
        <f>IFERROR(VLOOKUP(Proponentes[[#This Row],[Cap Op en SMMLV]],Tabla2[[DE]:[HASTA]],2),0)</f>
        <v>1000</v>
      </c>
      <c r="S14" s="19">
        <f>IFERROR(Proponentes[[#This Row],[Activo Corriente]]/Proponentes[[#This Row],[Pasivo Corriente]],"INDETERMINADO")</f>
        <v>6.6462571803156489</v>
      </c>
      <c r="T14" s="20">
        <f>IFERROR(Proponentes[[#This Row],[Total Pasivo]]/Proponentes[[#This Row],[Total ACTIVO]],0)</f>
        <v>0.37666888286566219</v>
      </c>
      <c r="U14" s="21">
        <f>(Proponentes[[#This Row],[Activo Corriente]]-Proponentes[[#This Row],[Pasivo Corriente]])/Base!$B$3</f>
        <v>1325.1573656347662</v>
      </c>
      <c r="V14" s="22">
        <f>Proponentes[[#This Row],[Activo Corriente]]-Proponentes[[#This Row],[Pasivo Corriente]]</f>
        <v>1097384017</v>
      </c>
      <c r="W14" s="13">
        <f>IFERROR(VLOOKUP(Proponentes[[#This Row],[Propuesta]],Hoja2!$A$2:$G$329,7,FALSE),0)</f>
        <v>479888056.74355602</v>
      </c>
      <c r="X14" s="83">
        <f>IF(Proponentes[[#This Row],[Cap Op en Pesos]]=0,0,IF(Proponentes[[#This Row],[Cap Op en Pesos]]=0,1,Proponentes[[#This Row],[Cap Op en Pesos]]/Base!B$3))</f>
        <v>579.49376264141256</v>
      </c>
      <c r="Y1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4" s="23" t="str">
        <f>IF(AND(Proponentes[[#This Row],[Cumple
Liquidez]]="CUMPLE",Proponentes[[#This Row],[Cumple
Endeudamiento]]="CUMPLE",Proponentes[[#This Row],[Cumple
Capital de Trabajo]]="CUMPLE"),"CUMPLE","NO CUMPLE")</f>
        <v>CUMPLE</v>
      </c>
      <c r="AC14" s="24"/>
      <c r="AD14" s="10">
        <f>IF(Proponentes[[#This Row],[Liquidez
Oferente]]&lt;=1,1,IF(Proponentes[[#This Row],[Liquidez
Oferente]]&lt;=1.1,2,IF(Proponentes[[#This Row],[Liquidez
Oferente]]&lt;=1.2,3,IF(Proponentes[[#This Row],[Liquidez
Oferente]]&lt;=1.3,4,IF(Proponentes[[#This Row],[Liquidez
Oferente]]&lt;=1.4,5,6)))))</f>
        <v>6</v>
      </c>
      <c r="AE14" s="10">
        <f>IF(Proponentes[[#This Row],[Endeudamiento
Oferente]]&lt;=66%,6,IF(Proponentes[[#This Row],[Endeudamiento
Oferente]]&lt;=58,5,IF(Proponentes[[#This Row],[Endeudamiento
Oferente]]&lt;=70,4,IF(Proponentes[[#This Row],[Endeudamiento
Oferente]]&lt;=72,3,IF(Proponentes[[#This Row],[Endeudamiento
Oferente]]&lt;=74,2,1)))))</f>
        <v>6</v>
      </c>
      <c r="AF1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4" s="10">
        <f>IF(Proponentes[[#This Row],[Cap Op en SMMLV]]&lt;=500,1,IF(Proponentes[[#This Row],[Cap Op en SMMLV]]&lt;=1000,2,IF(Proponentes[[#This Row],[Cap Op en SMMLV]]&lt;=1500,3,IF(Proponentes[[#This Row],[Cap Op en SMMLV]]&lt;=2000,4,IF(Proponentes[[#This Row],[Cap Op en SMMLV]]&lt;=2500,5,6)))))</f>
        <v>2</v>
      </c>
      <c r="AH14" s="10">
        <f>MIN(Proponentes[[#This Row],[a]:[d]])</f>
        <v>2</v>
      </c>
      <c r="AI14" s="87">
        <f>IF(Proponentes[[#This Row],[e]]=Proponentes[[#This Row],[d]],Proponentes[[#This Row],[Cap Op en SMMLV]],VLOOKUP(Proponentes[[#This Row],[e]],Base!$D$1:$E$6,2,FALSE))</f>
        <v>579.49376264141256</v>
      </c>
      <c r="AJ14" s="101" t="str">
        <f>VLOOKUP(Proponentes[[#This Row],[Propuesta]],Hoja2!$A$2:$D$329,4,FALSE)</f>
        <v>CUMPLE</v>
      </c>
      <c r="AK14" s="101"/>
    </row>
    <row r="15" spans="1:37" ht="32" x14ac:dyDescent="0.2">
      <c r="A15" s="10">
        <v>14</v>
      </c>
      <c r="B15" s="11">
        <v>900428382</v>
      </c>
      <c r="C15" s="12" t="s">
        <v>45</v>
      </c>
      <c r="D15" s="13">
        <v>9905000000</v>
      </c>
      <c r="E15" s="13"/>
      <c r="F15" s="25">
        <f>Proponentes[[#This Row],[Activo Corriente]]+Proponentes[[#This Row],[Activo NO Corriente]]</f>
        <v>9905000000</v>
      </c>
      <c r="G15" s="13">
        <v>265000000</v>
      </c>
      <c r="H15" s="13">
        <v>0</v>
      </c>
      <c r="I15" s="25">
        <f>Proponentes[[#This Row],[Pasivo Corriente]]+Proponentes[[#This Row],[Pasivo NO Corriente]]</f>
        <v>265000000</v>
      </c>
      <c r="J15" s="14">
        <f>Proponentes[[#This Row],[Total ACTIVO]]-Proponentes[[#This Row],[Total Pasivo]]</f>
        <v>9640000000</v>
      </c>
      <c r="K15" s="48">
        <f>VLOOKUP(Proponentes[[#This Row],[Propuesta]],Hoja2!$A$2:$G$239,7,FALSE)</f>
        <v>0</v>
      </c>
      <c r="L15" s="15"/>
      <c r="M15" s="15" t="s">
        <v>28</v>
      </c>
      <c r="N15" s="55">
        <f>IFERROR(VLOOKUP(Proponentes[[#This Row],[Cap Op en SMMLV]],Base!$A$15:$F$20,3),0)</f>
        <v>0</v>
      </c>
      <c r="O15" s="16">
        <f>IFERROR(VLOOKUP(Proponentes[[#This Row],[Cap Op en SMMLV]],Base!$A$15:$F$20,4),0)</f>
        <v>0</v>
      </c>
      <c r="P15" s="17">
        <f>IFERROR(VLOOKUP(Proponentes[[#This Row],[Cap Op en SMMLV]],Tabla2[],6),0)</f>
        <v>0</v>
      </c>
      <c r="Q15" s="18">
        <f>IFERROR(VLOOKUP(Proponentes[[#This Row],[Cap Op en SMMLV]],Base!$A$15:$F$20,5),0)</f>
        <v>0</v>
      </c>
      <c r="R15" s="18">
        <f>IFERROR(VLOOKUP(Proponentes[[#This Row],[Cap Op en SMMLV]],Tabla2[[DE]:[HASTA]],2),0)</f>
        <v>0</v>
      </c>
      <c r="S15" s="19">
        <f>IFERROR(Proponentes[[#This Row],[Activo Corriente]]/Proponentes[[#This Row],[Pasivo Corriente]],"INDETERMINADO")</f>
        <v>37.377358490566039</v>
      </c>
      <c r="T15" s="20">
        <f>IFERROR(Proponentes[[#This Row],[Total Pasivo]]/Proponentes[[#This Row],[Total ACTIVO]],0)</f>
        <v>2.6754164563351841E-2</v>
      </c>
      <c r="U15" s="21">
        <f>(Proponentes[[#This Row],[Activo Corriente]]-Proponentes[[#This Row],[Pasivo Corriente]])/Base!$B$3</f>
        <v>11640.881229199775</v>
      </c>
      <c r="V15" s="22">
        <f>Proponentes[[#This Row],[Activo Corriente]]-Proponentes[[#This Row],[Pasivo Corriente]]</f>
        <v>9640000000</v>
      </c>
      <c r="W15" s="13">
        <f>IFERROR(VLOOKUP(Proponentes[[#This Row],[Propuesta]],Hoja2!$A$2:$G$329,7,FALSE),0)</f>
        <v>0</v>
      </c>
      <c r="X15" s="83">
        <f>IF(Proponentes[[#This Row],[Cap Op en Pesos]]=0,0,IF(Proponentes[[#This Row],[Cap Op en Pesos]]=0,1,Proponentes[[#This Row],[Cap Op en Pesos]]/Base!B$3))</f>
        <v>0</v>
      </c>
      <c r="Y1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5" s="23" t="str">
        <f>IF(AND(Proponentes[[#This Row],[Cumple
Liquidez]]="CUMPLE",Proponentes[[#This Row],[Cumple
Endeudamiento]]="CUMPLE",Proponentes[[#This Row],[Cumple
Capital de Trabajo]]="CUMPLE"),"CUMPLE","NO CUMPLE")</f>
        <v>NO CUMPLE</v>
      </c>
      <c r="AC15" s="24"/>
      <c r="AD15" s="10">
        <f>IF(Proponentes[[#This Row],[Liquidez
Oferente]]&lt;=1,1,IF(Proponentes[[#This Row],[Liquidez
Oferente]]&lt;=1.1,2,IF(Proponentes[[#This Row],[Liquidez
Oferente]]&lt;=1.2,3,IF(Proponentes[[#This Row],[Liquidez
Oferente]]&lt;=1.3,4,IF(Proponentes[[#This Row],[Liquidez
Oferente]]&lt;=1.4,5,6)))))</f>
        <v>6</v>
      </c>
      <c r="AE15" s="10">
        <f>IF(Proponentes[[#This Row],[Endeudamiento
Oferente]]&lt;=66%,6,IF(Proponentes[[#This Row],[Endeudamiento
Oferente]]&lt;=58,5,IF(Proponentes[[#This Row],[Endeudamiento
Oferente]]&lt;=70,4,IF(Proponentes[[#This Row],[Endeudamiento
Oferente]]&lt;=72,3,IF(Proponentes[[#This Row],[Endeudamiento
Oferente]]&lt;=74,2,1)))))</f>
        <v>6</v>
      </c>
      <c r="AF1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5" s="10">
        <f>IF(Proponentes[[#This Row],[Cap Op en SMMLV]]&lt;=500,1,IF(Proponentes[[#This Row],[Cap Op en SMMLV]]&lt;=1000,2,IF(Proponentes[[#This Row],[Cap Op en SMMLV]]&lt;=1500,3,IF(Proponentes[[#This Row],[Cap Op en SMMLV]]&lt;=2000,4,IF(Proponentes[[#This Row],[Cap Op en SMMLV]]&lt;=2500,5,6)))))</f>
        <v>1</v>
      </c>
      <c r="AH15" s="10">
        <f>MIN(Proponentes[[#This Row],[a]:[d]])</f>
        <v>1</v>
      </c>
      <c r="AI15" s="87">
        <f>IF(Proponentes[[#This Row],[e]]=Proponentes[[#This Row],[d]],Proponentes[[#This Row],[Cap Op en SMMLV]],VLOOKUP(Proponentes[[#This Row],[e]],Base!$D$1:$E$6,2,FALSE))</f>
        <v>0</v>
      </c>
      <c r="AJ15" s="101" t="str">
        <f>VLOOKUP(Proponentes[[#This Row],[Propuesta]],Hoja2!$A$2:$D$329,4,FALSE)</f>
        <v>NO CUMPLE</v>
      </c>
      <c r="AK15" s="101"/>
    </row>
    <row r="16" spans="1:37" ht="16" x14ac:dyDescent="0.2">
      <c r="A16" s="10">
        <v>15</v>
      </c>
      <c r="B16" s="11">
        <v>900979916</v>
      </c>
      <c r="C16" s="12" t="s">
        <v>46</v>
      </c>
      <c r="D16" s="13">
        <v>3250000</v>
      </c>
      <c r="E16" s="13">
        <v>56750000</v>
      </c>
      <c r="F16" s="25">
        <f>Proponentes[[#This Row],[Activo Corriente]]+Proponentes[[#This Row],[Activo NO Corriente]]</f>
        <v>60000000</v>
      </c>
      <c r="G16" s="13">
        <v>0</v>
      </c>
      <c r="H16" s="13">
        <v>0</v>
      </c>
      <c r="I16" s="25">
        <f>Proponentes[[#This Row],[Pasivo Corriente]]+Proponentes[[#This Row],[Pasivo NO Corriente]]</f>
        <v>0</v>
      </c>
      <c r="J16" s="14">
        <f>Proponentes[[#This Row],[Total ACTIVO]]-Proponentes[[#This Row],[Total Pasivo]]</f>
        <v>60000000</v>
      </c>
      <c r="K16" s="48">
        <f>VLOOKUP(Proponentes[[#This Row],[Propuesta]],Hoja2!$A$2:$G$239,7,FALSE)</f>
        <v>24022336.48316424</v>
      </c>
      <c r="L16" s="15" t="s">
        <v>47</v>
      </c>
      <c r="M16" s="15" t="s">
        <v>28</v>
      </c>
      <c r="N16" s="55">
        <f>IFERROR(VLOOKUP(Proponentes[[#This Row],[Cap Op en SMMLV]],Base!$A$15:$F$20,3),0)</f>
        <v>1</v>
      </c>
      <c r="O16" s="16">
        <f>IFERROR(VLOOKUP(Proponentes[[#This Row],[Cap Op en SMMLV]],Base!$A$15:$F$20,4),0)</f>
        <v>0.76</v>
      </c>
      <c r="P16" s="17">
        <f>IFERROR(VLOOKUP(Proponentes[[#This Row],[Cap Op en SMMLV]],Tabla2[],6),0)</f>
        <v>12.5</v>
      </c>
      <c r="Q16" s="18">
        <f>IFERROR(VLOOKUP(Proponentes[[#This Row],[Cap Op en SMMLV]],Base!$A$15:$F$20,5),0)</f>
        <v>10351450</v>
      </c>
      <c r="R16" s="18">
        <f>IFERROR(VLOOKUP(Proponentes[[#This Row],[Cap Op en SMMLV]],Tabla2[[DE]:[HASTA]],2),0)</f>
        <v>500</v>
      </c>
      <c r="S16" s="19" t="str">
        <f>IFERROR(Proponentes[[#This Row],[Activo Corriente]]/Proponentes[[#This Row],[Pasivo Corriente]],"INDETERMINADO")</f>
        <v>INDETERMINADO</v>
      </c>
      <c r="T16" s="20">
        <f>IFERROR(Proponentes[[#This Row],[Total Pasivo]]/Proponentes[[#This Row],[Total ACTIVO]],0)</f>
        <v>0</v>
      </c>
      <c r="U16" s="21">
        <f>(Proponentes[[#This Row],[Activo Corriente]]-Proponentes[[#This Row],[Pasivo Corriente]])/Base!$B$3</f>
        <v>3.9245709538277245</v>
      </c>
      <c r="V16" s="22">
        <f>Proponentes[[#This Row],[Activo Corriente]]-Proponentes[[#This Row],[Pasivo Corriente]]</f>
        <v>3250000</v>
      </c>
      <c r="W16" s="13">
        <f>IFERROR(VLOOKUP(Proponentes[[#This Row],[Propuesta]],Hoja2!$A$2:$G$329,7,FALSE),0)</f>
        <v>24022336.48316424</v>
      </c>
      <c r="X16" s="83">
        <f>IF(Proponentes[[#This Row],[Cap Op en Pesos]]=0,0,IF(Proponentes[[#This Row],[Cap Op en Pesos]]=0,1,Proponentes[[#This Row],[Cap Op en Pesos]]/Base!B$3))</f>
        <v>29.008419693816133</v>
      </c>
      <c r="Y1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16" s="23" t="str">
        <f>IF(AND(Proponentes[[#This Row],[Cumple
Liquidez]]="CUMPLE",Proponentes[[#This Row],[Cumple
Endeudamiento]]="CUMPLE",Proponentes[[#This Row],[Cumple
Capital de Trabajo]]="CUMPLE"),"CUMPLE","NO CUMPLE")</f>
        <v>NO CUMPLE</v>
      </c>
      <c r="AC16" s="24" t="s">
        <v>781</v>
      </c>
      <c r="AD16" s="10">
        <f>IF(Proponentes[[#This Row],[Liquidez
Oferente]]&lt;=1,1,IF(Proponentes[[#This Row],[Liquidez
Oferente]]&lt;=1.1,2,IF(Proponentes[[#This Row],[Liquidez
Oferente]]&lt;=1.2,3,IF(Proponentes[[#This Row],[Liquidez
Oferente]]&lt;=1.3,4,IF(Proponentes[[#This Row],[Liquidez
Oferente]]&lt;=1.4,5,6)))))</f>
        <v>6</v>
      </c>
      <c r="AE16" s="10">
        <f>IF(Proponentes[[#This Row],[Endeudamiento
Oferente]]&lt;=66%,6,IF(Proponentes[[#This Row],[Endeudamiento
Oferente]]&lt;=58,5,IF(Proponentes[[#This Row],[Endeudamiento
Oferente]]&lt;=70,4,IF(Proponentes[[#This Row],[Endeudamiento
Oferente]]&lt;=72,3,IF(Proponentes[[#This Row],[Endeudamiento
Oferente]]&lt;=74,2,1)))))</f>
        <v>6</v>
      </c>
      <c r="AF1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16" s="10">
        <f>IF(Proponentes[[#This Row],[Cap Op en SMMLV]]&lt;=500,1,IF(Proponentes[[#This Row],[Cap Op en SMMLV]]&lt;=1000,2,IF(Proponentes[[#This Row],[Cap Op en SMMLV]]&lt;=1500,3,IF(Proponentes[[#This Row],[Cap Op en SMMLV]]&lt;=2000,4,IF(Proponentes[[#This Row],[Cap Op en SMMLV]]&lt;=2500,5,6)))))</f>
        <v>1</v>
      </c>
      <c r="AH16" s="10">
        <f>MIN(Proponentes[[#This Row],[a]:[d]])</f>
        <v>1</v>
      </c>
      <c r="AI16" s="87">
        <f>IF(Proponentes[[#This Row],[e]]=Proponentes[[#This Row],[d]],Proponentes[[#This Row],[Cap Op en SMMLV]],VLOOKUP(Proponentes[[#This Row],[e]],Base!$D$1:$E$6,2,FALSE))</f>
        <v>29.008419693816133</v>
      </c>
      <c r="AJ16" s="101" t="str">
        <f>VLOOKUP(Proponentes[[#This Row],[Propuesta]],Hoja2!$A$2:$D$329,4,FALSE)</f>
        <v>NO CUMPLE</v>
      </c>
      <c r="AK16" s="101"/>
    </row>
    <row r="17" spans="1:37" ht="16" x14ac:dyDescent="0.2">
      <c r="A17" s="10">
        <v>16</v>
      </c>
      <c r="B17" s="11">
        <v>823002825</v>
      </c>
      <c r="C17" s="12" t="s">
        <v>48</v>
      </c>
      <c r="D17" s="13">
        <v>57280000</v>
      </c>
      <c r="E17" s="13">
        <v>57280000</v>
      </c>
      <c r="F17" s="25">
        <f>Proponentes[[#This Row],[Activo Corriente]]+Proponentes[[#This Row],[Activo NO Corriente]]</f>
        <v>114560000</v>
      </c>
      <c r="G17" s="13">
        <v>6427047</v>
      </c>
      <c r="H17" s="13">
        <v>0</v>
      </c>
      <c r="I17" s="25">
        <f>Proponentes[[#This Row],[Pasivo Corriente]]+Proponentes[[#This Row],[Pasivo NO Corriente]]</f>
        <v>6427047</v>
      </c>
      <c r="J17" s="14">
        <f>Proponentes[[#This Row],[Total ACTIVO]]-Proponentes[[#This Row],[Total Pasivo]]</f>
        <v>108132953</v>
      </c>
      <c r="K17" s="48">
        <f>VLOOKUP(Proponentes[[#This Row],[Propuesta]],Hoja2!$A$2:$G$239,7,FALSE)</f>
        <v>0</v>
      </c>
      <c r="L17" s="15" t="s">
        <v>36</v>
      </c>
      <c r="M17" s="15" t="s">
        <v>28</v>
      </c>
      <c r="N17" s="55">
        <f>IFERROR(VLOOKUP(Proponentes[[#This Row],[Cap Op en SMMLV]],Base!$A$15:$F$20,3),0)</f>
        <v>0</v>
      </c>
      <c r="O17" s="16">
        <f>IFERROR(VLOOKUP(Proponentes[[#This Row],[Cap Op en SMMLV]],Base!$A$15:$F$20,4),0)</f>
        <v>0</v>
      </c>
      <c r="P17" s="17">
        <f>IFERROR(VLOOKUP(Proponentes[[#This Row],[Cap Op en SMMLV]],Tabla2[],6),0)</f>
        <v>0</v>
      </c>
      <c r="Q17" s="18">
        <f>IFERROR(VLOOKUP(Proponentes[[#This Row],[Cap Op en SMMLV]],Base!$A$15:$F$20,5),0)</f>
        <v>0</v>
      </c>
      <c r="R17" s="18">
        <f>IFERROR(VLOOKUP(Proponentes[[#This Row],[Cap Op en SMMLV]],Tabla2[[DE]:[HASTA]],2),0)</f>
        <v>0</v>
      </c>
      <c r="S17" s="19">
        <f>IFERROR(Proponentes[[#This Row],[Activo Corriente]]/Proponentes[[#This Row],[Pasivo Corriente]],"INDETERMINADO")</f>
        <v>8.9123356340789162</v>
      </c>
      <c r="T17" s="20">
        <f>IFERROR(Proponentes[[#This Row],[Total Pasivo]]/Proponentes[[#This Row],[Total ACTIVO]],0)</f>
        <v>5.6102016410614526E-2</v>
      </c>
      <c r="U17" s="21">
        <f>(Proponentes[[#This Row],[Activo Corriente]]-Proponentes[[#This Row],[Pasivo Corriente]])/Base!$B$3</f>
        <v>61.408006849281982</v>
      </c>
      <c r="V17" s="22">
        <f>Proponentes[[#This Row],[Activo Corriente]]-Proponentes[[#This Row],[Pasivo Corriente]]</f>
        <v>50852953</v>
      </c>
      <c r="W17" s="13">
        <f>IFERROR(VLOOKUP(Proponentes[[#This Row],[Propuesta]],Hoja2!$A$2:$G$329,7,FALSE),0)</f>
        <v>0</v>
      </c>
      <c r="X17" s="83">
        <f>IF(Proponentes[[#This Row],[Cap Op en Pesos]]=0,0,IF(Proponentes[[#This Row],[Cap Op en Pesos]]=0,1,Proponentes[[#This Row],[Cap Op en Pesos]]/Base!B$3))</f>
        <v>0</v>
      </c>
      <c r="Y1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7" s="23" t="str">
        <f>IF(AND(Proponentes[[#This Row],[Cumple
Liquidez]]="CUMPLE",Proponentes[[#This Row],[Cumple
Endeudamiento]]="CUMPLE",Proponentes[[#This Row],[Cumple
Capital de Trabajo]]="CUMPLE"),"CUMPLE","NO CUMPLE")</f>
        <v>NO CUMPLE</v>
      </c>
      <c r="AC17" s="24"/>
      <c r="AD17" s="10">
        <f>IF(Proponentes[[#This Row],[Liquidez
Oferente]]&lt;=1,1,IF(Proponentes[[#This Row],[Liquidez
Oferente]]&lt;=1.1,2,IF(Proponentes[[#This Row],[Liquidez
Oferente]]&lt;=1.2,3,IF(Proponentes[[#This Row],[Liquidez
Oferente]]&lt;=1.3,4,IF(Proponentes[[#This Row],[Liquidez
Oferente]]&lt;=1.4,5,6)))))</f>
        <v>6</v>
      </c>
      <c r="AE17" s="10">
        <f>IF(Proponentes[[#This Row],[Endeudamiento
Oferente]]&lt;=66%,6,IF(Proponentes[[#This Row],[Endeudamiento
Oferente]]&lt;=58,5,IF(Proponentes[[#This Row],[Endeudamiento
Oferente]]&lt;=70,4,IF(Proponentes[[#This Row],[Endeudamiento
Oferente]]&lt;=72,3,IF(Proponentes[[#This Row],[Endeudamiento
Oferente]]&lt;=74,2,1)))))</f>
        <v>6</v>
      </c>
      <c r="AF1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5</v>
      </c>
      <c r="AG17" s="10">
        <f>IF(Proponentes[[#This Row],[Cap Op en SMMLV]]&lt;=500,1,IF(Proponentes[[#This Row],[Cap Op en SMMLV]]&lt;=1000,2,IF(Proponentes[[#This Row],[Cap Op en SMMLV]]&lt;=1500,3,IF(Proponentes[[#This Row],[Cap Op en SMMLV]]&lt;=2000,4,IF(Proponentes[[#This Row],[Cap Op en SMMLV]]&lt;=2500,5,6)))))</f>
        <v>1</v>
      </c>
      <c r="AH17" s="10">
        <f>MIN(Proponentes[[#This Row],[a]:[d]])</f>
        <v>1</v>
      </c>
      <c r="AI17" s="87">
        <f>IF(Proponentes[[#This Row],[e]]=Proponentes[[#This Row],[d]],Proponentes[[#This Row],[Cap Op en SMMLV]],VLOOKUP(Proponentes[[#This Row],[e]],Base!$D$1:$E$6,2,FALSE))</f>
        <v>0</v>
      </c>
      <c r="AJ17" s="101" t="str">
        <f>VLOOKUP(Proponentes[[#This Row],[Propuesta]],Hoja2!$A$2:$D$329,4,FALSE)</f>
        <v>NO CUMPLE</v>
      </c>
      <c r="AK17" s="101"/>
    </row>
    <row r="18" spans="1:37" ht="32" x14ac:dyDescent="0.2">
      <c r="A18" s="10">
        <v>17</v>
      </c>
      <c r="B18" s="11">
        <v>805008295</v>
      </c>
      <c r="C18" s="12" t="s">
        <v>49</v>
      </c>
      <c r="D18" s="13">
        <v>0</v>
      </c>
      <c r="E18" s="13">
        <v>0</v>
      </c>
      <c r="F18" s="25">
        <f>Proponentes[[#This Row],[Activo Corriente]]+Proponentes[[#This Row],[Activo NO Corriente]]</f>
        <v>0</v>
      </c>
      <c r="G18" s="13">
        <v>0</v>
      </c>
      <c r="H18" s="13">
        <v>0</v>
      </c>
      <c r="I18" s="25">
        <f>Proponentes[[#This Row],[Pasivo Corriente]]+Proponentes[[#This Row],[Pasivo NO Corriente]]</f>
        <v>0</v>
      </c>
      <c r="J18" s="14">
        <f>Proponentes[[#This Row],[Total ACTIVO]]-Proponentes[[#This Row],[Total Pasivo]]</f>
        <v>0</v>
      </c>
      <c r="K18" s="48">
        <f>VLOOKUP(Proponentes[[#This Row],[Propuesta]],Hoja2!$A$2:$G$239,7,FALSE)</f>
        <v>414142839.85657036</v>
      </c>
      <c r="L18" s="15" t="s">
        <v>50</v>
      </c>
      <c r="M18" s="15" t="s">
        <v>28</v>
      </c>
      <c r="N18" s="55">
        <f>IFERROR(VLOOKUP(Proponentes[[#This Row],[Cap Op en SMMLV]],Base!$A$15:$F$20,3),0)</f>
        <v>1</v>
      </c>
      <c r="O18" s="16">
        <f>IFERROR(VLOOKUP(Proponentes[[#This Row],[Cap Op en SMMLV]],Base!$A$15:$F$20,4),0)</f>
        <v>0.76</v>
      </c>
      <c r="P18" s="17">
        <f>IFERROR(VLOOKUP(Proponentes[[#This Row],[Cap Op en SMMLV]],Tabla2[],6),0)</f>
        <v>12.5</v>
      </c>
      <c r="Q18" s="18">
        <f>IFERROR(VLOOKUP(Proponentes[[#This Row],[Cap Op en SMMLV]],Base!$A$15:$F$20,5),0)</f>
        <v>10351450</v>
      </c>
      <c r="R18" s="18">
        <f>IFERROR(VLOOKUP(Proponentes[[#This Row],[Cap Op en SMMLV]],Tabla2[[DE]:[HASTA]],2),0)</f>
        <v>500</v>
      </c>
      <c r="S18" s="19" t="str">
        <f>IFERROR(Proponentes[[#This Row],[Activo Corriente]]/Proponentes[[#This Row],[Pasivo Corriente]],"INDETERMINADO")</f>
        <v>INDETERMINADO</v>
      </c>
      <c r="T18" s="20">
        <f>IFERROR(Proponentes[[#This Row],[Total Pasivo]]/Proponentes[[#This Row],[Total ACTIVO]],0)</f>
        <v>0</v>
      </c>
      <c r="U18" s="21">
        <f>(Proponentes[[#This Row],[Activo Corriente]]-Proponentes[[#This Row],[Pasivo Corriente]])/Base!$B$3</f>
        <v>0</v>
      </c>
      <c r="V18" s="22">
        <f>Proponentes[[#This Row],[Activo Corriente]]-Proponentes[[#This Row],[Pasivo Corriente]]</f>
        <v>0</v>
      </c>
      <c r="W18" s="13">
        <f>IFERROR(VLOOKUP(Proponentes[[#This Row],[Propuesta]],Hoja2!$A$2:$G$329,7,FALSE),0)</f>
        <v>414142839.85657036</v>
      </c>
      <c r="X18" s="83">
        <f>IF(Proponentes[[#This Row],[Cap Op en Pesos]]=0,0,IF(Proponentes[[#This Row],[Cap Op en Pesos]]=0,1,Proponentes[[#This Row],[Cap Op en Pesos]]/Base!B$3))</f>
        <v>500.1024492420994</v>
      </c>
      <c r="Y1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1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18" s="23" t="str">
        <f>IF(AND(Proponentes[[#This Row],[Cumple
Liquidez]]="CUMPLE",Proponentes[[#This Row],[Cumple
Endeudamiento]]="CUMPLE",Proponentes[[#This Row],[Cumple
Capital de Trabajo]]="CUMPLE"),"CUMPLE","NO CUMPLE")</f>
        <v>NO CUMPLE</v>
      </c>
      <c r="AC18" s="24"/>
      <c r="AD18" s="10">
        <f>IF(Proponentes[[#This Row],[Liquidez
Oferente]]&lt;=1,1,IF(Proponentes[[#This Row],[Liquidez
Oferente]]&lt;=1.1,2,IF(Proponentes[[#This Row],[Liquidez
Oferente]]&lt;=1.2,3,IF(Proponentes[[#This Row],[Liquidez
Oferente]]&lt;=1.3,4,IF(Proponentes[[#This Row],[Liquidez
Oferente]]&lt;=1.4,5,6)))))</f>
        <v>6</v>
      </c>
      <c r="AE18" s="10">
        <f>IF(Proponentes[[#This Row],[Endeudamiento
Oferente]]&lt;=66%,6,IF(Proponentes[[#This Row],[Endeudamiento
Oferente]]&lt;=58,5,IF(Proponentes[[#This Row],[Endeudamiento
Oferente]]&lt;=70,4,IF(Proponentes[[#This Row],[Endeudamiento
Oferente]]&lt;=72,3,IF(Proponentes[[#This Row],[Endeudamiento
Oferente]]&lt;=74,2,1)))))</f>
        <v>6</v>
      </c>
      <c r="AF1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18" s="10">
        <f>IF(Proponentes[[#This Row],[Cap Op en SMMLV]]&lt;=500,1,IF(Proponentes[[#This Row],[Cap Op en SMMLV]]&lt;=1000,2,IF(Proponentes[[#This Row],[Cap Op en SMMLV]]&lt;=1500,3,IF(Proponentes[[#This Row],[Cap Op en SMMLV]]&lt;=2000,4,IF(Proponentes[[#This Row],[Cap Op en SMMLV]]&lt;=2500,5,6)))))</f>
        <v>2</v>
      </c>
      <c r="AH18" s="10">
        <f>MIN(Proponentes[[#This Row],[a]:[d]])</f>
        <v>1</v>
      </c>
      <c r="AI18" s="87">
        <f>IF(Proponentes[[#This Row],[e]]=Proponentes[[#This Row],[d]],Proponentes[[#This Row],[Cap Op en SMMLV]],VLOOKUP(Proponentes[[#This Row],[e]],Base!$D$1:$E$6,2,FALSE))</f>
        <v>500</v>
      </c>
      <c r="AJ18" s="101" t="str">
        <f>VLOOKUP(Proponentes[[#This Row],[Propuesta]],Hoja2!$A$2:$D$329,4,FALSE)</f>
        <v>CUMPLE</v>
      </c>
      <c r="AK18" s="101"/>
    </row>
    <row r="19" spans="1:37" ht="16" x14ac:dyDescent="0.2">
      <c r="A19" s="10">
        <v>18</v>
      </c>
      <c r="B19" s="11">
        <v>890000432</v>
      </c>
      <c r="C19" s="12" t="s">
        <v>51</v>
      </c>
      <c r="D19" s="13">
        <v>38147196112</v>
      </c>
      <c r="E19" s="13">
        <v>148282266456</v>
      </c>
      <c r="F19" s="25">
        <f>Proponentes[[#This Row],[Activo Corriente]]+Proponentes[[#This Row],[Activo NO Corriente]]</f>
        <v>186429462568</v>
      </c>
      <c r="G19" s="13">
        <v>10109351181</v>
      </c>
      <c r="H19" s="13">
        <v>0</v>
      </c>
      <c r="I19" s="25">
        <f>Proponentes[[#This Row],[Pasivo Corriente]]+Proponentes[[#This Row],[Pasivo NO Corriente]]</f>
        <v>10109351181</v>
      </c>
      <c r="J19" s="14">
        <f>Proponentes[[#This Row],[Total ACTIVO]]-Proponentes[[#This Row],[Total Pasivo]]</f>
        <v>176320111387</v>
      </c>
      <c r="K19" s="48">
        <f>VLOOKUP(Proponentes[[#This Row],[Propuesta]],Hoja2!$A$2:$G$239,7,FALSE)</f>
        <v>415632450.14122242</v>
      </c>
      <c r="L19" s="15" t="s">
        <v>36</v>
      </c>
      <c r="M19" s="15" t="s">
        <v>28</v>
      </c>
      <c r="N19" s="55">
        <f>IFERROR(VLOOKUP(Proponentes[[#This Row],[Cap Op en SMMLV]],Base!$A$15:$F$20,3),0)</f>
        <v>1.1000000000000001</v>
      </c>
      <c r="O19" s="16">
        <f>IFERROR(VLOOKUP(Proponentes[[#This Row],[Cap Op en SMMLV]],Base!$A$15:$F$20,4),0)</f>
        <v>0.74</v>
      </c>
      <c r="P19" s="17">
        <f>IFERROR(VLOOKUP(Proponentes[[#This Row],[Cap Op en SMMLV]],Tabla2[],6),0)</f>
        <v>25</v>
      </c>
      <c r="Q19" s="18">
        <f>IFERROR(VLOOKUP(Proponentes[[#This Row],[Cap Op en SMMLV]],Base!$A$15:$F$20,5),0)</f>
        <v>20702900</v>
      </c>
      <c r="R19" s="18">
        <f>IFERROR(VLOOKUP(Proponentes[[#This Row],[Cap Op en SMMLV]],Tabla2[[DE]:[HASTA]],2),0)</f>
        <v>1000</v>
      </c>
      <c r="S19" s="19">
        <f>IFERROR(Proponentes[[#This Row],[Activo Corriente]]/Proponentes[[#This Row],[Pasivo Corriente]],"INDETERMINADO")</f>
        <v>3.7734564196064007</v>
      </c>
      <c r="T19" s="20">
        <f>IFERROR(Proponentes[[#This Row],[Total Pasivo]]/Proponentes[[#This Row],[Total ACTIVO]],0)</f>
        <v>5.4226145598164896E-2</v>
      </c>
      <c r="U19" s="21">
        <f>(Proponentes[[#This Row],[Activo Corriente]]-Proponentes[[#This Row],[Pasivo Corriente]])/Base!$B$3</f>
        <v>33857.388253577999</v>
      </c>
      <c r="V19" s="22">
        <f>Proponentes[[#This Row],[Activo Corriente]]-Proponentes[[#This Row],[Pasivo Corriente]]</f>
        <v>28037844931</v>
      </c>
      <c r="W19" s="13">
        <f>IFERROR(VLOOKUP(Proponentes[[#This Row],[Propuesta]],Hoja2!$A$2:$G$329,7,FALSE),0)</f>
        <v>415632450.14122242</v>
      </c>
      <c r="X19" s="83">
        <f>IF(Proponentes[[#This Row],[Cap Op en Pesos]]=0,0,IF(Proponentes[[#This Row],[Cap Op en Pesos]]=0,1,Proponentes[[#This Row],[Cap Op en Pesos]]/Base!B$3))</f>
        <v>501.90124347461278</v>
      </c>
      <c r="Y1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9" s="23" t="str">
        <f>IF(AND(Proponentes[[#This Row],[Cumple
Liquidez]]="CUMPLE",Proponentes[[#This Row],[Cumple
Endeudamiento]]="CUMPLE",Proponentes[[#This Row],[Cumple
Capital de Trabajo]]="CUMPLE"),"CUMPLE","NO CUMPLE")</f>
        <v>CUMPLE</v>
      </c>
      <c r="AC19" s="24"/>
      <c r="AD19" s="10">
        <f>IF(Proponentes[[#This Row],[Liquidez
Oferente]]&lt;=1,1,IF(Proponentes[[#This Row],[Liquidez
Oferente]]&lt;=1.1,2,IF(Proponentes[[#This Row],[Liquidez
Oferente]]&lt;=1.2,3,IF(Proponentes[[#This Row],[Liquidez
Oferente]]&lt;=1.3,4,IF(Proponentes[[#This Row],[Liquidez
Oferente]]&lt;=1.4,5,6)))))</f>
        <v>6</v>
      </c>
      <c r="AE19" s="10">
        <f>IF(Proponentes[[#This Row],[Endeudamiento
Oferente]]&lt;=66%,6,IF(Proponentes[[#This Row],[Endeudamiento
Oferente]]&lt;=58,5,IF(Proponentes[[#This Row],[Endeudamiento
Oferente]]&lt;=70,4,IF(Proponentes[[#This Row],[Endeudamiento
Oferente]]&lt;=72,3,IF(Proponentes[[#This Row],[Endeudamiento
Oferente]]&lt;=74,2,1)))))</f>
        <v>6</v>
      </c>
      <c r="AF1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9" s="10">
        <f>IF(Proponentes[[#This Row],[Cap Op en SMMLV]]&lt;=500,1,IF(Proponentes[[#This Row],[Cap Op en SMMLV]]&lt;=1000,2,IF(Proponentes[[#This Row],[Cap Op en SMMLV]]&lt;=1500,3,IF(Proponentes[[#This Row],[Cap Op en SMMLV]]&lt;=2000,4,IF(Proponentes[[#This Row],[Cap Op en SMMLV]]&lt;=2500,5,6)))))</f>
        <v>2</v>
      </c>
      <c r="AH19" s="10">
        <f>MIN(Proponentes[[#This Row],[a]:[d]])</f>
        <v>2</v>
      </c>
      <c r="AI19" s="87">
        <f>IF(Proponentes[[#This Row],[e]]=Proponentes[[#This Row],[d]],Proponentes[[#This Row],[Cap Op en SMMLV]],VLOOKUP(Proponentes[[#This Row],[e]],Base!$D$1:$E$6,2,FALSE))</f>
        <v>501.90124347461278</v>
      </c>
      <c r="AJ19" s="101" t="str">
        <f>VLOOKUP(Proponentes[[#This Row],[Propuesta]],Hoja2!$A$2:$D$329,4,FALSE)</f>
        <v>CUMPLE</v>
      </c>
      <c r="AK19" s="101"/>
    </row>
    <row r="20" spans="1:37" ht="16" x14ac:dyDescent="0.2">
      <c r="A20" s="10">
        <v>19</v>
      </c>
      <c r="B20" s="11">
        <v>805027243</v>
      </c>
      <c r="C20" s="12" t="s">
        <v>52</v>
      </c>
      <c r="D20" s="13">
        <v>1288348672</v>
      </c>
      <c r="E20" s="13">
        <v>1876342565</v>
      </c>
      <c r="F20" s="25">
        <f>Proponentes[[#This Row],[Activo Corriente]]+Proponentes[[#This Row],[Activo NO Corriente]]</f>
        <v>3164691237</v>
      </c>
      <c r="G20" s="13">
        <v>880831338</v>
      </c>
      <c r="H20" s="13">
        <v>538062666</v>
      </c>
      <c r="I20" s="25">
        <f>Proponentes[[#This Row],[Pasivo Corriente]]+Proponentes[[#This Row],[Pasivo NO Corriente]]</f>
        <v>1418894004</v>
      </c>
      <c r="J20" s="14">
        <f>Proponentes[[#This Row],[Total ACTIVO]]-Proponentes[[#This Row],[Total Pasivo]]</f>
        <v>1745797233</v>
      </c>
      <c r="K20" s="48">
        <f>VLOOKUP(Proponentes[[#This Row],[Propuesta]],Hoja2!$A$2:$G$239,7,FALSE)</f>
        <v>122307273.56100033</v>
      </c>
      <c r="L20" s="15"/>
      <c r="M20" s="15" t="s">
        <v>28</v>
      </c>
      <c r="N20" s="55">
        <f>IFERROR(VLOOKUP(Proponentes[[#This Row],[Cap Op en SMMLV]],Base!$A$15:$F$20,3),0)</f>
        <v>1</v>
      </c>
      <c r="O20" s="16">
        <f>IFERROR(VLOOKUP(Proponentes[[#This Row],[Cap Op en SMMLV]],Base!$A$15:$F$20,4),0)</f>
        <v>0.76</v>
      </c>
      <c r="P20" s="17">
        <f>IFERROR(VLOOKUP(Proponentes[[#This Row],[Cap Op en SMMLV]],Tabla2[],6),0)</f>
        <v>12.5</v>
      </c>
      <c r="Q20" s="18">
        <f>IFERROR(VLOOKUP(Proponentes[[#This Row],[Cap Op en SMMLV]],Base!$A$15:$F$20,5),0)</f>
        <v>10351450</v>
      </c>
      <c r="R20" s="18">
        <f>IFERROR(VLOOKUP(Proponentes[[#This Row],[Cap Op en SMMLV]],Tabla2[[DE]:[HASTA]],2),0)</f>
        <v>500</v>
      </c>
      <c r="S20" s="19">
        <f>IFERROR(Proponentes[[#This Row],[Activo Corriente]]/Proponentes[[#This Row],[Pasivo Corriente]],"INDETERMINADO")</f>
        <v>1.4626508122716224</v>
      </c>
      <c r="T20" s="20">
        <f>IFERROR(Proponentes[[#This Row],[Total Pasivo]]/Proponentes[[#This Row],[Total ACTIVO]],0)</f>
        <v>0.44835148131071845</v>
      </c>
      <c r="U20" s="21">
        <f>(Proponentes[[#This Row],[Activo Corriente]]-Proponentes[[#This Row],[Pasivo Corriente]])/Base!$B$3</f>
        <v>492.10175144544968</v>
      </c>
      <c r="V20" s="22">
        <f>Proponentes[[#This Row],[Activo Corriente]]-Proponentes[[#This Row],[Pasivo Corriente]]</f>
        <v>407517334</v>
      </c>
      <c r="W20" s="13">
        <f>IFERROR(VLOOKUP(Proponentes[[#This Row],[Propuesta]],Hoja2!$A$2:$G$329,7,FALSE),0)</f>
        <v>122307273.56100033</v>
      </c>
      <c r="X20" s="83">
        <f>IF(Proponentes[[#This Row],[Cap Op en Pesos]]=0,0,IF(Proponentes[[#This Row],[Cap Op en Pesos]]=0,1,Proponentes[[#This Row],[Cap Op en Pesos]]/Base!B$3))</f>
        <v>147.69340715672723</v>
      </c>
      <c r="Y2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0" s="23" t="str">
        <f>IF(AND(Proponentes[[#This Row],[Cumple
Liquidez]]="CUMPLE",Proponentes[[#This Row],[Cumple
Endeudamiento]]="CUMPLE",Proponentes[[#This Row],[Cumple
Capital de Trabajo]]="CUMPLE"),"CUMPLE","NO CUMPLE")</f>
        <v>CUMPLE</v>
      </c>
      <c r="AC20" s="24"/>
      <c r="AD20" s="10">
        <f>IF(Proponentes[[#This Row],[Liquidez
Oferente]]&lt;=1,1,IF(Proponentes[[#This Row],[Liquidez
Oferente]]&lt;=1.1,2,IF(Proponentes[[#This Row],[Liquidez
Oferente]]&lt;=1.2,3,IF(Proponentes[[#This Row],[Liquidez
Oferente]]&lt;=1.3,4,IF(Proponentes[[#This Row],[Liquidez
Oferente]]&lt;=1.4,5,6)))))</f>
        <v>6</v>
      </c>
      <c r="AE20" s="10">
        <f>IF(Proponentes[[#This Row],[Endeudamiento
Oferente]]&lt;=66%,6,IF(Proponentes[[#This Row],[Endeudamiento
Oferente]]&lt;=58,5,IF(Proponentes[[#This Row],[Endeudamiento
Oferente]]&lt;=70,4,IF(Proponentes[[#This Row],[Endeudamiento
Oferente]]&lt;=72,3,IF(Proponentes[[#This Row],[Endeudamiento
Oferente]]&lt;=74,2,1)))))</f>
        <v>6</v>
      </c>
      <c r="AF2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0" s="10">
        <f>IF(Proponentes[[#This Row],[Cap Op en SMMLV]]&lt;=500,1,IF(Proponentes[[#This Row],[Cap Op en SMMLV]]&lt;=1000,2,IF(Proponentes[[#This Row],[Cap Op en SMMLV]]&lt;=1500,3,IF(Proponentes[[#This Row],[Cap Op en SMMLV]]&lt;=2000,4,IF(Proponentes[[#This Row],[Cap Op en SMMLV]]&lt;=2500,5,6)))))</f>
        <v>1</v>
      </c>
      <c r="AH20" s="10">
        <f>MIN(Proponentes[[#This Row],[a]:[d]])</f>
        <v>1</v>
      </c>
      <c r="AI20" s="87">
        <f>IF(Proponentes[[#This Row],[e]]=Proponentes[[#This Row],[d]],Proponentes[[#This Row],[Cap Op en SMMLV]],VLOOKUP(Proponentes[[#This Row],[e]],Base!$D$1:$E$6,2,FALSE))</f>
        <v>147.69340715672723</v>
      </c>
      <c r="AJ20" s="101" t="str">
        <f>VLOOKUP(Proponentes[[#This Row],[Propuesta]],Hoja2!$A$2:$D$329,4,FALSE)</f>
        <v>CUMPLE</v>
      </c>
      <c r="AK20" s="101"/>
    </row>
    <row r="21" spans="1:37" ht="16" x14ac:dyDescent="0.2">
      <c r="A21" s="10">
        <v>20</v>
      </c>
      <c r="B21" s="11">
        <v>824002211</v>
      </c>
      <c r="C21" s="12" t="s">
        <v>53</v>
      </c>
      <c r="D21" s="13">
        <v>425291000</v>
      </c>
      <c r="E21" s="13">
        <v>238498000</v>
      </c>
      <c r="F21" s="25">
        <f>Proponentes[[#This Row],[Activo Corriente]]+Proponentes[[#This Row],[Activo NO Corriente]]</f>
        <v>663789000</v>
      </c>
      <c r="G21" s="13">
        <v>87440000</v>
      </c>
      <c r="H21" s="13">
        <v>0</v>
      </c>
      <c r="I21" s="25">
        <f>Proponentes[[#This Row],[Pasivo Corriente]]+Proponentes[[#This Row],[Pasivo NO Corriente]]</f>
        <v>87440000</v>
      </c>
      <c r="J21" s="14">
        <f>Proponentes[[#This Row],[Total ACTIVO]]-Proponentes[[#This Row],[Total Pasivo]]</f>
        <v>576349000</v>
      </c>
      <c r="K21" s="48">
        <f>VLOOKUP(Proponentes[[#This Row],[Propuesta]],Hoja2!$A$2:$G$239,7,FALSE)</f>
        <v>77828238.677102</v>
      </c>
      <c r="L21" s="15"/>
      <c r="M21" s="15" t="s">
        <v>28</v>
      </c>
      <c r="N21" s="55">
        <f>IFERROR(VLOOKUP(Proponentes[[#This Row],[Cap Op en SMMLV]],Base!$A$15:$F$20,3),0)</f>
        <v>1</v>
      </c>
      <c r="O21" s="16">
        <f>IFERROR(VLOOKUP(Proponentes[[#This Row],[Cap Op en SMMLV]],Base!$A$15:$F$20,4),0)</f>
        <v>0.76</v>
      </c>
      <c r="P21" s="17">
        <f>IFERROR(VLOOKUP(Proponentes[[#This Row],[Cap Op en SMMLV]],Tabla2[],6),0)</f>
        <v>12.5</v>
      </c>
      <c r="Q21" s="18">
        <f>IFERROR(VLOOKUP(Proponentes[[#This Row],[Cap Op en SMMLV]],Base!$A$15:$F$20,5),0)</f>
        <v>10351450</v>
      </c>
      <c r="R21" s="18">
        <f>IFERROR(VLOOKUP(Proponentes[[#This Row],[Cap Op en SMMLV]],Tabla2[[DE]:[HASTA]],2),0)</f>
        <v>500</v>
      </c>
      <c r="S21" s="19">
        <f>IFERROR(Proponentes[[#This Row],[Activo Corriente]]/Proponentes[[#This Row],[Pasivo Corriente]],"INDETERMINADO")</f>
        <v>4.8638037511436414</v>
      </c>
      <c r="T21" s="20">
        <f>IFERROR(Proponentes[[#This Row],[Total Pasivo]]/Proponentes[[#This Row],[Total ACTIVO]],0)</f>
        <v>0.13172860653008711</v>
      </c>
      <c r="U21" s="21">
        <f>(Proponentes[[#This Row],[Activo Corriente]]-Proponentes[[#This Row],[Pasivo Corriente]])/Base!$B$3</f>
        <v>407.97545271435405</v>
      </c>
      <c r="V21" s="22">
        <f>Proponentes[[#This Row],[Activo Corriente]]-Proponentes[[#This Row],[Pasivo Corriente]]</f>
        <v>337851000</v>
      </c>
      <c r="W21" s="13">
        <f>IFERROR(VLOOKUP(Proponentes[[#This Row],[Propuesta]],Hoja2!$A$2:$G$329,7,FALSE),0)</f>
        <v>77828238.677102</v>
      </c>
      <c r="X21" s="83">
        <f>IF(Proponentes[[#This Row],[Cap Op en Pesos]]=0,0,IF(Proponentes[[#This Row],[Cap Op en Pesos]]=0,1,Proponentes[[#This Row],[Cap Op en Pesos]]/Base!B$3))</f>
        <v>93.98229073837723</v>
      </c>
      <c r="Y2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1" s="23" t="str">
        <f>IF(AND(Proponentes[[#This Row],[Cumple
Liquidez]]="CUMPLE",Proponentes[[#This Row],[Cumple
Endeudamiento]]="CUMPLE",Proponentes[[#This Row],[Cumple
Capital de Trabajo]]="CUMPLE"),"CUMPLE","NO CUMPLE")</f>
        <v>CUMPLE</v>
      </c>
      <c r="AC21" s="24"/>
      <c r="AD21" s="10">
        <f>IF(Proponentes[[#This Row],[Liquidez
Oferente]]&lt;=1,1,IF(Proponentes[[#This Row],[Liquidez
Oferente]]&lt;=1.1,2,IF(Proponentes[[#This Row],[Liquidez
Oferente]]&lt;=1.2,3,IF(Proponentes[[#This Row],[Liquidez
Oferente]]&lt;=1.3,4,IF(Proponentes[[#This Row],[Liquidez
Oferente]]&lt;=1.4,5,6)))))</f>
        <v>6</v>
      </c>
      <c r="AE21" s="10">
        <f>IF(Proponentes[[#This Row],[Endeudamiento
Oferente]]&lt;=66%,6,IF(Proponentes[[#This Row],[Endeudamiento
Oferente]]&lt;=58,5,IF(Proponentes[[#This Row],[Endeudamiento
Oferente]]&lt;=70,4,IF(Proponentes[[#This Row],[Endeudamiento
Oferente]]&lt;=72,3,IF(Proponentes[[#This Row],[Endeudamiento
Oferente]]&lt;=74,2,1)))))</f>
        <v>6</v>
      </c>
      <c r="AF2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1" s="10">
        <f>IF(Proponentes[[#This Row],[Cap Op en SMMLV]]&lt;=500,1,IF(Proponentes[[#This Row],[Cap Op en SMMLV]]&lt;=1000,2,IF(Proponentes[[#This Row],[Cap Op en SMMLV]]&lt;=1500,3,IF(Proponentes[[#This Row],[Cap Op en SMMLV]]&lt;=2000,4,IF(Proponentes[[#This Row],[Cap Op en SMMLV]]&lt;=2500,5,6)))))</f>
        <v>1</v>
      </c>
      <c r="AH21" s="10">
        <f>MIN(Proponentes[[#This Row],[a]:[d]])</f>
        <v>1</v>
      </c>
      <c r="AI21" s="87">
        <f>IF(Proponentes[[#This Row],[e]]=Proponentes[[#This Row],[d]],Proponentes[[#This Row],[Cap Op en SMMLV]],VLOOKUP(Proponentes[[#This Row],[e]],Base!$D$1:$E$6,2,FALSE))</f>
        <v>93.98229073837723</v>
      </c>
      <c r="AJ21" s="101" t="str">
        <f>VLOOKUP(Proponentes[[#This Row],[Propuesta]],Hoja2!$A$2:$D$329,4,FALSE)</f>
        <v>NO CUMPLE</v>
      </c>
      <c r="AK21" s="101"/>
    </row>
    <row r="22" spans="1:37" ht="16" x14ac:dyDescent="0.2">
      <c r="A22" s="10">
        <v>21</v>
      </c>
      <c r="B22" s="11">
        <v>890905179</v>
      </c>
      <c r="C22" s="12" t="s">
        <v>54</v>
      </c>
      <c r="D22" s="13">
        <v>3892556000</v>
      </c>
      <c r="E22" s="13">
        <v>5259849000</v>
      </c>
      <c r="F22" s="25">
        <f>Proponentes[[#This Row],[Activo Corriente]]+Proponentes[[#This Row],[Activo NO Corriente]]</f>
        <v>9152405000</v>
      </c>
      <c r="G22" s="13">
        <v>1422997000</v>
      </c>
      <c r="H22" s="13">
        <v>1990000</v>
      </c>
      <c r="I22" s="25">
        <f>Proponentes[[#This Row],[Pasivo Corriente]]+Proponentes[[#This Row],[Pasivo NO Corriente]]</f>
        <v>1424987000</v>
      </c>
      <c r="J22" s="14">
        <f>Proponentes[[#This Row],[Total ACTIVO]]-Proponentes[[#This Row],[Total Pasivo]]</f>
        <v>7727418000</v>
      </c>
      <c r="K22" s="48">
        <f>VLOOKUP(Proponentes[[#This Row],[Propuesta]],Hoja2!$A$2:$G$239,7,FALSE)</f>
        <v>838831780.15410459</v>
      </c>
      <c r="L22" s="15"/>
      <c r="M22" s="15" t="s">
        <v>55</v>
      </c>
      <c r="N22" s="55">
        <f>IFERROR(VLOOKUP(Proponentes[[#This Row],[Cap Op en SMMLV]],Base!$A$15:$F$20,3),0)</f>
        <v>1.2</v>
      </c>
      <c r="O22" s="16">
        <f>IFERROR(VLOOKUP(Proponentes[[#This Row],[Cap Op en SMMLV]],Base!$A$15:$F$20,4),0)</f>
        <v>0.72</v>
      </c>
      <c r="P22" s="17">
        <f>IFERROR(VLOOKUP(Proponentes[[#This Row],[Cap Op en SMMLV]],Tabla2[],6),0)</f>
        <v>37.5</v>
      </c>
      <c r="Q22" s="18">
        <f>IFERROR(VLOOKUP(Proponentes[[#This Row],[Cap Op en SMMLV]],Base!$A$15:$F$20,5),0)</f>
        <v>31054350</v>
      </c>
      <c r="R22" s="18">
        <f>IFERROR(VLOOKUP(Proponentes[[#This Row],[Cap Op en SMMLV]],Tabla2[[DE]:[HASTA]],2),0)</f>
        <v>1500</v>
      </c>
      <c r="S22" s="19">
        <f>IFERROR(Proponentes[[#This Row],[Activo Corriente]]/Proponentes[[#This Row],[Pasivo Corriente]],"INDETERMINADO")</f>
        <v>2.7354632511523214</v>
      </c>
      <c r="T22" s="20">
        <f>IFERROR(Proponentes[[#This Row],[Total Pasivo]]/Proponentes[[#This Row],[Total ACTIVO]],0)</f>
        <v>0.15569536094611197</v>
      </c>
      <c r="U22" s="21">
        <f>(Proponentes[[#This Row],[Activo Corriente]]-Proponentes[[#This Row],[Pasivo Corriente]])/Base!$B$3</f>
        <v>2982.1413908196437</v>
      </c>
      <c r="V22" s="22">
        <f>Proponentes[[#This Row],[Activo Corriente]]-Proponentes[[#This Row],[Pasivo Corriente]]</f>
        <v>2469559000</v>
      </c>
      <c r="W22" s="13">
        <f>IFERROR(VLOOKUP(Proponentes[[#This Row],[Propuesta]],Hoja2!$A$2:$G$329,7,FALSE),0)</f>
        <v>838831780.15410459</v>
      </c>
      <c r="X22" s="83">
        <f>IF(Proponentes[[#This Row],[Cap Op en Pesos]]=0,0,IF(Proponentes[[#This Row],[Cap Op en Pesos]]=0,1,Proponentes[[#This Row],[Cap Op en Pesos]]/Base!B$3))</f>
        <v>1012.9399506278162</v>
      </c>
      <c r="Y2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2" s="23" t="str">
        <f>IF(AND(Proponentes[[#This Row],[Cumple
Liquidez]]="CUMPLE",Proponentes[[#This Row],[Cumple
Endeudamiento]]="CUMPLE",Proponentes[[#This Row],[Cumple
Capital de Trabajo]]="CUMPLE"),"CUMPLE","NO CUMPLE")</f>
        <v>CUMPLE</v>
      </c>
      <c r="AC22" s="24"/>
      <c r="AD22" s="10">
        <f>IF(Proponentes[[#This Row],[Liquidez
Oferente]]&lt;=1,1,IF(Proponentes[[#This Row],[Liquidez
Oferente]]&lt;=1.1,2,IF(Proponentes[[#This Row],[Liquidez
Oferente]]&lt;=1.2,3,IF(Proponentes[[#This Row],[Liquidez
Oferente]]&lt;=1.3,4,IF(Proponentes[[#This Row],[Liquidez
Oferente]]&lt;=1.4,5,6)))))</f>
        <v>6</v>
      </c>
      <c r="AE22" s="10">
        <f>IF(Proponentes[[#This Row],[Endeudamiento
Oferente]]&lt;=66%,6,IF(Proponentes[[#This Row],[Endeudamiento
Oferente]]&lt;=58,5,IF(Proponentes[[#This Row],[Endeudamiento
Oferente]]&lt;=70,4,IF(Proponentes[[#This Row],[Endeudamiento
Oferente]]&lt;=72,3,IF(Proponentes[[#This Row],[Endeudamiento
Oferente]]&lt;=74,2,1)))))</f>
        <v>6</v>
      </c>
      <c r="AF2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2" s="10">
        <f>IF(Proponentes[[#This Row],[Cap Op en SMMLV]]&lt;=500,1,IF(Proponentes[[#This Row],[Cap Op en SMMLV]]&lt;=1000,2,IF(Proponentes[[#This Row],[Cap Op en SMMLV]]&lt;=1500,3,IF(Proponentes[[#This Row],[Cap Op en SMMLV]]&lt;=2000,4,IF(Proponentes[[#This Row],[Cap Op en SMMLV]]&lt;=2500,5,6)))))</f>
        <v>3</v>
      </c>
      <c r="AH22" s="10">
        <f>MIN(Proponentes[[#This Row],[a]:[d]])</f>
        <v>3</v>
      </c>
      <c r="AI22" s="87">
        <f>IF(Proponentes[[#This Row],[e]]=Proponentes[[#This Row],[d]],Proponentes[[#This Row],[Cap Op en SMMLV]],VLOOKUP(Proponentes[[#This Row],[e]],Base!$D$1:$E$6,2,FALSE))</f>
        <v>1012.9399506278162</v>
      </c>
      <c r="AJ22" s="101" t="str">
        <f>VLOOKUP(Proponentes[[#This Row],[Propuesta]],Hoja2!$A$2:$D$329,4,FALSE)</f>
        <v>CUMPLE</v>
      </c>
      <c r="AK22" s="101"/>
    </row>
    <row r="23" spans="1:37" ht="16" x14ac:dyDescent="0.2">
      <c r="A23" s="10">
        <v>22</v>
      </c>
      <c r="B23" s="11">
        <v>900325081</v>
      </c>
      <c r="C23" s="12" t="s">
        <v>56</v>
      </c>
      <c r="D23" s="13">
        <v>13712994392</v>
      </c>
      <c r="E23" s="13">
        <v>759972216</v>
      </c>
      <c r="F23" s="25">
        <f>Proponentes[[#This Row],[Activo Corriente]]+Proponentes[[#This Row],[Activo NO Corriente]]</f>
        <v>14472966608</v>
      </c>
      <c r="G23" s="13">
        <v>10945877778</v>
      </c>
      <c r="H23" s="13">
        <v>165593541</v>
      </c>
      <c r="I23" s="25">
        <f>Proponentes[[#This Row],[Pasivo Corriente]]+Proponentes[[#This Row],[Pasivo NO Corriente]]</f>
        <v>11111471319</v>
      </c>
      <c r="J23" s="14">
        <f>Proponentes[[#This Row],[Total ACTIVO]]-Proponentes[[#This Row],[Total Pasivo]]</f>
        <v>3361495289</v>
      </c>
      <c r="K23" s="48">
        <f>VLOOKUP(Proponentes[[#This Row],[Propuesta]],Hoja2!$A$2:$G$239,7,FALSE)</f>
        <v>0</v>
      </c>
      <c r="L23" s="15"/>
      <c r="M23" s="15" t="s">
        <v>57</v>
      </c>
      <c r="N23" s="55">
        <f>IFERROR(VLOOKUP(Proponentes[[#This Row],[Cap Op en SMMLV]],Base!$A$15:$F$20,3),0)</f>
        <v>0</v>
      </c>
      <c r="O23" s="16">
        <f>IFERROR(VLOOKUP(Proponentes[[#This Row],[Cap Op en SMMLV]],Base!$A$15:$F$20,4),0)</f>
        <v>0</v>
      </c>
      <c r="P23" s="17">
        <f>IFERROR(VLOOKUP(Proponentes[[#This Row],[Cap Op en SMMLV]],Tabla2[],6),0)</f>
        <v>0</v>
      </c>
      <c r="Q23" s="18">
        <f>IFERROR(VLOOKUP(Proponentes[[#This Row],[Cap Op en SMMLV]],Base!$A$15:$F$20,5),0)</f>
        <v>0</v>
      </c>
      <c r="R23" s="18">
        <f>IFERROR(VLOOKUP(Proponentes[[#This Row],[Cap Op en SMMLV]],Tabla2[[DE]:[HASTA]],2),0)</f>
        <v>0</v>
      </c>
      <c r="S23" s="19">
        <f>IFERROR(Proponentes[[#This Row],[Activo Corriente]]/Proponentes[[#This Row],[Pasivo Corriente]],"INDETERMINADO")</f>
        <v>1.2527998823046971</v>
      </c>
      <c r="T23" s="20">
        <f>IFERROR(Proponentes[[#This Row],[Total Pasivo]]/Proponentes[[#This Row],[Total ACTIVO]],0)</f>
        <v>0.76773971915737593</v>
      </c>
      <c r="U23" s="21">
        <f>(Proponentes[[#This Row],[Activo Corriente]]-Proponentes[[#This Row],[Pasivo Corriente]])/Base!$B$3</f>
        <v>3341.4601505103151</v>
      </c>
      <c r="V23" s="22">
        <f>Proponentes[[#This Row],[Activo Corriente]]-Proponentes[[#This Row],[Pasivo Corriente]]</f>
        <v>2767116614</v>
      </c>
      <c r="W23" s="13">
        <f>IFERROR(VLOOKUP(Proponentes[[#This Row],[Propuesta]],Hoja2!$A$2:$G$329,7,FALSE),0)</f>
        <v>0</v>
      </c>
      <c r="X23" s="83">
        <f>IF(Proponentes[[#This Row],[Cap Op en Pesos]]=0,0,IF(Proponentes[[#This Row],[Cap Op en Pesos]]=0,1,Proponentes[[#This Row],[Cap Op en Pesos]]/Base!B$3))</f>
        <v>0</v>
      </c>
      <c r="Y2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3" s="23" t="str">
        <f>IF(AND(Proponentes[[#This Row],[Cumple
Liquidez]]="CUMPLE",Proponentes[[#This Row],[Cumple
Endeudamiento]]="CUMPLE",Proponentes[[#This Row],[Cumple
Capital de Trabajo]]="CUMPLE"),"CUMPLE","NO CUMPLE")</f>
        <v>NO CUMPLE</v>
      </c>
      <c r="AC23" s="24" t="s">
        <v>782</v>
      </c>
      <c r="AD23" s="10">
        <f>IF(Proponentes[[#This Row],[Liquidez
Oferente]]&lt;=1,1,IF(Proponentes[[#This Row],[Liquidez
Oferente]]&lt;=1.1,2,IF(Proponentes[[#This Row],[Liquidez
Oferente]]&lt;=1.2,3,IF(Proponentes[[#This Row],[Liquidez
Oferente]]&lt;=1.3,4,IF(Proponentes[[#This Row],[Liquidez
Oferente]]&lt;=1.4,5,6)))))</f>
        <v>4</v>
      </c>
      <c r="AE23" s="10">
        <f>IF(Proponentes[[#This Row],[Endeudamiento
Oferente]]&lt;=66%,6,IF(Proponentes[[#This Row],[Endeudamiento
Oferente]]&lt;=58,5,IF(Proponentes[[#This Row],[Endeudamiento
Oferente]]&lt;=70,4,IF(Proponentes[[#This Row],[Endeudamiento
Oferente]]&lt;=72,3,IF(Proponentes[[#This Row],[Endeudamiento
Oferente]]&lt;=74,2,1)))))</f>
        <v>5</v>
      </c>
      <c r="AF2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3" s="10">
        <f>IF(Proponentes[[#This Row],[Cap Op en SMMLV]]&lt;=500,1,IF(Proponentes[[#This Row],[Cap Op en SMMLV]]&lt;=1000,2,IF(Proponentes[[#This Row],[Cap Op en SMMLV]]&lt;=1500,3,IF(Proponentes[[#This Row],[Cap Op en SMMLV]]&lt;=2000,4,IF(Proponentes[[#This Row],[Cap Op en SMMLV]]&lt;=2500,5,6)))))</f>
        <v>1</v>
      </c>
      <c r="AH23" s="10">
        <f>MIN(Proponentes[[#This Row],[a]:[d]])</f>
        <v>1</v>
      </c>
      <c r="AI23" s="87">
        <f>IF(Proponentes[[#This Row],[e]]=Proponentes[[#This Row],[d]],Proponentes[[#This Row],[Cap Op en SMMLV]],VLOOKUP(Proponentes[[#This Row],[e]],Base!$D$1:$E$6,2,FALSE))</f>
        <v>0</v>
      </c>
      <c r="AJ23" s="101" t="str">
        <f>VLOOKUP(Proponentes[[#This Row],[Propuesta]],Hoja2!$A$2:$D$329,4,FALSE)</f>
        <v>NO CUMPLE</v>
      </c>
      <c r="AK23" s="101"/>
    </row>
    <row r="24" spans="1:37" ht="16" x14ac:dyDescent="0.2">
      <c r="A24" s="10">
        <v>23</v>
      </c>
      <c r="B24" s="11">
        <v>900926094</v>
      </c>
      <c r="C24" s="12" t="s">
        <v>58</v>
      </c>
      <c r="D24" s="13">
        <v>3639456019</v>
      </c>
      <c r="E24" s="13">
        <v>160465600</v>
      </c>
      <c r="F24" s="25">
        <f>Proponentes[[#This Row],[Activo Corriente]]+Proponentes[[#This Row],[Activo NO Corriente]]</f>
        <v>3799921619</v>
      </c>
      <c r="G24" s="13">
        <v>590739691</v>
      </c>
      <c r="H24" s="13">
        <v>1254715087</v>
      </c>
      <c r="I24" s="25">
        <f>Proponentes[[#This Row],[Pasivo Corriente]]+Proponentes[[#This Row],[Pasivo NO Corriente]]</f>
        <v>1845454778</v>
      </c>
      <c r="J24" s="14">
        <f>Proponentes[[#This Row],[Total ACTIVO]]-Proponentes[[#This Row],[Total Pasivo]]</f>
        <v>1954466841</v>
      </c>
      <c r="K24" s="48">
        <f>VLOOKUP(Proponentes[[#This Row],[Propuesta]],Hoja2!$A$2:$G$239,7,FALSE)</f>
        <v>0</v>
      </c>
      <c r="L24" s="15"/>
      <c r="M24" s="15" t="s">
        <v>59</v>
      </c>
      <c r="N24" s="55">
        <f>IFERROR(VLOOKUP(Proponentes[[#This Row],[Cap Op en SMMLV]],Base!$A$15:$F$20,3),0)</f>
        <v>0</v>
      </c>
      <c r="O24" s="16">
        <f>IFERROR(VLOOKUP(Proponentes[[#This Row],[Cap Op en SMMLV]],Base!$A$15:$F$20,4),0)</f>
        <v>0</v>
      </c>
      <c r="P24" s="17">
        <f>IFERROR(VLOOKUP(Proponentes[[#This Row],[Cap Op en SMMLV]],Tabla2[],6),0)</f>
        <v>0</v>
      </c>
      <c r="Q24" s="18">
        <f>IFERROR(VLOOKUP(Proponentes[[#This Row],[Cap Op en SMMLV]],Base!$A$15:$F$20,5),0)</f>
        <v>0</v>
      </c>
      <c r="R24" s="18">
        <f>IFERROR(VLOOKUP(Proponentes[[#This Row],[Cap Op en SMMLV]],Tabla2[[DE]:[HASTA]],2),0)</f>
        <v>0</v>
      </c>
      <c r="S24" s="19">
        <f>IFERROR(Proponentes[[#This Row],[Activo Corriente]]/Proponentes[[#This Row],[Pasivo Corriente]],"INDETERMINADO")</f>
        <v>6.1608455880781507</v>
      </c>
      <c r="T24" s="20">
        <f>IFERROR(Proponentes[[#This Row],[Total Pasivo]]/Proponentes[[#This Row],[Total ACTIVO]],0)</f>
        <v>0.48565601163259153</v>
      </c>
      <c r="U24" s="21">
        <f>(Proponentes[[#This Row],[Activo Corriente]]-Proponentes[[#This Row],[Pasivo Corriente]])/Base!$B$3</f>
        <v>3681.5087837935748</v>
      </c>
      <c r="V24" s="22">
        <f>Proponentes[[#This Row],[Activo Corriente]]-Proponentes[[#This Row],[Pasivo Corriente]]</f>
        <v>3048716328</v>
      </c>
      <c r="W24" s="13">
        <f>IFERROR(VLOOKUP(Proponentes[[#This Row],[Propuesta]],Hoja2!$A$2:$G$329,7,FALSE),0)</f>
        <v>0</v>
      </c>
      <c r="X24" s="83">
        <f>IF(Proponentes[[#This Row],[Cap Op en Pesos]]=0,0,IF(Proponentes[[#This Row],[Cap Op en Pesos]]=0,1,Proponentes[[#This Row],[Cap Op en Pesos]]/Base!B$3))</f>
        <v>0</v>
      </c>
      <c r="Y2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4" s="23" t="str">
        <f>IF(AND(Proponentes[[#This Row],[Cumple
Liquidez]]="CUMPLE",Proponentes[[#This Row],[Cumple
Endeudamiento]]="CUMPLE",Proponentes[[#This Row],[Cumple
Capital de Trabajo]]="CUMPLE"),"CUMPLE","NO CUMPLE")</f>
        <v>NO CUMPLE</v>
      </c>
      <c r="AC24" s="24"/>
      <c r="AD24" s="10">
        <f>IF(Proponentes[[#This Row],[Liquidez
Oferente]]&lt;=1,1,IF(Proponentes[[#This Row],[Liquidez
Oferente]]&lt;=1.1,2,IF(Proponentes[[#This Row],[Liquidez
Oferente]]&lt;=1.2,3,IF(Proponentes[[#This Row],[Liquidez
Oferente]]&lt;=1.3,4,IF(Proponentes[[#This Row],[Liquidez
Oferente]]&lt;=1.4,5,6)))))</f>
        <v>6</v>
      </c>
      <c r="AE24" s="10">
        <f>IF(Proponentes[[#This Row],[Endeudamiento
Oferente]]&lt;=66%,6,IF(Proponentes[[#This Row],[Endeudamiento
Oferente]]&lt;=58,5,IF(Proponentes[[#This Row],[Endeudamiento
Oferente]]&lt;=70,4,IF(Proponentes[[#This Row],[Endeudamiento
Oferente]]&lt;=72,3,IF(Proponentes[[#This Row],[Endeudamiento
Oferente]]&lt;=74,2,1)))))</f>
        <v>6</v>
      </c>
      <c r="AF2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4" s="10">
        <f>IF(Proponentes[[#This Row],[Cap Op en SMMLV]]&lt;=500,1,IF(Proponentes[[#This Row],[Cap Op en SMMLV]]&lt;=1000,2,IF(Proponentes[[#This Row],[Cap Op en SMMLV]]&lt;=1500,3,IF(Proponentes[[#This Row],[Cap Op en SMMLV]]&lt;=2000,4,IF(Proponentes[[#This Row],[Cap Op en SMMLV]]&lt;=2500,5,6)))))</f>
        <v>1</v>
      </c>
      <c r="AH24" s="10">
        <f>MIN(Proponentes[[#This Row],[a]:[d]])</f>
        <v>1</v>
      </c>
      <c r="AI24" s="87">
        <f>IF(Proponentes[[#This Row],[e]]=Proponentes[[#This Row],[d]],Proponentes[[#This Row],[Cap Op en SMMLV]],VLOOKUP(Proponentes[[#This Row],[e]],Base!$D$1:$E$6,2,FALSE))</f>
        <v>0</v>
      </c>
      <c r="AJ24" s="101" t="str">
        <f>VLOOKUP(Proponentes[[#This Row],[Propuesta]],Hoja2!$A$2:$D$329,4,FALSE)</f>
        <v>NO CUMPLE</v>
      </c>
      <c r="AK24" s="101"/>
    </row>
    <row r="25" spans="1:37" ht="48" x14ac:dyDescent="0.2">
      <c r="A25" s="10">
        <v>24</v>
      </c>
      <c r="B25" s="11">
        <v>817004113</v>
      </c>
      <c r="C25" s="12" t="s">
        <v>60</v>
      </c>
      <c r="D25" s="13">
        <v>45087864</v>
      </c>
      <c r="E25" s="13">
        <v>61334351</v>
      </c>
      <c r="F25" s="25">
        <f>Proponentes[[#This Row],[Activo Corriente]]+Proponentes[[#This Row],[Activo NO Corriente]]</f>
        <v>106422215</v>
      </c>
      <c r="G25" s="13">
        <v>4059268</v>
      </c>
      <c r="H25" s="13">
        <v>0</v>
      </c>
      <c r="I25" s="25">
        <f>Proponentes[[#This Row],[Pasivo Corriente]]+Proponentes[[#This Row],[Pasivo NO Corriente]]</f>
        <v>4059268</v>
      </c>
      <c r="J25" s="14">
        <f>Proponentes[[#This Row],[Total ACTIVO]]-Proponentes[[#This Row],[Total Pasivo]]</f>
        <v>102362947</v>
      </c>
      <c r="K25" s="48">
        <f>VLOOKUP(Proponentes[[#This Row],[Propuesta]],Hoja2!$A$2:$G$239,7,FALSE)</f>
        <v>97027424.882595882</v>
      </c>
      <c r="L25" s="15"/>
      <c r="M25" s="15" t="s">
        <v>59</v>
      </c>
      <c r="N25" s="55">
        <f>IFERROR(VLOOKUP(Proponentes[[#This Row],[Cap Op en SMMLV]],Base!$A$15:$F$20,3),0)</f>
        <v>1</v>
      </c>
      <c r="O25" s="16">
        <f>IFERROR(VLOOKUP(Proponentes[[#This Row],[Cap Op en SMMLV]],Base!$A$15:$F$20,4),0)</f>
        <v>0.76</v>
      </c>
      <c r="P25" s="17">
        <f>IFERROR(VLOOKUP(Proponentes[[#This Row],[Cap Op en SMMLV]],Tabla2[],6),0)</f>
        <v>12.5</v>
      </c>
      <c r="Q25" s="18">
        <f>IFERROR(VLOOKUP(Proponentes[[#This Row],[Cap Op en SMMLV]],Base!$A$15:$F$20,5),0)</f>
        <v>10351450</v>
      </c>
      <c r="R25" s="18">
        <f>IFERROR(VLOOKUP(Proponentes[[#This Row],[Cap Op en SMMLV]],Tabla2[[DE]:[HASTA]],2),0)</f>
        <v>500</v>
      </c>
      <c r="S25" s="19">
        <f>IFERROR(Proponentes[[#This Row],[Activo Corriente]]/Proponentes[[#This Row],[Pasivo Corriente]],"INDETERMINADO")</f>
        <v>11.107387834456853</v>
      </c>
      <c r="T25" s="20">
        <f>IFERROR(Proponentes[[#This Row],[Total Pasivo]]/Proponentes[[#This Row],[Total ACTIVO]],0)</f>
        <v>3.8143051241697985E-2</v>
      </c>
      <c r="U25" s="21">
        <f>(Proponentes[[#This Row],[Activo Corriente]]-Proponentes[[#This Row],[Pasivo Corriente]])/Base!$B$3</f>
        <v>49.544503427056114</v>
      </c>
      <c r="V25" s="22">
        <f>Proponentes[[#This Row],[Activo Corriente]]-Proponentes[[#This Row],[Pasivo Corriente]]</f>
        <v>41028596</v>
      </c>
      <c r="W25" s="13">
        <f>IFERROR(VLOOKUP(Proponentes[[#This Row],[Propuesta]],Hoja2!$A$2:$G$329,7,FALSE),0)</f>
        <v>97027424.882595882</v>
      </c>
      <c r="X25" s="83">
        <f>IF(Proponentes[[#This Row],[Cap Op en Pesos]]=0,0,IF(Proponentes[[#This Row],[Cap Op en Pesos]]=0,1,Proponentes[[#This Row],[Cap Op en Pesos]]/Base!B$3))</f>
        <v>117.1664656673653</v>
      </c>
      <c r="Y2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5" s="23" t="str">
        <f>IF(AND(Proponentes[[#This Row],[Cumple
Liquidez]]="CUMPLE",Proponentes[[#This Row],[Cumple
Endeudamiento]]="CUMPLE",Proponentes[[#This Row],[Cumple
Capital de Trabajo]]="CUMPLE"),"CUMPLE","NO CUMPLE")</f>
        <v>CUMPLE</v>
      </c>
      <c r="AC25" s="24"/>
      <c r="AD25" s="10">
        <f>IF(Proponentes[[#This Row],[Liquidez
Oferente]]&lt;=1,1,IF(Proponentes[[#This Row],[Liquidez
Oferente]]&lt;=1.1,2,IF(Proponentes[[#This Row],[Liquidez
Oferente]]&lt;=1.2,3,IF(Proponentes[[#This Row],[Liquidez
Oferente]]&lt;=1.3,4,IF(Proponentes[[#This Row],[Liquidez
Oferente]]&lt;=1.4,5,6)))))</f>
        <v>6</v>
      </c>
      <c r="AE25" s="10">
        <f>IF(Proponentes[[#This Row],[Endeudamiento
Oferente]]&lt;=66%,6,IF(Proponentes[[#This Row],[Endeudamiento
Oferente]]&lt;=58,5,IF(Proponentes[[#This Row],[Endeudamiento
Oferente]]&lt;=70,4,IF(Proponentes[[#This Row],[Endeudamiento
Oferente]]&lt;=72,3,IF(Proponentes[[#This Row],[Endeudamiento
Oferente]]&lt;=74,2,1)))))</f>
        <v>6</v>
      </c>
      <c r="AF2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4</v>
      </c>
      <c r="AG25" s="10">
        <f>IF(Proponentes[[#This Row],[Cap Op en SMMLV]]&lt;=500,1,IF(Proponentes[[#This Row],[Cap Op en SMMLV]]&lt;=1000,2,IF(Proponentes[[#This Row],[Cap Op en SMMLV]]&lt;=1500,3,IF(Proponentes[[#This Row],[Cap Op en SMMLV]]&lt;=2000,4,IF(Proponentes[[#This Row],[Cap Op en SMMLV]]&lt;=2500,5,6)))))</f>
        <v>1</v>
      </c>
      <c r="AH25" s="10">
        <f>MIN(Proponentes[[#This Row],[a]:[d]])</f>
        <v>1</v>
      </c>
      <c r="AI25" s="87">
        <f>IF(Proponentes[[#This Row],[e]]=Proponentes[[#This Row],[d]],Proponentes[[#This Row],[Cap Op en SMMLV]],VLOOKUP(Proponentes[[#This Row],[e]],Base!$D$1:$E$6,2,FALSE))</f>
        <v>117.1664656673653</v>
      </c>
      <c r="AJ25" s="101" t="str">
        <f>VLOOKUP(Proponentes[[#This Row],[Propuesta]],Hoja2!$A$2:$D$329,4,FALSE)</f>
        <v>CUMPLE</v>
      </c>
      <c r="AK25" s="101"/>
    </row>
    <row r="26" spans="1:37" ht="16" x14ac:dyDescent="0.2">
      <c r="A26" s="10">
        <v>25</v>
      </c>
      <c r="B26" s="11">
        <v>805022721</v>
      </c>
      <c r="C26" s="12" t="s">
        <v>61</v>
      </c>
      <c r="D26" s="13">
        <v>7795459</v>
      </c>
      <c r="E26" s="13">
        <v>94302000</v>
      </c>
      <c r="F26" s="25">
        <f>Proponentes[[#This Row],[Activo Corriente]]+Proponentes[[#This Row],[Activo NO Corriente]]</f>
        <v>102097459</v>
      </c>
      <c r="G26" s="13">
        <v>480388</v>
      </c>
      <c r="H26" s="13">
        <v>0</v>
      </c>
      <c r="I26" s="25">
        <f>Proponentes[[#This Row],[Pasivo Corriente]]+Proponentes[[#This Row],[Pasivo NO Corriente]]</f>
        <v>480388</v>
      </c>
      <c r="J26" s="14">
        <f>Proponentes[[#This Row],[Total ACTIVO]]-Proponentes[[#This Row],[Total Pasivo]]</f>
        <v>101617071</v>
      </c>
      <c r="K26" s="48">
        <f>VLOOKUP(Proponentes[[#This Row],[Propuesta]],Hoja2!$A$2:$G$239,7,FALSE)</f>
        <v>0</v>
      </c>
      <c r="L26" s="15"/>
      <c r="M26" s="15" t="s">
        <v>62</v>
      </c>
      <c r="N26" s="55">
        <f>IFERROR(VLOOKUP(Proponentes[[#This Row],[Cap Op en SMMLV]],Base!$A$15:$F$20,3),0)</f>
        <v>0</v>
      </c>
      <c r="O26" s="16">
        <f>IFERROR(VLOOKUP(Proponentes[[#This Row],[Cap Op en SMMLV]],Base!$A$15:$F$20,4),0)</f>
        <v>0</v>
      </c>
      <c r="P26" s="17">
        <f>IFERROR(VLOOKUP(Proponentes[[#This Row],[Cap Op en SMMLV]],Tabla2[],6),0)</f>
        <v>0</v>
      </c>
      <c r="Q26" s="18">
        <f>IFERROR(VLOOKUP(Proponentes[[#This Row],[Cap Op en SMMLV]],Base!$A$15:$F$20,5),0)</f>
        <v>0</v>
      </c>
      <c r="R26" s="18">
        <f>IFERROR(VLOOKUP(Proponentes[[#This Row],[Cap Op en SMMLV]],Tabla2[[DE]:[HASTA]],2),0)</f>
        <v>0</v>
      </c>
      <c r="S26" s="19">
        <f>IFERROR(Proponentes[[#This Row],[Activo Corriente]]/Proponentes[[#This Row],[Pasivo Corriente]],"INDETERMINADO")</f>
        <v>16.227422416879691</v>
      </c>
      <c r="T26" s="20">
        <f>IFERROR(Proponentes[[#This Row],[Total Pasivo]]/Proponentes[[#This Row],[Total ACTIVO]],0)</f>
        <v>4.7051905571910465E-3</v>
      </c>
      <c r="U26" s="21">
        <f>(Proponentes[[#This Row],[Activo Corriente]]-Proponentes[[#This Row],[Pasivo Corriente]])/Base!$B$3</f>
        <v>8.8333892836269321</v>
      </c>
      <c r="V26" s="22">
        <f>Proponentes[[#This Row],[Activo Corriente]]-Proponentes[[#This Row],[Pasivo Corriente]]</f>
        <v>7315071</v>
      </c>
      <c r="W26" s="13">
        <f>IFERROR(VLOOKUP(Proponentes[[#This Row],[Propuesta]],Hoja2!$A$2:$G$329,7,FALSE),0)</f>
        <v>0</v>
      </c>
      <c r="X26" s="83">
        <f>IF(Proponentes[[#This Row],[Cap Op en Pesos]]=0,0,IF(Proponentes[[#This Row],[Cap Op en Pesos]]=0,1,Proponentes[[#This Row],[Cap Op en Pesos]]/Base!B$3))</f>
        <v>0</v>
      </c>
      <c r="Y2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6" s="23" t="str">
        <f>IF(AND(Proponentes[[#This Row],[Cumple
Liquidez]]="CUMPLE",Proponentes[[#This Row],[Cumple
Endeudamiento]]="CUMPLE",Proponentes[[#This Row],[Cumple
Capital de Trabajo]]="CUMPLE"),"CUMPLE","NO CUMPLE")</f>
        <v>NO CUMPLE</v>
      </c>
      <c r="AC26" s="24" t="s">
        <v>783</v>
      </c>
      <c r="AD26" s="10">
        <f>IF(Proponentes[[#This Row],[Liquidez
Oferente]]&lt;=1,1,IF(Proponentes[[#This Row],[Liquidez
Oferente]]&lt;=1.1,2,IF(Proponentes[[#This Row],[Liquidez
Oferente]]&lt;=1.2,3,IF(Proponentes[[#This Row],[Liquidez
Oferente]]&lt;=1.3,4,IF(Proponentes[[#This Row],[Liquidez
Oferente]]&lt;=1.4,5,6)))))</f>
        <v>6</v>
      </c>
      <c r="AE26" s="10">
        <f>IF(Proponentes[[#This Row],[Endeudamiento
Oferente]]&lt;=66%,6,IF(Proponentes[[#This Row],[Endeudamiento
Oferente]]&lt;=58,5,IF(Proponentes[[#This Row],[Endeudamiento
Oferente]]&lt;=70,4,IF(Proponentes[[#This Row],[Endeudamiento
Oferente]]&lt;=72,3,IF(Proponentes[[#This Row],[Endeudamiento
Oferente]]&lt;=74,2,1)))))</f>
        <v>6</v>
      </c>
      <c r="AF2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6" s="10">
        <f>IF(Proponentes[[#This Row],[Cap Op en SMMLV]]&lt;=500,1,IF(Proponentes[[#This Row],[Cap Op en SMMLV]]&lt;=1000,2,IF(Proponentes[[#This Row],[Cap Op en SMMLV]]&lt;=1500,3,IF(Proponentes[[#This Row],[Cap Op en SMMLV]]&lt;=2000,4,IF(Proponentes[[#This Row],[Cap Op en SMMLV]]&lt;=2500,5,6)))))</f>
        <v>1</v>
      </c>
      <c r="AH26" s="10">
        <f>MIN(Proponentes[[#This Row],[a]:[d]])</f>
        <v>1</v>
      </c>
      <c r="AI26" s="87">
        <f>IF(Proponentes[[#This Row],[e]]=Proponentes[[#This Row],[d]],Proponentes[[#This Row],[Cap Op en SMMLV]],VLOOKUP(Proponentes[[#This Row],[e]],Base!$D$1:$E$6,2,FALSE))</f>
        <v>0</v>
      </c>
      <c r="AJ26" s="101" t="str">
        <f>VLOOKUP(Proponentes[[#This Row],[Propuesta]],Hoja2!$A$2:$D$329,4,FALSE)</f>
        <v>NO CUMPLE</v>
      </c>
      <c r="AK26" s="101"/>
    </row>
    <row r="27" spans="1:37" ht="16" x14ac:dyDescent="0.2">
      <c r="A27" s="10">
        <v>26</v>
      </c>
      <c r="B27" s="11">
        <v>900181988</v>
      </c>
      <c r="C27" s="12" t="s">
        <v>63</v>
      </c>
      <c r="D27" s="13">
        <v>92590482</v>
      </c>
      <c r="E27" s="13">
        <v>36306278</v>
      </c>
      <c r="F27" s="25">
        <f>Proponentes[[#This Row],[Activo Corriente]]+Proponentes[[#This Row],[Activo NO Corriente]]</f>
        <v>128896760</v>
      </c>
      <c r="G27" s="13">
        <v>31003817</v>
      </c>
      <c r="H27" s="13">
        <v>57424033</v>
      </c>
      <c r="I27" s="25">
        <f>Proponentes[[#This Row],[Pasivo Corriente]]+Proponentes[[#This Row],[Pasivo NO Corriente]]</f>
        <v>88427850</v>
      </c>
      <c r="J27" s="14">
        <f>Proponentes[[#This Row],[Total ACTIVO]]-Proponentes[[#This Row],[Total Pasivo]]</f>
        <v>40468910</v>
      </c>
      <c r="K27" s="48">
        <f>VLOOKUP(Proponentes[[#This Row],[Propuesta]],Hoja2!$A$2:$G$239,7,FALSE)</f>
        <v>0</v>
      </c>
      <c r="L27" s="15"/>
      <c r="M27" s="15" t="s">
        <v>31</v>
      </c>
      <c r="N27" s="55">
        <f>IFERROR(VLOOKUP(Proponentes[[#This Row],[Cap Op en SMMLV]],Base!$A$15:$F$20,3),0)</f>
        <v>0</v>
      </c>
      <c r="O27" s="16">
        <f>IFERROR(VLOOKUP(Proponentes[[#This Row],[Cap Op en SMMLV]],Base!$A$15:$F$20,4),0)</f>
        <v>0</v>
      </c>
      <c r="P27" s="17">
        <f>IFERROR(VLOOKUP(Proponentes[[#This Row],[Cap Op en SMMLV]],Tabla2[],6),0)</f>
        <v>0</v>
      </c>
      <c r="Q27" s="18">
        <f>IFERROR(VLOOKUP(Proponentes[[#This Row],[Cap Op en SMMLV]],Base!$A$15:$F$20,5),0)</f>
        <v>0</v>
      </c>
      <c r="R27" s="18">
        <f>IFERROR(VLOOKUP(Proponentes[[#This Row],[Cap Op en SMMLV]],Tabla2[[DE]:[HASTA]],2),0)</f>
        <v>0</v>
      </c>
      <c r="S27" s="19">
        <f>IFERROR(Proponentes[[#This Row],[Activo Corriente]]/Proponentes[[#This Row],[Pasivo Corriente]],"INDETERMINADO")</f>
        <v>2.9864220266814243</v>
      </c>
      <c r="T27" s="20">
        <f>IFERROR(Proponentes[[#This Row],[Total Pasivo]]/Proponentes[[#This Row],[Total ACTIVO]],0)</f>
        <v>0.6860362510275666</v>
      </c>
      <c r="U27" s="21">
        <f>(Proponentes[[#This Row],[Activo Corriente]]-Proponentes[[#This Row],[Pasivo Corriente]])/Base!$B$3</f>
        <v>74.369611262190318</v>
      </c>
      <c r="V27" s="22">
        <f>Proponentes[[#This Row],[Activo Corriente]]-Proponentes[[#This Row],[Pasivo Corriente]]</f>
        <v>61586665</v>
      </c>
      <c r="W27" s="13">
        <f>IFERROR(VLOOKUP(Proponentes[[#This Row],[Propuesta]],Hoja2!$A$2:$G$329,7,FALSE),0)</f>
        <v>0</v>
      </c>
      <c r="X27" s="83">
        <f>IF(Proponentes[[#This Row],[Cap Op en Pesos]]=0,0,IF(Proponentes[[#This Row],[Cap Op en Pesos]]=0,1,Proponentes[[#This Row],[Cap Op en Pesos]]/Base!B$3))</f>
        <v>0</v>
      </c>
      <c r="Y2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7" s="23" t="str">
        <f>IF(AND(Proponentes[[#This Row],[Cumple
Liquidez]]="CUMPLE",Proponentes[[#This Row],[Cumple
Endeudamiento]]="CUMPLE",Proponentes[[#This Row],[Cumple
Capital de Trabajo]]="CUMPLE"),"CUMPLE","NO CUMPLE")</f>
        <v>NO CUMPLE</v>
      </c>
      <c r="AC27" s="24"/>
      <c r="AD27" s="10">
        <f>IF(Proponentes[[#This Row],[Liquidez
Oferente]]&lt;=1,1,IF(Proponentes[[#This Row],[Liquidez
Oferente]]&lt;=1.1,2,IF(Proponentes[[#This Row],[Liquidez
Oferente]]&lt;=1.2,3,IF(Proponentes[[#This Row],[Liquidez
Oferente]]&lt;=1.3,4,IF(Proponentes[[#This Row],[Liquidez
Oferente]]&lt;=1.4,5,6)))))</f>
        <v>6</v>
      </c>
      <c r="AE27" s="10">
        <f>IF(Proponentes[[#This Row],[Endeudamiento
Oferente]]&lt;=66%,6,IF(Proponentes[[#This Row],[Endeudamiento
Oferente]]&lt;=58,5,IF(Proponentes[[#This Row],[Endeudamiento
Oferente]]&lt;=70,4,IF(Proponentes[[#This Row],[Endeudamiento
Oferente]]&lt;=72,3,IF(Proponentes[[#This Row],[Endeudamiento
Oferente]]&lt;=74,2,1)))))</f>
        <v>5</v>
      </c>
      <c r="AF2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7" s="10">
        <f>IF(Proponentes[[#This Row],[Cap Op en SMMLV]]&lt;=500,1,IF(Proponentes[[#This Row],[Cap Op en SMMLV]]&lt;=1000,2,IF(Proponentes[[#This Row],[Cap Op en SMMLV]]&lt;=1500,3,IF(Proponentes[[#This Row],[Cap Op en SMMLV]]&lt;=2000,4,IF(Proponentes[[#This Row],[Cap Op en SMMLV]]&lt;=2500,5,6)))))</f>
        <v>1</v>
      </c>
      <c r="AH27" s="10">
        <f>MIN(Proponentes[[#This Row],[a]:[d]])</f>
        <v>1</v>
      </c>
      <c r="AI27" s="87">
        <f>IF(Proponentes[[#This Row],[e]]=Proponentes[[#This Row],[d]],Proponentes[[#This Row],[Cap Op en SMMLV]],VLOOKUP(Proponentes[[#This Row],[e]],Base!$D$1:$E$6,2,FALSE))</f>
        <v>0</v>
      </c>
      <c r="AJ27" s="101" t="str">
        <f>VLOOKUP(Proponentes[[#This Row],[Propuesta]],Hoja2!$A$2:$D$329,4,FALSE)</f>
        <v>NO CUMPLE</v>
      </c>
      <c r="AK27" s="101"/>
    </row>
    <row r="28" spans="1:37" ht="32" x14ac:dyDescent="0.2">
      <c r="A28" s="10">
        <v>27</v>
      </c>
      <c r="B28" s="11">
        <v>817003251</v>
      </c>
      <c r="C28" s="12" t="s">
        <v>64</v>
      </c>
      <c r="D28" s="13">
        <v>2210615122.71</v>
      </c>
      <c r="E28" s="13">
        <v>494571119</v>
      </c>
      <c r="F28" s="25">
        <f>Proponentes[[#This Row],[Activo Corriente]]+Proponentes[[#This Row],[Activo NO Corriente]]</f>
        <v>2705186241.71</v>
      </c>
      <c r="G28" s="13">
        <v>292775131</v>
      </c>
      <c r="H28" s="13">
        <v>0</v>
      </c>
      <c r="I28" s="25">
        <f>Proponentes[[#This Row],[Pasivo Corriente]]+Proponentes[[#This Row],[Pasivo NO Corriente]]</f>
        <v>292775131</v>
      </c>
      <c r="J28" s="14">
        <f>Proponentes[[#This Row],[Total ACTIVO]]-Proponentes[[#This Row],[Total Pasivo]]</f>
        <v>2412411110.71</v>
      </c>
      <c r="K28" s="48">
        <f>VLOOKUP(Proponentes[[#This Row],[Propuesta]],Hoja2!$A$2:$G$239,7,FALSE)</f>
        <v>664412529.28074789</v>
      </c>
      <c r="L28" s="15"/>
      <c r="M28" s="15" t="s">
        <v>59</v>
      </c>
      <c r="N28" s="55">
        <f>IFERROR(VLOOKUP(Proponentes[[#This Row],[Cap Op en SMMLV]],Base!$A$15:$F$20,3),0)</f>
        <v>1.1000000000000001</v>
      </c>
      <c r="O28" s="16">
        <f>IFERROR(VLOOKUP(Proponentes[[#This Row],[Cap Op en SMMLV]],Base!$A$15:$F$20,4),0)</f>
        <v>0.74</v>
      </c>
      <c r="P28" s="17">
        <f>IFERROR(VLOOKUP(Proponentes[[#This Row],[Cap Op en SMMLV]],Tabla2[],6),0)</f>
        <v>25</v>
      </c>
      <c r="Q28" s="18">
        <f>IFERROR(VLOOKUP(Proponentes[[#This Row],[Cap Op en SMMLV]],Base!$A$15:$F$20,5),0)</f>
        <v>20702900</v>
      </c>
      <c r="R28" s="18">
        <f>IFERROR(VLOOKUP(Proponentes[[#This Row],[Cap Op en SMMLV]],Tabla2[[DE]:[HASTA]],2),0)</f>
        <v>1000</v>
      </c>
      <c r="S28" s="19">
        <f>IFERROR(Proponentes[[#This Row],[Activo Corriente]]/Proponentes[[#This Row],[Pasivo Corriente]],"INDETERMINADO")</f>
        <v>7.5505563439061358</v>
      </c>
      <c r="T28" s="20">
        <f>IFERROR(Proponentes[[#This Row],[Total Pasivo]]/Proponentes[[#This Row],[Total ACTIVO]],0)</f>
        <v>0.10822734733965349</v>
      </c>
      <c r="U28" s="21">
        <f>(Proponentes[[#This Row],[Activo Corriente]]-Proponentes[[#This Row],[Pasivo Corriente]])/Base!$B$3</f>
        <v>2315.9074232474677</v>
      </c>
      <c r="V28" s="22">
        <f>Proponentes[[#This Row],[Activo Corriente]]-Proponentes[[#This Row],[Pasivo Corriente]]</f>
        <v>1917839991.71</v>
      </c>
      <c r="W28" s="13">
        <f>IFERROR(VLOOKUP(Proponentes[[#This Row],[Propuesta]],Hoja2!$A$2:$G$329,7,FALSE),0)</f>
        <v>664412529.28074789</v>
      </c>
      <c r="X28" s="83">
        <f>IF(Proponentes[[#This Row],[Cap Op en Pesos]]=0,0,IF(Proponentes[[#This Row],[Cap Op en Pesos]]=0,1,Proponentes[[#This Row],[Cap Op en Pesos]]/Base!B$3))</f>
        <v>802.3181888536725</v>
      </c>
      <c r="Y2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8" s="23" t="str">
        <f>IF(AND(Proponentes[[#This Row],[Cumple
Liquidez]]="CUMPLE",Proponentes[[#This Row],[Cumple
Endeudamiento]]="CUMPLE",Proponentes[[#This Row],[Cumple
Capital de Trabajo]]="CUMPLE"),"CUMPLE","NO CUMPLE")</f>
        <v>CUMPLE</v>
      </c>
      <c r="AC28" s="24"/>
      <c r="AD28" s="10">
        <f>IF(Proponentes[[#This Row],[Liquidez
Oferente]]&lt;=1,1,IF(Proponentes[[#This Row],[Liquidez
Oferente]]&lt;=1.1,2,IF(Proponentes[[#This Row],[Liquidez
Oferente]]&lt;=1.2,3,IF(Proponentes[[#This Row],[Liquidez
Oferente]]&lt;=1.3,4,IF(Proponentes[[#This Row],[Liquidez
Oferente]]&lt;=1.4,5,6)))))</f>
        <v>6</v>
      </c>
      <c r="AE28" s="10">
        <f>IF(Proponentes[[#This Row],[Endeudamiento
Oferente]]&lt;=66%,6,IF(Proponentes[[#This Row],[Endeudamiento
Oferente]]&lt;=58,5,IF(Proponentes[[#This Row],[Endeudamiento
Oferente]]&lt;=70,4,IF(Proponentes[[#This Row],[Endeudamiento
Oferente]]&lt;=72,3,IF(Proponentes[[#This Row],[Endeudamiento
Oferente]]&lt;=74,2,1)))))</f>
        <v>6</v>
      </c>
      <c r="AF2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8" s="10">
        <f>IF(Proponentes[[#This Row],[Cap Op en SMMLV]]&lt;=500,1,IF(Proponentes[[#This Row],[Cap Op en SMMLV]]&lt;=1000,2,IF(Proponentes[[#This Row],[Cap Op en SMMLV]]&lt;=1500,3,IF(Proponentes[[#This Row],[Cap Op en SMMLV]]&lt;=2000,4,IF(Proponentes[[#This Row],[Cap Op en SMMLV]]&lt;=2500,5,6)))))</f>
        <v>2</v>
      </c>
      <c r="AH28" s="10">
        <f>MIN(Proponentes[[#This Row],[a]:[d]])</f>
        <v>2</v>
      </c>
      <c r="AI28" s="87">
        <f>IF(Proponentes[[#This Row],[e]]=Proponentes[[#This Row],[d]],Proponentes[[#This Row],[Cap Op en SMMLV]],VLOOKUP(Proponentes[[#This Row],[e]],Base!$D$1:$E$6,2,FALSE))</f>
        <v>802.3181888536725</v>
      </c>
      <c r="AJ28" s="101" t="str">
        <f>VLOOKUP(Proponentes[[#This Row],[Propuesta]],Hoja2!$A$2:$D$329,4,FALSE)</f>
        <v>NO CUMPLE</v>
      </c>
      <c r="AK28" s="101"/>
    </row>
    <row r="29" spans="1:37" ht="16" x14ac:dyDescent="0.2">
      <c r="A29" s="10">
        <v>28</v>
      </c>
      <c r="B29" s="11">
        <v>890481163</v>
      </c>
      <c r="C29" s="12" t="s">
        <v>65</v>
      </c>
      <c r="D29" s="13">
        <v>570578972</v>
      </c>
      <c r="E29" s="13">
        <v>226545963</v>
      </c>
      <c r="F29" s="25">
        <f>Proponentes[[#This Row],[Activo Corriente]]+Proponentes[[#This Row],[Activo NO Corriente]]</f>
        <v>797124935</v>
      </c>
      <c r="G29" s="13">
        <v>337803579</v>
      </c>
      <c r="H29" s="13">
        <v>137887274</v>
      </c>
      <c r="I29" s="25">
        <f>Proponentes[[#This Row],[Pasivo Corriente]]+Proponentes[[#This Row],[Pasivo NO Corriente]]</f>
        <v>475690853</v>
      </c>
      <c r="J29" s="14">
        <f>Proponentes[[#This Row],[Total ACTIVO]]-Proponentes[[#This Row],[Total Pasivo]]</f>
        <v>321434082</v>
      </c>
      <c r="K29" s="48">
        <f>VLOOKUP(Proponentes[[#This Row],[Propuesta]],Hoja2!$A$2:$G$239,7,FALSE)</f>
        <v>1016031474.708052</v>
      </c>
      <c r="L29" s="15"/>
      <c r="M29" s="15" t="s">
        <v>27</v>
      </c>
      <c r="N29" s="55">
        <f>IFERROR(VLOOKUP(Proponentes[[#This Row],[Cap Op en SMMLV]],Base!$A$15:$F$20,3),0)</f>
        <v>1.2</v>
      </c>
      <c r="O29" s="16">
        <f>IFERROR(VLOOKUP(Proponentes[[#This Row],[Cap Op en SMMLV]],Base!$A$15:$F$20,4),0)</f>
        <v>0.72</v>
      </c>
      <c r="P29" s="17">
        <f>IFERROR(VLOOKUP(Proponentes[[#This Row],[Cap Op en SMMLV]],Tabla2[],6),0)</f>
        <v>37.5</v>
      </c>
      <c r="Q29" s="18">
        <f>IFERROR(VLOOKUP(Proponentes[[#This Row],[Cap Op en SMMLV]],Base!$A$15:$F$20,5),0)</f>
        <v>31054350</v>
      </c>
      <c r="R29" s="18">
        <f>IFERROR(VLOOKUP(Proponentes[[#This Row],[Cap Op en SMMLV]],Tabla2[[DE]:[HASTA]],2),0)</f>
        <v>1500</v>
      </c>
      <c r="S29" s="19">
        <f>IFERROR(Proponentes[[#This Row],[Activo Corriente]]/Proponentes[[#This Row],[Pasivo Corriente]],"INDETERMINADO")</f>
        <v>1.6890850407478957</v>
      </c>
      <c r="T29" s="20">
        <f>IFERROR(Proponentes[[#This Row],[Total Pasivo]]/Proponentes[[#This Row],[Total ACTIVO]],0)</f>
        <v>0.59675821457021661</v>
      </c>
      <c r="U29" s="21">
        <f>(Proponentes[[#This Row],[Activo Corriente]]-Proponentes[[#This Row],[Pasivo Corriente]])/Base!$B$3</f>
        <v>281.09032188727184</v>
      </c>
      <c r="V29" s="22">
        <f>Proponentes[[#This Row],[Activo Corriente]]-Proponentes[[#This Row],[Pasivo Corriente]]</f>
        <v>232775393</v>
      </c>
      <c r="W29" s="13">
        <f>IFERROR(VLOOKUP(Proponentes[[#This Row],[Propuesta]],Hoja2!$A$2:$G$329,7,FALSE),0)</f>
        <v>1016031474.708052</v>
      </c>
      <c r="X29" s="83">
        <f>IF(Proponentes[[#This Row],[Cap Op en Pesos]]=0,0,IF(Proponentes[[#This Row],[Cap Op en Pesos]]=0,1,Proponentes[[#This Row],[Cap Op en Pesos]]/Base!B$3))</f>
        <v>1226.9192657889137</v>
      </c>
      <c r="Y2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9" s="23" t="str">
        <f>IF(AND(Proponentes[[#This Row],[Cumple
Liquidez]]="CUMPLE",Proponentes[[#This Row],[Cumple
Endeudamiento]]="CUMPLE",Proponentes[[#This Row],[Cumple
Capital de Trabajo]]="CUMPLE"),"CUMPLE","NO CUMPLE")</f>
        <v>CUMPLE</v>
      </c>
      <c r="AC29" s="24" t="s">
        <v>784</v>
      </c>
      <c r="AD29" s="10">
        <f>IF(Proponentes[[#This Row],[Liquidez
Oferente]]&lt;=1,1,IF(Proponentes[[#This Row],[Liquidez
Oferente]]&lt;=1.1,2,IF(Proponentes[[#This Row],[Liquidez
Oferente]]&lt;=1.2,3,IF(Proponentes[[#This Row],[Liquidez
Oferente]]&lt;=1.3,4,IF(Proponentes[[#This Row],[Liquidez
Oferente]]&lt;=1.4,5,6)))))</f>
        <v>6</v>
      </c>
      <c r="AE29" s="10">
        <f>IF(Proponentes[[#This Row],[Endeudamiento
Oferente]]&lt;=66%,6,IF(Proponentes[[#This Row],[Endeudamiento
Oferente]]&lt;=58,5,IF(Proponentes[[#This Row],[Endeudamiento
Oferente]]&lt;=70,4,IF(Proponentes[[#This Row],[Endeudamiento
Oferente]]&lt;=72,3,IF(Proponentes[[#This Row],[Endeudamiento
Oferente]]&lt;=74,2,1)))))</f>
        <v>6</v>
      </c>
      <c r="AF2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9" s="10">
        <f>IF(Proponentes[[#This Row],[Cap Op en SMMLV]]&lt;=500,1,IF(Proponentes[[#This Row],[Cap Op en SMMLV]]&lt;=1000,2,IF(Proponentes[[#This Row],[Cap Op en SMMLV]]&lt;=1500,3,IF(Proponentes[[#This Row],[Cap Op en SMMLV]]&lt;=2000,4,IF(Proponentes[[#This Row],[Cap Op en SMMLV]]&lt;=2500,5,6)))))</f>
        <v>3</v>
      </c>
      <c r="AH29" s="10">
        <f>MIN(Proponentes[[#This Row],[a]:[d]])</f>
        <v>3</v>
      </c>
      <c r="AI29" s="87">
        <f>IF(Proponentes[[#This Row],[e]]=Proponentes[[#This Row],[d]],Proponentes[[#This Row],[Cap Op en SMMLV]],VLOOKUP(Proponentes[[#This Row],[e]],Base!$D$1:$E$6,2,FALSE))</f>
        <v>1226.9192657889137</v>
      </c>
      <c r="AJ29" s="101" t="str">
        <f>VLOOKUP(Proponentes[[#This Row],[Propuesta]],Hoja2!$A$2:$D$329,4,FALSE)</f>
        <v>NO CUMPLE</v>
      </c>
      <c r="AK29" s="101"/>
    </row>
    <row r="30" spans="1:37" ht="32" x14ac:dyDescent="0.2">
      <c r="A30" s="10">
        <v>29</v>
      </c>
      <c r="B30" s="11">
        <v>901138915</v>
      </c>
      <c r="C30" s="12" t="s">
        <v>66</v>
      </c>
      <c r="D30" s="13">
        <v>99624000</v>
      </c>
      <c r="E30" s="13">
        <v>0</v>
      </c>
      <c r="F30" s="25">
        <f>Proponentes[[#This Row],[Activo Corriente]]+Proponentes[[#This Row],[Activo NO Corriente]]</f>
        <v>99624000</v>
      </c>
      <c r="G30" s="13">
        <v>0</v>
      </c>
      <c r="H30" s="13">
        <v>0</v>
      </c>
      <c r="I30" s="25">
        <f>Proponentes[[#This Row],[Pasivo Corriente]]+Proponentes[[#This Row],[Pasivo NO Corriente]]</f>
        <v>0</v>
      </c>
      <c r="J30" s="14">
        <f>Proponentes[[#This Row],[Total ACTIVO]]-Proponentes[[#This Row],[Total Pasivo]]</f>
        <v>99624000</v>
      </c>
      <c r="K30" s="48">
        <f>VLOOKUP(Proponentes[[#This Row],[Propuesta]],Hoja2!$A$2:$G$239,7,FALSE)</f>
        <v>0</v>
      </c>
      <c r="L30" s="15"/>
      <c r="M30" s="15" t="s">
        <v>67</v>
      </c>
      <c r="N30" s="55">
        <f>IFERROR(VLOOKUP(Proponentes[[#This Row],[Cap Op en SMMLV]],Base!$A$15:$F$20,3),0)</f>
        <v>0</v>
      </c>
      <c r="O30" s="16">
        <f>IFERROR(VLOOKUP(Proponentes[[#This Row],[Cap Op en SMMLV]],Base!$A$15:$F$20,4),0)</f>
        <v>0</v>
      </c>
      <c r="P30" s="17">
        <f>IFERROR(VLOOKUP(Proponentes[[#This Row],[Cap Op en SMMLV]],Tabla2[],6),0)</f>
        <v>0</v>
      </c>
      <c r="Q30" s="18">
        <f>IFERROR(VLOOKUP(Proponentes[[#This Row],[Cap Op en SMMLV]],Base!$A$15:$F$20,5),0)</f>
        <v>0</v>
      </c>
      <c r="R30" s="18">
        <f>IFERROR(VLOOKUP(Proponentes[[#This Row],[Cap Op en SMMLV]],Tabla2[[DE]:[HASTA]],2),0)</f>
        <v>0</v>
      </c>
      <c r="S30" s="19" t="str">
        <f>IFERROR(Proponentes[[#This Row],[Activo Corriente]]/Proponentes[[#This Row],[Pasivo Corriente]],"INDETERMINADO")</f>
        <v>INDETERMINADO</v>
      </c>
      <c r="T30" s="20">
        <f>IFERROR(Proponentes[[#This Row],[Total Pasivo]]/Proponentes[[#This Row],[Total ACTIVO]],0)</f>
        <v>0</v>
      </c>
      <c r="U30" s="21">
        <f>(Proponentes[[#This Row],[Activo Corriente]]-Proponentes[[#This Row],[Pasivo Corriente]])/Base!$B$3</f>
        <v>120.30198667819484</v>
      </c>
      <c r="V30" s="22">
        <f>Proponentes[[#This Row],[Activo Corriente]]-Proponentes[[#This Row],[Pasivo Corriente]]</f>
        <v>99624000</v>
      </c>
      <c r="W30" s="13">
        <f>IFERROR(VLOOKUP(Proponentes[[#This Row],[Propuesta]],Hoja2!$A$2:$G$329,7,FALSE),0)</f>
        <v>0</v>
      </c>
      <c r="X30" s="83">
        <f>IF(Proponentes[[#This Row],[Cap Op en Pesos]]=0,0,IF(Proponentes[[#This Row],[Cap Op en Pesos]]=0,1,Proponentes[[#This Row],[Cap Op en Pesos]]/Base!B$3))</f>
        <v>0</v>
      </c>
      <c r="Y3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0" s="23" t="str">
        <f>IF(AND(Proponentes[[#This Row],[Cumple
Liquidez]]="CUMPLE",Proponentes[[#This Row],[Cumple
Endeudamiento]]="CUMPLE",Proponentes[[#This Row],[Cumple
Capital de Trabajo]]="CUMPLE"),"CUMPLE","NO CUMPLE")</f>
        <v>CUMPLE</v>
      </c>
      <c r="AC30" s="24" t="s">
        <v>785</v>
      </c>
      <c r="AD30" s="10">
        <f>IF(Proponentes[[#This Row],[Liquidez
Oferente]]&lt;=1,1,IF(Proponentes[[#This Row],[Liquidez
Oferente]]&lt;=1.1,2,IF(Proponentes[[#This Row],[Liquidez
Oferente]]&lt;=1.2,3,IF(Proponentes[[#This Row],[Liquidez
Oferente]]&lt;=1.3,4,IF(Proponentes[[#This Row],[Liquidez
Oferente]]&lt;=1.4,5,6)))))</f>
        <v>6</v>
      </c>
      <c r="AE30" s="10">
        <f>IF(Proponentes[[#This Row],[Endeudamiento
Oferente]]&lt;=66%,6,IF(Proponentes[[#This Row],[Endeudamiento
Oferente]]&lt;=58,5,IF(Proponentes[[#This Row],[Endeudamiento
Oferente]]&lt;=70,4,IF(Proponentes[[#This Row],[Endeudamiento
Oferente]]&lt;=72,3,IF(Proponentes[[#This Row],[Endeudamiento
Oferente]]&lt;=74,2,1)))))</f>
        <v>6</v>
      </c>
      <c r="AF3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0" s="10">
        <f>IF(Proponentes[[#This Row],[Cap Op en SMMLV]]&lt;=500,1,IF(Proponentes[[#This Row],[Cap Op en SMMLV]]&lt;=1000,2,IF(Proponentes[[#This Row],[Cap Op en SMMLV]]&lt;=1500,3,IF(Proponentes[[#This Row],[Cap Op en SMMLV]]&lt;=2000,4,IF(Proponentes[[#This Row],[Cap Op en SMMLV]]&lt;=2500,5,6)))))</f>
        <v>1</v>
      </c>
      <c r="AH30" s="10">
        <f>MIN(Proponentes[[#This Row],[a]:[d]])</f>
        <v>1</v>
      </c>
      <c r="AI30" s="87">
        <f>IF(Proponentes[[#This Row],[e]]=Proponentes[[#This Row],[d]],Proponentes[[#This Row],[Cap Op en SMMLV]],VLOOKUP(Proponentes[[#This Row],[e]],Base!$D$1:$E$6,2,FALSE))</f>
        <v>0</v>
      </c>
      <c r="AJ30" s="101" t="str">
        <f>VLOOKUP(Proponentes[[#This Row],[Propuesta]],Hoja2!$A$2:$D$329,4,FALSE)</f>
        <v>NO CUMPLE</v>
      </c>
      <c r="AK30" s="101"/>
    </row>
    <row r="31" spans="1:37" ht="16" x14ac:dyDescent="0.2">
      <c r="A31" s="10">
        <v>30</v>
      </c>
      <c r="B31" s="11">
        <v>900690558</v>
      </c>
      <c r="C31" s="12" t="s">
        <v>68</v>
      </c>
      <c r="D31" s="13">
        <v>452204655</v>
      </c>
      <c r="E31" s="13">
        <v>86968992</v>
      </c>
      <c r="F31" s="25">
        <f>Proponentes[[#This Row],[Activo Corriente]]+Proponentes[[#This Row],[Activo NO Corriente]]</f>
        <v>539173647</v>
      </c>
      <c r="G31" s="13">
        <v>40670625</v>
      </c>
      <c r="H31" s="13">
        <v>0</v>
      </c>
      <c r="I31" s="25">
        <f>Proponentes[[#This Row],[Pasivo Corriente]]+Proponentes[[#This Row],[Pasivo NO Corriente]]</f>
        <v>40670625</v>
      </c>
      <c r="J31" s="14">
        <f>Proponentes[[#This Row],[Total ACTIVO]]-Proponentes[[#This Row],[Total Pasivo]]</f>
        <v>498503022</v>
      </c>
      <c r="K31" s="48">
        <f>VLOOKUP(Proponentes[[#This Row],[Propuesta]],Hoja2!$A$2:$G$239,7,FALSE)</f>
        <v>709846602.69532824</v>
      </c>
      <c r="L31" s="15"/>
      <c r="M31" s="15" t="s">
        <v>31</v>
      </c>
      <c r="N31" s="55">
        <f>IFERROR(VLOOKUP(Proponentes[[#This Row],[Cap Op en SMMLV]],Base!$A$15:$F$20,3),0)</f>
        <v>1.1000000000000001</v>
      </c>
      <c r="O31" s="16">
        <f>IFERROR(VLOOKUP(Proponentes[[#This Row],[Cap Op en SMMLV]],Base!$A$15:$F$20,4),0)</f>
        <v>0.74</v>
      </c>
      <c r="P31" s="17">
        <f>IFERROR(VLOOKUP(Proponentes[[#This Row],[Cap Op en SMMLV]],Tabla2[],6),0)</f>
        <v>25</v>
      </c>
      <c r="Q31" s="18">
        <f>IFERROR(VLOOKUP(Proponentes[[#This Row],[Cap Op en SMMLV]],Base!$A$15:$F$20,5),0)</f>
        <v>20702900</v>
      </c>
      <c r="R31" s="18">
        <f>IFERROR(VLOOKUP(Proponentes[[#This Row],[Cap Op en SMMLV]],Tabla2[[DE]:[HASTA]],2),0)</f>
        <v>1000</v>
      </c>
      <c r="S31" s="19">
        <f>IFERROR(Proponentes[[#This Row],[Activo Corriente]]/Proponentes[[#This Row],[Pasivo Corriente]],"INDETERMINADO")</f>
        <v>11.118704347425199</v>
      </c>
      <c r="T31" s="20">
        <f>IFERROR(Proponentes[[#This Row],[Total Pasivo]]/Proponentes[[#This Row],[Total ACTIVO]],0)</f>
        <v>7.5431403642025552E-2</v>
      </c>
      <c r="U31" s="21">
        <f>(Proponentes[[#This Row],[Activo Corriente]]-Proponentes[[#This Row],[Pasivo Corriente]])/Base!$B$3</f>
        <v>496.95215404605153</v>
      </c>
      <c r="V31" s="22">
        <f>Proponentes[[#This Row],[Activo Corriente]]-Proponentes[[#This Row],[Pasivo Corriente]]</f>
        <v>411534030</v>
      </c>
      <c r="W31" s="13">
        <f>IFERROR(VLOOKUP(Proponentes[[#This Row],[Propuesta]],Hoja2!$A$2:$G$329,7,FALSE),0)</f>
        <v>709846602.69532824</v>
      </c>
      <c r="X31" s="83">
        <f>IF(Proponentes[[#This Row],[Cap Op en Pesos]]=0,0,IF(Proponentes[[#This Row],[Cap Op en Pesos]]=0,1,Proponentes[[#This Row],[Cap Op en Pesos]]/Base!B$3))</f>
        <v>857.18257188042287</v>
      </c>
      <c r="Y3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1" s="23" t="str">
        <f>IF(AND(Proponentes[[#This Row],[Cumple
Liquidez]]="CUMPLE",Proponentes[[#This Row],[Cumple
Endeudamiento]]="CUMPLE",Proponentes[[#This Row],[Cumple
Capital de Trabajo]]="CUMPLE"),"CUMPLE","NO CUMPLE")</f>
        <v>CUMPLE</v>
      </c>
      <c r="AC31" s="24"/>
      <c r="AD31" s="10">
        <f>IF(Proponentes[[#This Row],[Liquidez
Oferente]]&lt;=1,1,IF(Proponentes[[#This Row],[Liquidez
Oferente]]&lt;=1.1,2,IF(Proponentes[[#This Row],[Liquidez
Oferente]]&lt;=1.2,3,IF(Proponentes[[#This Row],[Liquidez
Oferente]]&lt;=1.3,4,IF(Proponentes[[#This Row],[Liquidez
Oferente]]&lt;=1.4,5,6)))))</f>
        <v>6</v>
      </c>
      <c r="AE31" s="10">
        <f>IF(Proponentes[[#This Row],[Endeudamiento
Oferente]]&lt;=66%,6,IF(Proponentes[[#This Row],[Endeudamiento
Oferente]]&lt;=58,5,IF(Proponentes[[#This Row],[Endeudamiento
Oferente]]&lt;=70,4,IF(Proponentes[[#This Row],[Endeudamiento
Oferente]]&lt;=72,3,IF(Proponentes[[#This Row],[Endeudamiento
Oferente]]&lt;=74,2,1)))))</f>
        <v>6</v>
      </c>
      <c r="AF3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1" s="10">
        <f>IF(Proponentes[[#This Row],[Cap Op en SMMLV]]&lt;=500,1,IF(Proponentes[[#This Row],[Cap Op en SMMLV]]&lt;=1000,2,IF(Proponentes[[#This Row],[Cap Op en SMMLV]]&lt;=1500,3,IF(Proponentes[[#This Row],[Cap Op en SMMLV]]&lt;=2000,4,IF(Proponentes[[#This Row],[Cap Op en SMMLV]]&lt;=2500,5,6)))))</f>
        <v>2</v>
      </c>
      <c r="AH31" s="10">
        <f>MIN(Proponentes[[#This Row],[a]:[d]])</f>
        <v>2</v>
      </c>
      <c r="AI31" s="87">
        <f>IF(Proponentes[[#This Row],[e]]=Proponentes[[#This Row],[d]],Proponentes[[#This Row],[Cap Op en SMMLV]],VLOOKUP(Proponentes[[#This Row],[e]],Base!$D$1:$E$6,2,FALSE))</f>
        <v>857.18257188042287</v>
      </c>
      <c r="AJ31" s="101" t="str">
        <f>VLOOKUP(Proponentes[[#This Row],[Propuesta]],Hoja2!$A$2:$D$329,4,FALSE)</f>
        <v>CUMPLE</v>
      </c>
      <c r="AK31" s="101"/>
    </row>
    <row r="32" spans="1:37" ht="16" x14ac:dyDescent="0.2">
      <c r="A32" s="10">
        <v>31</v>
      </c>
      <c r="B32" s="11">
        <v>900188561</v>
      </c>
      <c r="C32" s="12" t="s">
        <v>69</v>
      </c>
      <c r="D32" s="13">
        <v>500536330</v>
      </c>
      <c r="E32" s="13">
        <v>425736200</v>
      </c>
      <c r="F32" s="25">
        <f>Proponentes[[#This Row],[Activo Corriente]]+Proponentes[[#This Row],[Activo NO Corriente]]</f>
        <v>926272530</v>
      </c>
      <c r="G32" s="13">
        <v>20200000</v>
      </c>
      <c r="H32" s="13">
        <v>347128900</v>
      </c>
      <c r="I32" s="25">
        <f>Proponentes[[#This Row],[Pasivo Corriente]]+Proponentes[[#This Row],[Pasivo NO Corriente]]</f>
        <v>367328900</v>
      </c>
      <c r="J32" s="14">
        <f>Proponentes[[#This Row],[Total ACTIVO]]-Proponentes[[#This Row],[Total Pasivo]]</f>
        <v>558943630</v>
      </c>
      <c r="K32" s="48">
        <f>VLOOKUP(Proponentes[[#This Row],[Propuesta]],Hoja2!$A$2:$G$239,7,FALSE)</f>
        <v>132298510.42816338</v>
      </c>
      <c r="L32" s="15"/>
      <c r="M32" s="15" t="s">
        <v>70</v>
      </c>
      <c r="N32" s="55">
        <f>IFERROR(VLOOKUP(Proponentes[[#This Row],[Cap Op en SMMLV]],Base!$A$15:$F$20,3),0)</f>
        <v>1</v>
      </c>
      <c r="O32" s="16">
        <f>IFERROR(VLOOKUP(Proponentes[[#This Row],[Cap Op en SMMLV]],Base!$A$15:$F$20,4),0)</f>
        <v>0.76</v>
      </c>
      <c r="P32" s="17">
        <f>IFERROR(VLOOKUP(Proponentes[[#This Row],[Cap Op en SMMLV]],Tabla2[],6),0)</f>
        <v>12.5</v>
      </c>
      <c r="Q32" s="18">
        <f>IFERROR(VLOOKUP(Proponentes[[#This Row],[Cap Op en SMMLV]],Base!$A$15:$F$20,5),0)</f>
        <v>10351450</v>
      </c>
      <c r="R32" s="18">
        <f>IFERROR(VLOOKUP(Proponentes[[#This Row],[Cap Op en SMMLV]],Tabla2[[DE]:[HASTA]],2),0)</f>
        <v>500</v>
      </c>
      <c r="S32" s="19">
        <f>IFERROR(Proponentes[[#This Row],[Activo Corriente]]/Proponentes[[#This Row],[Pasivo Corriente]],"INDETERMINADO")</f>
        <v>24.779026237623761</v>
      </c>
      <c r="T32" s="20">
        <f>IFERROR(Proponentes[[#This Row],[Total Pasivo]]/Proponentes[[#This Row],[Total ACTIVO]],0)</f>
        <v>0.39656676421139253</v>
      </c>
      <c r="U32" s="21">
        <f>(Proponentes[[#This Row],[Activo Corriente]]-Proponentes[[#This Row],[Pasivo Corriente]])/Base!$B$3</f>
        <v>580.03507962652577</v>
      </c>
      <c r="V32" s="22">
        <f>Proponentes[[#This Row],[Activo Corriente]]-Proponentes[[#This Row],[Pasivo Corriente]]</f>
        <v>480336330</v>
      </c>
      <c r="W32" s="13">
        <f>IFERROR(VLOOKUP(Proponentes[[#This Row],[Propuesta]],Hoja2!$A$2:$G$329,7,FALSE),0)</f>
        <v>132298510.42816338</v>
      </c>
      <c r="X32" s="83">
        <f>IF(Proponentes[[#This Row],[Cap Op en Pesos]]=0,0,IF(Proponentes[[#This Row],[Cap Op en Pesos]]=0,1,Proponentes[[#This Row],[Cap Op en Pesos]]/Base!B$3))</f>
        <v>159.75842808032132</v>
      </c>
      <c r="Y3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2" s="23" t="str">
        <f>IF(AND(Proponentes[[#This Row],[Cumple
Liquidez]]="CUMPLE",Proponentes[[#This Row],[Cumple
Endeudamiento]]="CUMPLE",Proponentes[[#This Row],[Cumple
Capital de Trabajo]]="CUMPLE"),"CUMPLE","NO CUMPLE")</f>
        <v>CUMPLE</v>
      </c>
      <c r="AC32" s="24"/>
      <c r="AD32" s="10">
        <f>IF(Proponentes[[#This Row],[Liquidez
Oferente]]&lt;=1,1,IF(Proponentes[[#This Row],[Liquidez
Oferente]]&lt;=1.1,2,IF(Proponentes[[#This Row],[Liquidez
Oferente]]&lt;=1.2,3,IF(Proponentes[[#This Row],[Liquidez
Oferente]]&lt;=1.3,4,IF(Proponentes[[#This Row],[Liquidez
Oferente]]&lt;=1.4,5,6)))))</f>
        <v>6</v>
      </c>
      <c r="AE32" s="10">
        <f>IF(Proponentes[[#This Row],[Endeudamiento
Oferente]]&lt;=66%,6,IF(Proponentes[[#This Row],[Endeudamiento
Oferente]]&lt;=58,5,IF(Proponentes[[#This Row],[Endeudamiento
Oferente]]&lt;=70,4,IF(Proponentes[[#This Row],[Endeudamiento
Oferente]]&lt;=72,3,IF(Proponentes[[#This Row],[Endeudamiento
Oferente]]&lt;=74,2,1)))))</f>
        <v>6</v>
      </c>
      <c r="AF3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2" s="10">
        <f>IF(Proponentes[[#This Row],[Cap Op en SMMLV]]&lt;=500,1,IF(Proponentes[[#This Row],[Cap Op en SMMLV]]&lt;=1000,2,IF(Proponentes[[#This Row],[Cap Op en SMMLV]]&lt;=1500,3,IF(Proponentes[[#This Row],[Cap Op en SMMLV]]&lt;=2000,4,IF(Proponentes[[#This Row],[Cap Op en SMMLV]]&lt;=2500,5,6)))))</f>
        <v>1</v>
      </c>
      <c r="AH32" s="10">
        <f>MIN(Proponentes[[#This Row],[a]:[d]])</f>
        <v>1</v>
      </c>
      <c r="AI32" s="87">
        <f>IF(Proponentes[[#This Row],[e]]=Proponentes[[#This Row],[d]],Proponentes[[#This Row],[Cap Op en SMMLV]],VLOOKUP(Proponentes[[#This Row],[e]],Base!$D$1:$E$6,2,FALSE))</f>
        <v>159.75842808032132</v>
      </c>
      <c r="AJ32" s="101" t="str">
        <f>VLOOKUP(Proponentes[[#This Row],[Propuesta]],Hoja2!$A$2:$D$329,4,FALSE)</f>
        <v>CUMPLE</v>
      </c>
      <c r="AK32" s="101"/>
    </row>
    <row r="33" spans="1:37" ht="32" x14ac:dyDescent="0.2">
      <c r="A33" s="10">
        <v>32</v>
      </c>
      <c r="B33" s="11">
        <v>823002783</v>
      </c>
      <c r="C33" s="12" t="s">
        <v>71</v>
      </c>
      <c r="D33" s="13">
        <v>637814343</v>
      </c>
      <c r="E33" s="13">
        <v>1091030000</v>
      </c>
      <c r="F33" s="25">
        <f>Proponentes[[#This Row],[Activo Corriente]]+Proponentes[[#This Row],[Activo NO Corriente]]</f>
        <v>1728844343</v>
      </c>
      <c r="G33" s="13">
        <v>12750000</v>
      </c>
      <c r="H33" s="13">
        <v>0</v>
      </c>
      <c r="I33" s="25">
        <f>Proponentes[[#This Row],[Pasivo Corriente]]+Proponentes[[#This Row],[Pasivo NO Corriente]]</f>
        <v>12750000</v>
      </c>
      <c r="J33" s="14">
        <f>Proponentes[[#This Row],[Total ACTIVO]]-Proponentes[[#This Row],[Total Pasivo]]</f>
        <v>1716094343</v>
      </c>
      <c r="K33" s="48">
        <f>VLOOKUP(Proponentes[[#This Row],[Propuesta]],Hoja2!$A$2:$G$239,7,FALSE)</f>
        <v>0</v>
      </c>
      <c r="L33" s="15"/>
      <c r="M33" s="15" t="s">
        <v>59</v>
      </c>
      <c r="N33" s="55">
        <f>IFERROR(VLOOKUP(Proponentes[[#This Row],[Cap Op en SMMLV]],Base!$A$15:$F$20,3),0)</f>
        <v>0</v>
      </c>
      <c r="O33" s="16">
        <f>IFERROR(VLOOKUP(Proponentes[[#This Row],[Cap Op en SMMLV]],Base!$A$15:$F$20,4),0)</f>
        <v>0</v>
      </c>
      <c r="P33" s="17">
        <f>IFERROR(VLOOKUP(Proponentes[[#This Row],[Cap Op en SMMLV]],Tabla2[],6),0)</f>
        <v>0</v>
      </c>
      <c r="Q33" s="18">
        <f>IFERROR(VLOOKUP(Proponentes[[#This Row],[Cap Op en SMMLV]],Base!$A$15:$F$20,5),0)</f>
        <v>0</v>
      </c>
      <c r="R33" s="18">
        <f>IFERROR(VLOOKUP(Proponentes[[#This Row],[Cap Op en SMMLV]],Tabla2[[DE]:[HASTA]],2),0)</f>
        <v>0</v>
      </c>
      <c r="S33" s="19">
        <f>IFERROR(Proponentes[[#This Row],[Activo Corriente]]/Proponentes[[#This Row],[Pasivo Corriente]],"INDETERMINADO")</f>
        <v>50.024654352941177</v>
      </c>
      <c r="T33" s="20">
        <f>IFERROR(Proponentes[[#This Row],[Total Pasivo]]/Proponentes[[#This Row],[Total ACTIVO]],0)</f>
        <v>7.3748686812806956E-3</v>
      </c>
      <c r="U33" s="21">
        <f>(Proponentes[[#This Row],[Activo Corriente]]-Proponentes[[#This Row],[Pasivo Corriente]])/Base!$B$3</f>
        <v>754.80288148037232</v>
      </c>
      <c r="V33" s="22">
        <f>Proponentes[[#This Row],[Activo Corriente]]-Proponentes[[#This Row],[Pasivo Corriente]]</f>
        <v>625064343</v>
      </c>
      <c r="W33" s="13">
        <f>IFERROR(VLOOKUP(Proponentes[[#This Row],[Propuesta]],Hoja2!$A$2:$G$329,7,FALSE),0)</f>
        <v>0</v>
      </c>
      <c r="X33" s="83">
        <f>IF(Proponentes[[#This Row],[Cap Op en Pesos]]=0,0,IF(Proponentes[[#This Row],[Cap Op en Pesos]]=0,1,Proponentes[[#This Row],[Cap Op en Pesos]]/Base!B$3))</f>
        <v>0</v>
      </c>
      <c r="Y3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3" s="23" t="str">
        <f>IF(AND(Proponentes[[#This Row],[Cumple
Liquidez]]="CUMPLE",Proponentes[[#This Row],[Cumple
Endeudamiento]]="CUMPLE",Proponentes[[#This Row],[Cumple
Capital de Trabajo]]="CUMPLE"),"CUMPLE","NO CUMPLE")</f>
        <v>NO CUMPLE</v>
      </c>
      <c r="AC33" s="24"/>
      <c r="AD33" s="10">
        <f>IF(Proponentes[[#This Row],[Liquidez
Oferente]]&lt;=1,1,IF(Proponentes[[#This Row],[Liquidez
Oferente]]&lt;=1.1,2,IF(Proponentes[[#This Row],[Liquidez
Oferente]]&lt;=1.2,3,IF(Proponentes[[#This Row],[Liquidez
Oferente]]&lt;=1.3,4,IF(Proponentes[[#This Row],[Liquidez
Oferente]]&lt;=1.4,5,6)))))</f>
        <v>6</v>
      </c>
      <c r="AE33" s="10">
        <f>IF(Proponentes[[#This Row],[Endeudamiento
Oferente]]&lt;=66%,6,IF(Proponentes[[#This Row],[Endeudamiento
Oferente]]&lt;=58,5,IF(Proponentes[[#This Row],[Endeudamiento
Oferente]]&lt;=70,4,IF(Proponentes[[#This Row],[Endeudamiento
Oferente]]&lt;=72,3,IF(Proponentes[[#This Row],[Endeudamiento
Oferente]]&lt;=74,2,1)))))</f>
        <v>6</v>
      </c>
      <c r="AF3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3" s="10">
        <f>IF(Proponentes[[#This Row],[Cap Op en SMMLV]]&lt;=500,1,IF(Proponentes[[#This Row],[Cap Op en SMMLV]]&lt;=1000,2,IF(Proponentes[[#This Row],[Cap Op en SMMLV]]&lt;=1500,3,IF(Proponentes[[#This Row],[Cap Op en SMMLV]]&lt;=2000,4,IF(Proponentes[[#This Row],[Cap Op en SMMLV]]&lt;=2500,5,6)))))</f>
        <v>1</v>
      </c>
      <c r="AH33" s="10">
        <f>MIN(Proponentes[[#This Row],[a]:[d]])</f>
        <v>1</v>
      </c>
      <c r="AI33" s="87">
        <f>IF(Proponentes[[#This Row],[e]]=Proponentes[[#This Row],[d]],Proponentes[[#This Row],[Cap Op en SMMLV]],VLOOKUP(Proponentes[[#This Row],[e]],Base!$D$1:$E$6,2,FALSE))</f>
        <v>0</v>
      </c>
      <c r="AJ33" s="101" t="str">
        <f>VLOOKUP(Proponentes[[#This Row],[Propuesta]],Hoja2!$A$2:$D$329,4,FALSE)</f>
        <v>NO CUMPLE</v>
      </c>
      <c r="AK33" s="101"/>
    </row>
    <row r="34" spans="1:37" ht="32" x14ac:dyDescent="0.2">
      <c r="A34" s="10">
        <v>33</v>
      </c>
      <c r="B34" s="11">
        <v>900235663</v>
      </c>
      <c r="C34" s="12" t="s">
        <v>72</v>
      </c>
      <c r="D34" s="13">
        <v>2980000</v>
      </c>
      <c r="E34" s="13">
        <v>16989000</v>
      </c>
      <c r="F34" s="25">
        <f>Proponentes[[#This Row],[Activo Corriente]]+Proponentes[[#This Row],[Activo NO Corriente]]</f>
        <v>19969000</v>
      </c>
      <c r="G34" s="13">
        <v>750000</v>
      </c>
      <c r="H34" s="13">
        <v>0</v>
      </c>
      <c r="I34" s="25">
        <f>Proponentes[[#This Row],[Pasivo Corriente]]+Proponentes[[#This Row],[Pasivo NO Corriente]]</f>
        <v>750000</v>
      </c>
      <c r="J34" s="14">
        <f>Proponentes[[#This Row],[Total ACTIVO]]-Proponentes[[#This Row],[Total Pasivo]]</f>
        <v>19219000</v>
      </c>
      <c r="K34" s="48">
        <f>VLOOKUP(Proponentes[[#This Row],[Propuesta]],Hoja2!$A$2:$G$239,7,FALSE)</f>
        <v>238433446.83753738</v>
      </c>
      <c r="L34" s="15"/>
      <c r="M34" s="15" t="s">
        <v>73</v>
      </c>
      <c r="N34" s="55">
        <f>IFERROR(VLOOKUP(Proponentes[[#This Row],[Cap Op en SMMLV]],Base!$A$15:$F$20,3),0)</f>
        <v>1</v>
      </c>
      <c r="O34" s="16">
        <f>IFERROR(VLOOKUP(Proponentes[[#This Row],[Cap Op en SMMLV]],Base!$A$15:$F$20,4),0)</f>
        <v>0.76</v>
      </c>
      <c r="P34" s="17">
        <f>IFERROR(VLOOKUP(Proponentes[[#This Row],[Cap Op en SMMLV]],Tabla2[],6),0)</f>
        <v>12.5</v>
      </c>
      <c r="Q34" s="18">
        <f>IFERROR(VLOOKUP(Proponentes[[#This Row],[Cap Op en SMMLV]],Base!$A$15:$F$20,5),0)</f>
        <v>10351450</v>
      </c>
      <c r="R34" s="18">
        <f>IFERROR(VLOOKUP(Proponentes[[#This Row],[Cap Op en SMMLV]],Tabla2[[DE]:[HASTA]],2),0)</f>
        <v>500</v>
      </c>
      <c r="S34" s="19">
        <f>IFERROR(Proponentes[[#This Row],[Activo Corriente]]/Proponentes[[#This Row],[Pasivo Corriente]],"INDETERMINADO")</f>
        <v>3.9733333333333332</v>
      </c>
      <c r="T34" s="20">
        <f>IFERROR(Proponentes[[#This Row],[Total Pasivo]]/Proponentes[[#This Row],[Total ACTIVO]],0)</f>
        <v>3.7558215233612101E-2</v>
      </c>
      <c r="U34" s="21">
        <f>(Proponentes[[#This Row],[Activo Corriente]]-Proponentes[[#This Row],[Pasivo Corriente]])/Base!$B$3</f>
        <v>2.6928594544725617</v>
      </c>
      <c r="V34" s="22">
        <f>Proponentes[[#This Row],[Activo Corriente]]-Proponentes[[#This Row],[Pasivo Corriente]]</f>
        <v>2230000</v>
      </c>
      <c r="W34" s="13">
        <f>IFERROR(VLOOKUP(Proponentes[[#This Row],[Propuesta]],Hoja2!$A$2:$G$329,7,FALSE),0)</f>
        <v>238433446.83753738</v>
      </c>
      <c r="X34" s="83">
        <f>IF(Proponentes[[#This Row],[Cap Op en Pesos]]=0,0,IF(Proponentes[[#This Row],[Cap Op en Pesos]]=0,1,Proponentes[[#This Row],[Cap Op en Pesos]]/Base!B$3))</f>
        <v>287.92276303988496</v>
      </c>
      <c r="Y3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34" s="23" t="str">
        <f>IF(AND(Proponentes[[#This Row],[Cumple
Liquidez]]="CUMPLE",Proponentes[[#This Row],[Cumple
Endeudamiento]]="CUMPLE",Proponentes[[#This Row],[Cumple
Capital de Trabajo]]="CUMPLE"),"CUMPLE","NO CUMPLE")</f>
        <v>NO CUMPLE</v>
      </c>
      <c r="AC34" s="24" t="s">
        <v>786</v>
      </c>
      <c r="AD34" s="10">
        <f>IF(Proponentes[[#This Row],[Liquidez
Oferente]]&lt;=1,1,IF(Proponentes[[#This Row],[Liquidez
Oferente]]&lt;=1.1,2,IF(Proponentes[[#This Row],[Liquidez
Oferente]]&lt;=1.2,3,IF(Proponentes[[#This Row],[Liquidez
Oferente]]&lt;=1.3,4,IF(Proponentes[[#This Row],[Liquidez
Oferente]]&lt;=1.4,5,6)))))</f>
        <v>6</v>
      </c>
      <c r="AE34" s="10">
        <f>IF(Proponentes[[#This Row],[Endeudamiento
Oferente]]&lt;=66%,6,IF(Proponentes[[#This Row],[Endeudamiento
Oferente]]&lt;=58,5,IF(Proponentes[[#This Row],[Endeudamiento
Oferente]]&lt;=70,4,IF(Proponentes[[#This Row],[Endeudamiento
Oferente]]&lt;=72,3,IF(Proponentes[[#This Row],[Endeudamiento
Oferente]]&lt;=74,2,1)))))</f>
        <v>6</v>
      </c>
      <c r="AF3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34" s="10">
        <f>IF(Proponentes[[#This Row],[Cap Op en SMMLV]]&lt;=500,1,IF(Proponentes[[#This Row],[Cap Op en SMMLV]]&lt;=1000,2,IF(Proponentes[[#This Row],[Cap Op en SMMLV]]&lt;=1500,3,IF(Proponentes[[#This Row],[Cap Op en SMMLV]]&lt;=2000,4,IF(Proponentes[[#This Row],[Cap Op en SMMLV]]&lt;=2500,5,6)))))</f>
        <v>1</v>
      </c>
      <c r="AH34" s="10">
        <f>MIN(Proponentes[[#This Row],[a]:[d]])</f>
        <v>1</v>
      </c>
      <c r="AI34" s="87">
        <f>IF(Proponentes[[#This Row],[e]]=Proponentes[[#This Row],[d]],Proponentes[[#This Row],[Cap Op en SMMLV]],VLOOKUP(Proponentes[[#This Row],[e]],Base!$D$1:$E$6,2,FALSE))</f>
        <v>287.92276303988496</v>
      </c>
      <c r="AJ34" s="101" t="str">
        <f>VLOOKUP(Proponentes[[#This Row],[Propuesta]],Hoja2!$A$2:$D$329,4,FALSE)</f>
        <v>NO CUMPLE</v>
      </c>
      <c r="AK34" s="101"/>
    </row>
    <row r="35" spans="1:37" ht="16" x14ac:dyDescent="0.2">
      <c r="A35" s="10">
        <v>34</v>
      </c>
      <c r="B35" s="11">
        <v>900365588</v>
      </c>
      <c r="C35" s="12" t="s">
        <v>74</v>
      </c>
      <c r="D35" s="13">
        <v>1017494546</v>
      </c>
      <c r="E35" s="13">
        <v>441753654</v>
      </c>
      <c r="F35" s="25">
        <f>Proponentes[[#This Row],[Activo Corriente]]+Proponentes[[#This Row],[Activo NO Corriente]]</f>
        <v>1459248200</v>
      </c>
      <c r="G35" s="13">
        <v>43729555</v>
      </c>
      <c r="H35" s="13">
        <v>0</v>
      </c>
      <c r="I35" s="25">
        <f>Proponentes[[#This Row],[Pasivo Corriente]]+Proponentes[[#This Row],[Pasivo NO Corriente]]</f>
        <v>43729555</v>
      </c>
      <c r="J35" s="14">
        <f>Proponentes[[#This Row],[Total ACTIVO]]-Proponentes[[#This Row],[Total Pasivo]]</f>
        <v>1415518645</v>
      </c>
      <c r="K35" s="48">
        <f>VLOOKUP(Proponentes[[#This Row],[Propuesta]],Hoja2!$A$2:$G$239,7,FALSE)</f>
        <v>0</v>
      </c>
      <c r="L35" s="15"/>
      <c r="M35" s="15" t="s">
        <v>59</v>
      </c>
      <c r="N35" s="55">
        <f>IFERROR(VLOOKUP(Proponentes[[#This Row],[Cap Op en SMMLV]],Base!$A$15:$F$20,3),0)</f>
        <v>0</v>
      </c>
      <c r="O35" s="16">
        <f>IFERROR(VLOOKUP(Proponentes[[#This Row],[Cap Op en SMMLV]],Base!$A$15:$F$20,4),0)</f>
        <v>0</v>
      </c>
      <c r="P35" s="17">
        <f>IFERROR(VLOOKUP(Proponentes[[#This Row],[Cap Op en SMMLV]],Tabla2[],6),0)</f>
        <v>0</v>
      </c>
      <c r="Q35" s="18">
        <f>IFERROR(VLOOKUP(Proponentes[[#This Row],[Cap Op en SMMLV]],Base!$A$15:$F$20,5),0)</f>
        <v>0</v>
      </c>
      <c r="R35" s="18">
        <f>IFERROR(VLOOKUP(Proponentes[[#This Row],[Cap Op en SMMLV]],Tabla2[[DE]:[HASTA]],2),0)</f>
        <v>0</v>
      </c>
      <c r="S35" s="19">
        <f>IFERROR(Proponentes[[#This Row],[Activo Corriente]]/Proponentes[[#This Row],[Pasivo Corriente]],"INDETERMINADO")</f>
        <v>23.267891612434656</v>
      </c>
      <c r="T35" s="20">
        <f>IFERROR(Proponentes[[#This Row],[Total Pasivo]]/Proponentes[[#This Row],[Total ACTIVO]],0)</f>
        <v>2.9967181045691883E-2</v>
      </c>
      <c r="U35" s="21">
        <f>(Proponentes[[#This Row],[Activo Corriente]]-Proponentes[[#This Row],[Pasivo Corriente]])/Base!$B$3</f>
        <v>1175.8799383178202</v>
      </c>
      <c r="V35" s="22">
        <f>Proponentes[[#This Row],[Activo Corriente]]-Proponentes[[#This Row],[Pasivo Corriente]]</f>
        <v>973764991</v>
      </c>
      <c r="W35" s="13">
        <f>IFERROR(VLOOKUP(Proponentes[[#This Row],[Propuesta]],Hoja2!$A$2:$G$329,7,FALSE),0)</f>
        <v>0</v>
      </c>
      <c r="X35" s="83">
        <f>IF(Proponentes[[#This Row],[Cap Op en Pesos]]=0,0,IF(Proponentes[[#This Row],[Cap Op en Pesos]]=0,1,Proponentes[[#This Row],[Cap Op en Pesos]]/Base!B$3))</f>
        <v>0</v>
      </c>
      <c r="Y3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5" s="23" t="str">
        <f>IF(AND(Proponentes[[#This Row],[Cumple
Liquidez]]="CUMPLE",Proponentes[[#This Row],[Cumple
Endeudamiento]]="CUMPLE",Proponentes[[#This Row],[Cumple
Capital de Trabajo]]="CUMPLE"),"CUMPLE","NO CUMPLE")</f>
        <v>NO CUMPLE</v>
      </c>
      <c r="AC35" s="24"/>
      <c r="AD35" s="10">
        <f>IF(Proponentes[[#This Row],[Liquidez
Oferente]]&lt;=1,1,IF(Proponentes[[#This Row],[Liquidez
Oferente]]&lt;=1.1,2,IF(Proponentes[[#This Row],[Liquidez
Oferente]]&lt;=1.2,3,IF(Proponentes[[#This Row],[Liquidez
Oferente]]&lt;=1.3,4,IF(Proponentes[[#This Row],[Liquidez
Oferente]]&lt;=1.4,5,6)))))</f>
        <v>6</v>
      </c>
      <c r="AE35" s="10">
        <f>IF(Proponentes[[#This Row],[Endeudamiento
Oferente]]&lt;=66%,6,IF(Proponentes[[#This Row],[Endeudamiento
Oferente]]&lt;=58,5,IF(Proponentes[[#This Row],[Endeudamiento
Oferente]]&lt;=70,4,IF(Proponentes[[#This Row],[Endeudamiento
Oferente]]&lt;=72,3,IF(Proponentes[[#This Row],[Endeudamiento
Oferente]]&lt;=74,2,1)))))</f>
        <v>6</v>
      </c>
      <c r="AF3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5" s="10">
        <f>IF(Proponentes[[#This Row],[Cap Op en SMMLV]]&lt;=500,1,IF(Proponentes[[#This Row],[Cap Op en SMMLV]]&lt;=1000,2,IF(Proponentes[[#This Row],[Cap Op en SMMLV]]&lt;=1500,3,IF(Proponentes[[#This Row],[Cap Op en SMMLV]]&lt;=2000,4,IF(Proponentes[[#This Row],[Cap Op en SMMLV]]&lt;=2500,5,6)))))</f>
        <v>1</v>
      </c>
      <c r="AH35" s="10">
        <f>MIN(Proponentes[[#This Row],[a]:[d]])</f>
        <v>1</v>
      </c>
      <c r="AI35" s="87">
        <f>IF(Proponentes[[#This Row],[e]]=Proponentes[[#This Row],[d]],Proponentes[[#This Row],[Cap Op en SMMLV]],VLOOKUP(Proponentes[[#This Row],[e]],Base!$D$1:$E$6,2,FALSE))</f>
        <v>0</v>
      </c>
      <c r="AJ35" s="101" t="str">
        <f>VLOOKUP(Proponentes[[#This Row],[Propuesta]],Hoja2!$A$2:$D$329,4,FALSE)</f>
        <v>NO CUMPLE</v>
      </c>
      <c r="AK35" s="101"/>
    </row>
    <row r="36" spans="1:37" ht="16" x14ac:dyDescent="0.2">
      <c r="A36" s="10">
        <v>35</v>
      </c>
      <c r="B36" s="11">
        <v>900550757</v>
      </c>
      <c r="C36" s="12" t="s">
        <v>75</v>
      </c>
      <c r="D36" s="13">
        <v>342218000</v>
      </c>
      <c r="E36" s="13">
        <v>443676128</v>
      </c>
      <c r="F36" s="25">
        <f>Proponentes[[#This Row],[Activo Corriente]]+Proponentes[[#This Row],[Activo NO Corriente]]</f>
        <v>785894128</v>
      </c>
      <c r="G36" s="13">
        <v>20000000</v>
      </c>
      <c r="H36" s="13">
        <v>0</v>
      </c>
      <c r="I36" s="25">
        <f>Proponentes[[#This Row],[Pasivo Corriente]]+Proponentes[[#This Row],[Pasivo NO Corriente]]</f>
        <v>20000000</v>
      </c>
      <c r="J36" s="14">
        <f>Proponentes[[#This Row],[Total ACTIVO]]-Proponentes[[#This Row],[Total Pasivo]]</f>
        <v>765894128</v>
      </c>
      <c r="K36" s="48">
        <f>VLOOKUP(Proponentes[[#This Row],[Propuesta]],Hoja2!$A$2:$G$239,7,FALSE)</f>
        <v>210823318.265964</v>
      </c>
      <c r="L36" s="15"/>
      <c r="M36" s="15" t="s">
        <v>59</v>
      </c>
      <c r="N36" s="55">
        <f>IFERROR(VLOOKUP(Proponentes[[#This Row],[Cap Op en SMMLV]],Base!$A$15:$F$20,3),0)</f>
        <v>1</v>
      </c>
      <c r="O36" s="16">
        <f>IFERROR(VLOOKUP(Proponentes[[#This Row],[Cap Op en SMMLV]],Base!$A$15:$F$20,4),0)</f>
        <v>0.76</v>
      </c>
      <c r="P36" s="17">
        <f>IFERROR(VLOOKUP(Proponentes[[#This Row],[Cap Op en SMMLV]],Tabla2[],6),0)</f>
        <v>12.5</v>
      </c>
      <c r="Q36" s="18">
        <f>IFERROR(VLOOKUP(Proponentes[[#This Row],[Cap Op en SMMLV]],Base!$A$15:$F$20,5),0)</f>
        <v>10351450</v>
      </c>
      <c r="R36" s="18">
        <f>IFERROR(VLOOKUP(Proponentes[[#This Row],[Cap Op en SMMLV]],Tabla2[[DE]:[HASTA]],2),0)</f>
        <v>500</v>
      </c>
      <c r="S36" s="19">
        <f>IFERROR(Proponentes[[#This Row],[Activo Corriente]]/Proponentes[[#This Row],[Pasivo Corriente]],"INDETERMINADO")</f>
        <v>17.110900000000001</v>
      </c>
      <c r="T36" s="20">
        <f>IFERROR(Proponentes[[#This Row],[Total Pasivo]]/Proponentes[[#This Row],[Total ACTIVO]],0)</f>
        <v>2.5448720492284936E-2</v>
      </c>
      <c r="U36" s="21">
        <f>(Proponentes[[#This Row],[Activo Corriente]]-Proponentes[[#This Row],[Pasivo Corriente]])/Base!$B$3</f>
        <v>389.09766264629593</v>
      </c>
      <c r="V36" s="22">
        <f>Proponentes[[#This Row],[Activo Corriente]]-Proponentes[[#This Row],[Pasivo Corriente]]</f>
        <v>322218000</v>
      </c>
      <c r="W36" s="13">
        <f>IFERROR(VLOOKUP(Proponentes[[#This Row],[Propuesta]],Hoja2!$A$2:$G$329,7,FALSE),0)</f>
        <v>210823318.265964</v>
      </c>
      <c r="X36" s="83">
        <f>IF(Proponentes[[#This Row],[Cap Op en Pesos]]=0,0,IF(Proponentes[[#This Row],[Cap Op en Pesos]]=0,1,Proponentes[[#This Row],[Cap Op en Pesos]]/Base!B$3))</f>
        <v>254.5818680788247</v>
      </c>
      <c r="Y3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6" s="23" t="str">
        <f>IF(AND(Proponentes[[#This Row],[Cumple
Liquidez]]="CUMPLE",Proponentes[[#This Row],[Cumple
Endeudamiento]]="CUMPLE",Proponentes[[#This Row],[Cumple
Capital de Trabajo]]="CUMPLE"),"CUMPLE","NO CUMPLE")</f>
        <v>CUMPLE</v>
      </c>
      <c r="AC36" s="24"/>
      <c r="AD36" s="10">
        <f>IF(Proponentes[[#This Row],[Liquidez
Oferente]]&lt;=1,1,IF(Proponentes[[#This Row],[Liquidez
Oferente]]&lt;=1.1,2,IF(Proponentes[[#This Row],[Liquidez
Oferente]]&lt;=1.2,3,IF(Proponentes[[#This Row],[Liquidez
Oferente]]&lt;=1.3,4,IF(Proponentes[[#This Row],[Liquidez
Oferente]]&lt;=1.4,5,6)))))</f>
        <v>6</v>
      </c>
      <c r="AE36" s="10">
        <f>IF(Proponentes[[#This Row],[Endeudamiento
Oferente]]&lt;=66%,6,IF(Proponentes[[#This Row],[Endeudamiento
Oferente]]&lt;=58,5,IF(Proponentes[[#This Row],[Endeudamiento
Oferente]]&lt;=70,4,IF(Proponentes[[#This Row],[Endeudamiento
Oferente]]&lt;=72,3,IF(Proponentes[[#This Row],[Endeudamiento
Oferente]]&lt;=74,2,1)))))</f>
        <v>6</v>
      </c>
      <c r="AF3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6" s="10">
        <f>IF(Proponentes[[#This Row],[Cap Op en SMMLV]]&lt;=500,1,IF(Proponentes[[#This Row],[Cap Op en SMMLV]]&lt;=1000,2,IF(Proponentes[[#This Row],[Cap Op en SMMLV]]&lt;=1500,3,IF(Proponentes[[#This Row],[Cap Op en SMMLV]]&lt;=2000,4,IF(Proponentes[[#This Row],[Cap Op en SMMLV]]&lt;=2500,5,6)))))</f>
        <v>1</v>
      </c>
      <c r="AH36" s="10">
        <f>MIN(Proponentes[[#This Row],[a]:[d]])</f>
        <v>1</v>
      </c>
      <c r="AI36" s="87">
        <f>IF(Proponentes[[#This Row],[e]]=Proponentes[[#This Row],[d]],Proponentes[[#This Row],[Cap Op en SMMLV]],VLOOKUP(Proponentes[[#This Row],[e]],Base!$D$1:$E$6,2,FALSE))</f>
        <v>254.5818680788247</v>
      </c>
      <c r="AJ36" s="101" t="str">
        <f>VLOOKUP(Proponentes[[#This Row],[Propuesta]],Hoja2!$A$2:$D$329,4,FALSE)</f>
        <v>CUMPLE</v>
      </c>
      <c r="AK36" s="101"/>
    </row>
    <row r="37" spans="1:37" ht="16" x14ac:dyDescent="0.2">
      <c r="A37" s="10">
        <v>36</v>
      </c>
      <c r="B37" s="11">
        <v>900705451</v>
      </c>
      <c r="C37" s="12" t="s">
        <v>76</v>
      </c>
      <c r="D37" s="13">
        <v>258133846</v>
      </c>
      <c r="E37" s="13">
        <v>207349490</v>
      </c>
      <c r="F37" s="25">
        <f>Proponentes[[#This Row],[Activo Corriente]]+Proponentes[[#This Row],[Activo NO Corriente]]</f>
        <v>465483336</v>
      </c>
      <c r="G37" s="13">
        <v>151411167</v>
      </c>
      <c r="H37" s="13">
        <v>0</v>
      </c>
      <c r="I37" s="25">
        <f>Proponentes[[#This Row],[Pasivo Corriente]]+Proponentes[[#This Row],[Pasivo NO Corriente]]</f>
        <v>151411167</v>
      </c>
      <c r="J37" s="14">
        <f>Proponentes[[#This Row],[Total ACTIVO]]-Proponentes[[#This Row],[Total Pasivo]]</f>
        <v>314072169</v>
      </c>
      <c r="K37" s="48">
        <f>VLOOKUP(Proponentes[[#This Row],[Propuesta]],Hoja2!$A$2:$G$239,7,FALSE)</f>
        <v>16474232.77302775</v>
      </c>
      <c r="L37" s="15"/>
      <c r="M37" s="15" t="s">
        <v>77</v>
      </c>
      <c r="N37" s="55">
        <f>IFERROR(VLOOKUP(Proponentes[[#This Row],[Cap Op en SMMLV]],Base!$A$15:$F$20,3),0)</f>
        <v>1</v>
      </c>
      <c r="O37" s="16">
        <f>IFERROR(VLOOKUP(Proponentes[[#This Row],[Cap Op en SMMLV]],Base!$A$15:$F$20,4),0)</f>
        <v>0.76</v>
      </c>
      <c r="P37" s="17">
        <f>IFERROR(VLOOKUP(Proponentes[[#This Row],[Cap Op en SMMLV]],Tabla2[],6),0)</f>
        <v>12.5</v>
      </c>
      <c r="Q37" s="18">
        <f>IFERROR(VLOOKUP(Proponentes[[#This Row],[Cap Op en SMMLV]],Base!$A$15:$F$20,5),0)</f>
        <v>10351450</v>
      </c>
      <c r="R37" s="18">
        <f>IFERROR(VLOOKUP(Proponentes[[#This Row],[Cap Op en SMMLV]],Tabla2[[DE]:[HASTA]],2),0)</f>
        <v>500</v>
      </c>
      <c r="S37" s="19">
        <f>IFERROR(Proponentes[[#This Row],[Activo Corriente]]/Proponentes[[#This Row],[Pasivo Corriente]],"INDETERMINADO")</f>
        <v>1.7048534207519845</v>
      </c>
      <c r="T37" s="20">
        <f>IFERROR(Proponentes[[#This Row],[Total Pasivo]]/Proponentes[[#This Row],[Total ACTIVO]],0)</f>
        <v>0.3252773091752526</v>
      </c>
      <c r="U37" s="21">
        <f>(Proponentes[[#This Row],[Activo Corriente]]-Proponentes[[#This Row],[Pasivo Corriente]])/Base!$B$3</f>
        <v>128.87406957479388</v>
      </c>
      <c r="V37" s="22">
        <f>Proponentes[[#This Row],[Activo Corriente]]-Proponentes[[#This Row],[Pasivo Corriente]]</f>
        <v>106722679</v>
      </c>
      <c r="W37" s="13">
        <f>IFERROR(VLOOKUP(Proponentes[[#This Row],[Propuesta]],Hoja2!$A$2:$G$329,7,FALSE),0)</f>
        <v>16474232.77302775</v>
      </c>
      <c r="X37" s="83">
        <f>IF(Proponentes[[#This Row],[Cap Op en Pesos]]=0,0,IF(Proponentes[[#This Row],[Cap Op en Pesos]]=0,1,Proponentes[[#This Row],[Cap Op en Pesos]]/Base!B$3))</f>
        <v>19.89362936234507</v>
      </c>
      <c r="Y3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7" s="23" t="str">
        <f>IF(AND(Proponentes[[#This Row],[Cumple
Liquidez]]="CUMPLE",Proponentes[[#This Row],[Cumple
Endeudamiento]]="CUMPLE",Proponentes[[#This Row],[Cumple
Capital de Trabajo]]="CUMPLE"),"CUMPLE","NO CUMPLE")</f>
        <v>CUMPLE</v>
      </c>
      <c r="AC37" s="24"/>
      <c r="AD37" s="10">
        <f>IF(Proponentes[[#This Row],[Liquidez
Oferente]]&lt;=1,1,IF(Proponentes[[#This Row],[Liquidez
Oferente]]&lt;=1.1,2,IF(Proponentes[[#This Row],[Liquidez
Oferente]]&lt;=1.2,3,IF(Proponentes[[#This Row],[Liquidez
Oferente]]&lt;=1.3,4,IF(Proponentes[[#This Row],[Liquidez
Oferente]]&lt;=1.4,5,6)))))</f>
        <v>6</v>
      </c>
      <c r="AE37" s="10">
        <f>IF(Proponentes[[#This Row],[Endeudamiento
Oferente]]&lt;=66%,6,IF(Proponentes[[#This Row],[Endeudamiento
Oferente]]&lt;=58,5,IF(Proponentes[[#This Row],[Endeudamiento
Oferente]]&lt;=70,4,IF(Proponentes[[#This Row],[Endeudamiento
Oferente]]&lt;=72,3,IF(Proponentes[[#This Row],[Endeudamiento
Oferente]]&lt;=74,2,1)))))</f>
        <v>6</v>
      </c>
      <c r="AF3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7" s="10">
        <f>IF(Proponentes[[#This Row],[Cap Op en SMMLV]]&lt;=500,1,IF(Proponentes[[#This Row],[Cap Op en SMMLV]]&lt;=1000,2,IF(Proponentes[[#This Row],[Cap Op en SMMLV]]&lt;=1500,3,IF(Proponentes[[#This Row],[Cap Op en SMMLV]]&lt;=2000,4,IF(Proponentes[[#This Row],[Cap Op en SMMLV]]&lt;=2500,5,6)))))</f>
        <v>1</v>
      </c>
      <c r="AH37" s="10">
        <f>MIN(Proponentes[[#This Row],[a]:[d]])</f>
        <v>1</v>
      </c>
      <c r="AI37" s="87">
        <f>IF(Proponentes[[#This Row],[e]]=Proponentes[[#This Row],[d]],Proponentes[[#This Row],[Cap Op en SMMLV]],VLOOKUP(Proponentes[[#This Row],[e]],Base!$D$1:$E$6,2,FALSE))</f>
        <v>19.89362936234507</v>
      </c>
      <c r="AJ37" s="101" t="str">
        <f>VLOOKUP(Proponentes[[#This Row],[Propuesta]],Hoja2!$A$2:$D$329,4,FALSE)</f>
        <v>NO CUMPLE</v>
      </c>
      <c r="AK37" s="101"/>
    </row>
    <row r="38" spans="1:37" ht="16" x14ac:dyDescent="0.2">
      <c r="A38" s="10">
        <v>37</v>
      </c>
      <c r="B38" s="11">
        <v>800007932</v>
      </c>
      <c r="C38" s="12" t="s">
        <v>78</v>
      </c>
      <c r="D38" s="13">
        <v>1093597154</v>
      </c>
      <c r="E38" s="13">
        <v>859354546</v>
      </c>
      <c r="F38" s="25">
        <f>Proponentes[[#This Row],[Activo Corriente]]+Proponentes[[#This Row],[Activo NO Corriente]]</f>
        <v>1952951700</v>
      </c>
      <c r="G38" s="13">
        <v>364226674</v>
      </c>
      <c r="H38" s="13">
        <v>13000000</v>
      </c>
      <c r="I38" s="25">
        <f>Proponentes[[#This Row],[Pasivo Corriente]]+Proponentes[[#This Row],[Pasivo NO Corriente]]</f>
        <v>377226674</v>
      </c>
      <c r="J38" s="14">
        <f>Proponentes[[#This Row],[Total ACTIVO]]-Proponentes[[#This Row],[Total Pasivo]]</f>
        <v>1575725026</v>
      </c>
      <c r="K38" s="48">
        <f>VLOOKUP(Proponentes[[#This Row],[Propuesta]],Hoja2!$A$2:$G$239,7,FALSE)</f>
        <v>516755232.79716146</v>
      </c>
      <c r="L38" s="15"/>
      <c r="M38" s="15" t="s">
        <v>59</v>
      </c>
      <c r="N38" s="55">
        <f>IFERROR(VLOOKUP(Proponentes[[#This Row],[Cap Op en SMMLV]],Base!$A$15:$F$20,3),0)</f>
        <v>1.1000000000000001</v>
      </c>
      <c r="O38" s="16">
        <f>IFERROR(VLOOKUP(Proponentes[[#This Row],[Cap Op en SMMLV]],Base!$A$15:$F$20,4),0)</f>
        <v>0.74</v>
      </c>
      <c r="P38" s="17">
        <f>IFERROR(VLOOKUP(Proponentes[[#This Row],[Cap Op en SMMLV]],Tabla2[],6),0)</f>
        <v>25</v>
      </c>
      <c r="Q38" s="18">
        <f>IFERROR(VLOOKUP(Proponentes[[#This Row],[Cap Op en SMMLV]],Base!$A$15:$F$20,5),0)</f>
        <v>20702900</v>
      </c>
      <c r="R38" s="18">
        <f>IFERROR(VLOOKUP(Proponentes[[#This Row],[Cap Op en SMMLV]],Tabla2[[DE]:[HASTA]],2),0)</f>
        <v>1000</v>
      </c>
      <c r="S38" s="19">
        <f>IFERROR(Proponentes[[#This Row],[Activo Corriente]]/Proponentes[[#This Row],[Pasivo Corriente]],"INDETERMINADO")</f>
        <v>3.0025180253547274</v>
      </c>
      <c r="T38" s="20">
        <f>IFERROR(Proponentes[[#This Row],[Total Pasivo]]/Proponentes[[#This Row],[Total ACTIVO]],0)</f>
        <v>0.19315719584872479</v>
      </c>
      <c r="U38" s="21">
        <f>(Proponentes[[#This Row],[Activo Corriente]]-Proponentes[[#This Row],[Pasivo Corriente]])/Base!$B$3</f>
        <v>880.75883088842625</v>
      </c>
      <c r="V38" s="22">
        <f>Proponentes[[#This Row],[Activo Corriente]]-Proponentes[[#This Row],[Pasivo Corriente]]</f>
        <v>729370480</v>
      </c>
      <c r="W38" s="13">
        <f>IFERROR(VLOOKUP(Proponentes[[#This Row],[Propuesta]],Hoja2!$A$2:$G$329,7,FALSE),0)</f>
        <v>516755232.79716146</v>
      </c>
      <c r="X38" s="83">
        <f>IF(Proponentes[[#This Row],[Cap Op en Pesos]]=0,0,IF(Proponentes[[#This Row],[Cap Op en Pesos]]=0,1,Proponentes[[#This Row],[Cap Op en Pesos]]/Base!B$3))</f>
        <v>624.01310057668422</v>
      </c>
      <c r="Y3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8" s="23" t="str">
        <f>IF(AND(Proponentes[[#This Row],[Cumple
Liquidez]]="CUMPLE",Proponentes[[#This Row],[Cumple
Endeudamiento]]="CUMPLE",Proponentes[[#This Row],[Cumple
Capital de Trabajo]]="CUMPLE"),"CUMPLE","NO CUMPLE")</f>
        <v>CUMPLE</v>
      </c>
      <c r="AC38" s="24"/>
      <c r="AD38" s="10">
        <f>IF(Proponentes[[#This Row],[Liquidez
Oferente]]&lt;=1,1,IF(Proponentes[[#This Row],[Liquidez
Oferente]]&lt;=1.1,2,IF(Proponentes[[#This Row],[Liquidez
Oferente]]&lt;=1.2,3,IF(Proponentes[[#This Row],[Liquidez
Oferente]]&lt;=1.3,4,IF(Proponentes[[#This Row],[Liquidez
Oferente]]&lt;=1.4,5,6)))))</f>
        <v>6</v>
      </c>
      <c r="AE38" s="10">
        <f>IF(Proponentes[[#This Row],[Endeudamiento
Oferente]]&lt;=66%,6,IF(Proponentes[[#This Row],[Endeudamiento
Oferente]]&lt;=58,5,IF(Proponentes[[#This Row],[Endeudamiento
Oferente]]&lt;=70,4,IF(Proponentes[[#This Row],[Endeudamiento
Oferente]]&lt;=72,3,IF(Proponentes[[#This Row],[Endeudamiento
Oferente]]&lt;=74,2,1)))))</f>
        <v>6</v>
      </c>
      <c r="AF3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8" s="10">
        <f>IF(Proponentes[[#This Row],[Cap Op en SMMLV]]&lt;=500,1,IF(Proponentes[[#This Row],[Cap Op en SMMLV]]&lt;=1000,2,IF(Proponentes[[#This Row],[Cap Op en SMMLV]]&lt;=1500,3,IF(Proponentes[[#This Row],[Cap Op en SMMLV]]&lt;=2000,4,IF(Proponentes[[#This Row],[Cap Op en SMMLV]]&lt;=2500,5,6)))))</f>
        <v>2</v>
      </c>
      <c r="AH38" s="10">
        <f>MIN(Proponentes[[#This Row],[a]:[d]])</f>
        <v>2</v>
      </c>
      <c r="AI38" s="87">
        <f>IF(Proponentes[[#This Row],[e]]=Proponentes[[#This Row],[d]],Proponentes[[#This Row],[Cap Op en SMMLV]],VLOOKUP(Proponentes[[#This Row],[e]],Base!$D$1:$E$6,2,FALSE))</f>
        <v>624.01310057668422</v>
      </c>
      <c r="AJ38" s="101" t="str">
        <f>VLOOKUP(Proponentes[[#This Row],[Propuesta]],Hoja2!$A$2:$D$329,4,FALSE)</f>
        <v>CUMPLE</v>
      </c>
      <c r="AK38" s="101"/>
    </row>
    <row r="39" spans="1:37" ht="16" x14ac:dyDescent="0.2">
      <c r="A39" s="10">
        <v>38</v>
      </c>
      <c r="B39" s="11">
        <v>900799981</v>
      </c>
      <c r="C39" s="12" t="s">
        <v>79</v>
      </c>
      <c r="D39" s="13">
        <v>200000000</v>
      </c>
      <c r="E39" s="13">
        <v>50000000</v>
      </c>
      <c r="F39" s="25">
        <f>Proponentes[[#This Row],[Activo Corriente]]+Proponentes[[#This Row],[Activo NO Corriente]]</f>
        <v>250000000</v>
      </c>
      <c r="G39" s="13">
        <v>24000000</v>
      </c>
      <c r="H39" s="13">
        <v>0</v>
      </c>
      <c r="I39" s="25">
        <f>Proponentes[[#This Row],[Pasivo Corriente]]+Proponentes[[#This Row],[Pasivo NO Corriente]]</f>
        <v>24000000</v>
      </c>
      <c r="J39" s="14">
        <f>Proponentes[[#This Row],[Total ACTIVO]]-Proponentes[[#This Row],[Total Pasivo]]</f>
        <v>226000000</v>
      </c>
      <c r="K39" s="48">
        <f>VLOOKUP(Proponentes[[#This Row],[Propuesta]],Hoja2!$A$2:$G$239,7,FALSE)</f>
        <v>0</v>
      </c>
      <c r="L39" s="15"/>
      <c r="M39" s="15" t="s">
        <v>27</v>
      </c>
      <c r="N39" s="55">
        <f>IFERROR(VLOOKUP(Proponentes[[#This Row],[Cap Op en SMMLV]],Base!$A$15:$F$20,3),0)</f>
        <v>0</v>
      </c>
      <c r="O39" s="16">
        <f>IFERROR(VLOOKUP(Proponentes[[#This Row],[Cap Op en SMMLV]],Base!$A$15:$F$20,4),0)</f>
        <v>0</v>
      </c>
      <c r="P39" s="17">
        <f>IFERROR(VLOOKUP(Proponentes[[#This Row],[Cap Op en SMMLV]],Tabla2[],6),0)</f>
        <v>0</v>
      </c>
      <c r="Q39" s="18">
        <f>IFERROR(VLOOKUP(Proponentes[[#This Row],[Cap Op en SMMLV]],Base!$A$15:$F$20,5),0)</f>
        <v>0</v>
      </c>
      <c r="R39" s="18">
        <f>IFERROR(VLOOKUP(Proponentes[[#This Row],[Cap Op en SMMLV]],Tabla2[[DE]:[HASTA]],2),0)</f>
        <v>0</v>
      </c>
      <c r="S39" s="19">
        <f>IFERROR(Proponentes[[#This Row],[Activo Corriente]]/Proponentes[[#This Row],[Pasivo Corriente]],"INDETERMINADO")</f>
        <v>8.3333333333333339</v>
      </c>
      <c r="T39" s="20">
        <f>IFERROR(Proponentes[[#This Row],[Total Pasivo]]/Proponentes[[#This Row],[Total ACTIVO]],0)</f>
        <v>9.6000000000000002E-2</v>
      </c>
      <c r="U39" s="21">
        <f>(Proponentes[[#This Row],[Activo Corriente]]-Proponentes[[#This Row],[Pasivo Corriente]])/Base!$B$3</f>
        <v>212.53061165343985</v>
      </c>
      <c r="V39" s="22">
        <f>Proponentes[[#This Row],[Activo Corriente]]-Proponentes[[#This Row],[Pasivo Corriente]]</f>
        <v>176000000</v>
      </c>
      <c r="W39" s="13">
        <f>IFERROR(VLOOKUP(Proponentes[[#This Row],[Propuesta]],Hoja2!$A$2:$G$329,7,FALSE),0)</f>
        <v>0</v>
      </c>
      <c r="X39" s="83">
        <f>IF(Proponentes[[#This Row],[Cap Op en Pesos]]=0,0,IF(Proponentes[[#This Row],[Cap Op en Pesos]]=0,1,Proponentes[[#This Row],[Cap Op en Pesos]]/Base!B$3))</f>
        <v>0</v>
      </c>
      <c r="Y3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9" s="23" t="str">
        <f>IF(AND(Proponentes[[#This Row],[Cumple
Liquidez]]="CUMPLE",Proponentes[[#This Row],[Cumple
Endeudamiento]]="CUMPLE",Proponentes[[#This Row],[Cumple
Capital de Trabajo]]="CUMPLE"),"CUMPLE","NO CUMPLE")</f>
        <v>NO CUMPLE</v>
      </c>
      <c r="AC39" s="24"/>
      <c r="AD39" s="10">
        <f>IF(Proponentes[[#This Row],[Liquidez
Oferente]]&lt;=1,1,IF(Proponentes[[#This Row],[Liquidez
Oferente]]&lt;=1.1,2,IF(Proponentes[[#This Row],[Liquidez
Oferente]]&lt;=1.2,3,IF(Proponentes[[#This Row],[Liquidez
Oferente]]&lt;=1.3,4,IF(Proponentes[[#This Row],[Liquidez
Oferente]]&lt;=1.4,5,6)))))</f>
        <v>6</v>
      </c>
      <c r="AE39" s="10">
        <f>IF(Proponentes[[#This Row],[Endeudamiento
Oferente]]&lt;=66%,6,IF(Proponentes[[#This Row],[Endeudamiento
Oferente]]&lt;=58,5,IF(Proponentes[[#This Row],[Endeudamiento
Oferente]]&lt;=70,4,IF(Proponentes[[#This Row],[Endeudamiento
Oferente]]&lt;=72,3,IF(Proponentes[[#This Row],[Endeudamiento
Oferente]]&lt;=74,2,1)))))</f>
        <v>6</v>
      </c>
      <c r="AF3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9" s="10">
        <f>IF(Proponentes[[#This Row],[Cap Op en SMMLV]]&lt;=500,1,IF(Proponentes[[#This Row],[Cap Op en SMMLV]]&lt;=1000,2,IF(Proponentes[[#This Row],[Cap Op en SMMLV]]&lt;=1500,3,IF(Proponentes[[#This Row],[Cap Op en SMMLV]]&lt;=2000,4,IF(Proponentes[[#This Row],[Cap Op en SMMLV]]&lt;=2500,5,6)))))</f>
        <v>1</v>
      </c>
      <c r="AH39" s="10">
        <f>MIN(Proponentes[[#This Row],[a]:[d]])</f>
        <v>1</v>
      </c>
      <c r="AI39" s="87">
        <f>IF(Proponentes[[#This Row],[e]]=Proponentes[[#This Row],[d]],Proponentes[[#This Row],[Cap Op en SMMLV]],VLOOKUP(Proponentes[[#This Row],[e]],Base!$D$1:$E$6,2,FALSE))</f>
        <v>0</v>
      </c>
      <c r="AJ39" s="101" t="str">
        <f>VLOOKUP(Proponentes[[#This Row],[Propuesta]],Hoja2!$A$2:$D$329,4,FALSE)</f>
        <v>NO CUMPLE</v>
      </c>
      <c r="AK39" s="101"/>
    </row>
    <row r="40" spans="1:37" ht="16" x14ac:dyDescent="0.2">
      <c r="A40" s="10">
        <v>39</v>
      </c>
      <c r="B40" s="11">
        <v>814006325</v>
      </c>
      <c r="C40" s="12" t="s">
        <v>80</v>
      </c>
      <c r="D40" s="13">
        <v>4329100513</v>
      </c>
      <c r="E40" s="13">
        <v>2913131814</v>
      </c>
      <c r="F40" s="25">
        <f>Proponentes[[#This Row],[Activo Corriente]]+Proponentes[[#This Row],[Activo NO Corriente]]</f>
        <v>7242232327</v>
      </c>
      <c r="G40" s="13">
        <v>2628735088</v>
      </c>
      <c r="H40" s="13">
        <v>119859011</v>
      </c>
      <c r="I40" s="25">
        <f>Proponentes[[#This Row],[Pasivo Corriente]]+Proponentes[[#This Row],[Pasivo NO Corriente]]</f>
        <v>2748594099</v>
      </c>
      <c r="J40" s="14">
        <f>Proponentes[[#This Row],[Total ACTIVO]]-Proponentes[[#This Row],[Total Pasivo]]</f>
        <v>4493638228</v>
      </c>
      <c r="K40" s="48">
        <f>VLOOKUP(Proponentes[[#This Row],[Propuesta]],Hoja2!$A$2:$G$239,7,FALSE)</f>
        <v>1375980047.2669117</v>
      </c>
      <c r="L40" s="15"/>
      <c r="M40" s="15" t="s">
        <v>59</v>
      </c>
      <c r="N40" s="55">
        <f>IFERROR(VLOOKUP(Proponentes[[#This Row],[Cap Op en SMMLV]],Base!$A$15:$F$20,3),0)</f>
        <v>1.3</v>
      </c>
      <c r="O40" s="16">
        <f>IFERROR(VLOOKUP(Proponentes[[#This Row],[Cap Op en SMMLV]],Base!$A$15:$F$20,4),0)</f>
        <v>0.7</v>
      </c>
      <c r="P40" s="17">
        <f>IFERROR(VLOOKUP(Proponentes[[#This Row],[Cap Op en SMMLV]],Tabla2[],6),0)</f>
        <v>50</v>
      </c>
      <c r="Q40" s="18">
        <f>IFERROR(VLOOKUP(Proponentes[[#This Row],[Cap Op en SMMLV]],Base!$A$15:$F$20,5),0)</f>
        <v>41405800</v>
      </c>
      <c r="R40" s="18">
        <f>IFERROR(VLOOKUP(Proponentes[[#This Row],[Cap Op en SMMLV]],Tabla2[[DE]:[HASTA]],2),0)</f>
        <v>2000</v>
      </c>
      <c r="S40" s="19">
        <f>IFERROR(Proponentes[[#This Row],[Activo Corriente]]/Proponentes[[#This Row],[Pasivo Corriente]],"INDETERMINADO")</f>
        <v>1.6468378775640249</v>
      </c>
      <c r="T40" s="20">
        <f>IFERROR(Proponentes[[#This Row],[Total Pasivo]]/Proponentes[[#This Row],[Total ACTIVO]],0)</f>
        <v>0.37952304964767253</v>
      </c>
      <c r="U40" s="21">
        <f>(Proponentes[[#This Row],[Activo Corriente]]-Proponentes[[#This Row],[Pasivo Corriente]])/Base!$B$3</f>
        <v>2053.2937716455181</v>
      </c>
      <c r="V40" s="22">
        <f>Proponentes[[#This Row],[Activo Corriente]]-Proponentes[[#This Row],[Pasivo Corriente]]</f>
        <v>1700365425</v>
      </c>
      <c r="W40" s="13">
        <f>IFERROR(VLOOKUP(Proponentes[[#This Row],[Propuesta]],Hoja2!$A$2:$G$329,7,FALSE),0)</f>
        <v>1375980047.2669117</v>
      </c>
      <c r="X40" s="83">
        <f>IF(Proponentes[[#This Row],[Cap Op en Pesos]]=0,0,IF(Proponentes[[#This Row],[Cap Op en Pesos]]=0,1,Proponentes[[#This Row],[Cap Op en Pesos]]/Base!B$3))</f>
        <v>1661.5788697077605</v>
      </c>
      <c r="Y4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4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4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40" s="23" t="str">
        <f>IF(AND(Proponentes[[#This Row],[Cumple
Liquidez]]="CUMPLE",Proponentes[[#This Row],[Cumple
Endeudamiento]]="CUMPLE",Proponentes[[#This Row],[Cumple
Capital de Trabajo]]="CUMPLE"),"CUMPLE","NO CUMPLE")</f>
        <v>CUMPLE</v>
      </c>
      <c r="AC40" s="24"/>
      <c r="AD40" s="10">
        <f>IF(Proponentes[[#This Row],[Liquidez
Oferente]]&lt;=1,1,IF(Proponentes[[#This Row],[Liquidez
Oferente]]&lt;=1.1,2,IF(Proponentes[[#This Row],[Liquidez
Oferente]]&lt;=1.2,3,IF(Proponentes[[#This Row],[Liquidez
Oferente]]&lt;=1.3,4,IF(Proponentes[[#This Row],[Liquidez
Oferente]]&lt;=1.4,5,6)))))</f>
        <v>6</v>
      </c>
      <c r="AE40" s="10">
        <f>IF(Proponentes[[#This Row],[Endeudamiento
Oferente]]&lt;=66%,6,IF(Proponentes[[#This Row],[Endeudamiento
Oferente]]&lt;=58,5,IF(Proponentes[[#This Row],[Endeudamiento
Oferente]]&lt;=70,4,IF(Proponentes[[#This Row],[Endeudamiento
Oferente]]&lt;=72,3,IF(Proponentes[[#This Row],[Endeudamiento
Oferente]]&lt;=74,2,1)))))</f>
        <v>6</v>
      </c>
      <c r="AF4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40" s="10">
        <f>IF(Proponentes[[#This Row],[Cap Op en SMMLV]]&lt;=500,1,IF(Proponentes[[#This Row],[Cap Op en SMMLV]]&lt;=1000,2,IF(Proponentes[[#This Row],[Cap Op en SMMLV]]&lt;=1500,3,IF(Proponentes[[#This Row],[Cap Op en SMMLV]]&lt;=2000,4,IF(Proponentes[[#This Row],[Cap Op en SMMLV]]&lt;=2500,5,6)))))</f>
        <v>4</v>
      </c>
      <c r="AH40" s="10">
        <f>MIN(Proponentes[[#This Row],[a]:[d]])</f>
        <v>4</v>
      </c>
      <c r="AI40" s="87">
        <f>IF(Proponentes[[#This Row],[e]]=Proponentes[[#This Row],[d]],Proponentes[[#This Row],[Cap Op en SMMLV]],VLOOKUP(Proponentes[[#This Row],[e]],Base!$D$1:$E$6,2,FALSE))</f>
        <v>1661.5788697077605</v>
      </c>
      <c r="AJ40" s="101" t="str">
        <f>VLOOKUP(Proponentes[[#This Row],[Propuesta]],Hoja2!$A$2:$D$329,4,FALSE)</f>
        <v>CUMPLE</v>
      </c>
      <c r="AK40" s="101"/>
    </row>
    <row r="41" spans="1:37" ht="16" x14ac:dyDescent="0.2">
      <c r="A41" s="10">
        <v>40</v>
      </c>
      <c r="B41" s="11">
        <v>900138935</v>
      </c>
      <c r="C41" s="12" t="s">
        <v>81</v>
      </c>
      <c r="D41" s="13">
        <v>0</v>
      </c>
      <c r="E41" s="13">
        <v>0</v>
      </c>
      <c r="F41" s="25">
        <f>Proponentes[[#This Row],[Activo Corriente]]+Proponentes[[#This Row],[Activo NO Corriente]]</f>
        <v>0</v>
      </c>
      <c r="G41" s="13">
        <v>0</v>
      </c>
      <c r="H41" s="13">
        <v>0</v>
      </c>
      <c r="I41" s="25">
        <f>Proponentes[[#This Row],[Pasivo Corriente]]+Proponentes[[#This Row],[Pasivo NO Corriente]]</f>
        <v>0</v>
      </c>
      <c r="J41" s="14">
        <f>Proponentes[[#This Row],[Total ACTIVO]]-Proponentes[[#This Row],[Total Pasivo]]</f>
        <v>0</v>
      </c>
      <c r="K41" s="48">
        <f>VLOOKUP(Proponentes[[#This Row],[Propuesta]],Hoja2!$A$2:$G$239,7,FALSE)</f>
        <v>0</v>
      </c>
      <c r="L41" s="15"/>
      <c r="M41" s="15" t="s">
        <v>82</v>
      </c>
      <c r="N41" s="55">
        <f>IFERROR(VLOOKUP(Proponentes[[#This Row],[Cap Op en SMMLV]],Base!$A$15:$F$20,3),0)</f>
        <v>0</v>
      </c>
      <c r="O41" s="16">
        <f>IFERROR(VLOOKUP(Proponentes[[#This Row],[Cap Op en SMMLV]],Base!$A$15:$F$20,4),0)</f>
        <v>0</v>
      </c>
      <c r="P41" s="17">
        <f>IFERROR(VLOOKUP(Proponentes[[#This Row],[Cap Op en SMMLV]],Tabla2[],6),0)</f>
        <v>0</v>
      </c>
      <c r="Q41" s="18">
        <f>IFERROR(VLOOKUP(Proponentes[[#This Row],[Cap Op en SMMLV]],Base!$A$15:$F$20,5),0)</f>
        <v>0</v>
      </c>
      <c r="R41" s="18">
        <f>IFERROR(VLOOKUP(Proponentes[[#This Row],[Cap Op en SMMLV]],Tabla2[[DE]:[HASTA]],2),0)</f>
        <v>0</v>
      </c>
      <c r="S41" s="19" t="str">
        <f>IFERROR(Proponentes[[#This Row],[Activo Corriente]]/Proponentes[[#This Row],[Pasivo Corriente]],"INDETERMINADO")</f>
        <v>INDETERMINADO</v>
      </c>
      <c r="T41" s="20">
        <f>IFERROR(Proponentes[[#This Row],[Total Pasivo]]/Proponentes[[#This Row],[Total ACTIVO]],0)</f>
        <v>0</v>
      </c>
      <c r="U41" s="21">
        <f>(Proponentes[[#This Row],[Activo Corriente]]-Proponentes[[#This Row],[Pasivo Corriente]])/Base!$B$3</f>
        <v>0</v>
      </c>
      <c r="V41" s="22">
        <f>Proponentes[[#This Row],[Activo Corriente]]-Proponentes[[#This Row],[Pasivo Corriente]]</f>
        <v>0</v>
      </c>
      <c r="W41" s="13">
        <f>IFERROR(VLOOKUP(Proponentes[[#This Row],[Propuesta]],Hoja2!$A$2:$G$329,7,FALSE),0)</f>
        <v>0</v>
      </c>
      <c r="X41" s="83">
        <f>IF(Proponentes[[#This Row],[Cap Op en Pesos]]=0,0,IF(Proponentes[[#This Row],[Cap Op en Pesos]]=0,1,Proponentes[[#This Row],[Cap Op en Pesos]]/Base!B$3))</f>
        <v>0</v>
      </c>
      <c r="Y4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4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4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41" s="23" t="str">
        <f>IF(AND(Proponentes[[#This Row],[Cumple
Liquidez]]="CUMPLE",Proponentes[[#This Row],[Cumple
Endeudamiento]]="CUMPLE",Proponentes[[#This Row],[Cumple
Capital de Trabajo]]="CUMPLE"),"CUMPLE","NO CUMPLE")</f>
        <v>NO CUMPLE</v>
      </c>
      <c r="AC41" s="24"/>
      <c r="AD41" s="10">
        <f>IF(Proponentes[[#This Row],[Liquidez
Oferente]]&lt;=1,1,IF(Proponentes[[#This Row],[Liquidez
Oferente]]&lt;=1.1,2,IF(Proponentes[[#This Row],[Liquidez
Oferente]]&lt;=1.2,3,IF(Proponentes[[#This Row],[Liquidez
Oferente]]&lt;=1.3,4,IF(Proponentes[[#This Row],[Liquidez
Oferente]]&lt;=1.4,5,6)))))</f>
        <v>6</v>
      </c>
      <c r="AE41" s="10">
        <f>IF(Proponentes[[#This Row],[Endeudamiento
Oferente]]&lt;=66%,6,IF(Proponentes[[#This Row],[Endeudamiento
Oferente]]&lt;=58,5,IF(Proponentes[[#This Row],[Endeudamiento
Oferente]]&lt;=70,4,IF(Proponentes[[#This Row],[Endeudamiento
Oferente]]&lt;=72,3,IF(Proponentes[[#This Row],[Endeudamiento
Oferente]]&lt;=74,2,1)))))</f>
        <v>6</v>
      </c>
      <c r="AF4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41" s="10">
        <f>IF(Proponentes[[#This Row],[Cap Op en SMMLV]]&lt;=500,1,IF(Proponentes[[#This Row],[Cap Op en SMMLV]]&lt;=1000,2,IF(Proponentes[[#This Row],[Cap Op en SMMLV]]&lt;=1500,3,IF(Proponentes[[#This Row],[Cap Op en SMMLV]]&lt;=2000,4,IF(Proponentes[[#This Row],[Cap Op en SMMLV]]&lt;=2500,5,6)))))</f>
        <v>1</v>
      </c>
      <c r="AH41" s="10">
        <f>MIN(Proponentes[[#This Row],[a]:[d]])</f>
        <v>1</v>
      </c>
      <c r="AI41" s="87">
        <f>IF(Proponentes[[#This Row],[e]]=Proponentes[[#This Row],[d]],Proponentes[[#This Row],[Cap Op en SMMLV]],VLOOKUP(Proponentes[[#This Row],[e]],Base!$D$1:$E$6,2,FALSE))</f>
        <v>0</v>
      </c>
      <c r="AJ41" s="101" t="str">
        <f>VLOOKUP(Proponentes[[#This Row],[Propuesta]],Hoja2!$A$2:$D$329,4,FALSE)</f>
        <v>NO CUMPLE</v>
      </c>
      <c r="AK41" s="101"/>
    </row>
    <row r="42" spans="1:37" ht="32" x14ac:dyDescent="0.2">
      <c r="A42" s="10">
        <v>41</v>
      </c>
      <c r="B42" s="11">
        <v>900054726</v>
      </c>
      <c r="C42" s="12" t="s">
        <v>83</v>
      </c>
      <c r="D42" s="13">
        <v>247937000</v>
      </c>
      <c r="E42" s="13"/>
      <c r="F42" s="25">
        <f>Proponentes[[#This Row],[Activo Corriente]]+Proponentes[[#This Row],[Activo NO Corriente]]</f>
        <v>247937000</v>
      </c>
      <c r="G42" s="13">
        <v>1500000</v>
      </c>
      <c r="H42" s="13">
        <v>0</v>
      </c>
      <c r="I42" s="25">
        <f>Proponentes[[#This Row],[Pasivo Corriente]]+Proponentes[[#This Row],[Pasivo NO Corriente]]</f>
        <v>1500000</v>
      </c>
      <c r="J42" s="14">
        <f>Proponentes[[#This Row],[Total ACTIVO]]-Proponentes[[#This Row],[Total Pasivo]]</f>
        <v>246437000</v>
      </c>
      <c r="K42" s="48">
        <f>VLOOKUP(Proponentes[[#This Row],[Propuesta]],Hoja2!$A$2:$G$239,7,FALSE)</f>
        <v>0</v>
      </c>
      <c r="L42" s="15" t="s">
        <v>84</v>
      </c>
      <c r="M42" s="15" t="s">
        <v>28</v>
      </c>
      <c r="N42" s="55">
        <f>IFERROR(VLOOKUP(Proponentes[[#This Row],[Cap Op en SMMLV]],Base!$A$15:$F$20,3),0)</f>
        <v>0</v>
      </c>
      <c r="O42" s="16">
        <f>IFERROR(VLOOKUP(Proponentes[[#This Row],[Cap Op en SMMLV]],Base!$A$15:$F$20,4),0)</f>
        <v>0</v>
      </c>
      <c r="P42" s="17">
        <f>IFERROR(VLOOKUP(Proponentes[[#This Row],[Cap Op en SMMLV]],Tabla2[],6),0)</f>
        <v>0</v>
      </c>
      <c r="Q42" s="18">
        <f>IFERROR(VLOOKUP(Proponentes[[#This Row],[Cap Op en SMMLV]],Base!$A$15:$F$20,5),0)</f>
        <v>0</v>
      </c>
      <c r="R42" s="18">
        <f>IFERROR(VLOOKUP(Proponentes[[#This Row],[Cap Op en SMMLV]],Tabla2[[DE]:[HASTA]],2),0)</f>
        <v>0</v>
      </c>
      <c r="S42" s="19">
        <f>IFERROR(Proponentes[[#This Row],[Activo Corriente]]/Proponentes[[#This Row],[Pasivo Corriente]],"INDETERMINADO")</f>
        <v>165.29133333333334</v>
      </c>
      <c r="T42" s="20">
        <f>IFERROR(Proponentes[[#This Row],[Total Pasivo]]/Proponentes[[#This Row],[Total ACTIVO]],0)</f>
        <v>6.0499239726220771E-3</v>
      </c>
      <c r="U42" s="21">
        <f>(Proponentes[[#This Row],[Activo Corriente]]-Proponentes[[#This Row],[Pasivo Corriente]])/Base!$B$3</f>
        <v>297.58753604567477</v>
      </c>
      <c r="V42" s="22">
        <f>Proponentes[[#This Row],[Activo Corriente]]-Proponentes[[#This Row],[Pasivo Corriente]]</f>
        <v>246437000</v>
      </c>
      <c r="W42" s="13">
        <f>IFERROR(VLOOKUP(Proponentes[[#This Row],[Propuesta]],Hoja2!$A$2:$G$329,7,FALSE),0)</f>
        <v>0</v>
      </c>
      <c r="X42" s="83">
        <f>IF(Proponentes[[#This Row],[Cap Op en Pesos]]=0,0,IF(Proponentes[[#This Row],[Cap Op en Pesos]]=0,1,Proponentes[[#This Row],[Cap Op en Pesos]]/Base!B$3))</f>
        <v>0</v>
      </c>
      <c r="Y4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4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4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42" s="23" t="str">
        <f>IF(AND(Proponentes[[#This Row],[Cumple
Liquidez]]="CUMPLE",Proponentes[[#This Row],[Cumple
Endeudamiento]]="CUMPLE",Proponentes[[#This Row],[Cumple
Capital de Trabajo]]="CUMPLE"),"CUMPLE","NO CUMPLE")</f>
        <v>NO CUMPLE</v>
      </c>
      <c r="AC42" s="24"/>
      <c r="AD42" s="10">
        <f>IF(Proponentes[[#This Row],[Liquidez
Oferente]]&lt;=1,1,IF(Proponentes[[#This Row],[Liquidez
Oferente]]&lt;=1.1,2,IF(Proponentes[[#This Row],[Liquidez
Oferente]]&lt;=1.2,3,IF(Proponentes[[#This Row],[Liquidez
Oferente]]&lt;=1.3,4,IF(Proponentes[[#This Row],[Liquidez
Oferente]]&lt;=1.4,5,6)))))</f>
        <v>6</v>
      </c>
      <c r="AE42" s="10">
        <f>IF(Proponentes[[#This Row],[Endeudamiento
Oferente]]&lt;=66%,6,IF(Proponentes[[#This Row],[Endeudamiento
Oferente]]&lt;=58,5,IF(Proponentes[[#This Row],[Endeudamiento
Oferente]]&lt;=70,4,IF(Proponentes[[#This Row],[Endeudamiento
Oferente]]&lt;=72,3,IF(Proponentes[[#This Row],[Endeudamiento
Oferente]]&lt;=74,2,1)))))</f>
        <v>6</v>
      </c>
      <c r="AF4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42" s="10">
        <f>IF(Proponentes[[#This Row],[Cap Op en SMMLV]]&lt;=500,1,IF(Proponentes[[#This Row],[Cap Op en SMMLV]]&lt;=1000,2,IF(Proponentes[[#This Row],[Cap Op en SMMLV]]&lt;=1500,3,IF(Proponentes[[#This Row],[Cap Op en SMMLV]]&lt;=2000,4,IF(Proponentes[[#This Row],[Cap Op en SMMLV]]&lt;=2500,5,6)))))</f>
        <v>1</v>
      </c>
      <c r="AH42" s="10">
        <f>MIN(Proponentes[[#This Row],[a]:[d]])</f>
        <v>1</v>
      </c>
      <c r="AI42" s="87">
        <f>IF(Proponentes[[#This Row],[e]]=Proponentes[[#This Row],[d]],Proponentes[[#This Row],[Cap Op en SMMLV]],VLOOKUP(Proponentes[[#This Row],[e]],Base!$D$1:$E$6,2,FALSE))</f>
        <v>0</v>
      </c>
      <c r="AJ42" s="101" t="str">
        <f>VLOOKUP(Proponentes[[#This Row],[Propuesta]],Hoja2!$A$2:$D$329,4,FALSE)</f>
        <v>NO CUMPLE</v>
      </c>
      <c r="AK42" s="101"/>
    </row>
    <row r="43" spans="1:37" ht="32" x14ac:dyDescent="0.2">
      <c r="A43" s="10">
        <v>42</v>
      </c>
      <c r="B43" s="11">
        <v>900043721</v>
      </c>
      <c r="C43" s="12" t="s">
        <v>85</v>
      </c>
      <c r="D43" s="13">
        <v>0</v>
      </c>
      <c r="E43" s="13">
        <v>0</v>
      </c>
      <c r="F43" s="25">
        <f>Proponentes[[#This Row],[Activo Corriente]]+Proponentes[[#This Row],[Activo NO Corriente]]</f>
        <v>0</v>
      </c>
      <c r="G43" s="13">
        <v>0</v>
      </c>
      <c r="H43" s="13">
        <v>0</v>
      </c>
      <c r="I43" s="25">
        <f>Proponentes[[#This Row],[Pasivo Corriente]]+Proponentes[[#This Row],[Pasivo NO Corriente]]</f>
        <v>0</v>
      </c>
      <c r="J43" s="14">
        <f>Proponentes[[#This Row],[Total ACTIVO]]-Proponentes[[#This Row],[Total Pasivo]]</f>
        <v>0</v>
      </c>
      <c r="K43" s="48">
        <f>VLOOKUP(Proponentes[[#This Row],[Propuesta]],Hoja2!$A$2:$G$239,7,FALSE)</f>
        <v>0</v>
      </c>
      <c r="L43" s="15"/>
      <c r="M43" s="15" t="s">
        <v>28</v>
      </c>
      <c r="N43" s="55">
        <f>IFERROR(VLOOKUP(Proponentes[[#This Row],[Cap Op en SMMLV]],Base!$A$15:$F$20,3),0)</f>
        <v>0</v>
      </c>
      <c r="O43" s="16">
        <f>IFERROR(VLOOKUP(Proponentes[[#This Row],[Cap Op en SMMLV]],Base!$A$15:$F$20,4),0)</f>
        <v>0</v>
      </c>
      <c r="P43" s="17">
        <f>IFERROR(VLOOKUP(Proponentes[[#This Row],[Cap Op en SMMLV]],Tabla2[],6),0)</f>
        <v>0</v>
      </c>
      <c r="Q43" s="18">
        <f>IFERROR(VLOOKUP(Proponentes[[#This Row],[Cap Op en SMMLV]],Base!$A$15:$F$20,5),0)</f>
        <v>0</v>
      </c>
      <c r="R43" s="18">
        <f>IFERROR(VLOOKUP(Proponentes[[#This Row],[Cap Op en SMMLV]],Tabla2[[DE]:[HASTA]],2),0)</f>
        <v>0</v>
      </c>
      <c r="S43" s="19" t="str">
        <f>IFERROR(Proponentes[[#This Row],[Activo Corriente]]/Proponentes[[#This Row],[Pasivo Corriente]],"INDETERMINADO")</f>
        <v>INDETERMINADO</v>
      </c>
      <c r="T43" s="20">
        <f>IFERROR(Proponentes[[#This Row],[Total Pasivo]]/Proponentes[[#This Row],[Total ACTIVO]],0)</f>
        <v>0</v>
      </c>
      <c r="U43" s="21">
        <f>(Proponentes[[#This Row],[Activo Corriente]]-Proponentes[[#This Row],[Pasivo Corriente]])/Base!$B$3</f>
        <v>0</v>
      </c>
      <c r="V43" s="22">
        <f>Proponentes[[#This Row],[Activo Corriente]]-Proponentes[[#This Row],[Pasivo Corriente]]</f>
        <v>0</v>
      </c>
      <c r="W43" s="13">
        <f>IFERROR(VLOOKUP(Proponentes[[#This Row],[Propuesta]],Hoja2!$A$2:$G$329,7,FALSE),0)</f>
        <v>0</v>
      </c>
      <c r="X43" s="83">
        <f>IF(Proponentes[[#This Row],[Cap Op en Pesos]]=0,0,IF(Proponentes[[#This Row],[Cap Op en Pesos]]=0,1,Proponentes[[#This Row],[Cap Op en Pesos]]/Base!B$3))</f>
        <v>0</v>
      </c>
      <c r="Y4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4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4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43" s="8" t="s">
        <v>771</v>
      </c>
      <c r="AC43" s="24" t="s">
        <v>787</v>
      </c>
      <c r="AD43" s="10">
        <f>IF(Proponentes[[#This Row],[Liquidez
Oferente]]&lt;=1,1,IF(Proponentes[[#This Row],[Liquidez
Oferente]]&lt;=1.1,2,IF(Proponentes[[#This Row],[Liquidez
Oferente]]&lt;=1.2,3,IF(Proponentes[[#This Row],[Liquidez
Oferente]]&lt;=1.3,4,IF(Proponentes[[#This Row],[Liquidez
Oferente]]&lt;=1.4,5,6)))))</f>
        <v>6</v>
      </c>
      <c r="AE43" s="10">
        <f>IF(Proponentes[[#This Row],[Endeudamiento
Oferente]]&lt;=66%,6,IF(Proponentes[[#This Row],[Endeudamiento
Oferente]]&lt;=58,5,IF(Proponentes[[#This Row],[Endeudamiento
Oferente]]&lt;=70,4,IF(Proponentes[[#This Row],[Endeudamiento
Oferente]]&lt;=72,3,IF(Proponentes[[#This Row],[Endeudamiento
Oferente]]&lt;=74,2,1)))))</f>
        <v>6</v>
      </c>
      <c r="AF4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43" s="10">
        <f>IF(Proponentes[[#This Row],[Cap Op en SMMLV]]&lt;=500,1,IF(Proponentes[[#This Row],[Cap Op en SMMLV]]&lt;=1000,2,IF(Proponentes[[#This Row],[Cap Op en SMMLV]]&lt;=1500,3,IF(Proponentes[[#This Row],[Cap Op en SMMLV]]&lt;=2000,4,IF(Proponentes[[#This Row],[Cap Op en SMMLV]]&lt;=2500,5,6)))))</f>
        <v>1</v>
      </c>
      <c r="AH43" s="10">
        <f>MIN(Proponentes[[#This Row],[a]:[d]])</f>
        <v>1</v>
      </c>
      <c r="AI43" s="87">
        <f>IF(Proponentes[[#This Row],[e]]=Proponentes[[#This Row],[d]],Proponentes[[#This Row],[Cap Op en SMMLV]],VLOOKUP(Proponentes[[#This Row],[e]],Base!$D$1:$E$6,2,FALSE))</f>
        <v>0</v>
      </c>
      <c r="AJ43" s="101" t="str">
        <f>VLOOKUP(Proponentes[[#This Row],[Propuesta]],Hoja2!$A$2:$D$329,4,FALSE)</f>
        <v>NO CUMPLE</v>
      </c>
      <c r="AK43" s="101"/>
    </row>
    <row r="44" spans="1:37" ht="32" x14ac:dyDescent="0.2">
      <c r="A44" s="10">
        <v>43</v>
      </c>
      <c r="B44" s="11">
        <v>823004177</v>
      </c>
      <c r="C44" s="12" t="s">
        <v>87</v>
      </c>
      <c r="D44" s="13">
        <v>0</v>
      </c>
      <c r="E44" s="13">
        <v>0</v>
      </c>
      <c r="F44" s="25">
        <f>Proponentes[[#This Row],[Activo Corriente]]+Proponentes[[#This Row],[Activo NO Corriente]]</f>
        <v>0</v>
      </c>
      <c r="G44" s="13">
        <v>0</v>
      </c>
      <c r="H44" s="13">
        <v>0</v>
      </c>
      <c r="I44" s="25">
        <f>Proponentes[[#This Row],[Pasivo Corriente]]+Proponentes[[#This Row],[Pasivo NO Corriente]]</f>
        <v>0</v>
      </c>
      <c r="J44" s="14">
        <f>Proponentes[[#This Row],[Total ACTIVO]]-Proponentes[[#This Row],[Total Pasivo]]</f>
        <v>0</v>
      </c>
      <c r="K44" s="48">
        <f>VLOOKUP(Proponentes[[#This Row],[Propuesta]],Hoja2!$A$2:$G$239,7,FALSE)</f>
        <v>0</v>
      </c>
      <c r="L44" s="15" t="s">
        <v>84</v>
      </c>
      <c r="M44" s="15" t="s">
        <v>88</v>
      </c>
      <c r="N44" s="55">
        <f>IFERROR(VLOOKUP(Proponentes[[#This Row],[Cap Op en SMMLV]],Base!$A$15:$F$20,3),0)</f>
        <v>0</v>
      </c>
      <c r="O44" s="16">
        <f>IFERROR(VLOOKUP(Proponentes[[#This Row],[Cap Op en SMMLV]],Base!$A$15:$F$20,4),0)</f>
        <v>0</v>
      </c>
      <c r="P44" s="17">
        <f>IFERROR(VLOOKUP(Proponentes[[#This Row],[Cap Op en SMMLV]],Tabla2[],6),0)</f>
        <v>0</v>
      </c>
      <c r="Q44" s="18">
        <f>IFERROR(VLOOKUP(Proponentes[[#This Row],[Cap Op en SMMLV]],Base!$A$15:$F$20,5),0)</f>
        <v>0</v>
      </c>
      <c r="R44" s="18">
        <f>IFERROR(VLOOKUP(Proponentes[[#This Row],[Cap Op en SMMLV]],Tabla2[[DE]:[HASTA]],2),0)</f>
        <v>0</v>
      </c>
      <c r="S44" s="19" t="str">
        <f>IFERROR(Proponentes[[#This Row],[Activo Corriente]]/Proponentes[[#This Row],[Pasivo Corriente]],"INDETERMINADO")</f>
        <v>INDETERMINADO</v>
      </c>
      <c r="T44" s="20">
        <f>IFERROR(Proponentes[[#This Row],[Total Pasivo]]/Proponentes[[#This Row],[Total ACTIVO]],0)</f>
        <v>0</v>
      </c>
      <c r="U44" s="21">
        <f>(Proponentes[[#This Row],[Activo Corriente]]-Proponentes[[#This Row],[Pasivo Corriente]])/Base!$B$3</f>
        <v>0</v>
      </c>
      <c r="V44" s="22">
        <f>Proponentes[[#This Row],[Activo Corriente]]-Proponentes[[#This Row],[Pasivo Corriente]]</f>
        <v>0</v>
      </c>
      <c r="W44" s="13">
        <f>IFERROR(VLOOKUP(Proponentes[[#This Row],[Propuesta]],Hoja2!$A$2:$G$329,7,FALSE),0)</f>
        <v>0</v>
      </c>
      <c r="X44" s="83">
        <f>IF(Proponentes[[#This Row],[Cap Op en Pesos]]=0,0,IF(Proponentes[[#This Row],[Cap Op en Pesos]]=0,1,Proponentes[[#This Row],[Cap Op en Pesos]]/Base!B$3))</f>
        <v>0</v>
      </c>
      <c r="Y4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4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4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44" s="23" t="str">
        <f>IF(AND(Proponentes[[#This Row],[Cumple
Liquidez]]="CUMPLE",Proponentes[[#This Row],[Cumple
Endeudamiento]]="CUMPLE",Proponentes[[#This Row],[Cumple
Capital de Trabajo]]="CUMPLE"),"CUMPLE","NO CUMPLE")</f>
        <v>NO CUMPLE</v>
      </c>
      <c r="AC44" s="24"/>
      <c r="AD44" s="10">
        <f>IF(Proponentes[[#This Row],[Liquidez
Oferente]]&lt;=1,1,IF(Proponentes[[#This Row],[Liquidez
Oferente]]&lt;=1.1,2,IF(Proponentes[[#This Row],[Liquidez
Oferente]]&lt;=1.2,3,IF(Proponentes[[#This Row],[Liquidez
Oferente]]&lt;=1.3,4,IF(Proponentes[[#This Row],[Liquidez
Oferente]]&lt;=1.4,5,6)))))</f>
        <v>6</v>
      </c>
      <c r="AE44" s="10">
        <f>IF(Proponentes[[#This Row],[Endeudamiento
Oferente]]&lt;=66%,6,IF(Proponentes[[#This Row],[Endeudamiento
Oferente]]&lt;=58,5,IF(Proponentes[[#This Row],[Endeudamiento
Oferente]]&lt;=70,4,IF(Proponentes[[#This Row],[Endeudamiento
Oferente]]&lt;=72,3,IF(Proponentes[[#This Row],[Endeudamiento
Oferente]]&lt;=74,2,1)))))</f>
        <v>6</v>
      </c>
      <c r="AF4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44" s="10">
        <f>IF(Proponentes[[#This Row],[Cap Op en SMMLV]]&lt;=500,1,IF(Proponentes[[#This Row],[Cap Op en SMMLV]]&lt;=1000,2,IF(Proponentes[[#This Row],[Cap Op en SMMLV]]&lt;=1500,3,IF(Proponentes[[#This Row],[Cap Op en SMMLV]]&lt;=2000,4,IF(Proponentes[[#This Row],[Cap Op en SMMLV]]&lt;=2500,5,6)))))</f>
        <v>1</v>
      </c>
      <c r="AH44" s="10">
        <f>MIN(Proponentes[[#This Row],[a]:[d]])</f>
        <v>1</v>
      </c>
      <c r="AI44" s="87">
        <f>IF(Proponentes[[#This Row],[e]]=Proponentes[[#This Row],[d]],Proponentes[[#This Row],[Cap Op en SMMLV]],VLOOKUP(Proponentes[[#This Row],[e]],Base!$D$1:$E$6,2,FALSE))</f>
        <v>0</v>
      </c>
      <c r="AJ44" s="101" t="str">
        <f>VLOOKUP(Proponentes[[#This Row],[Propuesta]],Hoja2!$A$2:$D$329,4,FALSE)</f>
        <v>NO CUMPLE</v>
      </c>
      <c r="AK44" s="101"/>
    </row>
    <row r="45" spans="1:37" ht="16" x14ac:dyDescent="0.2">
      <c r="A45" s="10">
        <v>44</v>
      </c>
      <c r="B45" s="11">
        <v>900457831</v>
      </c>
      <c r="C45" s="12" t="s">
        <v>89</v>
      </c>
      <c r="D45" s="13">
        <v>1745500000</v>
      </c>
      <c r="E45" s="13">
        <v>932950000</v>
      </c>
      <c r="F45" s="25">
        <f>Proponentes[[#This Row],[Activo Corriente]]+Proponentes[[#This Row],[Activo NO Corriente]]</f>
        <v>2678450000</v>
      </c>
      <c r="G45" s="13">
        <v>39382000</v>
      </c>
      <c r="H45" s="13">
        <v>160680000</v>
      </c>
      <c r="I45" s="25">
        <f>Proponentes[[#This Row],[Pasivo Corriente]]+Proponentes[[#This Row],[Pasivo NO Corriente]]</f>
        <v>200062000</v>
      </c>
      <c r="J45" s="14">
        <f>Proponentes[[#This Row],[Total ACTIVO]]-Proponentes[[#This Row],[Total Pasivo]]</f>
        <v>2478388000</v>
      </c>
      <c r="K45" s="48">
        <f>VLOOKUP(Proponentes[[#This Row],[Propuesta]],Hoja2!$A$2:$G$239,7,FALSE)</f>
        <v>0</v>
      </c>
      <c r="L45" s="15"/>
      <c r="M45" s="15" t="s">
        <v>59</v>
      </c>
      <c r="N45" s="55">
        <f>IFERROR(VLOOKUP(Proponentes[[#This Row],[Cap Op en SMMLV]],Base!$A$15:$F$20,3),0)</f>
        <v>0</v>
      </c>
      <c r="O45" s="16">
        <f>IFERROR(VLOOKUP(Proponentes[[#This Row],[Cap Op en SMMLV]],Base!$A$15:$F$20,4),0)</f>
        <v>0</v>
      </c>
      <c r="P45" s="17">
        <f>IFERROR(VLOOKUP(Proponentes[[#This Row],[Cap Op en SMMLV]],Tabla2[],6),0)</f>
        <v>0</v>
      </c>
      <c r="Q45" s="18">
        <f>IFERROR(VLOOKUP(Proponentes[[#This Row],[Cap Op en SMMLV]],Base!$A$15:$F$20,5),0)</f>
        <v>0</v>
      </c>
      <c r="R45" s="18">
        <f>IFERROR(VLOOKUP(Proponentes[[#This Row],[Cap Op en SMMLV]],Tabla2[[DE]:[HASTA]],2),0)</f>
        <v>0</v>
      </c>
      <c r="S45" s="19">
        <f>IFERROR(Proponentes[[#This Row],[Activo Corriente]]/Proponentes[[#This Row],[Pasivo Corriente]],"INDETERMINADO")</f>
        <v>44.322279213854046</v>
      </c>
      <c r="T45" s="20">
        <f>IFERROR(Proponentes[[#This Row],[Total Pasivo]]/Proponentes[[#This Row],[Total ACTIVO]],0)</f>
        <v>7.4693199425040602E-2</v>
      </c>
      <c r="U45" s="21">
        <f>(Proponentes[[#This Row],[Activo Corriente]]-Proponentes[[#This Row],[Pasivo Corriente]])/Base!$B$3</f>
        <v>2060.2403528008153</v>
      </c>
      <c r="V45" s="22">
        <f>Proponentes[[#This Row],[Activo Corriente]]-Proponentes[[#This Row],[Pasivo Corriente]]</f>
        <v>1706118000</v>
      </c>
      <c r="W45" s="13">
        <f>IFERROR(VLOOKUP(Proponentes[[#This Row],[Propuesta]],Hoja2!$A$2:$G$329,7,FALSE),0)</f>
        <v>0</v>
      </c>
      <c r="X45" s="83">
        <f>IF(Proponentes[[#This Row],[Cap Op en Pesos]]=0,0,IF(Proponentes[[#This Row],[Cap Op en Pesos]]=0,1,Proponentes[[#This Row],[Cap Op en Pesos]]/Base!B$3))</f>
        <v>0</v>
      </c>
      <c r="Y4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4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4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45" s="23" t="str">
        <f>IF(AND(Proponentes[[#This Row],[Cumple
Liquidez]]="CUMPLE",Proponentes[[#This Row],[Cumple
Endeudamiento]]="CUMPLE",Proponentes[[#This Row],[Cumple
Capital de Trabajo]]="CUMPLE"),"CUMPLE","NO CUMPLE")</f>
        <v>NO CUMPLE</v>
      </c>
      <c r="AC45" s="24"/>
      <c r="AD45" s="10">
        <f>IF(Proponentes[[#This Row],[Liquidez
Oferente]]&lt;=1,1,IF(Proponentes[[#This Row],[Liquidez
Oferente]]&lt;=1.1,2,IF(Proponentes[[#This Row],[Liquidez
Oferente]]&lt;=1.2,3,IF(Proponentes[[#This Row],[Liquidez
Oferente]]&lt;=1.3,4,IF(Proponentes[[#This Row],[Liquidez
Oferente]]&lt;=1.4,5,6)))))</f>
        <v>6</v>
      </c>
      <c r="AE45" s="10">
        <f>IF(Proponentes[[#This Row],[Endeudamiento
Oferente]]&lt;=66%,6,IF(Proponentes[[#This Row],[Endeudamiento
Oferente]]&lt;=58,5,IF(Proponentes[[#This Row],[Endeudamiento
Oferente]]&lt;=70,4,IF(Proponentes[[#This Row],[Endeudamiento
Oferente]]&lt;=72,3,IF(Proponentes[[#This Row],[Endeudamiento
Oferente]]&lt;=74,2,1)))))</f>
        <v>6</v>
      </c>
      <c r="AF4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45" s="10">
        <f>IF(Proponentes[[#This Row],[Cap Op en SMMLV]]&lt;=500,1,IF(Proponentes[[#This Row],[Cap Op en SMMLV]]&lt;=1000,2,IF(Proponentes[[#This Row],[Cap Op en SMMLV]]&lt;=1500,3,IF(Proponentes[[#This Row],[Cap Op en SMMLV]]&lt;=2000,4,IF(Proponentes[[#This Row],[Cap Op en SMMLV]]&lt;=2500,5,6)))))</f>
        <v>1</v>
      </c>
      <c r="AH45" s="10">
        <f>MIN(Proponentes[[#This Row],[a]:[d]])</f>
        <v>1</v>
      </c>
      <c r="AI45" s="87">
        <f>IF(Proponentes[[#This Row],[e]]=Proponentes[[#This Row],[d]],Proponentes[[#This Row],[Cap Op en SMMLV]],VLOOKUP(Proponentes[[#This Row],[e]],Base!$D$1:$E$6,2,FALSE))</f>
        <v>0</v>
      </c>
      <c r="AJ45" s="101" t="str">
        <f>VLOOKUP(Proponentes[[#This Row],[Propuesta]],Hoja2!$A$2:$D$329,4,FALSE)</f>
        <v>NO CUMPLE</v>
      </c>
      <c r="AK45" s="101"/>
    </row>
    <row r="46" spans="1:37" ht="16" x14ac:dyDescent="0.2">
      <c r="A46" s="10">
        <v>45</v>
      </c>
      <c r="B46" s="11">
        <v>900675422</v>
      </c>
      <c r="C46" s="12" t="s">
        <v>90</v>
      </c>
      <c r="D46" s="13">
        <v>17471031</v>
      </c>
      <c r="E46" s="13"/>
      <c r="F46" s="25">
        <f>Proponentes[[#This Row],[Activo Corriente]]+Proponentes[[#This Row],[Activo NO Corriente]]</f>
        <v>17471031</v>
      </c>
      <c r="G46" s="13">
        <v>9833138</v>
      </c>
      <c r="H46" s="13">
        <v>0</v>
      </c>
      <c r="I46" s="25">
        <f>Proponentes[[#This Row],[Pasivo Corriente]]+Proponentes[[#This Row],[Pasivo NO Corriente]]</f>
        <v>9833138</v>
      </c>
      <c r="J46" s="14">
        <f>Proponentes[[#This Row],[Total ACTIVO]]-Proponentes[[#This Row],[Total Pasivo]]</f>
        <v>7637893</v>
      </c>
      <c r="K46" s="48">
        <f>VLOOKUP(Proponentes[[#This Row],[Propuesta]],Hoja2!$A$2:$G$239,7,FALSE)</f>
        <v>0</v>
      </c>
      <c r="L46" s="15" t="s">
        <v>86</v>
      </c>
      <c r="M46" s="15" t="s">
        <v>91</v>
      </c>
      <c r="N46" s="55">
        <f>IFERROR(VLOOKUP(Proponentes[[#This Row],[Cap Op en SMMLV]],Base!$A$15:$F$20,3),0)</f>
        <v>0</v>
      </c>
      <c r="O46" s="16">
        <f>IFERROR(VLOOKUP(Proponentes[[#This Row],[Cap Op en SMMLV]],Base!$A$15:$F$20,4),0)</f>
        <v>0</v>
      </c>
      <c r="P46" s="17">
        <f>IFERROR(VLOOKUP(Proponentes[[#This Row],[Cap Op en SMMLV]],Tabla2[],6),0)</f>
        <v>0</v>
      </c>
      <c r="Q46" s="18">
        <f>IFERROR(VLOOKUP(Proponentes[[#This Row],[Cap Op en SMMLV]],Base!$A$15:$F$20,5),0)</f>
        <v>0</v>
      </c>
      <c r="R46" s="18">
        <f>IFERROR(VLOOKUP(Proponentes[[#This Row],[Cap Op en SMMLV]],Tabla2[[DE]:[HASTA]],2),0)</f>
        <v>0</v>
      </c>
      <c r="S46" s="19">
        <f>IFERROR(Proponentes[[#This Row],[Activo Corriente]]/Proponentes[[#This Row],[Pasivo Corriente]],"INDETERMINADO")</f>
        <v>1.7767503110400769</v>
      </c>
      <c r="T46" s="20">
        <f>IFERROR(Proponentes[[#This Row],[Total Pasivo]]/Proponentes[[#This Row],[Total ACTIVO]],0)</f>
        <v>0.56282528489589423</v>
      </c>
      <c r="U46" s="21">
        <f>(Proponentes[[#This Row],[Activo Corriente]]-Proponentes[[#This Row],[Pasivo Corriente]])/Base!$B$3</f>
        <v>9.2232163126904929</v>
      </c>
      <c r="V46" s="22">
        <f>Proponentes[[#This Row],[Activo Corriente]]-Proponentes[[#This Row],[Pasivo Corriente]]</f>
        <v>7637893</v>
      </c>
      <c r="W46" s="13">
        <f>IFERROR(VLOOKUP(Proponentes[[#This Row],[Propuesta]],Hoja2!$A$2:$G$329,7,FALSE),0)</f>
        <v>0</v>
      </c>
      <c r="X46" s="83">
        <f>IF(Proponentes[[#This Row],[Cap Op en Pesos]]=0,0,IF(Proponentes[[#This Row],[Cap Op en Pesos]]=0,1,Proponentes[[#This Row],[Cap Op en Pesos]]/Base!B$3))</f>
        <v>0</v>
      </c>
      <c r="Y4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4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4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46" s="23" t="str">
        <f>IF(AND(Proponentes[[#This Row],[Cumple
Liquidez]]="CUMPLE",Proponentes[[#This Row],[Cumple
Endeudamiento]]="CUMPLE",Proponentes[[#This Row],[Cumple
Capital de Trabajo]]="CUMPLE"),"CUMPLE","NO CUMPLE")</f>
        <v>NO CUMPLE</v>
      </c>
      <c r="AC46" s="24"/>
      <c r="AD46" s="10">
        <f>IF(Proponentes[[#This Row],[Liquidez
Oferente]]&lt;=1,1,IF(Proponentes[[#This Row],[Liquidez
Oferente]]&lt;=1.1,2,IF(Proponentes[[#This Row],[Liquidez
Oferente]]&lt;=1.2,3,IF(Proponentes[[#This Row],[Liquidez
Oferente]]&lt;=1.3,4,IF(Proponentes[[#This Row],[Liquidez
Oferente]]&lt;=1.4,5,6)))))</f>
        <v>6</v>
      </c>
      <c r="AE46" s="10">
        <f>IF(Proponentes[[#This Row],[Endeudamiento
Oferente]]&lt;=66%,6,IF(Proponentes[[#This Row],[Endeudamiento
Oferente]]&lt;=58,5,IF(Proponentes[[#This Row],[Endeudamiento
Oferente]]&lt;=70,4,IF(Proponentes[[#This Row],[Endeudamiento
Oferente]]&lt;=72,3,IF(Proponentes[[#This Row],[Endeudamiento
Oferente]]&lt;=74,2,1)))))</f>
        <v>6</v>
      </c>
      <c r="AF4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46" s="10">
        <f>IF(Proponentes[[#This Row],[Cap Op en SMMLV]]&lt;=500,1,IF(Proponentes[[#This Row],[Cap Op en SMMLV]]&lt;=1000,2,IF(Proponentes[[#This Row],[Cap Op en SMMLV]]&lt;=1500,3,IF(Proponentes[[#This Row],[Cap Op en SMMLV]]&lt;=2000,4,IF(Proponentes[[#This Row],[Cap Op en SMMLV]]&lt;=2500,5,6)))))</f>
        <v>1</v>
      </c>
      <c r="AH46" s="10">
        <f>MIN(Proponentes[[#This Row],[a]:[d]])</f>
        <v>1</v>
      </c>
      <c r="AI46" s="87">
        <f>IF(Proponentes[[#This Row],[e]]=Proponentes[[#This Row],[d]],Proponentes[[#This Row],[Cap Op en SMMLV]],VLOOKUP(Proponentes[[#This Row],[e]],Base!$D$1:$E$6,2,FALSE))</f>
        <v>0</v>
      </c>
      <c r="AJ46" s="101" t="str">
        <f>VLOOKUP(Proponentes[[#This Row],[Propuesta]],Hoja2!$A$2:$D$329,4,FALSE)</f>
        <v>NO CUMPLE</v>
      </c>
      <c r="AK46" s="101"/>
    </row>
    <row r="47" spans="1:37" ht="16" x14ac:dyDescent="0.2">
      <c r="A47" s="10">
        <v>46</v>
      </c>
      <c r="B47" s="11">
        <v>900594379</v>
      </c>
      <c r="C47" s="12" t="s">
        <v>92</v>
      </c>
      <c r="D47" s="13">
        <v>103723373</v>
      </c>
      <c r="E47" s="13">
        <v>2419827102</v>
      </c>
      <c r="F47" s="25">
        <f>Proponentes[[#This Row],[Activo Corriente]]+Proponentes[[#This Row],[Activo NO Corriente]]</f>
        <v>2523550475</v>
      </c>
      <c r="G47" s="13">
        <v>18668906</v>
      </c>
      <c r="H47" s="13">
        <v>0</v>
      </c>
      <c r="I47" s="25">
        <f>Proponentes[[#This Row],[Pasivo Corriente]]+Proponentes[[#This Row],[Pasivo NO Corriente]]</f>
        <v>18668906</v>
      </c>
      <c r="J47" s="14">
        <f>Proponentes[[#This Row],[Total ACTIVO]]-Proponentes[[#This Row],[Total Pasivo]]</f>
        <v>2504881569</v>
      </c>
      <c r="K47" s="48">
        <f>VLOOKUP(Proponentes[[#This Row],[Propuesta]],Hoja2!$A$2:$G$239,7,FALSE)</f>
        <v>43216172.863210119</v>
      </c>
      <c r="L47" s="15"/>
      <c r="M47" s="15" t="s">
        <v>93</v>
      </c>
      <c r="N47" s="55">
        <f>IFERROR(VLOOKUP(Proponentes[[#This Row],[Cap Op en SMMLV]],Base!$A$15:$F$20,3),0)</f>
        <v>1</v>
      </c>
      <c r="O47" s="16">
        <f>IFERROR(VLOOKUP(Proponentes[[#This Row],[Cap Op en SMMLV]],Base!$A$15:$F$20,4),0)</f>
        <v>0.76</v>
      </c>
      <c r="P47" s="17">
        <f>IFERROR(VLOOKUP(Proponentes[[#This Row],[Cap Op en SMMLV]],Tabla2[],6),0)</f>
        <v>12.5</v>
      </c>
      <c r="Q47" s="18">
        <f>IFERROR(VLOOKUP(Proponentes[[#This Row],[Cap Op en SMMLV]],Base!$A$15:$F$20,5),0)</f>
        <v>10351450</v>
      </c>
      <c r="R47" s="18">
        <f>IFERROR(VLOOKUP(Proponentes[[#This Row],[Cap Op en SMMLV]],Tabla2[[DE]:[HASTA]],2),0)</f>
        <v>500</v>
      </c>
      <c r="S47" s="19">
        <f>IFERROR(Proponentes[[#This Row],[Activo Corriente]]/Proponentes[[#This Row],[Pasivo Corriente]],"INDETERMINADO")</f>
        <v>5.5559427531532917</v>
      </c>
      <c r="T47" s="20">
        <f>IFERROR(Proponentes[[#This Row],[Total Pasivo]]/Proponentes[[#This Row],[Total ACTIVO]],0)</f>
        <v>7.3978730304572176E-3</v>
      </c>
      <c r="U47" s="21">
        <f>(Proponentes[[#This Row],[Activo Corriente]]-Proponentes[[#This Row],[Pasivo Corriente]])/Base!$B$3</f>
        <v>102.70839713276884</v>
      </c>
      <c r="V47" s="22">
        <f>Proponentes[[#This Row],[Activo Corriente]]-Proponentes[[#This Row],[Pasivo Corriente]]</f>
        <v>85054467</v>
      </c>
      <c r="W47" s="13">
        <f>IFERROR(VLOOKUP(Proponentes[[#This Row],[Propuesta]],Hoja2!$A$2:$G$329,7,FALSE),0)</f>
        <v>43216172.863210119</v>
      </c>
      <c r="X47" s="83">
        <f>IF(Proponentes[[#This Row],[Cap Op en Pesos]]=0,0,IF(Proponentes[[#This Row],[Cap Op en Pesos]]=0,1,Proponentes[[#This Row],[Cap Op en Pesos]]/Base!B$3))</f>
        <v>52.186134386016114</v>
      </c>
      <c r="Y4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4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4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47" s="23" t="str">
        <f>IF(AND(Proponentes[[#This Row],[Cumple
Liquidez]]="CUMPLE",Proponentes[[#This Row],[Cumple
Endeudamiento]]="CUMPLE",Proponentes[[#This Row],[Cumple
Capital de Trabajo]]="CUMPLE"),"CUMPLE","NO CUMPLE")</f>
        <v>CUMPLE</v>
      </c>
      <c r="AC47" s="24" t="s">
        <v>788</v>
      </c>
      <c r="AD47" s="10">
        <f>IF(Proponentes[[#This Row],[Liquidez
Oferente]]&lt;=1,1,IF(Proponentes[[#This Row],[Liquidez
Oferente]]&lt;=1.1,2,IF(Proponentes[[#This Row],[Liquidez
Oferente]]&lt;=1.2,3,IF(Proponentes[[#This Row],[Liquidez
Oferente]]&lt;=1.3,4,IF(Proponentes[[#This Row],[Liquidez
Oferente]]&lt;=1.4,5,6)))))</f>
        <v>6</v>
      </c>
      <c r="AE47" s="10">
        <f>IF(Proponentes[[#This Row],[Endeudamiento
Oferente]]&lt;=66%,6,IF(Proponentes[[#This Row],[Endeudamiento
Oferente]]&lt;=58,5,IF(Proponentes[[#This Row],[Endeudamiento
Oferente]]&lt;=70,4,IF(Proponentes[[#This Row],[Endeudamiento
Oferente]]&lt;=72,3,IF(Proponentes[[#This Row],[Endeudamiento
Oferente]]&lt;=74,2,1)))))</f>
        <v>6</v>
      </c>
      <c r="AF4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47" s="10">
        <f>IF(Proponentes[[#This Row],[Cap Op en SMMLV]]&lt;=500,1,IF(Proponentes[[#This Row],[Cap Op en SMMLV]]&lt;=1000,2,IF(Proponentes[[#This Row],[Cap Op en SMMLV]]&lt;=1500,3,IF(Proponentes[[#This Row],[Cap Op en SMMLV]]&lt;=2000,4,IF(Proponentes[[#This Row],[Cap Op en SMMLV]]&lt;=2500,5,6)))))</f>
        <v>1</v>
      </c>
      <c r="AH47" s="10">
        <f>MIN(Proponentes[[#This Row],[a]:[d]])</f>
        <v>1</v>
      </c>
      <c r="AI47" s="87">
        <f>IF(Proponentes[[#This Row],[e]]=Proponentes[[#This Row],[d]],Proponentes[[#This Row],[Cap Op en SMMLV]],VLOOKUP(Proponentes[[#This Row],[e]],Base!$D$1:$E$6,2,FALSE))</f>
        <v>52.186134386016114</v>
      </c>
      <c r="AJ47" s="101" t="str">
        <f>VLOOKUP(Proponentes[[#This Row],[Propuesta]],Hoja2!$A$2:$D$329,4,FALSE)</f>
        <v>NO CUMPLE</v>
      </c>
      <c r="AK47" s="101"/>
    </row>
    <row r="48" spans="1:37" ht="16" x14ac:dyDescent="0.2">
      <c r="A48" s="10">
        <v>47</v>
      </c>
      <c r="B48" s="11">
        <v>900014331</v>
      </c>
      <c r="C48" s="12" t="s">
        <v>94</v>
      </c>
      <c r="D48" s="13">
        <v>31163243</v>
      </c>
      <c r="E48" s="13"/>
      <c r="F48" s="25">
        <f>Proponentes[[#This Row],[Activo Corriente]]+Proponentes[[#This Row],[Activo NO Corriente]]</f>
        <v>31163243</v>
      </c>
      <c r="G48" s="13">
        <v>1793138</v>
      </c>
      <c r="H48" s="13">
        <v>0</v>
      </c>
      <c r="I48" s="25">
        <f>Proponentes[[#This Row],[Pasivo Corriente]]+Proponentes[[#This Row],[Pasivo NO Corriente]]</f>
        <v>1793138</v>
      </c>
      <c r="J48" s="14">
        <f>Proponentes[[#This Row],[Total ACTIVO]]-Proponentes[[#This Row],[Total Pasivo]]</f>
        <v>29370105</v>
      </c>
      <c r="K48" s="48">
        <f>VLOOKUP(Proponentes[[#This Row],[Propuesta]],Hoja2!$A$2:$G$239,7,FALSE)</f>
        <v>0</v>
      </c>
      <c r="L48" s="15" t="s">
        <v>84</v>
      </c>
      <c r="M48" s="15" t="s">
        <v>28</v>
      </c>
      <c r="N48" s="55">
        <f>IFERROR(VLOOKUP(Proponentes[[#This Row],[Cap Op en SMMLV]],Base!$A$15:$F$20,3),0)</f>
        <v>0</v>
      </c>
      <c r="O48" s="16">
        <f>IFERROR(VLOOKUP(Proponentes[[#This Row],[Cap Op en SMMLV]],Base!$A$15:$F$20,4),0)</f>
        <v>0</v>
      </c>
      <c r="P48" s="17">
        <f>IFERROR(VLOOKUP(Proponentes[[#This Row],[Cap Op en SMMLV]],Tabla2[],6),0)</f>
        <v>0</v>
      </c>
      <c r="Q48" s="18">
        <f>IFERROR(VLOOKUP(Proponentes[[#This Row],[Cap Op en SMMLV]],Base!$A$15:$F$20,5),0)</f>
        <v>0</v>
      </c>
      <c r="R48" s="18">
        <f>IFERROR(VLOOKUP(Proponentes[[#This Row],[Cap Op en SMMLV]],Tabla2[[DE]:[HASTA]],2),0)</f>
        <v>0</v>
      </c>
      <c r="S48" s="19">
        <f>IFERROR(Proponentes[[#This Row],[Activo Corriente]]/Proponentes[[#This Row],[Pasivo Corriente]],"INDETERMINADO")</f>
        <v>17.379166020685524</v>
      </c>
      <c r="T48" s="20">
        <f>IFERROR(Proponentes[[#This Row],[Total Pasivo]]/Proponentes[[#This Row],[Total ACTIVO]],0)</f>
        <v>5.7540160374194689E-2</v>
      </c>
      <c r="U48" s="21">
        <f>(Proponentes[[#This Row],[Activo Corriente]]-Proponentes[[#This Row],[Pasivo Corriente]])/Base!$B$3</f>
        <v>35.466172613498593</v>
      </c>
      <c r="V48" s="22">
        <f>Proponentes[[#This Row],[Activo Corriente]]-Proponentes[[#This Row],[Pasivo Corriente]]</f>
        <v>29370105</v>
      </c>
      <c r="W48" s="13">
        <f>IFERROR(VLOOKUP(Proponentes[[#This Row],[Propuesta]],Hoja2!$A$2:$G$329,7,FALSE),0)</f>
        <v>0</v>
      </c>
      <c r="X48" s="83">
        <f>IF(Proponentes[[#This Row],[Cap Op en Pesos]]=0,0,IF(Proponentes[[#This Row],[Cap Op en Pesos]]=0,1,Proponentes[[#This Row],[Cap Op en Pesos]]/Base!B$3))</f>
        <v>0</v>
      </c>
      <c r="Y4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4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4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48" s="23" t="str">
        <f>IF(AND(Proponentes[[#This Row],[Cumple
Liquidez]]="CUMPLE",Proponentes[[#This Row],[Cumple
Endeudamiento]]="CUMPLE",Proponentes[[#This Row],[Cumple
Capital de Trabajo]]="CUMPLE"),"CUMPLE","NO CUMPLE")</f>
        <v>NO CUMPLE</v>
      </c>
      <c r="AC48" s="24"/>
      <c r="AD48" s="10">
        <f>IF(Proponentes[[#This Row],[Liquidez
Oferente]]&lt;=1,1,IF(Proponentes[[#This Row],[Liquidez
Oferente]]&lt;=1.1,2,IF(Proponentes[[#This Row],[Liquidez
Oferente]]&lt;=1.2,3,IF(Proponentes[[#This Row],[Liquidez
Oferente]]&lt;=1.3,4,IF(Proponentes[[#This Row],[Liquidez
Oferente]]&lt;=1.4,5,6)))))</f>
        <v>6</v>
      </c>
      <c r="AE48" s="10">
        <f>IF(Proponentes[[#This Row],[Endeudamiento
Oferente]]&lt;=66%,6,IF(Proponentes[[#This Row],[Endeudamiento
Oferente]]&lt;=58,5,IF(Proponentes[[#This Row],[Endeudamiento
Oferente]]&lt;=70,4,IF(Proponentes[[#This Row],[Endeudamiento
Oferente]]&lt;=72,3,IF(Proponentes[[#This Row],[Endeudamiento
Oferente]]&lt;=74,2,1)))))</f>
        <v>6</v>
      </c>
      <c r="AF4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48" s="10">
        <f>IF(Proponentes[[#This Row],[Cap Op en SMMLV]]&lt;=500,1,IF(Proponentes[[#This Row],[Cap Op en SMMLV]]&lt;=1000,2,IF(Proponentes[[#This Row],[Cap Op en SMMLV]]&lt;=1500,3,IF(Proponentes[[#This Row],[Cap Op en SMMLV]]&lt;=2000,4,IF(Proponentes[[#This Row],[Cap Op en SMMLV]]&lt;=2500,5,6)))))</f>
        <v>1</v>
      </c>
      <c r="AH48" s="10">
        <f>MIN(Proponentes[[#This Row],[a]:[d]])</f>
        <v>1</v>
      </c>
      <c r="AI48" s="87">
        <f>IF(Proponentes[[#This Row],[e]]=Proponentes[[#This Row],[d]],Proponentes[[#This Row],[Cap Op en SMMLV]],VLOOKUP(Proponentes[[#This Row],[e]],Base!$D$1:$E$6,2,FALSE))</f>
        <v>0</v>
      </c>
      <c r="AJ48" s="101" t="str">
        <f>VLOOKUP(Proponentes[[#This Row],[Propuesta]],Hoja2!$A$2:$D$329,4,FALSE)</f>
        <v>NO CUMPLE</v>
      </c>
      <c r="AK48" s="101"/>
    </row>
    <row r="49" spans="1:37" ht="16" x14ac:dyDescent="0.2">
      <c r="A49" s="10">
        <v>48</v>
      </c>
      <c r="B49" s="11">
        <v>900204851</v>
      </c>
      <c r="C49" s="12" t="s">
        <v>95</v>
      </c>
      <c r="D49" s="13">
        <v>477055420</v>
      </c>
      <c r="E49" s="13">
        <v>413650000</v>
      </c>
      <c r="F49" s="25">
        <f>Proponentes[[#This Row],[Activo Corriente]]+Proponentes[[#This Row],[Activo NO Corriente]]</f>
        <v>890705420</v>
      </c>
      <c r="G49" s="13">
        <v>42324560</v>
      </c>
      <c r="H49" s="13">
        <v>3909433</v>
      </c>
      <c r="I49" s="25">
        <f>Proponentes[[#This Row],[Pasivo Corriente]]+Proponentes[[#This Row],[Pasivo NO Corriente]]</f>
        <v>46233993</v>
      </c>
      <c r="J49" s="14">
        <f>Proponentes[[#This Row],[Total ACTIVO]]-Proponentes[[#This Row],[Total Pasivo]]</f>
        <v>844471427</v>
      </c>
      <c r="K49" s="48">
        <f>VLOOKUP(Proponentes[[#This Row],[Propuesta]],Hoja2!$A$2:$G$239,7,FALSE)</f>
        <v>308124397.80550051</v>
      </c>
      <c r="L49" s="15"/>
      <c r="M49" s="15" t="s">
        <v>59</v>
      </c>
      <c r="N49" s="55">
        <f>IFERROR(VLOOKUP(Proponentes[[#This Row],[Cap Op en SMMLV]],Base!$A$15:$F$20,3),0)</f>
        <v>1</v>
      </c>
      <c r="O49" s="16">
        <f>IFERROR(VLOOKUP(Proponentes[[#This Row],[Cap Op en SMMLV]],Base!$A$15:$F$20,4),0)</f>
        <v>0.76</v>
      </c>
      <c r="P49" s="17">
        <f>IFERROR(VLOOKUP(Proponentes[[#This Row],[Cap Op en SMMLV]],Tabla2[],6),0)</f>
        <v>12.5</v>
      </c>
      <c r="Q49" s="18">
        <f>IFERROR(VLOOKUP(Proponentes[[#This Row],[Cap Op en SMMLV]],Base!$A$15:$F$20,5),0)</f>
        <v>10351450</v>
      </c>
      <c r="R49" s="18">
        <f>IFERROR(VLOOKUP(Proponentes[[#This Row],[Cap Op en SMMLV]],Tabla2[[DE]:[HASTA]],2),0)</f>
        <v>500</v>
      </c>
      <c r="S49" s="19">
        <f>IFERROR(Proponentes[[#This Row],[Activo Corriente]]/Proponentes[[#This Row],[Pasivo Corriente]],"INDETERMINADO")</f>
        <v>11.271361592418208</v>
      </c>
      <c r="T49" s="20">
        <f>IFERROR(Proponentes[[#This Row],[Total Pasivo]]/Proponentes[[#This Row],[Total ACTIVO]],0)</f>
        <v>5.1907164772838139E-2</v>
      </c>
      <c r="U49" s="21">
        <f>(Proponentes[[#This Row],[Activo Corriente]]-Proponentes[[#This Row],[Pasivo Corriente]])/Base!$B$3</f>
        <v>524.96372488878364</v>
      </c>
      <c r="V49" s="22">
        <f>Proponentes[[#This Row],[Activo Corriente]]-Proponentes[[#This Row],[Pasivo Corriente]]</f>
        <v>434730860</v>
      </c>
      <c r="W49" s="13">
        <f>IFERROR(VLOOKUP(Proponentes[[#This Row],[Propuesta]],Hoja2!$A$2:$G$329,7,FALSE),0)</f>
        <v>308124397.80550051</v>
      </c>
      <c r="X49" s="83">
        <f>IF(Proponentes[[#This Row],[Cap Op en Pesos]]=0,0,IF(Proponentes[[#This Row],[Cap Op en Pesos]]=0,1,Proponentes[[#This Row],[Cap Op en Pesos]]/Base!B$3))</f>
        <v>372.07878824403889</v>
      </c>
      <c r="Y4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4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4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49" s="23" t="str">
        <f>IF(AND(Proponentes[[#This Row],[Cumple
Liquidez]]="CUMPLE",Proponentes[[#This Row],[Cumple
Endeudamiento]]="CUMPLE",Proponentes[[#This Row],[Cumple
Capital de Trabajo]]="CUMPLE"),"CUMPLE","NO CUMPLE")</f>
        <v>CUMPLE</v>
      </c>
      <c r="AC49" s="24"/>
      <c r="AD49" s="10">
        <f>IF(Proponentes[[#This Row],[Liquidez
Oferente]]&lt;=1,1,IF(Proponentes[[#This Row],[Liquidez
Oferente]]&lt;=1.1,2,IF(Proponentes[[#This Row],[Liquidez
Oferente]]&lt;=1.2,3,IF(Proponentes[[#This Row],[Liquidez
Oferente]]&lt;=1.3,4,IF(Proponentes[[#This Row],[Liquidez
Oferente]]&lt;=1.4,5,6)))))</f>
        <v>6</v>
      </c>
      <c r="AE49" s="10">
        <f>IF(Proponentes[[#This Row],[Endeudamiento
Oferente]]&lt;=66%,6,IF(Proponentes[[#This Row],[Endeudamiento
Oferente]]&lt;=58,5,IF(Proponentes[[#This Row],[Endeudamiento
Oferente]]&lt;=70,4,IF(Proponentes[[#This Row],[Endeudamiento
Oferente]]&lt;=72,3,IF(Proponentes[[#This Row],[Endeudamiento
Oferente]]&lt;=74,2,1)))))</f>
        <v>6</v>
      </c>
      <c r="AF4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49" s="10">
        <f>IF(Proponentes[[#This Row],[Cap Op en SMMLV]]&lt;=500,1,IF(Proponentes[[#This Row],[Cap Op en SMMLV]]&lt;=1000,2,IF(Proponentes[[#This Row],[Cap Op en SMMLV]]&lt;=1500,3,IF(Proponentes[[#This Row],[Cap Op en SMMLV]]&lt;=2000,4,IF(Proponentes[[#This Row],[Cap Op en SMMLV]]&lt;=2500,5,6)))))</f>
        <v>1</v>
      </c>
      <c r="AH49" s="10">
        <f>MIN(Proponentes[[#This Row],[a]:[d]])</f>
        <v>1</v>
      </c>
      <c r="AI49" s="87">
        <f>IF(Proponentes[[#This Row],[e]]=Proponentes[[#This Row],[d]],Proponentes[[#This Row],[Cap Op en SMMLV]],VLOOKUP(Proponentes[[#This Row],[e]],Base!$D$1:$E$6,2,FALSE))</f>
        <v>372.07878824403889</v>
      </c>
      <c r="AJ49" s="101" t="str">
        <f>VLOOKUP(Proponentes[[#This Row],[Propuesta]],Hoja2!$A$2:$D$329,4,FALSE)</f>
        <v>NO CUMPLE</v>
      </c>
      <c r="AK49" s="101"/>
    </row>
    <row r="50" spans="1:37" ht="16" x14ac:dyDescent="0.2">
      <c r="A50" s="10">
        <v>49</v>
      </c>
      <c r="B50" s="11">
        <v>900456567</v>
      </c>
      <c r="C50" s="12" t="s">
        <v>96</v>
      </c>
      <c r="D50" s="13">
        <v>5000000</v>
      </c>
      <c r="E50" s="13">
        <v>15000000</v>
      </c>
      <c r="F50" s="25">
        <f>Proponentes[[#This Row],[Activo Corriente]]+Proponentes[[#This Row],[Activo NO Corriente]]</f>
        <v>20000000</v>
      </c>
      <c r="G50" s="13">
        <v>17000000</v>
      </c>
      <c r="H50" s="13">
        <v>0</v>
      </c>
      <c r="I50" s="25">
        <f>Proponentes[[#This Row],[Pasivo Corriente]]+Proponentes[[#This Row],[Pasivo NO Corriente]]</f>
        <v>17000000</v>
      </c>
      <c r="J50" s="14">
        <f>Proponentes[[#This Row],[Total ACTIVO]]-Proponentes[[#This Row],[Total Pasivo]]</f>
        <v>3000000</v>
      </c>
      <c r="K50" s="48">
        <f>VLOOKUP(Proponentes[[#This Row],[Propuesta]],Hoja2!$A$2:$G$239,7,FALSE)</f>
        <v>0</v>
      </c>
      <c r="L50" s="15" t="s">
        <v>84</v>
      </c>
      <c r="M50" s="15" t="s">
        <v>467</v>
      </c>
      <c r="N50" s="55">
        <f>IFERROR(VLOOKUP(Proponentes[[#This Row],[Cap Op en SMMLV]],Base!$A$15:$F$20,3),0)</f>
        <v>0</v>
      </c>
      <c r="O50" s="16">
        <f>IFERROR(VLOOKUP(Proponentes[[#This Row],[Cap Op en SMMLV]],Base!$A$15:$F$20,4),0)</f>
        <v>0</v>
      </c>
      <c r="P50" s="17">
        <f>IFERROR(VLOOKUP(Proponentes[[#This Row],[Cap Op en SMMLV]],Tabla2[],6),0)</f>
        <v>0</v>
      </c>
      <c r="Q50" s="18">
        <f>IFERROR(VLOOKUP(Proponentes[[#This Row],[Cap Op en SMMLV]],Base!$A$15:$F$20,5),0)</f>
        <v>0</v>
      </c>
      <c r="R50" s="18">
        <f>IFERROR(VLOOKUP(Proponentes[[#This Row],[Cap Op en SMMLV]],Tabla2[[DE]:[HASTA]],2),0)</f>
        <v>0</v>
      </c>
      <c r="S50" s="19">
        <f>IFERROR(Proponentes[[#This Row],[Activo Corriente]]/Proponentes[[#This Row],[Pasivo Corriente]],"INDETERMINADO")</f>
        <v>0.29411764705882354</v>
      </c>
      <c r="T50" s="20">
        <f>IFERROR(Proponentes[[#This Row],[Total Pasivo]]/Proponentes[[#This Row],[Total ACTIVO]],0)</f>
        <v>0.85</v>
      </c>
      <c r="U50" s="21">
        <f>(Proponentes[[#This Row],[Activo Corriente]]-Proponentes[[#This Row],[Pasivo Corriente]])/Base!$B$3</f>
        <v>-14.490723521825444</v>
      </c>
      <c r="V50" s="22">
        <f>Proponentes[[#This Row],[Activo Corriente]]-Proponentes[[#This Row],[Pasivo Corriente]]</f>
        <v>-12000000</v>
      </c>
      <c r="W50" s="13">
        <f>IFERROR(VLOOKUP(Proponentes[[#This Row],[Propuesta]],Hoja2!$A$2:$G$329,7,FALSE),0)</f>
        <v>0</v>
      </c>
      <c r="X50" s="83">
        <f>IF(Proponentes[[#This Row],[Cap Op en Pesos]]=0,0,IF(Proponentes[[#This Row],[Cap Op en Pesos]]=0,1,Proponentes[[#This Row],[Cap Op en Pesos]]/Base!B$3))</f>
        <v>0</v>
      </c>
      <c r="Y50" s="8" t="s">
        <v>470</v>
      </c>
      <c r="Z5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5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50" s="23" t="str">
        <f>IF(AND(Proponentes[[#This Row],[Cumple
Liquidez]]="CUMPLE",Proponentes[[#This Row],[Cumple
Endeudamiento]]="CUMPLE",Proponentes[[#This Row],[Cumple
Capital de Trabajo]]="CUMPLE"),"CUMPLE","NO CUMPLE")</f>
        <v>NO CUMPLE</v>
      </c>
      <c r="AC50" s="24"/>
      <c r="AD50" s="10">
        <f>IF(Proponentes[[#This Row],[Liquidez
Oferente]]&lt;=1,1,IF(Proponentes[[#This Row],[Liquidez
Oferente]]&lt;=1.1,2,IF(Proponentes[[#This Row],[Liquidez
Oferente]]&lt;=1.2,3,IF(Proponentes[[#This Row],[Liquidez
Oferente]]&lt;=1.3,4,IF(Proponentes[[#This Row],[Liquidez
Oferente]]&lt;=1.4,5,6)))))</f>
        <v>1</v>
      </c>
      <c r="AE50" s="10">
        <f>IF(Proponentes[[#This Row],[Endeudamiento
Oferente]]&lt;=66%,6,IF(Proponentes[[#This Row],[Endeudamiento
Oferente]]&lt;=58,5,IF(Proponentes[[#This Row],[Endeudamiento
Oferente]]&lt;=70,4,IF(Proponentes[[#This Row],[Endeudamiento
Oferente]]&lt;=72,3,IF(Proponentes[[#This Row],[Endeudamiento
Oferente]]&lt;=74,2,1)))))</f>
        <v>5</v>
      </c>
      <c r="AF5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50" s="10">
        <f>IF(Proponentes[[#This Row],[Cap Op en SMMLV]]&lt;=500,1,IF(Proponentes[[#This Row],[Cap Op en SMMLV]]&lt;=1000,2,IF(Proponentes[[#This Row],[Cap Op en SMMLV]]&lt;=1500,3,IF(Proponentes[[#This Row],[Cap Op en SMMLV]]&lt;=2000,4,IF(Proponentes[[#This Row],[Cap Op en SMMLV]]&lt;=2500,5,6)))))</f>
        <v>1</v>
      </c>
      <c r="AH50" s="10">
        <f>MIN(Proponentes[[#This Row],[a]:[d]])</f>
        <v>1</v>
      </c>
      <c r="AI50" s="87">
        <f>IF(Proponentes[[#This Row],[e]]=Proponentes[[#This Row],[d]],Proponentes[[#This Row],[Cap Op en SMMLV]],VLOOKUP(Proponentes[[#This Row],[e]],Base!$D$1:$E$6,2,FALSE))</f>
        <v>0</v>
      </c>
      <c r="AJ50" s="101" t="str">
        <f>VLOOKUP(Proponentes[[#This Row],[Propuesta]],Hoja2!$A$2:$D$329,4,FALSE)</f>
        <v>NO CUMPLE</v>
      </c>
      <c r="AK50" s="101"/>
    </row>
    <row r="51" spans="1:37" ht="16" x14ac:dyDescent="0.2">
      <c r="A51" s="10">
        <v>50</v>
      </c>
      <c r="B51" s="11">
        <v>900467706</v>
      </c>
      <c r="C51" s="12" t="s">
        <v>97</v>
      </c>
      <c r="D51" s="13">
        <v>352177527</v>
      </c>
      <c r="E51" s="13">
        <v>40577992</v>
      </c>
      <c r="F51" s="25">
        <f>Proponentes[[#This Row],[Activo Corriente]]+Proponentes[[#This Row],[Activo NO Corriente]]</f>
        <v>392755519</v>
      </c>
      <c r="G51" s="13">
        <v>204756481</v>
      </c>
      <c r="H51" s="13">
        <v>0</v>
      </c>
      <c r="I51" s="25">
        <f>Proponentes[[#This Row],[Pasivo Corriente]]+Proponentes[[#This Row],[Pasivo NO Corriente]]</f>
        <v>204756481</v>
      </c>
      <c r="J51" s="14">
        <f>Proponentes[[#This Row],[Total ACTIVO]]-Proponentes[[#This Row],[Total Pasivo]]</f>
        <v>187999038</v>
      </c>
      <c r="K51" s="48">
        <f>VLOOKUP(Proponentes[[#This Row],[Propuesta]],Hoja2!$A$2:$G$239,7,FALSE)</f>
        <v>0</v>
      </c>
      <c r="L51" s="15"/>
      <c r="M51" s="15" t="s">
        <v>27</v>
      </c>
      <c r="N51" s="55">
        <f>IFERROR(VLOOKUP(Proponentes[[#This Row],[Cap Op en SMMLV]],Base!$A$15:$F$20,3),0)</f>
        <v>0</v>
      </c>
      <c r="O51" s="16">
        <f>IFERROR(VLOOKUP(Proponentes[[#This Row],[Cap Op en SMMLV]],Base!$A$15:$F$20,4),0)</f>
        <v>0</v>
      </c>
      <c r="P51" s="17">
        <f>IFERROR(VLOOKUP(Proponentes[[#This Row],[Cap Op en SMMLV]],Tabla2[],6),0)</f>
        <v>0</v>
      </c>
      <c r="Q51" s="18">
        <f>IFERROR(VLOOKUP(Proponentes[[#This Row],[Cap Op en SMMLV]],Base!$A$15:$F$20,5),0)</f>
        <v>0</v>
      </c>
      <c r="R51" s="18">
        <f>IFERROR(VLOOKUP(Proponentes[[#This Row],[Cap Op en SMMLV]],Tabla2[[DE]:[HASTA]],2),0)</f>
        <v>0</v>
      </c>
      <c r="S51" s="19">
        <f>IFERROR(Proponentes[[#This Row],[Activo Corriente]]/Proponentes[[#This Row],[Pasivo Corriente]],"INDETERMINADO")</f>
        <v>1.7199823188991024</v>
      </c>
      <c r="T51" s="20">
        <f>IFERROR(Proponentes[[#This Row],[Total Pasivo]]/Proponentes[[#This Row],[Total ACTIVO]],0)</f>
        <v>0.52133317316923555</v>
      </c>
      <c r="U51" s="21">
        <f>(Proponentes[[#This Row],[Activo Corriente]]-Proponentes[[#This Row],[Pasivo Corriente]])/Base!$B$3</f>
        <v>178.01980157369258</v>
      </c>
      <c r="V51" s="22">
        <f>Proponentes[[#This Row],[Activo Corriente]]-Proponentes[[#This Row],[Pasivo Corriente]]</f>
        <v>147421046</v>
      </c>
      <c r="W51" s="13">
        <f>IFERROR(VLOOKUP(Proponentes[[#This Row],[Propuesta]],Hoja2!$A$2:$G$329,7,FALSE),0)</f>
        <v>0</v>
      </c>
      <c r="X51" s="83">
        <f>IF(Proponentes[[#This Row],[Cap Op en Pesos]]=0,0,IF(Proponentes[[#This Row],[Cap Op en Pesos]]=0,1,Proponentes[[#This Row],[Cap Op en Pesos]]/Base!B$3))</f>
        <v>0</v>
      </c>
      <c r="Y5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5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5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51" s="23" t="str">
        <f>IF(AND(Proponentes[[#This Row],[Cumple
Liquidez]]="CUMPLE",Proponentes[[#This Row],[Cumple
Endeudamiento]]="CUMPLE",Proponentes[[#This Row],[Cumple
Capital de Trabajo]]="CUMPLE"),"CUMPLE","NO CUMPLE")</f>
        <v>NO CUMPLE</v>
      </c>
      <c r="AC51" s="24"/>
      <c r="AD51" s="10">
        <f>IF(Proponentes[[#This Row],[Liquidez
Oferente]]&lt;=1,1,IF(Proponentes[[#This Row],[Liquidez
Oferente]]&lt;=1.1,2,IF(Proponentes[[#This Row],[Liquidez
Oferente]]&lt;=1.2,3,IF(Proponentes[[#This Row],[Liquidez
Oferente]]&lt;=1.3,4,IF(Proponentes[[#This Row],[Liquidez
Oferente]]&lt;=1.4,5,6)))))</f>
        <v>6</v>
      </c>
      <c r="AE51" s="10">
        <f>IF(Proponentes[[#This Row],[Endeudamiento
Oferente]]&lt;=66%,6,IF(Proponentes[[#This Row],[Endeudamiento
Oferente]]&lt;=58,5,IF(Proponentes[[#This Row],[Endeudamiento
Oferente]]&lt;=70,4,IF(Proponentes[[#This Row],[Endeudamiento
Oferente]]&lt;=72,3,IF(Proponentes[[#This Row],[Endeudamiento
Oferente]]&lt;=74,2,1)))))</f>
        <v>6</v>
      </c>
      <c r="AF5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51" s="10">
        <f>IF(Proponentes[[#This Row],[Cap Op en SMMLV]]&lt;=500,1,IF(Proponentes[[#This Row],[Cap Op en SMMLV]]&lt;=1000,2,IF(Proponentes[[#This Row],[Cap Op en SMMLV]]&lt;=1500,3,IF(Proponentes[[#This Row],[Cap Op en SMMLV]]&lt;=2000,4,IF(Proponentes[[#This Row],[Cap Op en SMMLV]]&lt;=2500,5,6)))))</f>
        <v>1</v>
      </c>
      <c r="AH51" s="10">
        <f>MIN(Proponentes[[#This Row],[a]:[d]])</f>
        <v>1</v>
      </c>
      <c r="AI51" s="87">
        <f>IF(Proponentes[[#This Row],[e]]=Proponentes[[#This Row],[d]],Proponentes[[#This Row],[Cap Op en SMMLV]],VLOOKUP(Proponentes[[#This Row],[e]],Base!$D$1:$E$6,2,FALSE))</f>
        <v>0</v>
      </c>
      <c r="AJ51" s="101" t="str">
        <f>VLOOKUP(Proponentes[[#This Row],[Propuesta]],Hoja2!$A$2:$D$329,4,FALSE)</f>
        <v>NO CUMPLE</v>
      </c>
      <c r="AK51" s="101"/>
    </row>
    <row r="52" spans="1:37" ht="16" x14ac:dyDescent="0.2">
      <c r="A52" s="10">
        <v>51</v>
      </c>
      <c r="B52" s="11">
        <v>901152586</v>
      </c>
      <c r="C52" s="12" t="s">
        <v>98</v>
      </c>
      <c r="D52" s="13">
        <v>122500000</v>
      </c>
      <c r="E52" s="13">
        <v>0</v>
      </c>
      <c r="F52" s="25">
        <f>Proponentes[[#This Row],[Activo Corriente]]+Proponentes[[#This Row],[Activo NO Corriente]]</f>
        <v>122500000</v>
      </c>
      <c r="G52" s="13">
        <v>2500000</v>
      </c>
      <c r="H52" s="13">
        <v>0</v>
      </c>
      <c r="I52" s="25">
        <f>Proponentes[[#This Row],[Pasivo Corriente]]+Proponentes[[#This Row],[Pasivo NO Corriente]]</f>
        <v>2500000</v>
      </c>
      <c r="J52" s="14">
        <f>Proponentes[[#This Row],[Total ACTIVO]]-Proponentes[[#This Row],[Total Pasivo]]</f>
        <v>120000000</v>
      </c>
      <c r="K52" s="48">
        <f>VLOOKUP(Proponentes[[#This Row],[Propuesta]],Hoja2!$A$2:$G$239,7,FALSE)</f>
        <v>34433937.269055016</v>
      </c>
      <c r="L52" s="15"/>
      <c r="M52" s="15" t="s">
        <v>59</v>
      </c>
      <c r="N52" s="55">
        <f>IFERROR(VLOOKUP(Proponentes[[#This Row],[Cap Op en SMMLV]],Base!$A$15:$F$20,3),0)</f>
        <v>1</v>
      </c>
      <c r="O52" s="16">
        <f>IFERROR(VLOOKUP(Proponentes[[#This Row],[Cap Op en SMMLV]],Base!$A$15:$F$20,4),0)</f>
        <v>0.76</v>
      </c>
      <c r="P52" s="17">
        <f>IFERROR(VLOOKUP(Proponentes[[#This Row],[Cap Op en SMMLV]],Tabla2[],6),0)</f>
        <v>12.5</v>
      </c>
      <c r="Q52" s="18">
        <f>IFERROR(VLOOKUP(Proponentes[[#This Row],[Cap Op en SMMLV]],Base!$A$15:$F$20,5),0)</f>
        <v>10351450</v>
      </c>
      <c r="R52" s="18">
        <f>IFERROR(VLOOKUP(Proponentes[[#This Row],[Cap Op en SMMLV]],Tabla2[[DE]:[HASTA]],2),0)</f>
        <v>500</v>
      </c>
      <c r="S52" s="19">
        <f>IFERROR(Proponentes[[#This Row],[Activo Corriente]]/Proponentes[[#This Row],[Pasivo Corriente]],"INDETERMINADO")</f>
        <v>49</v>
      </c>
      <c r="T52" s="20">
        <f>IFERROR(Proponentes[[#This Row],[Total Pasivo]]/Proponentes[[#This Row],[Total ACTIVO]],0)</f>
        <v>2.0408163265306121E-2</v>
      </c>
      <c r="U52" s="21">
        <f>(Proponentes[[#This Row],[Activo Corriente]]-Proponentes[[#This Row],[Pasivo Corriente]])/Base!$B$3</f>
        <v>144.90723521825444</v>
      </c>
      <c r="V52" s="22">
        <f>Proponentes[[#This Row],[Activo Corriente]]-Proponentes[[#This Row],[Pasivo Corriente]]</f>
        <v>120000000</v>
      </c>
      <c r="W52" s="13">
        <f>IFERROR(VLOOKUP(Proponentes[[#This Row],[Propuesta]],Hoja2!$A$2:$G$329,7,FALSE),0)</f>
        <v>34433937.269055016</v>
      </c>
      <c r="X52" s="83">
        <f>IF(Proponentes[[#This Row],[Cap Op en Pesos]]=0,0,IF(Proponentes[[#This Row],[Cap Op en Pesos]]=0,1,Proponentes[[#This Row],[Cap Op en Pesos]]/Base!B$3))</f>
        <v>41.581055394479776</v>
      </c>
      <c r="Y5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5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5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52" s="23" t="str">
        <f>IF(AND(Proponentes[[#This Row],[Cumple
Liquidez]]="CUMPLE",Proponentes[[#This Row],[Cumple
Endeudamiento]]="CUMPLE",Proponentes[[#This Row],[Cumple
Capital de Trabajo]]="CUMPLE"),"CUMPLE","NO CUMPLE")</f>
        <v>CUMPLE</v>
      </c>
      <c r="AC52" s="24"/>
      <c r="AD52" s="10">
        <f>IF(Proponentes[[#This Row],[Liquidez
Oferente]]&lt;=1,1,IF(Proponentes[[#This Row],[Liquidez
Oferente]]&lt;=1.1,2,IF(Proponentes[[#This Row],[Liquidez
Oferente]]&lt;=1.2,3,IF(Proponentes[[#This Row],[Liquidez
Oferente]]&lt;=1.3,4,IF(Proponentes[[#This Row],[Liquidez
Oferente]]&lt;=1.4,5,6)))))</f>
        <v>6</v>
      </c>
      <c r="AE52" s="10">
        <f>IF(Proponentes[[#This Row],[Endeudamiento
Oferente]]&lt;=66%,6,IF(Proponentes[[#This Row],[Endeudamiento
Oferente]]&lt;=58,5,IF(Proponentes[[#This Row],[Endeudamiento
Oferente]]&lt;=70,4,IF(Proponentes[[#This Row],[Endeudamiento
Oferente]]&lt;=72,3,IF(Proponentes[[#This Row],[Endeudamiento
Oferente]]&lt;=74,2,1)))))</f>
        <v>6</v>
      </c>
      <c r="AF5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52" s="10">
        <f>IF(Proponentes[[#This Row],[Cap Op en SMMLV]]&lt;=500,1,IF(Proponentes[[#This Row],[Cap Op en SMMLV]]&lt;=1000,2,IF(Proponentes[[#This Row],[Cap Op en SMMLV]]&lt;=1500,3,IF(Proponentes[[#This Row],[Cap Op en SMMLV]]&lt;=2000,4,IF(Proponentes[[#This Row],[Cap Op en SMMLV]]&lt;=2500,5,6)))))</f>
        <v>1</v>
      </c>
      <c r="AH52" s="10">
        <f>MIN(Proponentes[[#This Row],[a]:[d]])</f>
        <v>1</v>
      </c>
      <c r="AI52" s="87">
        <f>IF(Proponentes[[#This Row],[e]]=Proponentes[[#This Row],[d]],Proponentes[[#This Row],[Cap Op en SMMLV]],VLOOKUP(Proponentes[[#This Row],[e]],Base!$D$1:$E$6,2,FALSE))</f>
        <v>41.581055394479776</v>
      </c>
      <c r="AJ52" s="101" t="str">
        <f>VLOOKUP(Proponentes[[#This Row],[Propuesta]],Hoja2!$A$2:$D$329,4,FALSE)</f>
        <v>CUMPLE</v>
      </c>
      <c r="AK52" s="101"/>
    </row>
    <row r="53" spans="1:37" ht="16" x14ac:dyDescent="0.2">
      <c r="A53" s="10">
        <v>52</v>
      </c>
      <c r="B53" s="11">
        <v>900944996</v>
      </c>
      <c r="C53" s="12" t="s">
        <v>99</v>
      </c>
      <c r="D53" s="13">
        <v>11097344</v>
      </c>
      <c r="E53" s="13">
        <v>41600000</v>
      </c>
      <c r="F53" s="25">
        <f>Proponentes[[#This Row],[Activo Corriente]]+Proponentes[[#This Row],[Activo NO Corriente]]</f>
        <v>52697344</v>
      </c>
      <c r="G53" s="13">
        <v>480000</v>
      </c>
      <c r="H53" s="13">
        <v>7520000</v>
      </c>
      <c r="I53" s="25">
        <f>Proponentes[[#This Row],[Pasivo Corriente]]+Proponentes[[#This Row],[Pasivo NO Corriente]]</f>
        <v>8000000</v>
      </c>
      <c r="J53" s="14">
        <f>Proponentes[[#This Row],[Total ACTIVO]]-Proponentes[[#This Row],[Total Pasivo]]</f>
        <v>44697344</v>
      </c>
      <c r="K53" s="48">
        <f>VLOOKUP(Proponentes[[#This Row],[Propuesta]],Hoja2!$A$2:$G$239,7,FALSE)</f>
        <v>0</v>
      </c>
      <c r="L53" s="15"/>
      <c r="M53" s="15" t="s">
        <v>100</v>
      </c>
      <c r="N53" s="55">
        <f>IFERROR(VLOOKUP(Proponentes[[#This Row],[Cap Op en SMMLV]],Base!$A$15:$F$20,3),0)</f>
        <v>0</v>
      </c>
      <c r="O53" s="16">
        <f>IFERROR(VLOOKUP(Proponentes[[#This Row],[Cap Op en SMMLV]],Base!$A$15:$F$20,4),0)</f>
        <v>0</v>
      </c>
      <c r="P53" s="17">
        <f>IFERROR(VLOOKUP(Proponentes[[#This Row],[Cap Op en SMMLV]],Tabla2[],6),0)</f>
        <v>0</v>
      </c>
      <c r="Q53" s="18">
        <f>IFERROR(VLOOKUP(Proponentes[[#This Row],[Cap Op en SMMLV]],Base!$A$15:$F$20,5),0)</f>
        <v>0</v>
      </c>
      <c r="R53" s="18">
        <f>IFERROR(VLOOKUP(Proponentes[[#This Row],[Cap Op en SMMLV]],Tabla2[[DE]:[HASTA]],2),0)</f>
        <v>0</v>
      </c>
      <c r="S53" s="19">
        <f>IFERROR(Proponentes[[#This Row],[Activo Corriente]]/Proponentes[[#This Row],[Pasivo Corriente]],"INDETERMINADO")</f>
        <v>23.119466666666668</v>
      </c>
      <c r="T53" s="20">
        <f>IFERROR(Proponentes[[#This Row],[Total Pasivo]]/Proponentes[[#This Row],[Total ACTIVO]],0)</f>
        <v>0.15181030755553829</v>
      </c>
      <c r="U53" s="21">
        <f>(Proponentes[[#This Row],[Activo Corriente]]-Proponentes[[#This Row],[Pasivo Corriente]])/Base!$B$3</f>
        <v>12.821083036676022</v>
      </c>
      <c r="V53" s="22">
        <f>Proponentes[[#This Row],[Activo Corriente]]-Proponentes[[#This Row],[Pasivo Corriente]]</f>
        <v>10617344</v>
      </c>
      <c r="W53" s="13">
        <f>IFERROR(VLOOKUP(Proponentes[[#This Row],[Propuesta]],Hoja2!$A$2:$G$329,7,FALSE),0)</f>
        <v>0</v>
      </c>
      <c r="X53" s="83">
        <f>IF(Proponentes[[#This Row],[Cap Op en Pesos]]=0,0,IF(Proponentes[[#This Row],[Cap Op en Pesos]]=0,1,Proponentes[[#This Row],[Cap Op en Pesos]]/Base!B$3))</f>
        <v>0</v>
      </c>
      <c r="Y5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5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5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53" s="23" t="str">
        <f>IF(AND(Proponentes[[#This Row],[Cumple
Liquidez]]="CUMPLE",Proponentes[[#This Row],[Cumple
Endeudamiento]]="CUMPLE",Proponentes[[#This Row],[Cumple
Capital de Trabajo]]="CUMPLE"),"CUMPLE","NO CUMPLE")</f>
        <v>NO CUMPLE</v>
      </c>
      <c r="AC53" s="24"/>
      <c r="AD53" s="10">
        <f>IF(Proponentes[[#This Row],[Liquidez
Oferente]]&lt;=1,1,IF(Proponentes[[#This Row],[Liquidez
Oferente]]&lt;=1.1,2,IF(Proponentes[[#This Row],[Liquidez
Oferente]]&lt;=1.2,3,IF(Proponentes[[#This Row],[Liquidez
Oferente]]&lt;=1.3,4,IF(Proponentes[[#This Row],[Liquidez
Oferente]]&lt;=1.4,5,6)))))</f>
        <v>6</v>
      </c>
      <c r="AE53" s="10">
        <f>IF(Proponentes[[#This Row],[Endeudamiento
Oferente]]&lt;=66%,6,IF(Proponentes[[#This Row],[Endeudamiento
Oferente]]&lt;=58,5,IF(Proponentes[[#This Row],[Endeudamiento
Oferente]]&lt;=70,4,IF(Proponentes[[#This Row],[Endeudamiento
Oferente]]&lt;=72,3,IF(Proponentes[[#This Row],[Endeudamiento
Oferente]]&lt;=74,2,1)))))</f>
        <v>6</v>
      </c>
      <c r="AF5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53" s="10">
        <f>IF(Proponentes[[#This Row],[Cap Op en SMMLV]]&lt;=500,1,IF(Proponentes[[#This Row],[Cap Op en SMMLV]]&lt;=1000,2,IF(Proponentes[[#This Row],[Cap Op en SMMLV]]&lt;=1500,3,IF(Proponentes[[#This Row],[Cap Op en SMMLV]]&lt;=2000,4,IF(Proponentes[[#This Row],[Cap Op en SMMLV]]&lt;=2500,5,6)))))</f>
        <v>1</v>
      </c>
      <c r="AH53" s="10">
        <f>MIN(Proponentes[[#This Row],[a]:[d]])</f>
        <v>1</v>
      </c>
      <c r="AI53" s="87">
        <f>IF(Proponentes[[#This Row],[e]]=Proponentes[[#This Row],[d]],Proponentes[[#This Row],[Cap Op en SMMLV]],VLOOKUP(Proponentes[[#This Row],[e]],Base!$D$1:$E$6,2,FALSE))</f>
        <v>0</v>
      </c>
      <c r="AJ53" s="101" t="str">
        <f>VLOOKUP(Proponentes[[#This Row],[Propuesta]],Hoja2!$A$2:$D$329,4,FALSE)</f>
        <v>NO CUMPLE</v>
      </c>
      <c r="AK53" s="101"/>
    </row>
    <row r="54" spans="1:37" ht="16" x14ac:dyDescent="0.2">
      <c r="A54" s="10">
        <v>53</v>
      </c>
      <c r="B54" s="11">
        <v>860070301</v>
      </c>
      <c r="C54" s="12" t="s">
        <v>101</v>
      </c>
      <c r="D54" s="13">
        <v>17300437000</v>
      </c>
      <c r="E54" s="13">
        <v>0</v>
      </c>
      <c r="F54" s="25">
        <f>Proponentes[[#This Row],[Activo Corriente]]+Proponentes[[#This Row],[Activo NO Corriente]]</f>
        <v>17300437000</v>
      </c>
      <c r="G54" s="13">
        <v>11371985000</v>
      </c>
      <c r="H54" s="13">
        <v>0</v>
      </c>
      <c r="I54" s="25">
        <f>Proponentes[[#This Row],[Pasivo Corriente]]+Proponentes[[#This Row],[Pasivo NO Corriente]]</f>
        <v>11371985000</v>
      </c>
      <c r="J54" s="14">
        <f>Proponentes[[#This Row],[Total ACTIVO]]-Proponentes[[#This Row],[Total Pasivo]]</f>
        <v>5928452000</v>
      </c>
      <c r="K54" s="48">
        <f>VLOOKUP(Proponentes[[#This Row],[Propuesta]],Hoja2!$A$2:$G$239,7,FALSE)</f>
        <v>427750712.19787937</v>
      </c>
      <c r="L54" s="15"/>
      <c r="M54" s="15" t="s">
        <v>59</v>
      </c>
      <c r="N54" s="55">
        <f>IFERROR(VLOOKUP(Proponentes[[#This Row],[Cap Op en SMMLV]],Base!$A$15:$F$20,3),0)</f>
        <v>1.1000000000000001</v>
      </c>
      <c r="O54" s="16">
        <f>IFERROR(VLOOKUP(Proponentes[[#This Row],[Cap Op en SMMLV]],Base!$A$15:$F$20,4),0)</f>
        <v>0.74</v>
      </c>
      <c r="P54" s="17">
        <f>IFERROR(VLOOKUP(Proponentes[[#This Row],[Cap Op en SMMLV]],Tabla2[],6),0)</f>
        <v>25</v>
      </c>
      <c r="Q54" s="18">
        <f>IFERROR(VLOOKUP(Proponentes[[#This Row],[Cap Op en SMMLV]],Base!$A$15:$F$20,5),0)</f>
        <v>20702900</v>
      </c>
      <c r="R54" s="18">
        <f>IFERROR(VLOOKUP(Proponentes[[#This Row],[Cap Op en SMMLV]],Tabla2[[DE]:[HASTA]],2),0)</f>
        <v>1000</v>
      </c>
      <c r="S54" s="19">
        <f>IFERROR(Proponentes[[#This Row],[Activo Corriente]]/Proponentes[[#This Row],[Pasivo Corriente]],"INDETERMINADO")</f>
        <v>1.5213207720551865</v>
      </c>
      <c r="T54" s="20">
        <f>IFERROR(Proponentes[[#This Row],[Total Pasivo]]/Proponentes[[#This Row],[Total ACTIVO]],0)</f>
        <v>0.65732356934105185</v>
      </c>
      <c r="U54" s="21">
        <f>(Proponentes[[#This Row],[Activo Corriente]]-Proponentes[[#This Row],[Pasivo Corriente]])/Base!$B$3</f>
        <v>7158.9632370344252</v>
      </c>
      <c r="V54" s="22">
        <f>Proponentes[[#This Row],[Activo Corriente]]-Proponentes[[#This Row],[Pasivo Corriente]]</f>
        <v>5928452000</v>
      </c>
      <c r="W54" s="13">
        <f>IFERROR(VLOOKUP(Proponentes[[#This Row],[Propuesta]],Hoja2!$A$2:$G$329,7,FALSE),0)</f>
        <v>427750712.19787937</v>
      </c>
      <c r="X54" s="83">
        <f>IF(Proponentes[[#This Row],[Cap Op en Pesos]]=0,0,IF(Proponentes[[#This Row],[Cap Op en Pesos]]=0,1,Proponentes[[#This Row],[Cap Op en Pesos]]/Base!B$3))</f>
        <v>516.53477556028304</v>
      </c>
      <c r="Y5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5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5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54" s="23" t="str">
        <f>IF(AND(Proponentes[[#This Row],[Cumple
Liquidez]]="CUMPLE",Proponentes[[#This Row],[Cumple
Endeudamiento]]="CUMPLE",Proponentes[[#This Row],[Cumple
Capital de Trabajo]]="CUMPLE"),"CUMPLE","NO CUMPLE")</f>
        <v>CUMPLE</v>
      </c>
      <c r="AC54" s="24"/>
      <c r="AD54" s="10">
        <f>IF(Proponentes[[#This Row],[Liquidez
Oferente]]&lt;=1,1,IF(Proponentes[[#This Row],[Liquidez
Oferente]]&lt;=1.1,2,IF(Proponentes[[#This Row],[Liquidez
Oferente]]&lt;=1.2,3,IF(Proponentes[[#This Row],[Liquidez
Oferente]]&lt;=1.3,4,IF(Proponentes[[#This Row],[Liquidez
Oferente]]&lt;=1.4,5,6)))))</f>
        <v>6</v>
      </c>
      <c r="AE54" s="10">
        <f>IF(Proponentes[[#This Row],[Endeudamiento
Oferente]]&lt;=66%,6,IF(Proponentes[[#This Row],[Endeudamiento
Oferente]]&lt;=58,5,IF(Proponentes[[#This Row],[Endeudamiento
Oferente]]&lt;=70,4,IF(Proponentes[[#This Row],[Endeudamiento
Oferente]]&lt;=72,3,IF(Proponentes[[#This Row],[Endeudamiento
Oferente]]&lt;=74,2,1)))))</f>
        <v>6</v>
      </c>
      <c r="AF5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54" s="10">
        <f>IF(Proponentes[[#This Row],[Cap Op en SMMLV]]&lt;=500,1,IF(Proponentes[[#This Row],[Cap Op en SMMLV]]&lt;=1000,2,IF(Proponentes[[#This Row],[Cap Op en SMMLV]]&lt;=1500,3,IF(Proponentes[[#This Row],[Cap Op en SMMLV]]&lt;=2000,4,IF(Proponentes[[#This Row],[Cap Op en SMMLV]]&lt;=2500,5,6)))))</f>
        <v>2</v>
      </c>
      <c r="AH54" s="10">
        <f>MIN(Proponentes[[#This Row],[a]:[d]])</f>
        <v>2</v>
      </c>
      <c r="AI54" s="87">
        <f>IF(Proponentes[[#This Row],[e]]=Proponentes[[#This Row],[d]],Proponentes[[#This Row],[Cap Op en SMMLV]],VLOOKUP(Proponentes[[#This Row],[e]],Base!$D$1:$E$6,2,FALSE))</f>
        <v>516.53477556028304</v>
      </c>
      <c r="AJ54" s="101" t="str">
        <f>VLOOKUP(Proponentes[[#This Row],[Propuesta]],Hoja2!$A$2:$D$329,4,FALSE)</f>
        <v>CUMPLE</v>
      </c>
      <c r="AK54" s="101"/>
    </row>
    <row r="55" spans="1:37" ht="16" x14ac:dyDescent="0.2">
      <c r="A55" s="10">
        <v>54</v>
      </c>
      <c r="B55" s="11">
        <v>900908345</v>
      </c>
      <c r="C55" s="12" t="s">
        <v>102</v>
      </c>
      <c r="D55" s="13">
        <v>2275200</v>
      </c>
      <c r="E55" s="13">
        <v>2821960</v>
      </c>
      <c r="F55" s="25">
        <f>Proponentes[[#This Row],[Activo Corriente]]+Proponentes[[#This Row],[Activo NO Corriente]]</f>
        <v>5097160</v>
      </c>
      <c r="G55" s="13">
        <v>0</v>
      </c>
      <c r="H55" s="13">
        <v>0</v>
      </c>
      <c r="I55" s="25">
        <f>Proponentes[[#This Row],[Pasivo Corriente]]+Proponentes[[#This Row],[Pasivo NO Corriente]]</f>
        <v>0</v>
      </c>
      <c r="J55" s="14">
        <f>Proponentes[[#This Row],[Total ACTIVO]]-Proponentes[[#This Row],[Total Pasivo]]</f>
        <v>5097160</v>
      </c>
      <c r="K55" s="48">
        <f>VLOOKUP(Proponentes[[#This Row],[Propuesta]],Hoja2!$A$2:$G$239,7,FALSE)</f>
        <v>0</v>
      </c>
      <c r="L55" s="15"/>
      <c r="M55" s="15" t="s">
        <v>91</v>
      </c>
      <c r="N55" s="55">
        <f>IFERROR(VLOOKUP(Proponentes[[#This Row],[Cap Op en SMMLV]],Base!$A$15:$F$20,3),0)</f>
        <v>0</v>
      </c>
      <c r="O55" s="16">
        <f>IFERROR(VLOOKUP(Proponentes[[#This Row],[Cap Op en SMMLV]],Base!$A$15:$F$20,4),0)</f>
        <v>0</v>
      </c>
      <c r="P55" s="17">
        <f>IFERROR(VLOOKUP(Proponentes[[#This Row],[Cap Op en SMMLV]],Tabla2[],6),0)</f>
        <v>0</v>
      </c>
      <c r="Q55" s="18">
        <f>IFERROR(VLOOKUP(Proponentes[[#This Row],[Cap Op en SMMLV]],Base!$A$15:$F$20,5),0)</f>
        <v>0</v>
      </c>
      <c r="R55" s="18">
        <f>IFERROR(VLOOKUP(Proponentes[[#This Row],[Cap Op en SMMLV]],Tabla2[[DE]:[HASTA]],2),0)</f>
        <v>0</v>
      </c>
      <c r="S55" s="19" t="str">
        <f>IFERROR(Proponentes[[#This Row],[Activo Corriente]]/Proponentes[[#This Row],[Pasivo Corriente]],"INDETERMINADO")</f>
        <v>INDETERMINADO</v>
      </c>
      <c r="T55" s="20">
        <f>IFERROR(Proponentes[[#This Row],[Total Pasivo]]/Proponentes[[#This Row],[Total ACTIVO]],0)</f>
        <v>0</v>
      </c>
      <c r="U55" s="21">
        <f>(Proponentes[[#This Row],[Activo Corriente]]-Proponentes[[#This Row],[Pasivo Corriente]])/Base!$B$3</f>
        <v>2.7474411797381042</v>
      </c>
      <c r="V55" s="22">
        <f>Proponentes[[#This Row],[Activo Corriente]]-Proponentes[[#This Row],[Pasivo Corriente]]</f>
        <v>2275200</v>
      </c>
      <c r="W55" s="13">
        <f>IFERROR(VLOOKUP(Proponentes[[#This Row],[Propuesta]],Hoja2!$A$2:$G$329,7,FALSE),0)</f>
        <v>0</v>
      </c>
      <c r="X55" s="83">
        <f>IF(Proponentes[[#This Row],[Cap Op en Pesos]]=0,0,IF(Proponentes[[#This Row],[Cap Op en Pesos]]=0,1,Proponentes[[#This Row],[Cap Op en Pesos]]/Base!B$3))</f>
        <v>0</v>
      </c>
      <c r="Y5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5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5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55" s="23" t="str">
        <f>IF(AND(Proponentes[[#This Row],[Cumple
Liquidez]]="CUMPLE",Proponentes[[#This Row],[Cumple
Endeudamiento]]="CUMPLE",Proponentes[[#This Row],[Cumple
Capital de Trabajo]]="CUMPLE"),"CUMPLE","NO CUMPLE")</f>
        <v>NO CUMPLE</v>
      </c>
      <c r="AC55" s="24" t="s">
        <v>789</v>
      </c>
      <c r="AD55" s="10">
        <f>IF(Proponentes[[#This Row],[Liquidez
Oferente]]&lt;=1,1,IF(Proponentes[[#This Row],[Liquidez
Oferente]]&lt;=1.1,2,IF(Proponentes[[#This Row],[Liquidez
Oferente]]&lt;=1.2,3,IF(Proponentes[[#This Row],[Liquidez
Oferente]]&lt;=1.3,4,IF(Proponentes[[#This Row],[Liquidez
Oferente]]&lt;=1.4,5,6)))))</f>
        <v>6</v>
      </c>
      <c r="AE55" s="10">
        <f>IF(Proponentes[[#This Row],[Endeudamiento
Oferente]]&lt;=66%,6,IF(Proponentes[[#This Row],[Endeudamiento
Oferente]]&lt;=58,5,IF(Proponentes[[#This Row],[Endeudamiento
Oferente]]&lt;=70,4,IF(Proponentes[[#This Row],[Endeudamiento
Oferente]]&lt;=72,3,IF(Proponentes[[#This Row],[Endeudamiento
Oferente]]&lt;=74,2,1)))))</f>
        <v>6</v>
      </c>
      <c r="AF5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55" s="10">
        <f>IF(Proponentes[[#This Row],[Cap Op en SMMLV]]&lt;=500,1,IF(Proponentes[[#This Row],[Cap Op en SMMLV]]&lt;=1000,2,IF(Proponentes[[#This Row],[Cap Op en SMMLV]]&lt;=1500,3,IF(Proponentes[[#This Row],[Cap Op en SMMLV]]&lt;=2000,4,IF(Proponentes[[#This Row],[Cap Op en SMMLV]]&lt;=2500,5,6)))))</f>
        <v>1</v>
      </c>
      <c r="AH55" s="10">
        <f>MIN(Proponentes[[#This Row],[a]:[d]])</f>
        <v>1</v>
      </c>
      <c r="AI55" s="87">
        <f>IF(Proponentes[[#This Row],[e]]=Proponentes[[#This Row],[d]],Proponentes[[#This Row],[Cap Op en SMMLV]],VLOOKUP(Proponentes[[#This Row],[e]],Base!$D$1:$E$6,2,FALSE))</f>
        <v>0</v>
      </c>
      <c r="AJ55" s="101" t="str">
        <f>VLOOKUP(Proponentes[[#This Row],[Propuesta]],Hoja2!$A$2:$D$329,4,FALSE)</f>
        <v>NO CUMPLE</v>
      </c>
      <c r="AK55" s="101"/>
    </row>
    <row r="56" spans="1:37" ht="32" x14ac:dyDescent="0.2">
      <c r="A56" s="10">
        <v>55</v>
      </c>
      <c r="B56" s="11">
        <v>818001995</v>
      </c>
      <c r="C56" s="12" t="s">
        <v>103</v>
      </c>
      <c r="D56" s="13">
        <v>144000000</v>
      </c>
      <c r="E56" s="13"/>
      <c r="F56" s="25">
        <f>Proponentes[[#This Row],[Activo Corriente]]+Proponentes[[#This Row],[Activo NO Corriente]]</f>
        <v>144000000</v>
      </c>
      <c r="G56" s="13">
        <v>5000000</v>
      </c>
      <c r="H56" s="13">
        <v>0</v>
      </c>
      <c r="I56" s="25">
        <f>Proponentes[[#This Row],[Pasivo Corriente]]+Proponentes[[#This Row],[Pasivo NO Corriente]]</f>
        <v>5000000</v>
      </c>
      <c r="J56" s="14">
        <f>Proponentes[[#This Row],[Total ACTIVO]]-Proponentes[[#This Row],[Total Pasivo]]</f>
        <v>139000000</v>
      </c>
      <c r="K56" s="48">
        <f>VLOOKUP(Proponentes[[#This Row],[Propuesta]],Hoja2!$A$2:$G$239,7,FALSE)</f>
        <v>0</v>
      </c>
      <c r="L56" s="15"/>
      <c r="M56" s="15" t="s">
        <v>36</v>
      </c>
      <c r="N56" s="55">
        <f>IFERROR(VLOOKUP(Proponentes[[#This Row],[Cap Op en SMMLV]],Base!$A$15:$F$20,3),0)</f>
        <v>0</v>
      </c>
      <c r="O56" s="16">
        <f>IFERROR(VLOOKUP(Proponentes[[#This Row],[Cap Op en SMMLV]],Base!$A$15:$F$20,4),0)</f>
        <v>0</v>
      </c>
      <c r="P56" s="17">
        <f>IFERROR(VLOOKUP(Proponentes[[#This Row],[Cap Op en SMMLV]],Tabla2[],6),0)</f>
        <v>0</v>
      </c>
      <c r="Q56" s="18">
        <f>IFERROR(VLOOKUP(Proponentes[[#This Row],[Cap Op en SMMLV]],Base!$A$15:$F$20,5),0)</f>
        <v>0</v>
      </c>
      <c r="R56" s="18">
        <f>IFERROR(VLOOKUP(Proponentes[[#This Row],[Cap Op en SMMLV]],Tabla2[[DE]:[HASTA]],2),0)</f>
        <v>0</v>
      </c>
      <c r="S56" s="19">
        <f>IFERROR(Proponentes[[#This Row],[Activo Corriente]]/Proponentes[[#This Row],[Pasivo Corriente]],"INDETERMINADO")</f>
        <v>28.8</v>
      </c>
      <c r="T56" s="20">
        <f>IFERROR(Proponentes[[#This Row],[Total Pasivo]]/Proponentes[[#This Row],[Total ACTIVO]],0)</f>
        <v>3.4722222222222224E-2</v>
      </c>
      <c r="U56" s="21">
        <f>(Proponentes[[#This Row],[Activo Corriente]]-Proponentes[[#This Row],[Pasivo Corriente]])/Base!$B$3</f>
        <v>167.85088079447806</v>
      </c>
      <c r="V56" s="22">
        <f>Proponentes[[#This Row],[Activo Corriente]]-Proponentes[[#This Row],[Pasivo Corriente]]</f>
        <v>139000000</v>
      </c>
      <c r="W56" s="13">
        <f>IFERROR(VLOOKUP(Proponentes[[#This Row],[Propuesta]],Hoja2!$A$2:$G$329,7,FALSE),0)</f>
        <v>0</v>
      </c>
      <c r="X56" s="83">
        <f>IF(Proponentes[[#This Row],[Cap Op en Pesos]]=0,0,IF(Proponentes[[#This Row],[Cap Op en Pesos]]=0,1,Proponentes[[#This Row],[Cap Op en Pesos]]/Base!B$3))</f>
        <v>0</v>
      </c>
      <c r="Y5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5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5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56" s="23" t="str">
        <f>IF(AND(Proponentes[[#This Row],[Cumple
Liquidez]]="CUMPLE",Proponentes[[#This Row],[Cumple
Endeudamiento]]="CUMPLE",Proponentes[[#This Row],[Cumple
Capital de Trabajo]]="CUMPLE"),"CUMPLE","NO CUMPLE")</f>
        <v>NO CUMPLE</v>
      </c>
      <c r="AC56" s="24"/>
      <c r="AD56" s="10">
        <f>IF(Proponentes[[#This Row],[Liquidez
Oferente]]&lt;=1,1,IF(Proponentes[[#This Row],[Liquidez
Oferente]]&lt;=1.1,2,IF(Proponentes[[#This Row],[Liquidez
Oferente]]&lt;=1.2,3,IF(Proponentes[[#This Row],[Liquidez
Oferente]]&lt;=1.3,4,IF(Proponentes[[#This Row],[Liquidez
Oferente]]&lt;=1.4,5,6)))))</f>
        <v>6</v>
      </c>
      <c r="AE56" s="10">
        <f>IF(Proponentes[[#This Row],[Endeudamiento
Oferente]]&lt;=66%,6,IF(Proponentes[[#This Row],[Endeudamiento
Oferente]]&lt;=58,5,IF(Proponentes[[#This Row],[Endeudamiento
Oferente]]&lt;=70,4,IF(Proponentes[[#This Row],[Endeudamiento
Oferente]]&lt;=72,3,IF(Proponentes[[#This Row],[Endeudamiento
Oferente]]&lt;=74,2,1)))))</f>
        <v>6</v>
      </c>
      <c r="AF5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56" s="10">
        <f>IF(Proponentes[[#This Row],[Cap Op en SMMLV]]&lt;=500,1,IF(Proponentes[[#This Row],[Cap Op en SMMLV]]&lt;=1000,2,IF(Proponentes[[#This Row],[Cap Op en SMMLV]]&lt;=1500,3,IF(Proponentes[[#This Row],[Cap Op en SMMLV]]&lt;=2000,4,IF(Proponentes[[#This Row],[Cap Op en SMMLV]]&lt;=2500,5,6)))))</f>
        <v>1</v>
      </c>
      <c r="AH56" s="10">
        <f>MIN(Proponentes[[#This Row],[a]:[d]])</f>
        <v>1</v>
      </c>
      <c r="AI56" s="87">
        <f>IF(Proponentes[[#This Row],[e]]=Proponentes[[#This Row],[d]],Proponentes[[#This Row],[Cap Op en SMMLV]],VLOOKUP(Proponentes[[#This Row],[e]],Base!$D$1:$E$6,2,FALSE))</f>
        <v>0</v>
      </c>
      <c r="AJ56" s="101" t="str">
        <f>VLOOKUP(Proponentes[[#This Row],[Propuesta]],Hoja2!$A$2:$D$329,4,FALSE)</f>
        <v>NO CUMPLE</v>
      </c>
      <c r="AK56" s="101"/>
    </row>
    <row r="57" spans="1:37" ht="32" x14ac:dyDescent="0.2">
      <c r="A57" s="10">
        <v>56</v>
      </c>
      <c r="B57" s="11">
        <v>900034226</v>
      </c>
      <c r="C57" s="12" t="s">
        <v>104</v>
      </c>
      <c r="D57" s="13">
        <v>1651274400</v>
      </c>
      <c r="E57" s="13">
        <v>69547000</v>
      </c>
      <c r="F57" s="25">
        <f>Proponentes[[#This Row],[Activo Corriente]]+Proponentes[[#This Row],[Activo NO Corriente]]</f>
        <v>1720821400</v>
      </c>
      <c r="G57" s="13">
        <v>14550000</v>
      </c>
      <c r="H57" s="13">
        <v>190693612</v>
      </c>
      <c r="I57" s="25">
        <f>Proponentes[[#This Row],[Pasivo Corriente]]+Proponentes[[#This Row],[Pasivo NO Corriente]]</f>
        <v>205243612</v>
      </c>
      <c r="J57" s="14">
        <f>Proponentes[[#This Row],[Total ACTIVO]]-Proponentes[[#This Row],[Total Pasivo]]</f>
        <v>1515577788</v>
      </c>
      <c r="K57" s="48">
        <f>VLOOKUP(Proponentes[[#This Row],[Propuesta]],Hoja2!$A$2:$G$239,7,FALSE)</f>
        <v>0</v>
      </c>
      <c r="L57" s="15"/>
      <c r="M57" s="15" t="s">
        <v>59</v>
      </c>
      <c r="N57" s="55">
        <f>IFERROR(VLOOKUP(Proponentes[[#This Row],[Cap Op en SMMLV]],Base!$A$15:$F$20,3),0)</f>
        <v>0</v>
      </c>
      <c r="O57" s="16">
        <f>IFERROR(VLOOKUP(Proponentes[[#This Row],[Cap Op en SMMLV]],Base!$A$15:$F$20,4),0)</f>
        <v>0</v>
      </c>
      <c r="P57" s="17">
        <f>IFERROR(VLOOKUP(Proponentes[[#This Row],[Cap Op en SMMLV]],Tabla2[],6),0)</f>
        <v>0</v>
      </c>
      <c r="Q57" s="18">
        <f>IFERROR(VLOOKUP(Proponentes[[#This Row],[Cap Op en SMMLV]],Base!$A$15:$F$20,5),0)</f>
        <v>0</v>
      </c>
      <c r="R57" s="18">
        <f>IFERROR(VLOOKUP(Proponentes[[#This Row],[Cap Op en SMMLV]],Tabla2[[DE]:[HASTA]],2),0)</f>
        <v>0</v>
      </c>
      <c r="S57" s="19">
        <f>IFERROR(Proponentes[[#This Row],[Activo Corriente]]/Proponentes[[#This Row],[Pasivo Corriente]],"INDETERMINADO")</f>
        <v>113.48964948453609</v>
      </c>
      <c r="T57" s="20">
        <f>IFERROR(Proponentes[[#This Row],[Total Pasivo]]/Proponentes[[#This Row],[Total ACTIVO]],0)</f>
        <v>0.11927072269091958</v>
      </c>
      <c r="U57" s="21">
        <f>(Proponentes[[#This Row],[Activo Corriente]]-Proponentes[[#This Row],[Pasivo Corriente]])/Base!$B$3</f>
        <v>1976.4433968188032</v>
      </c>
      <c r="V57" s="22">
        <f>Proponentes[[#This Row],[Activo Corriente]]-Proponentes[[#This Row],[Pasivo Corriente]]</f>
        <v>1636724400</v>
      </c>
      <c r="W57" s="13">
        <f>IFERROR(VLOOKUP(Proponentes[[#This Row],[Propuesta]],Hoja2!$A$2:$G$329,7,FALSE),0)</f>
        <v>0</v>
      </c>
      <c r="X57" s="83">
        <f>IF(Proponentes[[#This Row],[Cap Op en Pesos]]=0,0,IF(Proponentes[[#This Row],[Cap Op en Pesos]]=0,1,Proponentes[[#This Row],[Cap Op en Pesos]]/Base!B$3))</f>
        <v>0</v>
      </c>
      <c r="Y5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5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5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57" s="23" t="str">
        <f>IF(AND(Proponentes[[#This Row],[Cumple
Liquidez]]="CUMPLE",Proponentes[[#This Row],[Cumple
Endeudamiento]]="CUMPLE",Proponentes[[#This Row],[Cumple
Capital de Trabajo]]="CUMPLE"),"CUMPLE","NO CUMPLE")</f>
        <v>NO CUMPLE</v>
      </c>
      <c r="AC57" s="24"/>
      <c r="AD57" s="10">
        <f>IF(Proponentes[[#This Row],[Liquidez
Oferente]]&lt;=1,1,IF(Proponentes[[#This Row],[Liquidez
Oferente]]&lt;=1.1,2,IF(Proponentes[[#This Row],[Liquidez
Oferente]]&lt;=1.2,3,IF(Proponentes[[#This Row],[Liquidez
Oferente]]&lt;=1.3,4,IF(Proponentes[[#This Row],[Liquidez
Oferente]]&lt;=1.4,5,6)))))</f>
        <v>6</v>
      </c>
      <c r="AE57" s="10">
        <f>IF(Proponentes[[#This Row],[Endeudamiento
Oferente]]&lt;=66%,6,IF(Proponentes[[#This Row],[Endeudamiento
Oferente]]&lt;=58,5,IF(Proponentes[[#This Row],[Endeudamiento
Oferente]]&lt;=70,4,IF(Proponentes[[#This Row],[Endeudamiento
Oferente]]&lt;=72,3,IF(Proponentes[[#This Row],[Endeudamiento
Oferente]]&lt;=74,2,1)))))</f>
        <v>6</v>
      </c>
      <c r="AF5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57" s="10">
        <f>IF(Proponentes[[#This Row],[Cap Op en SMMLV]]&lt;=500,1,IF(Proponentes[[#This Row],[Cap Op en SMMLV]]&lt;=1000,2,IF(Proponentes[[#This Row],[Cap Op en SMMLV]]&lt;=1500,3,IF(Proponentes[[#This Row],[Cap Op en SMMLV]]&lt;=2000,4,IF(Proponentes[[#This Row],[Cap Op en SMMLV]]&lt;=2500,5,6)))))</f>
        <v>1</v>
      </c>
      <c r="AH57" s="10">
        <f>MIN(Proponentes[[#This Row],[a]:[d]])</f>
        <v>1</v>
      </c>
      <c r="AI57" s="87">
        <f>IF(Proponentes[[#This Row],[e]]=Proponentes[[#This Row],[d]],Proponentes[[#This Row],[Cap Op en SMMLV]],VLOOKUP(Proponentes[[#This Row],[e]],Base!$D$1:$E$6,2,FALSE))</f>
        <v>0</v>
      </c>
      <c r="AJ57" s="101" t="str">
        <f>VLOOKUP(Proponentes[[#This Row],[Propuesta]],Hoja2!$A$2:$D$329,4,FALSE)</f>
        <v>NO CUMPLE</v>
      </c>
      <c r="AK57" s="101"/>
    </row>
    <row r="58" spans="1:37" ht="16" x14ac:dyDescent="0.2">
      <c r="A58" s="10">
        <v>57</v>
      </c>
      <c r="B58" s="11">
        <v>900085882</v>
      </c>
      <c r="C58" s="12" t="s">
        <v>105</v>
      </c>
      <c r="D58" s="13">
        <v>437988104</v>
      </c>
      <c r="E58" s="13">
        <v>0</v>
      </c>
      <c r="F58" s="25">
        <f>Proponentes[[#This Row],[Activo Corriente]]+Proponentes[[#This Row],[Activo NO Corriente]]</f>
        <v>437988104</v>
      </c>
      <c r="G58" s="13">
        <v>220788700</v>
      </c>
      <c r="H58" s="13">
        <v>0</v>
      </c>
      <c r="I58" s="25">
        <f>Proponentes[[#This Row],[Pasivo Corriente]]+Proponentes[[#This Row],[Pasivo NO Corriente]]</f>
        <v>220788700</v>
      </c>
      <c r="J58" s="14">
        <f>Proponentes[[#This Row],[Total ACTIVO]]-Proponentes[[#This Row],[Total Pasivo]]</f>
        <v>217199404</v>
      </c>
      <c r="K58" s="48">
        <f>VLOOKUP(Proponentes[[#This Row],[Propuesta]],Hoja2!$A$2:$G$239,7,FALSE)</f>
        <v>107919225.63326496</v>
      </c>
      <c r="L58" s="15"/>
      <c r="M58" s="15" t="s">
        <v>59</v>
      </c>
      <c r="N58" s="55">
        <f>IFERROR(VLOOKUP(Proponentes[[#This Row],[Cap Op en SMMLV]],Base!$A$15:$F$20,3),0)</f>
        <v>1</v>
      </c>
      <c r="O58" s="16">
        <f>IFERROR(VLOOKUP(Proponentes[[#This Row],[Cap Op en SMMLV]],Base!$A$15:$F$20,4),0)</f>
        <v>0.76</v>
      </c>
      <c r="P58" s="17">
        <f>IFERROR(VLOOKUP(Proponentes[[#This Row],[Cap Op en SMMLV]],Tabla2[],6),0)</f>
        <v>12.5</v>
      </c>
      <c r="Q58" s="18">
        <f>IFERROR(VLOOKUP(Proponentes[[#This Row],[Cap Op en SMMLV]],Base!$A$15:$F$20,5),0)</f>
        <v>10351450</v>
      </c>
      <c r="R58" s="18">
        <f>IFERROR(VLOOKUP(Proponentes[[#This Row],[Cap Op en SMMLV]],Tabla2[[DE]:[HASTA]],2),0)</f>
        <v>500</v>
      </c>
      <c r="S58" s="19">
        <f>IFERROR(Proponentes[[#This Row],[Activo Corriente]]/Proponentes[[#This Row],[Pasivo Corriente]],"INDETERMINADO")</f>
        <v>1.9837432984568504</v>
      </c>
      <c r="T58" s="20">
        <f>IFERROR(Proponentes[[#This Row],[Total Pasivo]]/Proponentes[[#This Row],[Total ACTIVO]],0)</f>
        <v>0.50409748114985331</v>
      </c>
      <c r="U58" s="21">
        <f>(Proponentes[[#This Row],[Activo Corriente]]-Proponentes[[#This Row],[Pasivo Corriente]])/Base!$B$3</f>
        <v>262.28137603910562</v>
      </c>
      <c r="V58" s="22">
        <f>Proponentes[[#This Row],[Activo Corriente]]-Proponentes[[#This Row],[Pasivo Corriente]]</f>
        <v>217199404</v>
      </c>
      <c r="W58" s="13">
        <f>IFERROR(VLOOKUP(Proponentes[[#This Row],[Propuesta]],Hoja2!$A$2:$G$329,7,FALSE),0)</f>
        <v>107919225.63326496</v>
      </c>
      <c r="X58" s="83">
        <f>IF(Proponentes[[#This Row],[Cap Op en Pesos]]=0,0,IF(Proponentes[[#This Row],[Cap Op en Pesos]]=0,1,Proponentes[[#This Row],[Cap Op en Pesos]]/Base!B$3))</f>
        <v>130.31897177842833</v>
      </c>
      <c r="Y5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5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5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58" s="23" t="str">
        <f>IF(AND(Proponentes[[#This Row],[Cumple
Liquidez]]="CUMPLE",Proponentes[[#This Row],[Cumple
Endeudamiento]]="CUMPLE",Proponentes[[#This Row],[Cumple
Capital de Trabajo]]="CUMPLE"),"CUMPLE","NO CUMPLE")</f>
        <v>CUMPLE</v>
      </c>
      <c r="AC58" s="24"/>
      <c r="AD58" s="10">
        <f>IF(Proponentes[[#This Row],[Liquidez
Oferente]]&lt;=1,1,IF(Proponentes[[#This Row],[Liquidez
Oferente]]&lt;=1.1,2,IF(Proponentes[[#This Row],[Liquidez
Oferente]]&lt;=1.2,3,IF(Proponentes[[#This Row],[Liquidez
Oferente]]&lt;=1.3,4,IF(Proponentes[[#This Row],[Liquidez
Oferente]]&lt;=1.4,5,6)))))</f>
        <v>6</v>
      </c>
      <c r="AE58" s="10">
        <f>IF(Proponentes[[#This Row],[Endeudamiento
Oferente]]&lt;=66%,6,IF(Proponentes[[#This Row],[Endeudamiento
Oferente]]&lt;=58,5,IF(Proponentes[[#This Row],[Endeudamiento
Oferente]]&lt;=70,4,IF(Proponentes[[#This Row],[Endeudamiento
Oferente]]&lt;=72,3,IF(Proponentes[[#This Row],[Endeudamiento
Oferente]]&lt;=74,2,1)))))</f>
        <v>6</v>
      </c>
      <c r="AF5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58" s="10">
        <f>IF(Proponentes[[#This Row],[Cap Op en SMMLV]]&lt;=500,1,IF(Proponentes[[#This Row],[Cap Op en SMMLV]]&lt;=1000,2,IF(Proponentes[[#This Row],[Cap Op en SMMLV]]&lt;=1500,3,IF(Proponentes[[#This Row],[Cap Op en SMMLV]]&lt;=2000,4,IF(Proponentes[[#This Row],[Cap Op en SMMLV]]&lt;=2500,5,6)))))</f>
        <v>1</v>
      </c>
      <c r="AH58" s="10">
        <f>MIN(Proponentes[[#This Row],[a]:[d]])</f>
        <v>1</v>
      </c>
      <c r="AI58" s="87">
        <f>IF(Proponentes[[#This Row],[e]]=Proponentes[[#This Row],[d]],Proponentes[[#This Row],[Cap Op en SMMLV]],VLOOKUP(Proponentes[[#This Row],[e]],Base!$D$1:$E$6,2,FALSE))</f>
        <v>130.31897177842833</v>
      </c>
      <c r="AJ58" s="101" t="str">
        <f>VLOOKUP(Proponentes[[#This Row],[Propuesta]],Hoja2!$A$2:$D$329,4,FALSE)</f>
        <v>NO CUMPLE</v>
      </c>
      <c r="AK58" s="101"/>
    </row>
    <row r="59" spans="1:37" ht="32" x14ac:dyDescent="0.2">
      <c r="A59" s="10">
        <v>58</v>
      </c>
      <c r="B59" s="11">
        <v>900229768</v>
      </c>
      <c r="C59" s="12" t="s">
        <v>106</v>
      </c>
      <c r="D59" s="13">
        <v>83121959</v>
      </c>
      <c r="E59" s="13">
        <v>1088800</v>
      </c>
      <c r="F59" s="25">
        <f>Proponentes[[#This Row],[Activo Corriente]]+Proponentes[[#This Row],[Activo NO Corriente]]</f>
        <v>84210759</v>
      </c>
      <c r="G59" s="13">
        <v>83011000</v>
      </c>
      <c r="H59" s="13">
        <v>0</v>
      </c>
      <c r="I59" s="25">
        <f>Proponentes[[#This Row],[Pasivo Corriente]]+Proponentes[[#This Row],[Pasivo NO Corriente]]</f>
        <v>83011000</v>
      </c>
      <c r="J59" s="14">
        <f>Proponentes[[#This Row],[Total ACTIVO]]-Proponentes[[#This Row],[Total Pasivo]]</f>
        <v>1199759</v>
      </c>
      <c r="K59" s="48">
        <f>VLOOKUP(Proponentes[[#This Row],[Propuesta]],Hoja2!$A$2:$G$239,7,FALSE)</f>
        <v>68474870.444899604</v>
      </c>
      <c r="L59" s="15"/>
      <c r="M59" s="15" t="s">
        <v>107</v>
      </c>
      <c r="N59" s="55">
        <f>IFERROR(VLOOKUP(Proponentes[[#This Row],[Cap Op en SMMLV]],Base!$A$15:$F$20,3),0)</f>
        <v>1</v>
      </c>
      <c r="O59" s="16">
        <f>IFERROR(VLOOKUP(Proponentes[[#This Row],[Cap Op en SMMLV]],Base!$A$15:$F$20,4),0)</f>
        <v>0.76</v>
      </c>
      <c r="P59" s="17">
        <f>IFERROR(VLOOKUP(Proponentes[[#This Row],[Cap Op en SMMLV]],Tabla2[],6),0)</f>
        <v>12.5</v>
      </c>
      <c r="Q59" s="18">
        <f>IFERROR(VLOOKUP(Proponentes[[#This Row],[Cap Op en SMMLV]],Base!$A$15:$F$20,5),0)</f>
        <v>10351450</v>
      </c>
      <c r="R59" s="18">
        <f>IFERROR(VLOOKUP(Proponentes[[#This Row],[Cap Op en SMMLV]],Tabla2[[DE]:[HASTA]],2),0)</f>
        <v>500</v>
      </c>
      <c r="S59" s="19">
        <f>IFERROR(Proponentes[[#This Row],[Activo Corriente]]/Proponentes[[#This Row],[Pasivo Corriente]],"INDETERMINADO")</f>
        <v>1.0013366782715545</v>
      </c>
      <c r="T59" s="20">
        <f>IFERROR(Proponentes[[#This Row],[Total Pasivo]]/Proponentes[[#This Row],[Total ACTIVO]],0)</f>
        <v>0.98575290124151471</v>
      </c>
      <c r="U59" s="21">
        <f>(Proponentes[[#This Row],[Activo Corriente]]-Proponentes[[#This Row],[Pasivo Corriente]])/Base!$B$3</f>
        <v>0.13398968260485247</v>
      </c>
      <c r="V59" s="22">
        <f>Proponentes[[#This Row],[Activo Corriente]]-Proponentes[[#This Row],[Pasivo Corriente]]</f>
        <v>110959</v>
      </c>
      <c r="W59" s="13">
        <f>IFERROR(VLOOKUP(Proponentes[[#This Row],[Propuesta]],Hoja2!$A$2:$G$329,7,FALSE),0)</f>
        <v>68474870.444899604</v>
      </c>
      <c r="X59" s="83">
        <f>IF(Proponentes[[#This Row],[Cap Op en Pesos]]=0,0,IF(Proponentes[[#This Row],[Cap Op en Pesos]]=0,1,Proponentes[[#This Row],[Cap Op en Pesos]]/Base!B$3))</f>
        <v>82.687534650821391</v>
      </c>
      <c r="Y5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5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5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59" s="23" t="str">
        <f>IF(AND(Proponentes[[#This Row],[Cumple
Liquidez]]="CUMPLE",Proponentes[[#This Row],[Cumple
Endeudamiento]]="CUMPLE",Proponentes[[#This Row],[Cumple
Capital de Trabajo]]="CUMPLE"),"CUMPLE","NO CUMPLE")</f>
        <v>NO CUMPLE</v>
      </c>
      <c r="AC59" s="24"/>
      <c r="AD59" s="10">
        <f>IF(Proponentes[[#This Row],[Liquidez
Oferente]]&lt;=1,1,IF(Proponentes[[#This Row],[Liquidez
Oferente]]&lt;=1.1,2,IF(Proponentes[[#This Row],[Liquidez
Oferente]]&lt;=1.2,3,IF(Proponentes[[#This Row],[Liquidez
Oferente]]&lt;=1.3,4,IF(Proponentes[[#This Row],[Liquidez
Oferente]]&lt;=1.4,5,6)))))</f>
        <v>2</v>
      </c>
      <c r="AE59" s="10">
        <f>IF(Proponentes[[#This Row],[Endeudamiento
Oferente]]&lt;=66%,6,IF(Proponentes[[#This Row],[Endeudamiento
Oferente]]&lt;=58,5,IF(Proponentes[[#This Row],[Endeudamiento
Oferente]]&lt;=70,4,IF(Proponentes[[#This Row],[Endeudamiento
Oferente]]&lt;=72,3,IF(Proponentes[[#This Row],[Endeudamiento
Oferente]]&lt;=74,2,1)))))</f>
        <v>5</v>
      </c>
      <c r="AF5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59" s="10">
        <f>IF(Proponentes[[#This Row],[Cap Op en SMMLV]]&lt;=500,1,IF(Proponentes[[#This Row],[Cap Op en SMMLV]]&lt;=1000,2,IF(Proponentes[[#This Row],[Cap Op en SMMLV]]&lt;=1500,3,IF(Proponentes[[#This Row],[Cap Op en SMMLV]]&lt;=2000,4,IF(Proponentes[[#This Row],[Cap Op en SMMLV]]&lt;=2500,5,6)))))</f>
        <v>1</v>
      </c>
      <c r="AH59" s="10">
        <f>MIN(Proponentes[[#This Row],[a]:[d]])</f>
        <v>1</v>
      </c>
      <c r="AI59" s="87">
        <f>IF(Proponentes[[#This Row],[e]]=Proponentes[[#This Row],[d]],Proponentes[[#This Row],[Cap Op en SMMLV]],VLOOKUP(Proponentes[[#This Row],[e]],Base!$D$1:$E$6,2,FALSE))</f>
        <v>82.687534650821391</v>
      </c>
      <c r="AJ59" s="101" t="str">
        <f>VLOOKUP(Proponentes[[#This Row],[Propuesta]],Hoja2!$A$2:$D$329,4,FALSE)</f>
        <v>NO CUMPLE</v>
      </c>
      <c r="AK59" s="101"/>
    </row>
    <row r="60" spans="1:37" ht="16" x14ac:dyDescent="0.2">
      <c r="A60" s="10">
        <v>59</v>
      </c>
      <c r="B60" s="11">
        <v>901156149</v>
      </c>
      <c r="C60" s="12" t="s">
        <v>108</v>
      </c>
      <c r="D60" s="13">
        <v>634000</v>
      </c>
      <c r="E60" s="13">
        <v>3278000</v>
      </c>
      <c r="F60" s="25">
        <f>Proponentes[[#This Row],[Activo Corriente]]+Proponentes[[#This Row],[Activo NO Corriente]]</f>
        <v>3912000</v>
      </c>
      <c r="G60" s="13">
        <v>0</v>
      </c>
      <c r="H60" s="13">
        <v>0</v>
      </c>
      <c r="I60" s="25">
        <f>Proponentes[[#This Row],[Pasivo Corriente]]+Proponentes[[#This Row],[Pasivo NO Corriente]]</f>
        <v>0</v>
      </c>
      <c r="J60" s="14">
        <f>Proponentes[[#This Row],[Total ACTIVO]]-Proponentes[[#This Row],[Total Pasivo]]</f>
        <v>3912000</v>
      </c>
      <c r="K60" s="48">
        <f>VLOOKUP(Proponentes[[#This Row],[Propuesta]],Hoja2!$A$2:$G$239,7,FALSE)</f>
        <v>0</v>
      </c>
      <c r="L60" s="15"/>
      <c r="M60" s="15" t="s">
        <v>109</v>
      </c>
      <c r="N60" s="55">
        <f>IFERROR(VLOOKUP(Proponentes[[#This Row],[Cap Op en SMMLV]],Base!$A$15:$F$20,3),0)</f>
        <v>0</v>
      </c>
      <c r="O60" s="16">
        <f>IFERROR(VLOOKUP(Proponentes[[#This Row],[Cap Op en SMMLV]],Base!$A$15:$F$20,4),0)</f>
        <v>0</v>
      </c>
      <c r="P60" s="17">
        <f>IFERROR(VLOOKUP(Proponentes[[#This Row],[Cap Op en SMMLV]],Tabla2[],6),0)</f>
        <v>0</v>
      </c>
      <c r="Q60" s="18">
        <f>IFERROR(VLOOKUP(Proponentes[[#This Row],[Cap Op en SMMLV]],Base!$A$15:$F$20,5),0)</f>
        <v>0</v>
      </c>
      <c r="R60" s="18">
        <f>IFERROR(VLOOKUP(Proponentes[[#This Row],[Cap Op en SMMLV]],Tabla2[[DE]:[HASTA]],2),0)</f>
        <v>0</v>
      </c>
      <c r="S60" s="19" t="str">
        <f>IFERROR(Proponentes[[#This Row],[Activo Corriente]]/Proponentes[[#This Row],[Pasivo Corriente]],"INDETERMINADO")</f>
        <v>INDETERMINADO</v>
      </c>
      <c r="T60" s="20">
        <f>IFERROR(Proponentes[[#This Row],[Total Pasivo]]/Proponentes[[#This Row],[Total ACTIVO]],0)</f>
        <v>0</v>
      </c>
      <c r="U60" s="21">
        <f>(Proponentes[[#This Row],[Activo Corriente]]-Proponentes[[#This Row],[Pasivo Corriente]])/Base!$B$3</f>
        <v>0.76559322606977764</v>
      </c>
      <c r="V60" s="22">
        <f>Proponentes[[#This Row],[Activo Corriente]]-Proponentes[[#This Row],[Pasivo Corriente]]</f>
        <v>634000</v>
      </c>
      <c r="W60" s="13">
        <f>IFERROR(VLOOKUP(Proponentes[[#This Row],[Propuesta]],Hoja2!$A$2:$G$329,7,FALSE),0)</f>
        <v>0</v>
      </c>
      <c r="X60" s="83">
        <f>IF(Proponentes[[#This Row],[Cap Op en Pesos]]=0,0,IF(Proponentes[[#This Row],[Cap Op en Pesos]]=0,1,Proponentes[[#This Row],[Cap Op en Pesos]]/Base!B$3))</f>
        <v>0</v>
      </c>
      <c r="Y6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6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6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60" s="23" t="str">
        <f>IF(AND(Proponentes[[#This Row],[Cumple
Liquidez]]="CUMPLE",Proponentes[[#This Row],[Cumple
Endeudamiento]]="CUMPLE",Proponentes[[#This Row],[Cumple
Capital de Trabajo]]="CUMPLE"),"CUMPLE","NO CUMPLE")</f>
        <v>NO CUMPLE</v>
      </c>
      <c r="AC60" s="24"/>
      <c r="AD60" s="10">
        <f>IF(Proponentes[[#This Row],[Liquidez
Oferente]]&lt;=1,1,IF(Proponentes[[#This Row],[Liquidez
Oferente]]&lt;=1.1,2,IF(Proponentes[[#This Row],[Liquidez
Oferente]]&lt;=1.2,3,IF(Proponentes[[#This Row],[Liquidez
Oferente]]&lt;=1.3,4,IF(Proponentes[[#This Row],[Liquidez
Oferente]]&lt;=1.4,5,6)))))</f>
        <v>6</v>
      </c>
      <c r="AE60" s="10">
        <f>IF(Proponentes[[#This Row],[Endeudamiento
Oferente]]&lt;=66%,6,IF(Proponentes[[#This Row],[Endeudamiento
Oferente]]&lt;=58,5,IF(Proponentes[[#This Row],[Endeudamiento
Oferente]]&lt;=70,4,IF(Proponentes[[#This Row],[Endeudamiento
Oferente]]&lt;=72,3,IF(Proponentes[[#This Row],[Endeudamiento
Oferente]]&lt;=74,2,1)))))</f>
        <v>6</v>
      </c>
      <c r="AF6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60" s="10">
        <f>IF(Proponentes[[#This Row],[Cap Op en SMMLV]]&lt;=500,1,IF(Proponentes[[#This Row],[Cap Op en SMMLV]]&lt;=1000,2,IF(Proponentes[[#This Row],[Cap Op en SMMLV]]&lt;=1500,3,IF(Proponentes[[#This Row],[Cap Op en SMMLV]]&lt;=2000,4,IF(Proponentes[[#This Row],[Cap Op en SMMLV]]&lt;=2500,5,6)))))</f>
        <v>1</v>
      </c>
      <c r="AH60" s="10">
        <f>MIN(Proponentes[[#This Row],[a]:[d]])</f>
        <v>1</v>
      </c>
      <c r="AI60" s="87">
        <f>IF(Proponentes[[#This Row],[e]]=Proponentes[[#This Row],[d]],Proponentes[[#This Row],[Cap Op en SMMLV]],VLOOKUP(Proponentes[[#This Row],[e]],Base!$D$1:$E$6,2,FALSE))</f>
        <v>0</v>
      </c>
      <c r="AJ60" s="101" t="str">
        <f>VLOOKUP(Proponentes[[#This Row],[Propuesta]],Hoja2!$A$2:$D$329,4,FALSE)</f>
        <v>NO CUMPLE</v>
      </c>
      <c r="AK60" s="101"/>
    </row>
    <row r="61" spans="1:37" ht="16" x14ac:dyDescent="0.2">
      <c r="A61" s="10">
        <v>60</v>
      </c>
      <c r="B61" s="11">
        <v>900098672</v>
      </c>
      <c r="C61" s="12" t="s">
        <v>110</v>
      </c>
      <c r="D61" s="13">
        <v>8564222</v>
      </c>
      <c r="E61" s="13">
        <v>8650000</v>
      </c>
      <c r="F61" s="25">
        <f>Proponentes[[#This Row],[Activo Corriente]]+Proponentes[[#This Row],[Activo NO Corriente]]</f>
        <v>17214222</v>
      </c>
      <c r="G61" s="13">
        <v>500000</v>
      </c>
      <c r="H61" s="13">
        <v>0</v>
      </c>
      <c r="I61" s="25">
        <f>Proponentes[[#This Row],[Pasivo Corriente]]+Proponentes[[#This Row],[Pasivo NO Corriente]]</f>
        <v>500000</v>
      </c>
      <c r="J61" s="14">
        <f>Proponentes[[#This Row],[Total ACTIVO]]-Proponentes[[#This Row],[Total Pasivo]]</f>
        <v>16714222</v>
      </c>
      <c r="K61" s="48">
        <f>VLOOKUP(Proponentes[[#This Row],[Propuesta]],Hoja2!$A$2:$G$239,7,FALSE)</f>
        <v>0</v>
      </c>
      <c r="L61" s="15"/>
      <c r="M61" s="15" t="s">
        <v>91</v>
      </c>
      <c r="N61" s="55">
        <f>IFERROR(VLOOKUP(Proponentes[[#This Row],[Cap Op en SMMLV]],Base!$A$15:$F$20,3),0)</f>
        <v>0</v>
      </c>
      <c r="O61" s="16">
        <f>IFERROR(VLOOKUP(Proponentes[[#This Row],[Cap Op en SMMLV]],Base!$A$15:$F$20,4),0)</f>
        <v>0</v>
      </c>
      <c r="P61" s="17">
        <f>IFERROR(VLOOKUP(Proponentes[[#This Row],[Cap Op en SMMLV]],Tabla2[],6),0)</f>
        <v>0</v>
      </c>
      <c r="Q61" s="18">
        <f>IFERROR(VLOOKUP(Proponentes[[#This Row],[Cap Op en SMMLV]],Base!$A$15:$F$20,5),0)</f>
        <v>0</v>
      </c>
      <c r="R61" s="18">
        <f>IFERROR(VLOOKUP(Proponentes[[#This Row],[Cap Op en SMMLV]],Tabla2[[DE]:[HASTA]],2),0)</f>
        <v>0</v>
      </c>
      <c r="S61" s="19">
        <f>IFERROR(Proponentes[[#This Row],[Activo Corriente]]/Proponentes[[#This Row],[Pasivo Corriente]],"INDETERMINADO")</f>
        <v>17.128443999999998</v>
      </c>
      <c r="T61" s="20">
        <f>IFERROR(Proponentes[[#This Row],[Total Pasivo]]/Proponentes[[#This Row],[Total ACTIVO]],0)</f>
        <v>2.9045750658960943E-2</v>
      </c>
      <c r="U61" s="21">
        <f>(Proponentes[[#This Row],[Activo Corriente]]-Proponentes[[#This Row],[Pasivo Corriente]])/Base!$B$3</f>
        <v>9.7380342850518531</v>
      </c>
      <c r="V61" s="22">
        <f>Proponentes[[#This Row],[Activo Corriente]]-Proponentes[[#This Row],[Pasivo Corriente]]</f>
        <v>8064222</v>
      </c>
      <c r="W61" s="13">
        <f>IFERROR(VLOOKUP(Proponentes[[#This Row],[Propuesta]],Hoja2!$A$2:$G$329,7,FALSE),0)</f>
        <v>0</v>
      </c>
      <c r="X61" s="83">
        <f>IF(Proponentes[[#This Row],[Cap Op en Pesos]]=0,0,IF(Proponentes[[#This Row],[Cap Op en Pesos]]=0,1,Proponentes[[#This Row],[Cap Op en Pesos]]/Base!B$3))</f>
        <v>0</v>
      </c>
      <c r="Y6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6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6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61" s="23" t="str">
        <f>IF(AND(Proponentes[[#This Row],[Cumple
Liquidez]]="CUMPLE",Proponentes[[#This Row],[Cumple
Endeudamiento]]="CUMPLE",Proponentes[[#This Row],[Cumple
Capital de Trabajo]]="CUMPLE"),"CUMPLE","NO CUMPLE")</f>
        <v>NO CUMPLE</v>
      </c>
      <c r="AC61" s="24"/>
      <c r="AD61" s="10">
        <f>IF(Proponentes[[#This Row],[Liquidez
Oferente]]&lt;=1,1,IF(Proponentes[[#This Row],[Liquidez
Oferente]]&lt;=1.1,2,IF(Proponentes[[#This Row],[Liquidez
Oferente]]&lt;=1.2,3,IF(Proponentes[[#This Row],[Liquidez
Oferente]]&lt;=1.3,4,IF(Proponentes[[#This Row],[Liquidez
Oferente]]&lt;=1.4,5,6)))))</f>
        <v>6</v>
      </c>
      <c r="AE61" s="10">
        <f>IF(Proponentes[[#This Row],[Endeudamiento
Oferente]]&lt;=66%,6,IF(Proponentes[[#This Row],[Endeudamiento
Oferente]]&lt;=58,5,IF(Proponentes[[#This Row],[Endeudamiento
Oferente]]&lt;=70,4,IF(Proponentes[[#This Row],[Endeudamiento
Oferente]]&lt;=72,3,IF(Proponentes[[#This Row],[Endeudamiento
Oferente]]&lt;=74,2,1)))))</f>
        <v>6</v>
      </c>
      <c r="AF6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61" s="10">
        <f>IF(Proponentes[[#This Row],[Cap Op en SMMLV]]&lt;=500,1,IF(Proponentes[[#This Row],[Cap Op en SMMLV]]&lt;=1000,2,IF(Proponentes[[#This Row],[Cap Op en SMMLV]]&lt;=1500,3,IF(Proponentes[[#This Row],[Cap Op en SMMLV]]&lt;=2000,4,IF(Proponentes[[#This Row],[Cap Op en SMMLV]]&lt;=2500,5,6)))))</f>
        <v>1</v>
      </c>
      <c r="AH61" s="10">
        <f>MIN(Proponentes[[#This Row],[a]:[d]])</f>
        <v>1</v>
      </c>
      <c r="AI61" s="87">
        <f>IF(Proponentes[[#This Row],[e]]=Proponentes[[#This Row],[d]],Proponentes[[#This Row],[Cap Op en SMMLV]],VLOOKUP(Proponentes[[#This Row],[e]],Base!$D$1:$E$6,2,FALSE))</f>
        <v>0</v>
      </c>
      <c r="AJ61" s="101" t="str">
        <f>VLOOKUP(Proponentes[[#This Row],[Propuesta]],Hoja2!$A$2:$D$329,4,FALSE)</f>
        <v>NO CUMPLE</v>
      </c>
      <c r="AK61" s="101"/>
    </row>
    <row r="62" spans="1:37" ht="16" x14ac:dyDescent="0.2">
      <c r="A62" s="10">
        <v>61</v>
      </c>
      <c r="B62" s="11">
        <v>900222878</v>
      </c>
      <c r="C62" s="12" t="s">
        <v>111</v>
      </c>
      <c r="D62" s="13">
        <v>460080000</v>
      </c>
      <c r="E62" s="13">
        <v>119946880</v>
      </c>
      <c r="F62" s="25">
        <f>Proponentes[[#This Row],[Activo Corriente]]+Proponentes[[#This Row],[Activo NO Corriente]]</f>
        <v>580026880</v>
      </c>
      <c r="G62" s="13">
        <v>15701880</v>
      </c>
      <c r="H62" s="13">
        <v>0</v>
      </c>
      <c r="I62" s="25">
        <f>Proponentes[[#This Row],[Pasivo Corriente]]+Proponentes[[#This Row],[Pasivo NO Corriente]]</f>
        <v>15701880</v>
      </c>
      <c r="J62" s="14">
        <f>Proponentes[[#This Row],[Total ACTIVO]]-Proponentes[[#This Row],[Total Pasivo]]</f>
        <v>564325000</v>
      </c>
      <c r="K62" s="48">
        <f>VLOOKUP(Proponentes[[#This Row],[Propuesta]],Hoja2!$A$2:$G$239,7,FALSE)</f>
        <v>141136810.83667585</v>
      </c>
      <c r="L62" s="15" t="s">
        <v>27</v>
      </c>
      <c r="M62" s="15" t="s">
        <v>28</v>
      </c>
      <c r="N62" s="55">
        <f>IFERROR(VLOOKUP(Proponentes[[#This Row],[Cap Op en SMMLV]],Base!$A$15:$F$20,3),0)</f>
        <v>1</v>
      </c>
      <c r="O62" s="16">
        <f>IFERROR(VLOOKUP(Proponentes[[#This Row],[Cap Op en SMMLV]],Base!$A$15:$F$20,4),0)</f>
        <v>0.76</v>
      </c>
      <c r="P62" s="17">
        <f>IFERROR(VLOOKUP(Proponentes[[#This Row],[Cap Op en SMMLV]],Tabla2[],6),0)</f>
        <v>12.5</v>
      </c>
      <c r="Q62" s="18">
        <f>IFERROR(VLOOKUP(Proponentes[[#This Row],[Cap Op en SMMLV]],Base!$A$15:$F$20,5),0)</f>
        <v>10351450</v>
      </c>
      <c r="R62" s="18">
        <f>IFERROR(VLOOKUP(Proponentes[[#This Row],[Cap Op en SMMLV]],Tabla2[[DE]:[HASTA]],2),0)</f>
        <v>500</v>
      </c>
      <c r="S62" s="19">
        <f>IFERROR(Proponentes[[#This Row],[Activo Corriente]]/Proponentes[[#This Row],[Pasivo Corriente]],"INDETERMINADO")</f>
        <v>29.3009499499423</v>
      </c>
      <c r="T62" s="20">
        <f>IFERROR(Proponentes[[#This Row],[Total Pasivo]]/Proponentes[[#This Row],[Total ACTIVO]],0)</f>
        <v>2.707095229793488E-2</v>
      </c>
      <c r="U62" s="21">
        <f>(Proponentes[[#This Row],[Activo Corriente]]-Proponentes[[#This Row],[Pasivo Corriente]])/Base!$B$3</f>
        <v>536.61337300571415</v>
      </c>
      <c r="V62" s="22">
        <f>Proponentes[[#This Row],[Activo Corriente]]-Proponentes[[#This Row],[Pasivo Corriente]]</f>
        <v>444378120</v>
      </c>
      <c r="W62" s="13">
        <f>IFERROR(VLOOKUP(Proponentes[[#This Row],[Propuesta]],Hoja2!$A$2:$G$329,7,FALSE),0)</f>
        <v>141136810.83667585</v>
      </c>
      <c r="X62" s="83">
        <f>IF(Proponentes[[#This Row],[Cap Op en Pesos]]=0,0,IF(Proponentes[[#This Row],[Cap Op en Pesos]]=0,1,Proponentes[[#This Row],[Cap Op en Pesos]]/Base!B$3))</f>
        <v>170.43120871553725</v>
      </c>
      <c r="Y6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6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6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62" s="23" t="str">
        <f>IF(AND(Proponentes[[#This Row],[Cumple
Liquidez]]="CUMPLE",Proponentes[[#This Row],[Cumple
Endeudamiento]]="CUMPLE",Proponentes[[#This Row],[Cumple
Capital de Trabajo]]="CUMPLE"),"CUMPLE","NO CUMPLE")</f>
        <v>CUMPLE</v>
      </c>
      <c r="AC62" s="24"/>
      <c r="AD62" s="10">
        <f>IF(Proponentes[[#This Row],[Liquidez
Oferente]]&lt;=1,1,IF(Proponentes[[#This Row],[Liquidez
Oferente]]&lt;=1.1,2,IF(Proponentes[[#This Row],[Liquidez
Oferente]]&lt;=1.2,3,IF(Proponentes[[#This Row],[Liquidez
Oferente]]&lt;=1.3,4,IF(Proponentes[[#This Row],[Liquidez
Oferente]]&lt;=1.4,5,6)))))</f>
        <v>6</v>
      </c>
      <c r="AE62" s="10">
        <f>IF(Proponentes[[#This Row],[Endeudamiento
Oferente]]&lt;=66%,6,IF(Proponentes[[#This Row],[Endeudamiento
Oferente]]&lt;=58,5,IF(Proponentes[[#This Row],[Endeudamiento
Oferente]]&lt;=70,4,IF(Proponentes[[#This Row],[Endeudamiento
Oferente]]&lt;=72,3,IF(Proponentes[[#This Row],[Endeudamiento
Oferente]]&lt;=74,2,1)))))</f>
        <v>6</v>
      </c>
      <c r="AF6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62" s="10">
        <f>IF(Proponentes[[#This Row],[Cap Op en SMMLV]]&lt;=500,1,IF(Proponentes[[#This Row],[Cap Op en SMMLV]]&lt;=1000,2,IF(Proponentes[[#This Row],[Cap Op en SMMLV]]&lt;=1500,3,IF(Proponentes[[#This Row],[Cap Op en SMMLV]]&lt;=2000,4,IF(Proponentes[[#This Row],[Cap Op en SMMLV]]&lt;=2500,5,6)))))</f>
        <v>1</v>
      </c>
      <c r="AH62" s="10">
        <f>MIN(Proponentes[[#This Row],[a]:[d]])</f>
        <v>1</v>
      </c>
      <c r="AI62" s="87">
        <f>IF(Proponentes[[#This Row],[e]]=Proponentes[[#This Row],[d]],Proponentes[[#This Row],[Cap Op en SMMLV]],VLOOKUP(Proponentes[[#This Row],[e]],Base!$D$1:$E$6,2,FALSE))</f>
        <v>170.43120871553725</v>
      </c>
      <c r="AJ62" s="101" t="str">
        <f>VLOOKUP(Proponentes[[#This Row],[Propuesta]],Hoja2!$A$2:$D$329,4,FALSE)</f>
        <v>NO CUMPLE</v>
      </c>
      <c r="AK62" s="101"/>
    </row>
    <row r="63" spans="1:37" ht="16" x14ac:dyDescent="0.2">
      <c r="A63" s="10">
        <v>62</v>
      </c>
      <c r="B63" s="11">
        <v>900405923</v>
      </c>
      <c r="C63" s="12" t="s">
        <v>112</v>
      </c>
      <c r="D63" s="13">
        <v>101385099.59999999</v>
      </c>
      <c r="E63" s="13">
        <v>19999999</v>
      </c>
      <c r="F63" s="25">
        <f>Proponentes[[#This Row],[Activo Corriente]]+Proponentes[[#This Row],[Activo NO Corriente]]</f>
        <v>121385098.59999999</v>
      </c>
      <c r="G63" s="13">
        <v>1599868.99</v>
      </c>
      <c r="H63" s="13">
        <v>0</v>
      </c>
      <c r="I63" s="25">
        <f>Proponentes[[#This Row],[Pasivo Corriente]]+Proponentes[[#This Row],[Pasivo NO Corriente]]</f>
        <v>1599868.99</v>
      </c>
      <c r="J63" s="14">
        <f>Proponentes[[#This Row],[Total ACTIVO]]-Proponentes[[#This Row],[Total Pasivo]]</f>
        <v>119785229.61</v>
      </c>
      <c r="K63" s="48">
        <f>VLOOKUP(Proponentes[[#This Row],[Propuesta]],Hoja2!$A$2:$G$239,7,FALSE)</f>
        <v>30613454.538508575</v>
      </c>
      <c r="L63" s="15" t="s">
        <v>59</v>
      </c>
      <c r="M63" s="15" t="s">
        <v>28</v>
      </c>
      <c r="N63" s="55">
        <f>IFERROR(VLOOKUP(Proponentes[[#This Row],[Cap Op en SMMLV]],Base!$A$15:$F$20,3),0)</f>
        <v>1</v>
      </c>
      <c r="O63" s="16">
        <f>IFERROR(VLOOKUP(Proponentes[[#This Row],[Cap Op en SMMLV]],Base!$A$15:$F$20,4),0)</f>
        <v>0.76</v>
      </c>
      <c r="P63" s="17">
        <f>IFERROR(VLOOKUP(Proponentes[[#This Row],[Cap Op en SMMLV]],Tabla2[],6),0)</f>
        <v>12.5</v>
      </c>
      <c r="Q63" s="18">
        <f>IFERROR(VLOOKUP(Proponentes[[#This Row],[Cap Op en SMMLV]],Base!$A$15:$F$20,5),0)</f>
        <v>10351450</v>
      </c>
      <c r="R63" s="18">
        <f>IFERROR(VLOOKUP(Proponentes[[#This Row],[Cap Op en SMMLV]],Tabla2[[DE]:[HASTA]],2),0)</f>
        <v>500</v>
      </c>
      <c r="S63" s="19">
        <f>IFERROR(Proponentes[[#This Row],[Activo Corriente]]/Proponentes[[#This Row],[Pasivo Corriente]],"INDETERMINADO")</f>
        <v>63.370876136551651</v>
      </c>
      <c r="T63" s="20">
        <f>IFERROR(Proponentes[[#This Row],[Total Pasivo]]/Proponentes[[#This Row],[Total ACTIVO]],0)</f>
        <v>1.3180110313804203E-2</v>
      </c>
      <c r="U63" s="21">
        <f>(Proponentes[[#This Row],[Activo Corriente]]-Proponentes[[#This Row],[Pasivo Corriente]])/Base!$B$3</f>
        <v>120.49668236092528</v>
      </c>
      <c r="V63" s="22">
        <f>Proponentes[[#This Row],[Activo Corriente]]-Proponentes[[#This Row],[Pasivo Corriente]]</f>
        <v>99785230.609999999</v>
      </c>
      <c r="W63" s="13">
        <f>IFERROR(VLOOKUP(Proponentes[[#This Row],[Propuesta]],Hoja2!$A$2:$G$329,7,FALSE),0)</f>
        <v>30613454.538508575</v>
      </c>
      <c r="X63" s="83">
        <f>IF(Proponentes[[#This Row],[Cap Op en Pesos]]=0,0,IF(Proponentes[[#This Row],[Cap Op en Pesos]]=0,1,Proponentes[[#This Row],[Cap Op en Pesos]]/Base!B$3))</f>
        <v>36.967592147125011</v>
      </c>
      <c r="Y6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6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6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63" s="23" t="str">
        <f>IF(AND(Proponentes[[#This Row],[Cumple
Liquidez]]="CUMPLE",Proponentes[[#This Row],[Cumple
Endeudamiento]]="CUMPLE",Proponentes[[#This Row],[Cumple
Capital de Trabajo]]="CUMPLE"),"CUMPLE","NO CUMPLE")</f>
        <v>CUMPLE</v>
      </c>
      <c r="AC63" s="24"/>
      <c r="AD63" s="10">
        <f>IF(Proponentes[[#This Row],[Liquidez
Oferente]]&lt;=1,1,IF(Proponentes[[#This Row],[Liquidez
Oferente]]&lt;=1.1,2,IF(Proponentes[[#This Row],[Liquidez
Oferente]]&lt;=1.2,3,IF(Proponentes[[#This Row],[Liquidez
Oferente]]&lt;=1.3,4,IF(Proponentes[[#This Row],[Liquidez
Oferente]]&lt;=1.4,5,6)))))</f>
        <v>6</v>
      </c>
      <c r="AE63" s="10">
        <f>IF(Proponentes[[#This Row],[Endeudamiento
Oferente]]&lt;=66%,6,IF(Proponentes[[#This Row],[Endeudamiento
Oferente]]&lt;=58,5,IF(Proponentes[[#This Row],[Endeudamiento
Oferente]]&lt;=70,4,IF(Proponentes[[#This Row],[Endeudamiento
Oferente]]&lt;=72,3,IF(Proponentes[[#This Row],[Endeudamiento
Oferente]]&lt;=74,2,1)))))</f>
        <v>6</v>
      </c>
      <c r="AF6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63" s="10">
        <f>IF(Proponentes[[#This Row],[Cap Op en SMMLV]]&lt;=500,1,IF(Proponentes[[#This Row],[Cap Op en SMMLV]]&lt;=1000,2,IF(Proponentes[[#This Row],[Cap Op en SMMLV]]&lt;=1500,3,IF(Proponentes[[#This Row],[Cap Op en SMMLV]]&lt;=2000,4,IF(Proponentes[[#This Row],[Cap Op en SMMLV]]&lt;=2500,5,6)))))</f>
        <v>1</v>
      </c>
      <c r="AH63" s="10">
        <f>MIN(Proponentes[[#This Row],[a]:[d]])</f>
        <v>1</v>
      </c>
      <c r="AI63" s="87">
        <f>IF(Proponentes[[#This Row],[e]]=Proponentes[[#This Row],[d]],Proponentes[[#This Row],[Cap Op en SMMLV]],VLOOKUP(Proponentes[[#This Row],[e]],Base!$D$1:$E$6,2,FALSE))</f>
        <v>36.967592147125011</v>
      </c>
      <c r="AJ63" s="101" t="str">
        <f>VLOOKUP(Proponentes[[#This Row],[Propuesta]],Hoja2!$A$2:$D$329,4,FALSE)</f>
        <v>NO CUMPLE</v>
      </c>
      <c r="AK63" s="101"/>
    </row>
    <row r="64" spans="1:37" ht="16" x14ac:dyDescent="0.2">
      <c r="A64" s="10">
        <v>63</v>
      </c>
      <c r="B64" s="11">
        <v>900791238</v>
      </c>
      <c r="C64" s="12" t="s">
        <v>113</v>
      </c>
      <c r="D64" s="13">
        <v>504519659</v>
      </c>
      <c r="E64" s="13">
        <v>63660341</v>
      </c>
      <c r="F64" s="25">
        <f>Proponentes[[#This Row],[Activo Corriente]]+Proponentes[[#This Row],[Activo NO Corriente]]</f>
        <v>568180000</v>
      </c>
      <c r="G64" s="13">
        <v>3594000</v>
      </c>
      <c r="H64" s="13">
        <v>2030354</v>
      </c>
      <c r="I64" s="25">
        <f>Proponentes[[#This Row],[Pasivo Corriente]]+Proponentes[[#This Row],[Pasivo NO Corriente]]</f>
        <v>5624354</v>
      </c>
      <c r="J64" s="14">
        <f>Proponentes[[#This Row],[Total ACTIVO]]-Proponentes[[#This Row],[Total Pasivo]]</f>
        <v>562555646</v>
      </c>
      <c r="K64" s="48">
        <f>VLOOKUP(Proponentes[[#This Row],[Propuesta]],Hoja2!$A$2:$G$239,7,FALSE)</f>
        <v>42007809.473212741</v>
      </c>
      <c r="L64" s="15" t="s">
        <v>59</v>
      </c>
      <c r="M64" s="15" t="s">
        <v>28</v>
      </c>
      <c r="N64" s="55">
        <f>IFERROR(VLOOKUP(Proponentes[[#This Row],[Cap Op en SMMLV]],Base!$A$15:$F$20,3),0)</f>
        <v>1</v>
      </c>
      <c r="O64" s="16">
        <f>IFERROR(VLOOKUP(Proponentes[[#This Row],[Cap Op en SMMLV]],Base!$A$15:$F$20,4),0)</f>
        <v>0.76</v>
      </c>
      <c r="P64" s="17">
        <f>IFERROR(VLOOKUP(Proponentes[[#This Row],[Cap Op en SMMLV]],Tabla2[],6),0)</f>
        <v>12.5</v>
      </c>
      <c r="Q64" s="18">
        <f>IFERROR(VLOOKUP(Proponentes[[#This Row],[Cap Op en SMMLV]],Base!$A$15:$F$20,5),0)</f>
        <v>10351450</v>
      </c>
      <c r="R64" s="18">
        <f>IFERROR(VLOOKUP(Proponentes[[#This Row],[Cap Op en SMMLV]],Tabla2[[DE]:[HASTA]],2),0)</f>
        <v>500</v>
      </c>
      <c r="S64" s="19">
        <f>IFERROR(Proponentes[[#This Row],[Activo Corriente]]/Proponentes[[#This Row],[Pasivo Corriente]],"INDETERMINADO")</f>
        <v>140.37831357818587</v>
      </c>
      <c r="T64" s="20">
        <f>IFERROR(Proponentes[[#This Row],[Total Pasivo]]/Proponentes[[#This Row],[Total ACTIVO]],0)</f>
        <v>9.8988947164630921E-3</v>
      </c>
      <c r="U64" s="21">
        <f>(Proponentes[[#This Row],[Activo Corriente]]-Proponentes[[#This Row],[Pasivo Corriente]])/Base!$B$3</f>
        <v>604.89793579643435</v>
      </c>
      <c r="V64" s="22">
        <f>Proponentes[[#This Row],[Activo Corriente]]-Proponentes[[#This Row],[Pasivo Corriente]]</f>
        <v>500925659</v>
      </c>
      <c r="W64" s="13">
        <f>IFERROR(VLOOKUP(Proponentes[[#This Row],[Propuesta]],Hoja2!$A$2:$G$329,7,FALSE),0)</f>
        <v>42007809.473212741</v>
      </c>
      <c r="X64" s="83">
        <f>IF(Proponentes[[#This Row],[Cap Op en Pesos]]=0,0,IF(Proponentes[[#This Row],[Cap Op en Pesos]]=0,1,Proponentes[[#This Row],[Cap Op en Pesos]]/Base!B$3))</f>
        <v>50.726962736153801</v>
      </c>
      <c r="Y6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6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6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64" s="23" t="str">
        <f>IF(AND(Proponentes[[#This Row],[Cumple
Liquidez]]="CUMPLE",Proponentes[[#This Row],[Cumple
Endeudamiento]]="CUMPLE",Proponentes[[#This Row],[Cumple
Capital de Trabajo]]="CUMPLE"),"CUMPLE","NO CUMPLE")</f>
        <v>CUMPLE</v>
      </c>
      <c r="AC64" s="24"/>
      <c r="AD64" s="10">
        <f>IF(Proponentes[[#This Row],[Liquidez
Oferente]]&lt;=1,1,IF(Proponentes[[#This Row],[Liquidez
Oferente]]&lt;=1.1,2,IF(Proponentes[[#This Row],[Liquidez
Oferente]]&lt;=1.2,3,IF(Proponentes[[#This Row],[Liquidez
Oferente]]&lt;=1.3,4,IF(Proponentes[[#This Row],[Liquidez
Oferente]]&lt;=1.4,5,6)))))</f>
        <v>6</v>
      </c>
      <c r="AE64" s="10">
        <f>IF(Proponentes[[#This Row],[Endeudamiento
Oferente]]&lt;=66%,6,IF(Proponentes[[#This Row],[Endeudamiento
Oferente]]&lt;=58,5,IF(Proponentes[[#This Row],[Endeudamiento
Oferente]]&lt;=70,4,IF(Proponentes[[#This Row],[Endeudamiento
Oferente]]&lt;=72,3,IF(Proponentes[[#This Row],[Endeudamiento
Oferente]]&lt;=74,2,1)))))</f>
        <v>6</v>
      </c>
      <c r="AF6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64" s="10">
        <f>IF(Proponentes[[#This Row],[Cap Op en SMMLV]]&lt;=500,1,IF(Proponentes[[#This Row],[Cap Op en SMMLV]]&lt;=1000,2,IF(Proponentes[[#This Row],[Cap Op en SMMLV]]&lt;=1500,3,IF(Proponentes[[#This Row],[Cap Op en SMMLV]]&lt;=2000,4,IF(Proponentes[[#This Row],[Cap Op en SMMLV]]&lt;=2500,5,6)))))</f>
        <v>1</v>
      </c>
      <c r="AH64" s="10">
        <f>MIN(Proponentes[[#This Row],[a]:[d]])</f>
        <v>1</v>
      </c>
      <c r="AI64" s="87">
        <f>IF(Proponentes[[#This Row],[e]]=Proponentes[[#This Row],[d]],Proponentes[[#This Row],[Cap Op en SMMLV]],VLOOKUP(Proponentes[[#This Row],[e]],Base!$D$1:$E$6,2,FALSE))</f>
        <v>50.726962736153801</v>
      </c>
      <c r="AJ64" s="101" t="str">
        <f>VLOOKUP(Proponentes[[#This Row],[Propuesta]],Hoja2!$A$2:$D$329,4,FALSE)</f>
        <v>NO CUMPLE</v>
      </c>
      <c r="AK64" s="101"/>
    </row>
    <row r="65" spans="1:37" ht="16" x14ac:dyDescent="0.2">
      <c r="A65" s="10">
        <v>64</v>
      </c>
      <c r="B65" s="11">
        <v>800217271</v>
      </c>
      <c r="C65" s="12" t="s">
        <v>114</v>
      </c>
      <c r="D65" s="13">
        <v>2634796774</v>
      </c>
      <c r="E65" s="13">
        <v>3078823483</v>
      </c>
      <c r="F65" s="25">
        <f>Proponentes[[#This Row],[Activo Corriente]]+Proponentes[[#This Row],[Activo NO Corriente]]</f>
        <v>5713620257</v>
      </c>
      <c r="G65" s="13">
        <v>1624044625</v>
      </c>
      <c r="H65" s="13">
        <v>0</v>
      </c>
      <c r="I65" s="25">
        <f>Proponentes[[#This Row],[Pasivo Corriente]]+Proponentes[[#This Row],[Pasivo NO Corriente]]</f>
        <v>1624044625</v>
      </c>
      <c r="J65" s="14">
        <f>Proponentes[[#This Row],[Total ACTIVO]]-Proponentes[[#This Row],[Total Pasivo]]</f>
        <v>4089575632</v>
      </c>
      <c r="K65" s="48">
        <f>VLOOKUP(Proponentes[[#This Row],[Propuesta]],Hoja2!$A$2:$G$239,7,FALSE)</f>
        <v>400876677.35459298</v>
      </c>
      <c r="L65" s="15" t="s">
        <v>59</v>
      </c>
      <c r="M65" s="15" t="s">
        <v>28</v>
      </c>
      <c r="N65" s="55">
        <f>IFERROR(VLOOKUP(Proponentes[[#This Row],[Cap Op en SMMLV]],Base!$A$15:$F$20,3),0)</f>
        <v>1</v>
      </c>
      <c r="O65" s="16">
        <f>IFERROR(VLOOKUP(Proponentes[[#This Row],[Cap Op en SMMLV]],Base!$A$15:$F$20,4),0)</f>
        <v>0.76</v>
      </c>
      <c r="P65" s="17">
        <f>IFERROR(VLOOKUP(Proponentes[[#This Row],[Cap Op en SMMLV]],Tabla2[],6),0)</f>
        <v>12.5</v>
      </c>
      <c r="Q65" s="18">
        <f>IFERROR(VLOOKUP(Proponentes[[#This Row],[Cap Op en SMMLV]],Base!$A$15:$F$20,5),0)</f>
        <v>10351450</v>
      </c>
      <c r="R65" s="18">
        <f>IFERROR(VLOOKUP(Proponentes[[#This Row],[Cap Op en SMMLV]],Tabla2[[DE]:[HASTA]],2),0)</f>
        <v>500</v>
      </c>
      <c r="S65" s="19">
        <f>IFERROR(Proponentes[[#This Row],[Activo Corriente]]/Proponentes[[#This Row],[Pasivo Corriente]],"INDETERMINADO")</f>
        <v>1.622367226516328</v>
      </c>
      <c r="T65" s="20">
        <f>IFERROR(Proponentes[[#This Row],[Total Pasivo]]/Proponentes[[#This Row],[Total ACTIVO]],0)</f>
        <v>0.28424091065735663</v>
      </c>
      <c r="U65" s="21">
        <f>(Proponentes[[#This Row],[Activo Corriente]]-Proponentes[[#This Row],[Pasivo Corriente]])/Base!$B$3</f>
        <v>1220.544161687493</v>
      </c>
      <c r="V65" s="22">
        <f>Proponentes[[#This Row],[Activo Corriente]]-Proponentes[[#This Row],[Pasivo Corriente]]</f>
        <v>1010752149</v>
      </c>
      <c r="W65" s="13">
        <f>IFERROR(VLOOKUP(Proponentes[[#This Row],[Propuesta]],Hoja2!$A$2:$G$329,7,FALSE),0)</f>
        <v>400876677.35459298</v>
      </c>
      <c r="X65" s="83">
        <f>IF(Proponentes[[#This Row],[Cap Op en Pesos]]=0,0,IF(Proponentes[[#This Row],[Cap Op en Pesos]]=0,1,Proponentes[[#This Row],[Cap Op en Pesos]]/Base!B$3))</f>
        <v>484.08275815778586</v>
      </c>
      <c r="Y6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6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6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65" s="23" t="str">
        <f>IF(AND(Proponentes[[#This Row],[Cumple
Liquidez]]="CUMPLE",Proponentes[[#This Row],[Cumple
Endeudamiento]]="CUMPLE",Proponentes[[#This Row],[Cumple
Capital de Trabajo]]="CUMPLE"),"CUMPLE","NO CUMPLE")</f>
        <v>CUMPLE</v>
      </c>
      <c r="AC65" s="24"/>
      <c r="AD65" s="10">
        <f>IF(Proponentes[[#This Row],[Liquidez
Oferente]]&lt;=1,1,IF(Proponentes[[#This Row],[Liquidez
Oferente]]&lt;=1.1,2,IF(Proponentes[[#This Row],[Liquidez
Oferente]]&lt;=1.2,3,IF(Proponentes[[#This Row],[Liquidez
Oferente]]&lt;=1.3,4,IF(Proponentes[[#This Row],[Liquidez
Oferente]]&lt;=1.4,5,6)))))</f>
        <v>6</v>
      </c>
      <c r="AE65" s="10">
        <f>IF(Proponentes[[#This Row],[Endeudamiento
Oferente]]&lt;=66%,6,IF(Proponentes[[#This Row],[Endeudamiento
Oferente]]&lt;=58,5,IF(Proponentes[[#This Row],[Endeudamiento
Oferente]]&lt;=70,4,IF(Proponentes[[#This Row],[Endeudamiento
Oferente]]&lt;=72,3,IF(Proponentes[[#This Row],[Endeudamiento
Oferente]]&lt;=74,2,1)))))</f>
        <v>6</v>
      </c>
      <c r="AF6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65" s="10">
        <f>IF(Proponentes[[#This Row],[Cap Op en SMMLV]]&lt;=500,1,IF(Proponentes[[#This Row],[Cap Op en SMMLV]]&lt;=1000,2,IF(Proponentes[[#This Row],[Cap Op en SMMLV]]&lt;=1500,3,IF(Proponentes[[#This Row],[Cap Op en SMMLV]]&lt;=2000,4,IF(Proponentes[[#This Row],[Cap Op en SMMLV]]&lt;=2500,5,6)))))</f>
        <v>1</v>
      </c>
      <c r="AH65" s="10">
        <f>MIN(Proponentes[[#This Row],[a]:[d]])</f>
        <v>1</v>
      </c>
      <c r="AI65" s="87">
        <f>IF(Proponentes[[#This Row],[e]]=Proponentes[[#This Row],[d]],Proponentes[[#This Row],[Cap Op en SMMLV]],VLOOKUP(Proponentes[[#This Row],[e]],Base!$D$1:$E$6,2,FALSE))</f>
        <v>484.08275815778586</v>
      </c>
      <c r="AJ65" s="101" t="str">
        <f>VLOOKUP(Proponentes[[#This Row],[Propuesta]],Hoja2!$A$2:$D$329,4,FALSE)</f>
        <v>NO CUMPLE</v>
      </c>
      <c r="AK65" s="101"/>
    </row>
    <row r="66" spans="1:37" ht="16" x14ac:dyDescent="0.2">
      <c r="A66" s="10">
        <v>65</v>
      </c>
      <c r="B66" s="11">
        <v>900009985</v>
      </c>
      <c r="C66" s="12" t="s">
        <v>115</v>
      </c>
      <c r="D66" s="13">
        <v>1353653706</v>
      </c>
      <c r="E66" s="13">
        <v>1087234730</v>
      </c>
      <c r="F66" s="25">
        <f>Proponentes[[#This Row],[Activo Corriente]]+Proponentes[[#This Row],[Activo NO Corriente]]</f>
        <v>2440888436</v>
      </c>
      <c r="G66" s="13">
        <v>189007442</v>
      </c>
      <c r="H66" s="13">
        <v>0</v>
      </c>
      <c r="I66" s="25">
        <f>Proponentes[[#This Row],[Pasivo Corriente]]+Proponentes[[#This Row],[Pasivo NO Corriente]]</f>
        <v>189007442</v>
      </c>
      <c r="J66" s="14">
        <f>Proponentes[[#This Row],[Total ACTIVO]]-Proponentes[[#This Row],[Total Pasivo]]</f>
        <v>2251880994</v>
      </c>
      <c r="K66" s="48">
        <f>VLOOKUP(Proponentes[[#This Row],[Propuesta]],Hoja2!$A$2:$G$239,7,FALSE)</f>
        <v>0</v>
      </c>
      <c r="L66" s="15" t="s">
        <v>59</v>
      </c>
      <c r="M66" s="15" t="s">
        <v>28</v>
      </c>
      <c r="N66" s="55">
        <f>IFERROR(VLOOKUP(Proponentes[[#This Row],[Cap Op en SMMLV]],Base!$A$15:$F$20,3),0)</f>
        <v>0</v>
      </c>
      <c r="O66" s="16">
        <f>IFERROR(VLOOKUP(Proponentes[[#This Row],[Cap Op en SMMLV]],Base!$A$15:$F$20,4),0)</f>
        <v>0</v>
      </c>
      <c r="P66" s="17">
        <f>IFERROR(VLOOKUP(Proponentes[[#This Row],[Cap Op en SMMLV]],Tabla2[],6),0)</f>
        <v>0</v>
      </c>
      <c r="Q66" s="18">
        <f>IFERROR(VLOOKUP(Proponentes[[#This Row],[Cap Op en SMMLV]],Base!$A$15:$F$20,5),0)</f>
        <v>0</v>
      </c>
      <c r="R66" s="18">
        <f>IFERROR(VLOOKUP(Proponentes[[#This Row],[Cap Op en SMMLV]],Tabla2[[DE]:[HASTA]],2),0)</f>
        <v>0</v>
      </c>
      <c r="S66" s="19">
        <f>IFERROR(Proponentes[[#This Row],[Activo Corriente]]/Proponentes[[#This Row],[Pasivo Corriente]],"INDETERMINADO")</f>
        <v>7.1619069158133994</v>
      </c>
      <c r="T66" s="20">
        <f>IFERROR(Proponentes[[#This Row],[Total Pasivo]]/Proponentes[[#This Row],[Total ACTIVO]],0)</f>
        <v>7.7433871705228557E-2</v>
      </c>
      <c r="U66" s="21">
        <f>(Proponentes[[#This Row],[Activo Corriente]]-Proponentes[[#This Row],[Pasivo Corriente]])/Base!$B$3</f>
        <v>1406.3805843625771</v>
      </c>
      <c r="V66" s="22">
        <f>Proponentes[[#This Row],[Activo Corriente]]-Proponentes[[#This Row],[Pasivo Corriente]]</f>
        <v>1164646264</v>
      </c>
      <c r="W66" s="13">
        <f>IFERROR(VLOOKUP(Proponentes[[#This Row],[Propuesta]],Hoja2!$A$2:$G$329,7,FALSE),0)</f>
        <v>0</v>
      </c>
      <c r="X66" s="83">
        <f>IF(Proponentes[[#This Row],[Cap Op en Pesos]]=0,0,IF(Proponentes[[#This Row],[Cap Op en Pesos]]=0,1,Proponentes[[#This Row],[Cap Op en Pesos]]/Base!B$3))</f>
        <v>0</v>
      </c>
      <c r="Y6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6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6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66" s="23" t="str">
        <f>IF(AND(Proponentes[[#This Row],[Cumple
Liquidez]]="CUMPLE",Proponentes[[#This Row],[Cumple
Endeudamiento]]="CUMPLE",Proponentes[[#This Row],[Cumple
Capital de Trabajo]]="CUMPLE"),"CUMPLE","NO CUMPLE")</f>
        <v>NO CUMPLE</v>
      </c>
      <c r="AC66" s="24"/>
      <c r="AD66" s="10">
        <f>IF(Proponentes[[#This Row],[Liquidez
Oferente]]&lt;=1,1,IF(Proponentes[[#This Row],[Liquidez
Oferente]]&lt;=1.1,2,IF(Proponentes[[#This Row],[Liquidez
Oferente]]&lt;=1.2,3,IF(Proponentes[[#This Row],[Liquidez
Oferente]]&lt;=1.3,4,IF(Proponentes[[#This Row],[Liquidez
Oferente]]&lt;=1.4,5,6)))))</f>
        <v>6</v>
      </c>
      <c r="AE66" s="10">
        <f>IF(Proponentes[[#This Row],[Endeudamiento
Oferente]]&lt;=66%,6,IF(Proponentes[[#This Row],[Endeudamiento
Oferente]]&lt;=58,5,IF(Proponentes[[#This Row],[Endeudamiento
Oferente]]&lt;=70,4,IF(Proponentes[[#This Row],[Endeudamiento
Oferente]]&lt;=72,3,IF(Proponentes[[#This Row],[Endeudamiento
Oferente]]&lt;=74,2,1)))))</f>
        <v>6</v>
      </c>
      <c r="AF6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66" s="10">
        <f>IF(Proponentes[[#This Row],[Cap Op en SMMLV]]&lt;=500,1,IF(Proponentes[[#This Row],[Cap Op en SMMLV]]&lt;=1000,2,IF(Proponentes[[#This Row],[Cap Op en SMMLV]]&lt;=1500,3,IF(Proponentes[[#This Row],[Cap Op en SMMLV]]&lt;=2000,4,IF(Proponentes[[#This Row],[Cap Op en SMMLV]]&lt;=2500,5,6)))))</f>
        <v>1</v>
      </c>
      <c r="AH66" s="10">
        <f>MIN(Proponentes[[#This Row],[a]:[d]])</f>
        <v>1</v>
      </c>
      <c r="AI66" s="87">
        <f>IF(Proponentes[[#This Row],[e]]=Proponentes[[#This Row],[d]],Proponentes[[#This Row],[Cap Op en SMMLV]],VLOOKUP(Proponentes[[#This Row],[e]],Base!$D$1:$E$6,2,FALSE))</f>
        <v>0</v>
      </c>
      <c r="AJ66" s="101" t="str">
        <f>VLOOKUP(Proponentes[[#This Row],[Propuesta]],Hoja2!$A$2:$D$329,4,FALSE)</f>
        <v>NO CUMPLE</v>
      </c>
      <c r="AK66" s="101"/>
    </row>
    <row r="67" spans="1:37" ht="16" x14ac:dyDescent="0.2">
      <c r="A67" s="10">
        <v>66</v>
      </c>
      <c r="B67" s="11">
        <v>900208955</v>
      </c>
      <c r="C67" s="12" t="s">
        <v>116</v>
      </c>
      <c r="D67" s="13">
        <v>478484273</v>
      </c>
      <c r="E67" s="13">
        <v>81978314</v>
      </c>
      <c r="F67" s="25">
        <f>Proponentes[[#This Row],[Activo Corriente]]+Proponentes[[#This Row],[Activo NO Corriente]]</f>
        <v>560462587</v>
      </c>
      <c r="G67" s="13">
        <v>246811077</v>
      </c>
      <c r="H67" s="13">
        <v>0</v>
      </c>
      <c r="I67" s="25">
        <f>Proponentes[[#This Row],[Pasivo Corriente]]+Proponentes[[#This Row],[Pasivo NO Corriente]]</f>
        <v>246811077</v>
      </c>
      <c r="J67" s="14">
        <f>Proponentes[[#This Row],[Total ACTIVO]]-Proponentes[[#This Row],[Total Pasivo]]</f>
        <v>313651510</v>
      </c>
      <c r="K67" s="48">
        <f>VLOOKUP(Proponentes[[#This Row],[Propuesta]],Hoja2!$A$2:$G$239,7,FALSE)</f>
        <v>680786294.41074347</v>
      </c>
      <c r="L67" s="15" t="s">
        <v>59</v>
      </c>
      <c r="M67" s="15" t="s">
        <v>28</v>
      </c>
      <c r="N67" s="55">
        <f>IFERROR(VLOOKUP(Proponentes[[#This Row],[Cap Op en SMMLV]],Base!$A$15:$F$20,3),0)</f>
        <v>1.1000000000000001</v>
      </c>
      <c r="O67" s="16">
        <f>IFERROR(VLOOKUP(Proponentes[[#This Row],[Cap Op en SMMLV]],Base!$A$15:$F$20,4),0)</f>
        <v>0.74</v>
      </c>
      <c r="P67" s="17">
        <f>IFERROR(VLOOKUP(Proponentes[[#This Row],[Cap Op en SMMLV]],Tabla2[],6),0)</f>
        <v>25</v>
      </c>
      <c r="Q67" s="18">
        <f>IFERROR(VLOOKUP(Proponentes[[#This Row],[Cap Op en SMMLV]],Base!$A$15:$F$20,5),0)</f>
        <v>20702900</v>
      </c>
      <c r="R67" s="18">
        <f>IFERROR(VLOOKUP(Proponentes[[#This Row],[Cap Op en SMMLV]],Tabla2[[DE]:[HASTA]],2),0)</f>
        <v>1000</v>
      </c>
      <c r="S67" s="19">
        <f>IFERROR(Proponentes[[#This Row],[Activo Corriente]]/Proponentes[[#This Row],[Pasivo Corriente]],"INDETERMINADO")</f>
        <v>1.9386661199164898</v>
      </c>
      <c r="T67" s="20">
        <f>IFERROR(Proponentes[[#This Row],[Total Pasivo]]/Proponentes[[#This Row],[Total ACTIVO]],0)</f>
        <v>0.44037029897233798</v>
      </c>
      <c r="U67" s="21">
        <f>(Proponentes[[#This Row],[Activo Corriente]]-Proponentes[[#This Row],[Pasivo Corriente]])/Base!$B$3</f>
        <v>279.75935255447303</v>
      </c>
      <c r="V67" s="22">
        <f>Proponentes[[#This Row],[Activo Corriente]]-Proponentes[[#This Row],[Pasivo Corriente]]</f>
        <v>231673196</v>
      </c>
      <c r="W67" s="13">
        <f>IFERROR(VLOOKUP(Proponentes[[#This Row],[Propuesta]],Hoja2!$A$2:$G$329,7,FALSE),0)</f>
        <v>680786294.41074347</v>
      </c>
      <c r="X67" s="83">
        <f>IF(Proponentes[[#This Row],[Cap Op en Pesos]]=0,0,IF(Proponentes[[#This Row],[Cap Op en Pesos]]=0,1,Proponentes[[#This Row],[Cap Op en Pesos]]/Base!B$3))</f>
        <v>822.0904974795119</v>
      </c>
      <c r="Y6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6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6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67" s="23" t="str">
        <f>IF(AND(Proponentes[[#This Row],[Cumple
Liquidez]]="CUMPLE",Proponentes[[#This Row],[Cumple
Endeudamiento]]="CUMPLE",Proponentes[[#This Row],[Cumple
Capital de Trabajo]]="CUMPLE"),"CUMPLE","NO CUMPLE")</f>
        <v>CUMPLE</v>
      </c>
      <c r="AC67" s="24"/>
      <c r="AD67" s="10">
        <f>IF(Proponentes[[#This Row],[Liquidez
Oferente]]&lt;=1,1,IF(Proponentes[[#This Row],[Liquidez
Oferente]]&lt;=1.1,2,IF(Proponentes[[#This Row],[Liquidez
Oferente]]&lt;=1.2,3,IF(Proponentes[[#This Row],[Liquidez
Oferente]]&lt;=1.3,4,IF(Proponentes[[#This Row],[Liquidez
Oferente]]&lt;=1.4,5,6)))))</f>
        <v>6</v>
      </c>
      <c r="AE67" s="10">
        <f>IF(Proponentes[[#This Row],[Endeudamiento
Oferente]]&lt;=66%,6,IF(Proponentes[[#This Row],[Endeudamiento
Oferente]]&lt;=58,5,IF(Proponentes[[#This Row],[Endeudamiento
Oferente]]&lt;=70,4,IF(Proponentes[[#This Row],[Endeudamiento
Oferente]]&lt;=72,3,IF(Proponentes[[#This Row],[Endeudamiento
Oferente]]&lt;=74,2,1)))))</f>
        <v>6</v>
      </c>
      <c r="AF6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67" s="10">
        <f>IF(Proponentes[[#This Row],[Cap Op en SMMLV]]&lt;=500,1,IF(Proponentes[[#This Row],[Cap Op en SMMLV]]&lt;=1000,2,IF(Proponentes[[#This Row],[Cap Op en SMMLV]]&lt;=1500,3,IF(Proponentes[[#This Row],[Cap Op en SMMLV]]&lt;=2000,4,IF(Proponentes[[#This Row],[Cap Op en SMMLV]]&lt;=2500,5,6)))))</f>
        <v>2</v>
      </c>
      <c r="AH67" s="10">
        <f>MIN(Proponentes[[#This Row],[a]:[d]])</f>
        <v>2</v>
      </c>
      <c r="AI67" s="87">
        <f>IF(Proponentes[[#This Row],[e]]=Proponentes[[#This Row],[d]],Proponentes[[#This Row],[Cap Op en SMMLV]],VLOOKUP(Proponentes[[#This Row],[e]],Base!$D$1:$E$6,2,FALSE))</f>
        <v>822.0904974795119</v>
      </c>
      <c r="AJ67" s="101" t="str">
        <f>VLOOKUP(Proponentes[[#This Row],[Propuesta]],Hoja2!$A$2:$D$329,4,FALSE)</f>
        <v>CUMPLE</v>
      </c>
      <c r="AK67" s="101"/>
    </row>
    <row r="68" spans="1:37" ht="32" x14ac:dyDescent="0.2">
      <c r="A68" s="10">
        <v>67</v>
      </c>
      <c r="B68" s="11">
        <v>900925348</v>
      </c>
      <c r="C68" s="12" t="s">
        <v>117</v>
      </c>
      <c r="D68" s="13">
        <v>58874000</v>
      </c>
      <c r="E68" s="13">
        <v>141869000</v>
      </c>
      <c r="F68" s="25">
        <f>Proponentes[[#This Row],[Activo Corriente]]+Proponentes[[#This Row],[Activo NO Corriente]]</f>
        <v>200743000</v>
      </c>
      <c r="G68" s="13">
        <v>33770000</v>
      </c>
      <c r="H68" s="13">
        <v>0</v>
      </c>
      <c r="I68" s="25">
        <f>Proponentes[[#This Row],[Pasivo Corriente]]+Proponentes[[#This Row],[Pasivo NO Corriente]]</f>
        <v>33770000</v>
      </c>
      <c r="J68" s="14">
        <f>Proponentes[[#This Row],[Total ACTIVO]]-Proponentes[[#This Row],[Total Pasivo]]</f>
        <v>166973000</v>
      </c>
      <c r="K68" s="48">
        <f>VLOOKUP(Proponentes[[#This Row],[Propuesta]],Hoja2!$A$2:$G$239,7,FALSE)</f>
        <v>0</v>
      </c>
      <c r="L68" s="15" t="s">
        <v>59</v>
      </c>
      <c r="M68" s="15" t="s">
        <v>28</v>
      </c>
      <c r="N68" s="55">
        <f>IFERROR(VLOOKUP(Proponentes[[#This Row],[Cap Op en SMMLV]],Base!$A$15:$F$20,3),0)</f>
        <v>0</v>
      </c>
      <c r="O68" s="16">
        <f>IFERROR(VLOOKUP(Proponentes[[#This Row],[Cap Op en SMMLV]],Base!$A$15:$F$20,4),0)</f>
        <v>0</v>
      </c>
      <c r="P68" s="17">
        <f>IFERROR(VLOOKUP(Proponentes[[#This Row],[Cap Op en SMMLV]],Tabla2[],6),0)</f>
        <v>0</v>
      </c>
      <c r="Q68" s="18">
        <f>IFERROR(VLOOKUP(Proponentes[[#This Row],[Cap Op en SMMLV]],Base!$A$15:$F$20,5),0)</f>
        <v>0</v>
      </c>
      <c r="R68" s="18">
        <f>IFERROR(VLOOKUP(Proponentes[[#This Row],[Cap Op en SMMLV]],Tabla2[[DE]:[HASTA]],2),0)</f>
        <v>0</v>
      </c>
      <c r="S68" s="19">
        <f>IFERROR(Proponentes[[#This Row],[Activo Corriente]]/Proponentes[[#This Row],[Pasivo Corriente]],"INDETERMINADO")</f>
        <v>1.7433816997334912</v>
      </c>
      <c r="T68" s="20">
        <f>IFERROR(Proponentes[[#This Row],[Total Pasivo]]/Proponentes[[#This Row],[Total ACTIVO]],0)</f>
        <v>0.16822504396168236</v>
      </c>
      <c r="U68" s="21">
        <f>(Proponentes[[#This Row],[Activo Corriente]]-Proponentes[[#This Row],[Pasivo Corriente]])/Base!$B$3</f>
        <v>30.314593607658832</v>
      </c>
      <c r="V68" s="22">
        <f>Proponentes[[#This Row],[Activo Corriente]]-Proponentes[[#This Row],[Pasivo Corriente]]</f>
        <v>25104000</v>
      </c>
      <c r="W68" s="13">
        <f>IFERROR(VLOOKUP(Proponentes[[#This Row],[Propuesta]],Hoja2!$A$2:$G$329,7,FALSE),0)</f>
        <v>0</v>
      </c>
      <c r="X68" s="83">
        <f>IF(Proponentes[[#This Row],[Cap Op en Pesos]]=0,0,IF(Proponentes[[#This Row],[Cap Op en Pesos]]=0,1,Proponentes[[#This Row],[Cap Op en Pesos]]/Base!B$3))</f>
        <v>0</v>
      </c>
      <c r="Y6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6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6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68" s="23" t="str">
        <f>IF(AND(Proponentes[[#This Row],[Cumple
Liquidez]]="CUMPLE",Proponentes[[#This Row],[Cumple
Endeudamiento]]="CUMPLE",Proponentes[[#This Row],[Cumple
Capital de Trabajo]]="CUMPLE"),"CUMPLE","NO CUMPLE")</f>
        <v>NO CUMPLE</v>
      </c>
      <c r="AC68" s="24"/>
      <c r="AD68" s="10">
        <f>IF(Proponentes[[#This Row],[Liquidez
Oferente]]&lt;=1,1,IF(Proponentes[[#This Row],[Liquidez
Oferente]]&lt;=1.1,2,IF(Proponentes[[#This Row],[Liquidez
Oferente]]&lt;=1.2,3,IF(Proponentes[[#This Row],[Liquidez
Oferente]]&lt;=1.3,4,IF(Proponentes[[#This Row],[Liquidez
Oferente]]&lt;=1.4,5,6)))))</f>
        <v>6</v>
      </c>
      <c r="AE68" s="10">
        <f>IF(Proponentes[[#This Row],[Endeudamiento
Oferente]]&lt;=66%,6,IF(Proponentes[[#This Row],[Endeudamiento
Oferente]]&lt;=58,5,IF(Proponentes[[#This Row],[Endeudamiento
Oferente]]&lt;=70,4,IF(Proponentes[[#This Row],[Endeudamiento
Oferente]]&lt;=72,3,IF(Proponentes[[#This Row],[Endeudamiento
Oferente]]&lt;=74,2,1)))))</f>
        <v>6</v>
      </c>
      <c r="AF6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68" s="10">
        <f>IF(Proponentes[[#This Row],[Cap Op en SMMLV]]&lt;=500,1,IF(Proponentes[[#This Row],[Cap Op en SMMLV]]&lt;=1000,2,IF(Proponentes[[#This Row],[Cap Op en SMMLV]]&lt;=1500,3,IF(Proponentes[[#This Row],[Cap Op en SMMLV]]&lt;=2000,4,IF(Proponentes[[#This Row],[Cap Op en SMMLV]]&lt;=2500,5,6)))))</f>
        <v>1</v>
      </c>
      <c r="AH68" s="10">
        <f>MIN(Proponentes[[#This Row],[a]:[d]])</f>
        <v>1</v>
      </c>
      <c r="AI68" s="87">
        <f>IF(Proponentes[[#This Row],[e]]=Proponentes[[#This Row],[d]],Proponentes[[#This Row],[Cap Op en SMMLV]],VLOOKUP(Proponentes[[#This Row],[e]],Base!$D$1:$E$6,2,FALSE))</f>
        <v>0</v>
      </c>
      <c r="AJ68" s="101" t="str">
        <f>VLOOKUP(Proponentes[[#This Row],[Propuesta]],Hoja2!$A$2:$D$329,4,FALSE)</f>
        <v>NO CUMPLE</v>
      </c>
      <c r="AK68" s="101"/>
    </row>
    <row r="69" spans="1:37" ht="16" x14ac:dyDescent="0.2">
      <c r="A69" s="10">
        <v>68</v>
      </c>
      <c r="B69" s="11">
        <v>800220054</v>
      </c>
      <c r="C69" s="12" t="s">
        <v>118</v>
      </c>
      <c r="D69" s="13">
        <v>762084120</v>
      </c>
      <c r="E69" s="13">
        <v>396588721</v>
      </c>
      <c r="F69" s="25">
        <f>Proponentes[[#This Row],[Activo Corriente]]+Proponentes[[#This Row],[Activo NO Corriente]]</f>
        <v>1158672841</v>
      </c>
      <c r="G69" s="13">
        <v>168653502</v>
      </c>
      <c r="H69" s="13">
        <v>81888849</v>
      </c>
      <c r="I69" s="25">
        <f>Proponentes[[#This Row],[Pasivo Corriente]]+Proponentes[[#This Row],[Pasivo NO Corriente]]</f>
        <v>250542351</v>
      </c>
      <c r="J69" s="14">
        <f>Proponentes[[#This Row],[Total ACTIVO]]-Proponentes[[#This Row],[Total Pasivo]]</f>
        <v>908130490</v>
      </c>
      <c r="K69" s="48">
        <f>VLOOKUP(Proponentes[[#This Row],[Propuesta]],Hoja2!$A$2:$G$239,7,FALSE)</f>
        <v>990758458.81168318</v>
      </c>
      <c r="L69" s="15" t="s">
        <v>59</v>
      </c>
      <c r="M69" s="15" t="s">
        <v>28</v>
      </c>
      <c r="N69" s="55">
        <f>IFERROR(VLOOKUP(Proponentes[[#This Row],[Cap Op en SMMLV]],Base!$A$15:$F$20,3),0)</f>
        <v>1.2</v>
      </c>
      <c r="O69" s="16">
        <f>IFERROR(VLOOKUP(Proponentes[[#This Row],[Cap Op en SMMLV]],Base!$A$15:$F$20,4),0)</f>
        <v>0.72</v>
      </c>
      <c r="P69" s="17">
        <f>IFERROR(VLOOKUP(Proponentes[[#This Row],[Cap Op en SMMLV]],Tabla2[],6),0)</f>
        <v>37.5</v>
      </c>
      <c r="Q69" s="18">
        <f>IFERROR(VLOOKUP(Proponentes[[#This Row],[Cap Op en SMMLV]],Base!$A$15:$F$20,5),0)</f>
        <v>31054350</v>
      </c>
      <c r="R69" s="18">
        <f>IFERROR(VLOOKUP(Proponentes[[#This Row],[Cap Op en SMMLV]],Tabla2[[DE]:[HASTA]],2),0)</f>
        <v>1500</v>
      </c>
      <c r="S69" s="19">
        <f>IFERROR(Proponentes[[#This Row],[Activo Corriente]]/Proponentes[[#This Row],[Pasivo Corriente]],"INDETERMINADO")</f>
        <v>4.5186379823882934</v>
      </c>
      <c r="T69" s="20">
        <f>IFERROR(Proponentes[[#This Row],[Total Pasivo]]/Proponentes[[#This Row],[Total ACTIVO]],0)</f>
        <v>0.21623217713791221</v>
      </c>
      <c r="U69" s="21">
        <f>(Proponentes[[#This Row],[Activo Corriente]]-Proponentes[[#This Row],[Pasivo Corriente]])/Base!$B$3</f>
        <v>716.60325123533414</v>
      </c>
      <c r="V69" s="22">
        <f>Proponentes[[#This Row],[Activo Corriente]]-Proponentes[[#This Row],[Pasivo Corriente]]</f>
        <v>593430618</v>
      </c>
      <c r="W69" s="13">
        <f>IFERROR(VLOOKUP(Proponentes[[#This Row],[Propuesta]],Hoja2!$A$2:$G$329,7,FALSE),0)</f>
        <v>990758458.81168318</v>
      </c>
      <c r="X69" s="83">
        <f>IF(Proponentes[[#This Row],[Cap Op en Pesos]]=0,0,IF(Proponentes[[#This Row],[Cap Op en Pesos]]=0,1,Proponentes[[#This Row],[Cap Op en Pesos]]/Base!B$3))</f>
        <v>1196.4005752958319</v>
      </c>
      <c r="Y6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6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6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69" s="23" t="str">
        <f>IF(AND(Proponentes[[#This Row],[Cumple
Liquidez]]="CUMPLE",Proponentes[[#This Row],[Cumple
Endeudamiento]]="CUMPLE",Proponentes[[#This Row],[Cumple
Capital de Trabajo]]="CUMPLE"),"CUMPLE","NO CUMPLE")</f>
        <v>CUMPLE</v>
      </c>
      <c r="AC69" s="24"/>
      <c r="AD69" s="10">
        <f>IF(Proponentes[[#This Row],[Liquidez
Oferente]]&lt;=1,1,IF(Proponentes[[#This Row],[Liquidez
Oferente]]&lt;=1.1,2,IF(Proponentes[[#This Row],[Liquidez
Oferente]]&lt;=1.2,3,IF(Proponentes[[#This Row],[Liquidez
Oferente]]&lt;=1.3,4,IF(Proponentes[[#This Row],[Liquidez
Oferente]]&lt;=1.4,5,6)))))</f>
        <v>6</v>
      </c>
      <c r="AE69" s="10">
        <f>IF(Proponentes[[#This Row],[Endeudamiento
Oferente]]&lt;=66%,6,IF(Proponentes[[#This Row],[Endeudamiento
Oferente]]&lt;=58,5,IF(Proponentes[[#This Row],[Endeudamiento
Oferente]]&lt;=70,4,IF(Proponentes[[#This Row],[Endeudamiento
Oferente]]&lt;=72,3,IF(Proponentes[[#This Row],[Endeudamiento
Oferente]]&lt;=74,2,1)))))</f>
        <v>6</v>
      </c>
      <c r="AF6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69" s="10">
        <f>IF(Proponentes[[#This Row],[Cap Op en SMMLV]]&lt;=500,1,IF(Proponentes[[#This Row],[Cap Op en SMMLV]]&lt;=1000,2,IF(Proponentes[[#This Row],[Cap Op en SMMLV]]&lt;=1500,3,IF(Proponentes[[#This Row],[Cap Op en SMMLV]]&lt;=2000,4,IF(Proponentes[[#This Row],[Cap Op en SMMLV]]&lt;=2500,5,6)))))</f>
        <v>3</v>
      </c>
      <c r="AH69" s="10">
        <f>MIN(Proponentes[[#This Row],[a]:[d]])</f>
        <v>3</v>
      </c>
      <c r="AI69" s="87">
        <f>IF(Proponentes[[#This Row],[e]]=Proponentes[[#This Row],[d]],Proponentes[[#This Row],[Cap Op en SMMLV]],VLOOKUP(Proponentes[[#This Row],[e]],Base!$D$1:$E$6,2,FALSE))</f>
        <v>1196.4005752958319</v>
      </c>
      <c r="AJ69" s="101" t="str">
        <f>VLOOKUP(Proponentes[[#This Row],[Propuesta]],Hoja2!$A$2:$D$329,4,FALSE)</f>
        <v>CUMPLE</v>
      </c>
      <c r="AK69" s="101"/>
    </row>
    <row r="70" spans="1:37" ht="16" x14ac:dyDescent="0.2">
      <c r="A70" s="10">
        <v>69</v>
      </c>
      <c r="B70" s="11">
        <v>900001991</v>
      </c>
      <c r="C70" s="12" t="s">
        <v>119</v>
      </c>
      <c r="D70" s="13">
        <v>34463167</v>
      </c>
      <c r="E70" s="13">
        <v>272733326</v>
      </c>
      <c r="F70" s="25">
        <f>Proponentes[[#This Row],[Activo Corriente]]+Proponentes[[#This Row],[Activo NO Corriente]]</f>
        <v>307196493</v>
      </c>
      <c r="G70" s="13">
        <v>10415581</v>
      </c>
      <c r="H70" s="13">
        <v>0</v>
      </c>
      <c r="I70" s="25">
        <f>Proponentes[[#This Row],[Pasivo Corriente]]+Proponentes[[#This Row],[Pasivo NO Corriente]]</f>
        <v>10415581</v>
      </c>
      <c r="J70" s="14">
        <f>Proponentes[[#This Row],[Total ACTIVO]]-Proponentes[[#This Row],[Total Pasivo]]</f>
        <v>296780912</v>
      </c>
      <c r="K70" s="48">
        <f>VLOOKUP(Proponentes[[#This Row],[Propuesta]],Hoja2!$A$2:$G$239,7,FALSE)</f>
        <v>45000000</v>
      </c>
      <c r="L70" s="15" t="s">
        <v>120</v>
      </c>
      <c r="M70" s="15" t="s">
        <v>28</v>
      </c>
      <c r="N70" s="55">
        <f>IFERROR(VLOOKUP(Proponentes[[#This Row],[Cap Op en SMMLV]],Base!$A$15:$F$20,3),0)</f>
        <v>1</v>
      </c>
      <c r="O70" s="16">
        <f>IFERROR(VLOOKUP(Proponentes[[#This Row],[Cap Op en SMMLV]],Base!$A$15:$F$20,4),0)</f>
        <v>0.76</v>
      </c>
      <c r="P70" s="17">
        <f>IFERROR(VLOOKUP(Proponentes[[#This Row],[Cap Op en SMMLV]],Tabla2[],6),0)</f>
        <v>12.5</v>
      </c>
      <c r="Q70" s="18">
        <f>IFERROR(VLOOKUP(Proponentes[[#This Row],[Cap Op en SMMLV]],Base!$A$15:$F$20,5),0)</f>
        <v>10351450</v>
      </c>
      <c r="R70" s="18">
        <f>IFERROR(VLOOKUP(Proponentes[[#This Row],[Cap Op en SMMLV]],Tabla2[[DE]:[HASTA]],2),0)</f>
        <v>500</v>
      </c>
      <c r="S70" s="19">
        <f>IFERROR(Proponentes[[#This Row],[Activo Corriente]]/Proponentes[[#This Row],[Pasivo Corriente]],"INDETERMINADO")</f>
        <v>3.3088088892976781</v>
      </c>
      <c r="T70" s="20">
        <f>IFERROR(Proponentes[[#This Row],[Total Pasivo]]/Proponentes[[#This Row],[Total ACTIVO]],0)</f>
        <v>3.3905273130836168E-2</v>
      </c>
      <c r="U70" s="21">
        <f>(Proponentes[[#This Row],[Activo Corriente]]-Proponentes[[#This Row],[Pasivo Corriente]])/Base!$B$3</f>
        <v>29.038910007776689</v>
      </c>
      <c r="V70" s="22">
        <f>Proponentes[[#This Row],[Activo Corriente]]-Proponentes[[#This Row],[Pasivo Corriente]]</f>
        <v>24047586</v>
      </c>
      <c r="W70" s="13">
        <f>IFERROR(VLOOKUP(Proponentes[[#This Row],[Propuesta]],Hoja2!$A$2:$G$329,7,FALSE),0)</f>
        <v>45000000</v>
      </c>
      <c r="X70" s="83">
        <f>IF(Proponentes[[#This Row],[Cap Op en Pesos]]=0,0,IF(Proponentes[[#This Row],[Cap Op en Pesos]]=0,1,Proponentes[[#This Row],[Cap Op en Pesos]]/Base!B$3))</f>
        <v>54.340213206845419</v>
      </c>
      <c r="Y7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7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7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70" s="23" t="str">
        <f>IF(AND(Proponentes[[#This Row],[Cumple
Liquidez]]="CUMPLE",Proponentes[[#This Row],[Cumple
Endeudamiento]]="CUMPLE",Proponentes[[#This Row],[Cumple
Capital de Trabajo]]="CUMPLE"),"CUMPLE","NO CUMPLE")</f>
        <v>CUMPLE</v>
      </c>
      <c r="AC70" s="24"/>
      <c r="AD70" s="10">
        <f>IF(Proponentes[[#This Row],[Liquidez
Oferente]]&lt;=1,1,IF(Proponentes[[#This Row],[Liquidez
Oferente]]&lt;=1.1,2,IF(Proponentes[[#This Row],[Liquidez
Oferente]]&lt;=1.2,3,IF(Proponentes[[#This Row],[Liquidez
Oferente]]&lt;=1.3,4,IF(Proponentes[[#This Row],[Liquidez
Oferente]]&lt;=1.4,5,6)))))</f>
        <v>6</v>
      </c>
      <c r="AE70" s="10">
        <f>IF(Proponentes[[#This Row],[Endeudamiento
Oferente]]&lt;=66%,6,IF(Proponentes[[#This Row],[Endeudamiento
Oferente]]&lt;=58,5,IF(Proponentes[[#This Row],[Endeudamiento
Oferente]]&lt;=70,4,IF(Proponentes[[#This Row],[Endeudamiento
Oferente]]&lt;=72,3,IF(Proponentes[[#This Row],[Endeudamiento
Oferente]]&lt;=74,2,1)))))</f>
        <v>6</v>
      </c>
      <c r="AF7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70" s="10">
        <f>IF(Proponentes[[#This Row],[Cap Op en SMMLV]]&lt;=500,1,IF(Proponentes[[#This Row],[Cap Op en SMMLV]]&lt;=1000,2,IF(Proponentes[[#This Row],[Cap Op en SMMLV]]&lt;=1500,3,IF(Proponentes[[#This Row],[Cap Op en SMMLV]]&lt;=2000,4,IF(Proponentes[[#This Row],[Cap Op en SMMLV]]&lt;=2500,5,6)))))</f>
        <v>1</v>
      </c>
      <c r="AH70" s="10">
        <f>MIN(Proponentes[[#This Row],[a]:[d]])</f>
        <v>1</v>
      </c>
      <c r="AI70" s="87">
        <f>IF(Proponentes[[#This Row],[e]]=Proponentes[[#This Row],[d]],Proponentes[[#This Row],[Cap Op en SMMLV]],VLOOKUP(Proponentes[[#This Row],[e]],Base!$D$1:$E$6,2,FALSE))</f>
        <v>54.340213206845419</v>
      </c>
      <c r="AJ70" s="101" t="str">
        <f>VLOOKUP(Proponentes[[#This Row],[Propuesta]],Hoja2!$A$2:$D$329,4,FALSE)</f>
        <v>NO CUMPLE</v>
      </c>
      <c r="AK70" s="101"/>
    </row>
    <row r="71" spans="1:37" ht="16" x14ac:dyDescent="0.2">
      <c r="A71" s="10">
        <v>70</v>
      </c>
      <c r="B71" s="11">
        <v>800185163</v>
      </c>
      <c r="C71" s="12" t="s">
        <v>121</v>
      </c>
      <c r="D71" s="13">
        <v>948371000</v>
      </c>
      <c r="E71" s="13">
        <v>517016000</v>
      </c>
      <c r="F71" s="25">
        <f>Proponentes[[#This Row],[Activo Corriente]]+Proponentes[[#This Row],[Activo NO Corriente]]</f>
        <v>1465387000</v>
      </c>
      <c r="G71" s="13">
        <v>638939000</v>
      </c>
      <c r="H71" s="13">
        <v>0</v>
      </c>
      <c r="I71" s="25">
        <f>Proponentes[[#This Row],[Pasivo Corriente]]+Proponentes[[#This Row],[Pasivo NO Corriente]]</f>
        <v>638939000</v>
      </c>
      <c r="J71" s="14">
        <f>Proponentes[[#This Row],[Total ACTIVO]]-Proponentes[[#This Row],[Total Pasivo]]</f>
        <v>826448000</v>
      </c>
      <c r="K71" s="48">
        <f>VLOOKUP(Proponentes[[#This Row],[Propuesta]],Hoja2!$A$2:$G$239,7,FALSE)</f>
        <v>168175483.33490771</v>
      </c>
      <c r="L71" s="15" t="s">
        <v>120</v>
      </c>
      <c r="M71" s="15" t="s">
        <v>28</v>
      </c>
      <c r="N71" s="55">
        <f>IFERROR(VLOOKUP(Proponentes[[#This Row],[Cap Op en SMMLV]],Base!$A$15:$F$20,3),0)</f>
        <v>1</v>
      </c>
      <c r="O71" s="16">
        <f>IFERROR(VLOOKUP(Proponentes[[#This Row],[Cap Op en SMMLV]],Base!$A$15:$F$20,4),0)</f>
        <v>0.76</v>
      </c>
      <c r="P71" s="17">
        <f>IFERROR(VLOOKUP(Proponentes[[#This Row],[Cap Op en SMMLV]],Tabla2[],6),0)</f>
        <v>12.5</v>
      </c>
      <c r="Q71" s="18">
        <f>IFERROR(VLOOKUP(Proponentes[[#This Row],[Cap Op en SMMLV]],Base!$A$15:$F$20,5),0)</f>
        <v>10351450</v>
      </c>
      <c r="R71" s="18">
        <f>IFERROR(VLOOKUP(Proponentes[[#This Row],[Cap Op en SMMLV]],Tabla2[[DE]:[HASTA]],2),0)</f>
        <v>500</v>
      </c>
      <c r="S71" s="19">
        <f>IFERROR(Proponentes[[#This Row],[Activo Corriente]]/Proponentes[[#This Row],[Pasivo Corriente]],"INDETERMINADO")</f>
        <v>1.4842903626167756</v>
      </c>
      <c r="T71" s="20">
        <f>IFERROR(Proponentes[[#This Row],[Total Pasivo]]/Proponentes[[#This Row],[Total ACTIVO]],0)</f>
        <v>0.4360206552944717</v>
      </c>
      <c r="U71" s="21">
        <f>(Proponentes[[#This Row],[Activo Corriente]]-Proponentes[[#This Row],[Pasivo Corriente]])/Base!$B$3</f>
        <v>373.65779673379092</v>
      </c>
      <c r="V71" s="22">
        <f>Proponentes[[#This Row],[Activo Corriente]]-Proponentes[[#This Row],[Pasivo Corriente]]</f>
        <v>309432000</v>
      </c>
      <c r="W71" s="13">
        <f>IFERROR(VLOOKUP(Proponentes[[#This Row],[Propuesta]],Hoja2!$A$2:$G$329,7,FALSE),0)</f>
        <v>168175483.33490771</v>
      </c>
      <c r="X71" s="83">
        <f>IF(Proponentes[[#This Row],[Cap Op en Pesos]]=0,0,IF(Proponentes[[#This Row],[Cap Op en Pesos]]=0,1,Proponentes[[#This Row],[Cap Op en Pesos]]/Base!B$3))</f>
        <v>203.08203601295918</v>
      </c>
      <c r="Y7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7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7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71" s="23" t="str">
        <f>IF(AND(Proponentes[[#This Row],[Cumple
Liquidez]]="CUMPLE",Proponentes[[#This Row],[Cumple
Endeudamiento]]="CUMPLE",Proponentes[[#This Row],[Cumple
Capital de Trabajo]]="CUMPLE"),"CUMPLE","NO CUMPLE")</f>
        <v>CUMPLE</v>
      </c>
      <c r="AC71" s="24"/>
      <c r="AD71" s="10">
        <f>IF(Proponentes[[#This Row],[Liquidez
Oferente]]&lt;=1,1,IF(Proponentes[[#This Row],[Liquidez
Oferente]]&lt;=1.1,2,IF(Proponentes[[#This Row],[Liquidez
Oferente]]&lt;=1.2,3,IF(Proponentes[[#This Row],[Liquidez
Oferente]]&lt;=1.3,4,IF(Proponentes[[#This Row],[Liquidez
Oferente]]&lt;=1.4,5,6)))))</f>
        <v>6</v>
      </c>
      <c r="AE71" s="10">
        <f>IF(Proponentes[[#This Row],[Endeudamiento
Oferente]]&lt;=66%,6,IF(Proponentes[[#This Row],[Endeudamiento
Oferente]]&lt;=58,5,IF(Proponentes[[#This Row],[Endeudamiento
Oferente]]&lt;=70,4,IF(Proponentes[[#This Row],[Endeudamiento
Oferente]]&lt;=72,3,IF(Proponentes[[#This Row],[Endeudamiento
Oferente]]&lt;=74,2,1)))))</f>
        <v>6</v>
      </c>
      <c r="AF7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71" s="10">
        <f>IF(Proponentes[[#This Row],[Cap Op en SMMLV]]&lt;=500,1,IF(Proponentes[[#This Row],[Cap Op en SMMLV]]&lt;=1000,2,IF(Proponentes[[#This Row],[Cap Op en SMMLV]]&lt;=1500,3,IF(Proponentes[[#This Row],[Cap Op en SMMLV]]&lt;=2000,4,IF(Proponentes[[#This Row],[Cap Op en SMMLV]]&lt;=2500,5,6)))))</f>
        <v>1</v>
      </c>
      <c r="AH71" s="10">
        <f>MIN(Proponentes[[#This Row],[a]:[d]])</f>
        <v>1</v>
      </c>
      <c r="AI71" s="87">
        <f>IF(Proponentes[[#This Row],[e]]=Proponentes[[#This Row],[d]],Proponentes[[#This Row],[Cap Op en SMMLV]],VLOOKUP(Proponentes[[#This Row],[e]],Base!$D$1:$E$6,2,FALSE))</f>
        <v>203.08203601295918</v>
      </c>
      <c r="AJ71" s="101" t="str">
        <f>VLOOKUP(Proponentes[[#This Row],[Propuesta]],Hoja2!$A$2:$D$329,4,FALSE)</f>
        <v>CUMPLE</v>
      </c>
      <c r="AK71" s="101"/>
    </row>
    <row r="72" spans="1:37" ht="32" x14ac:dyDescent="0.2">
      <c r="A72" s="10">
        <v>71</v>
      </c>
      <c r="B72" s="11">
        <v>900774178</v>
      </c>
      <c r="C72" s="12" t="s">
        <v>122</v>
      </c>
      <c r="D72" s="13">
        <v>896051135</v>
      </c>
      <c r="E72" s="13">
        <v>191328300</v>
      </c>
      <c r="F72" s="25">
        <f>Proponentes[[#This Row],[Activo Corriente]]+Proponentes[[#This Row],[Activo NO Corriente]]</f>
        <v>1087379435</v>
      </c>
      <c r="G72" s="13">
        <v>174622855</v>
      </c>
      <c r="H72" s="13">
        <v>148638590</v>
      </c>
      <c r="I72" s="25">
        <f>Proponentes[[#This Row],[Pasivo Corriente]]+Proponentes[[#This Row],[Pasivo NO Corriente]]</f>
        <v>323261445</v>
      </c>
      <c r="J72" s="14">
        <f>Proponentes[[#This Row],[Total ACTIVO]]-Proponentes[[#This Row],[Total Pasivo]]</f>
        <v>764117990</v>
      </c>
      <c r="K72" s="48">
        <f>VLOOKUP(Proponentes[[#This Row],[Propuesta]],Hoja2!$A$2:$G$239,7,FALSE)</f>
        <v>356955322.92624134</v>
      </c>
      <c r="L72" s="15" t="s">
        <v>59</v>
      </c>
      <c r="M72" s="15" t="s">
        <v>28</v>
      </c>
      <c r="N72" s="55">
        <f>IFERROR(VLOOKUP(Proponentes[[#This Row],[Cap Op en SMMLV]],Base!$A$15:$F$20,3),0)</f>
        <v>1</v>
      </c>
      <c r="O72" s="16">
        <f>IFERROR(VLOOKUP(Proponentes[[#This Row],[Cap Op en SMMLV]],Base!$A$15:$F$20,4),0)</f>
        <v>0.76</v>
      </c>
      <c r="P72" s="17">
        <f>IFERROR(VLOOKUP(Proponentes[[#This Row],[Cap Op en SMMLV]],Tabla2[],6),0)</f>
        <v>12.5</v>
      </c>
      <c r="Q72" s="18">
        <f>IFERROR(VLOOKUP(Proponentes[[#This Row],[Cap Op en SMMLV]],Base!$A$15:$F$20,5),0)</f>
        <v>10351450</v>
      </c>
      <c r="R72" s="18">
        <f>IFERROR(VLOOKUP(Proponentes[[#This Row],[Cap Op en SMMLV]],Tabla2[[DE]:[HASTA]],2),0)</f>
        <v>500</v>
      </c>
      <c r="S72" s="19">
        <f>IFERROR(Proponentes[[#This Row],[Activo Corriente]]/Proponentes[[#This Row],[Pasivo Corriente]],"INDETERMINADO")</f>
        <v>5.1313508475164946</v>
      </c>
      <c r="T72" s="20">
        <f>IFERROR(Proponentes[[#This Row],[Total Pasivo]]/Proponentes[[#This Row],[Total ACTIVO]],0)</f>
        <v>0.29728486174653468</v>
      </c>
      <c r="U72" s="21">
        <f>(Proponentes[[#This Row],[Activo Corriente]]-Proponentes[[#This Row],[Pasivo Corriente]])/Base!$B$3</f>
        <v>871.16814552550613</v>
      </c>
      <c r="V72" s="22">
        <f>Proponentes[[#This Row],[Activo Corriente]]-Proponentes[[#This Row],[Pasivo Corriente]]</f>
        <v>721428280</v>
      </c>
      <c r="W72" s="13">
        <f>IFERROR(VLOOKUP(Proponentes[[#This Row],[Propuesta]],Hoja2!$A$2:$G$329,7,FALSE),0)</f>
        <v>356955322.92624134</v>
      </c>
      <c r="X72" s="83">
        <f>IF(Proponentes[[#This Row],[Cap Op en Pesos]]=0,0,IF(Proponentes[[#This Row],[Cap Op en Pesos]]=0,1,Proponentes[[#This Row],[Cap Op en Pesos]]/Base!B$3))</f>
        <v>431.0450745140069</v>
      </c>
      <c r="Y7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7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7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72" s="23" t="str">
        <f>IF(AND(Proponentes[[#This Row],[Cumple
Liquidez]]="CUMPLE",Proponentes[[#This Row],[Cumple
Endeudamiento]]="CUMPLE",Proponentes[[#This Row],[Cumple
Capital de Trabajo]]="CUMPLE"),"CUMPLE","NO CUMPLE")</f>
        <v>CUMPLE</v>
      </c>
      <c r="AC72" s="24"/>
      <c r="AD72" s="10">
        <f>IF(Proponentes[[#This Row],[Liquidez
Oferente]]&lt;=1,1,IF(Proponentes[[#This Row],[Liquidez
Oferente]]&lt;=1.1,2,IF(Proponentes[[#This Row],[Liquidez
Oferente]]&lt;=1.2,3,IF(Proponentes[[#This Row],[Liquidez
Oferente]]&lt;=1.3,4,IF(Proponentes[[#This Row],[Liquidez
Oferente]]&lt;=1.4,5,6)))))</f>
        <v>6</v>
      </c>
      <c r="AE72" s="10">
        <f>IF(Proponentes[[#This Row],[Endeudamiento
Oferente]]&lt;=66%,6,IF(Proponentes[[#This Row],[Endeudamiento
Oferente]]&lt;=58,5,IF(Proponentes[[#This Row],[Endeudamiento
Oferente]]&lt;=70,4,IF(Proponentes[[#This Row],[Endeudamiento
Oferente]]&lt;=72,3,IF(Proponentes[[#This Row],[Endeudamiento
Oferente]]&lt;=74,2,1)))))</f>
        <v>6</v>
      </c>
      <c r="AF7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72" s="10">
        <f>IF(Proponentes[[#This Row],[Cap Op en SMMLV]]&lt;=500,1,IF(Proponentes[[#This Row],[Cap Op en SMMLV]]&lt;=1000,2,IF(Proponentes[[#This Row],[Cap Op en SMMLV]]&lt;=1500,3,IF(Proponentes[[#This Row],[Cap Op en SMMLV]]&lt;=2000,4,IF(Proponentes[[#This Row],[Cap Op en SMMLV]]&lt;=2500,5,6)))))</f>
        <v>1</v>
      </c>
      <c r="AH72" s="10">
        <f>MIN(Proponentes[[#This Row],[a]:[d]])</f>
        <v>1</v>
      </c>
      <c r="AI72" s="87">
        <f>IF(Proponentes[[#This Row],[e]]=Proponentes[[#This Row],[d]],Proponentes[[#This Row],[Cap Op en SMMLV]],VLOOKUP(Proponentes[[#This Row],[e]],Base!$D$1:$E$6,2,FALSE))</f>
        <v>431.0450745140069</v>
      </c>
      <c r="AJ72" s="101" t="str">
        <f>VLOOKUP(Proponentes[[#This Row],[Propuesta]],Hoja2!$A$2:$D$329,4,FALSE)</f>
        <v>CUMPLE</v>
      </c>
      <c r="AK72" s="101"/>
    </row>
    <row r="73" spans="1:37" ht="16" x14ac:dyDescent="0.2">
      <c r="A73" s="10">
        <v>72</v>
      </c>
      <c r="B73" s="11">
        <v>900123224</v>
      </c>
      <c r="C73" s="12" t="s">
        <v>123</v>
      </c>
      <c r="D73" s="13">
        <v>98224541</v>
      </c>
      <c r="E73" s="13">
        <v>91656020</v>
      </c>
      <c r="F73" s="25">
        <f>Proponentes[[#This Row],[Activo Corriente]]+Proponentes[[#This Row],[Activo NO Corriente]]</f>
        <v>189880561</v>
      </c>
      <c r="G73" s="13">
        <v>1765000</v>
      </c>
      <c r="H73" s="13">
        <v>0</v>
      </c>
      <c r="I73" s="25">
        <f>Proponentes[[#This Row],[Pasivo Corriente]]+Proponentes[[#This Row],[Pasivo NO Corriente]]</f>
        <v>1765000</v>
      </c>
      <c r="J73" s="14">
        <f>Proponentes[[#This Row],[Total ACTIVO]]-Proponentes[[#This Row],[Total Pasivo]]</f>
        <v>188115561</v>
      </c>
      <c r="K73" s="48">
        <f>VLOOKUP(Proponentes[[#This Row],[Propuesta]],Hoja2!$A$2:$G$239,7,FALSE)</f>
        <v>312114779.59046626</v>
      </c>
      <c r="L73" s="15" t="s">
        <v>59</v>
      </c>
      <c r="M73" s="15" t="s">
        <v>28</v>
      </c>
      <c r="N73" s="55">
        <f>IFERROR(VLOOKUP(Proponentes[[#This Row],[Cap Op en SMMLV]],Base!$A$15:$F$20,3),0)</f>
        <v>1</v>
      </c>
      <c r="O73" s="16">
        <f>IFERROR(VLOOKUP(Proponentes[[#This Row],[Cap Op en SMMLV]],Base!$A$15:$F$20,4),0)</f>
        <v>0.76</v>
      </c>
      <c r="P73" s="17">
        <f>IFERROR(VLOOKUP(Proponentes[[#This Row],[Cap Op en SMMLV]],Tabla2[],6),0)</f>
        <v>12.5</v>
      </c>
      <c r="Q73" s="18">
        <f>IFERROR(VLOOKUP(Proponentes[[#This Row],[Cap Op en SMMLV]],Base!$A$15:$F$20,5),0)</f>
        <v>10351450</v>
      </c>
      <c r="R73" s="18">
        <f>IFERROR(VLOOKUP(Proponentes[[#This Row],[Cap Op en SMMLV]],Tabla2[[DE]:[HASTA]],2),0)</f>
        <v>500</v>
      </c>
      <c r="S73" s="19">
        <f>IFERROR(Proponentes[[#This Row],[Activo Corriente]]/Proponentes[[#This Row],[Pasivo Corriente]],"INDETERMINADO")</f>
        <v>55.651298016997167</v>
      </c>
      <c r="T73" s="20">
        <f>IFERROR(Proponentes[[#This Row],[Total Pasivo]]/Proponentes[[#This Row],[Total ACTIVO]],0)</f>
        <v>9.2953169650683721E-3</v>
      </c>
      <c r="U73" s="21">
        <f>(Proponentes[[#This Row],[Activo Corriente]]-Proponentes[[#This Row],[Pasivo Corriente]])/Base!$B$3</f>
        <v>116.48071163943216</v>
      </c>
      <c r="V73" s="22">
        <f>Proponentes[[#This Row],[Activo Corriente]]-Proponentes[[#This Row],[Pasivo Corriente]]</f>
        <v>96459541</v>
      </c>
      <c r="W73" s="13">
        <f>IFERROR(VLOOKUP(Proponentes[[#This Row],[Propuesta]],Hoja2!$A$2:$G$329,7,FALSE),0)</f>
        <v>312114779.59046626</v>
      </c>
      <c r="X73" s="83">
        <f>IF(Proponentes[[#This Row],[Cap Op en Pesos]]=0,0,IF(Proponentes[[#This Row],[Cap Op en Pesos]]=0,1,Proponentes[[#This Row],[Cap Op en Pesos]]/Base!B$3))</f>
        <v>376.89741484341113</v>
      </c>
      <c r="Y7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7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7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73" s="23" t="str">
        <f>IF(AND(Proponentes[[#This Row],[Cumple
Liquidez]]="CUMPLE",Proponentes[[#This Row],[Cumple
Endeudamiento]]="CUMPLE",Proponentes[[#This Row],[Cumple
Capital de Trabajo]]="CUMPLE"),"CUMPLE","NO CUMPLE")</f>
        <v>CUMPLE</v>
      </c>
      <c r="AC73" s="24"/>
      <c r="AD73" s="10">
        <f>IF(Proponentes[[#This Row],[Liquidez
Oferente]]&lt;=1,1,IF(Proponentes[[#This Row],[Liquidez
Oferente]]&lt;=1.1,2,IF(Proponentes[[#This Row],[Liquidez
Oferente]]&lt;=1.2,3,IF(Proponentes[[#This Row],[Liquidez
Oferente]]&lt;=1.3,4,IF(Proponentes[[#This Row],[Liquidez
Oferente]]&lt;=1.4,5,6)))))</f>
        <v>6</v>
      </c>
      <c r="AE73" s="10">
        <f>IF(Proponentes[[#This Row],[Endeudamiento
Oferente]]&lt;=66%,6,IF(Proponentes[[#This Row],[Endeudamiento
Oferente]]&lt;=58,5,IF(Proponentes[[#This Row],[Endeudamiento
Oferente]]&lt;=70,4,IF(Proponentes[[#This Row],[Endeudamiento
Oferente]]&lt;=72,3,IF(Proponentes[[#This Row],[Endeudamiento
Oferente]]&lt;=74,2,1)))))</f>
        <v>6</v>
      </c>
      <c r="AF7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73" s="10">
        <f>IF(Proponentes[[#This Row],[Cap Op en SMMLV]]&lt;=500,1,IF(Proponentes[[#This Row],[Cap Op en SMMLV]]&lt;=1000,2,IF(Proponentes[[#This Row],[Cap Op en SMMLV]]&lt;=1500,3,IF(Proponentes[[#This Row],[Cap Op en SMMLV]]&lt;=2000,4,IF(Proponentes[[#This Row],[Cap Op en SMMLV]]&lt;=2500,5,6)))))</f>
        <v>1</v>
      </c>
      <c r="AH73" s="10">
        <f>MIN(Proponentes[[#This Row],[a]:[d]])</f>
        <v>1</v>
      </c>
      <c r="AI73" s="87">
        <f>IF(Proponentes[[#This Row],[e]]=Proponentes[[#This Row],[d]],Proponentes[[#This Row],[Cap Op en SMMLV]],VLOOKUP(Proponentes[[#This Row],[e]],Base!$D$1:$E$6,2,FALSE))</f>
        <v>376.89741484341113</v>
      </c>
      <c r="AJ73" s="101" t="str">
        <f>VLOOKUP(Proponentes[[#This Row],[Propuesta]],Hoja2!$A$2:$D$329,4,FALSE)</f>
        <v>NO CUMPLE</v>
      </c>
      <c r="AK73" s="101"/>
    </row>
    <row r="74" spans="1:37" ht="32" x14ac:dyDescent="0.2">
      <c r="A74" s="10">
        <v>73</v>
      </c>
      <c r="B74" s="11">
        <v>805017786</v>
      </c>
      <c r="C74" s="12" t="s">
        <v>124</v>
      </c>
      <c r="D74" s="13">
        <v>182559719</v>
      </c>
      <c r="E74" s="13">
        <v>48039229</v>
      </c>
      <c r="F74" s="25">
        <f>Proponentes[[#This Row],[Activo Corriente]]+Proponentes[[#This Row],[Activo NO Corriente]]</f>
        <v>230598948</v>
      </c>
      <c r="G74" s="13">
        <v>38756232</v>
      </c>
      <c r="H74" s="13">
        <v>0</v>
      </c>
      <c r="I74" s="25">
        <f>Proponentes[[#This Row],[Pasivo Corriente]]+Proponentes[[#This Row],[Pasivo NO Corriente]]</f>
        <v>38756232</v>
      </c>
      <c r="J74" s="14">
        <f>Proponentes[[#This Row],[Total ACTIVO]]-Proponentes[[#This Row],[Total Pasivo]]</f>
        <v>191842716</v>
      </c>
      <c r="K74" s="48">
        <f>VLOOKUP(Proponentes[[#This Row],[Propuesta]],Hoja2!$A$2:$G$239,7,FALSE)</f>
        <v>135686348.17678836</v>
      </c>
      <c r="L74" s="15" t="s">
        <v>59</v>
      </c>
      <c r="M74" s="15" t="s">
        <v>28</v>
      </c>
      <c r="N74" s="55">
        <f>IFERROR(VLOOKUP(Proponentes[[#This Row],[Cap Op en SMMLV]],Base!$A$15:$F$20,3),0)</f>
        <v>1</v>
      </c>
      <c r="O74" s="16">
        <f>IFERROR(VLOOKUP(Proponentes[[#This Row],[Cap Op en SMMLV]],Base!$A$15:$F$20,4),0)</f>
        <v>0.76</v>
      </c>
      <c r="P74" s="17">
        <f>IFERROR(VLOOKUP(Proponentes[[#This Row],[Cap Op en SMMLV]],Tabla2[],6),0)</f>
        <v>12.5</v>
      </c>
      <c r="Q74" s="18">
        <f>IFERROR(VLOOKUP(Proponentes[[#This Row],[Cap Op en SMMLV]],Base!$A$15:$F$20,5),0)</f>
        <v>10351450</v>
      </c>
      <c r="R74" s="18">
        <f>IFERROR(VLOOKUP(Proponentes[[#This Row],[Cap Op en SMMLV]],Tabla2[[DE]:[HASTA]],2),0)</f>
        <v>500</v>
      </c>
      <c r="S74" s="19">
        <f>IFERROR(Proponentes[[#This Row],[Activo Corriente]]/Proponentes[[#This Row],[Pasivo Corriente]],"INDETERMINADO")</f>
        <v>4.7104609911510487</v>
      </c>
      <c r="T74" s="20">
        <f>IFERROR(Proponentes[[#This Row],[Total Pasivo]]/Proponentes[[#This Row],[Total ACTIVO]],0)</f>
        <v>0.16806768780228781</v>
      </c>
      <c r="U74" s="21">
        <f>(Proponentes[[#This Row],[Activo Corriente]]-Proponentes[[#This Row],[Pasivo Corriente]])/Base!$B$3</f>
        <v>173.65138096595163</v>
      </c>
      <c r="V74" s="22">
        <f>Proponentes[[#This Row],[Activo Corriente]]-Proponentes[[#This Row],[Pasivo Corriente]]</f>
        <v>143803487</v>
      </c>
      <c r="W74" s="13">
        <f>IFERROR(VLOOKUP(Proponentes[[#This Row],[Propuesta]],Hoja2!$A$2:$G$329,7,FALSE),0)</f>
        <v>135686348.17678836</v>
      </c>
      <c r="X74" s="83">
        <f>IF(Proponentes[[#This Row],[Cap Op en Pesos]]=0,0,IF(Proponentes[[#This Row],[Cap Op en Pesos]]=0,1,Proponentes[[#This Row],[Cap Op en Pesos]]/Base!B$3))</f>
        <v>163.84944642633201</v>
      </c>
      <c r="Y7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7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7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74" s="23" t="str">
        <f>IF(AND(Proponentes[[#This Row],[Cumple
Liquidez]]="CUMPLE",Proponentes[[#This Row],[Cumple
Endeudamiento]]="CUMPLE",Proponentes[[#This Row],[Cumple
Capital de Trabajo]]="CUMPLE"),"CUMPLE","NO CUMPLE")</f>
        <v>CUMPLE</v>
      </c>
      <c r="AC74" s="24"/>
      <c r="AD74" s="10">
        <f>IF(Proponentes[[#This Row],[Liquidez
Oferente]]&lt;=1,1,IF(Proponentes[[#This Row],[Liquidez
Oferente]]&lt;=1.1,2,IF(Proponentes[[#This Row],[Liquidez
Oferente]]&lt;=1.2,3,IF(Proponentes[[#This Row],[Liquidez
Oferente]]&lt;=1.3,4,IF(Proponentes[[#This Row],[Liquidez
Oferente]]&lt;=1.4,5,6)))))</f>
        <v>6</v>
      </c>
      <c r="AE74" s="10">
        <f>IF(Proponentes[[#This Row],[Endeudamiento
Oferente]]&lt;=66%,6,IF(Proponentes[[#This Row],[Endeudamiento
Oferente]]&lt;=58,5,IF(Proponentes[[#This Row],[Endeudamiento
Oferente]]&lt;=70,4,IF(Proponentes[[#This Row],[Endeudamiento
Oferente]]&lt;=72,3,IF(Proponentes[[#This Row],[Endeudamiento
Oferente]]&lt;=74,2,1)))))</f>
        <v>6</v>
      </c>
      <c r="AF7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74" s="10">
        <f>IF(Proponentes[[#This Row],[Cap Op en SMMLV]]&lt;=500,1,IF(Proponentes[[#This Row],[Cap Op en SMMLV]]&lt;=1000,2,IF(Proponentes[[#This Row],[Cap Op en SMMLV]]&lt;=1500,3,IF(Proponentes[[#This Row],[Cap Op en SMMLV]]&lt;=2000,4,IF(Proponentes[[#This Row],[Cap Op en SMMLV]]&lt;=2500,5,6)))))</f>
        <v>1</v>
      </c>
      <c r="AH74" s="10">
        <f>MIN(Proponentes[[#This Row],[a]:[d]])</f>
        <v>1</v>
      </c>
      <c r="AI74" s="87">
        <f>IF(Proponentes[[#This Row],[e]]=Proponentes[[#This Row],[d]],Proponentes[[#This Row],[Cap Op en SMMLV]],VLOOKUP(Proponentes[[#This Row],[e]],Base!$D$1:$E$6,2,FALSE))</f>
        <v>163.84944642633201</v>
      </c>
      <c r="AJ74" s="101" t="str">
        <f>VLOOKUP(Proponentes[[#This Row],[Propuesta]],Hoja2!$A$2:$D$329,4,FALSE)</f>
        <v>CUMPLE</v>
      </c>
      <c r="AK74" s="101"/>
    </row>
    <row r="75" spans="1:37" ht="16" x14ac:dyDescent="0.2">
      <c r="A75" s="10">
        <v>74</v>
      </c>
      <c r="B75" s="11">
        <v>900497866</v>
      </c>
      <c r="C75" s="12" t="s">
        <v>125</v>
      </c>
      <c r="D75" s="13">
        <v>91712423</v>
      </c>
      <c r="E75" s="13">
        <v>69332624</v>
      </c>
      <c r="F75" s="25">
        <f>Proponentes[[#This Row],[Activo Corriente]]+Proponentes[[#This Row],[Activo NO Corriente]]</f>
        <v>161045047</v>
      </c>
      <c r="G75" s="13">
        <v>26059280</v>
      </c>
      <c r="H75" s="13">
        <v>0</v>
      </c>
      <c r="I75" s="25">
        <f>Proponentes[[#This Row],[Pasivo Corriente]]+Proponentes[[#This Row],[Pasivo NO Corriente]]</f>
        <v>26059280</v>
      </c>
      <c r="J75" s="14">
        <f>Proponentes[[#This Row],[Total ACTIVO]]-Proponentes[[#This Row],[Total Pasivo]]</f>
        <v>134985767</v>
      </c>
      <c r="K75" s="48">
        <f>VLOOKUP(Proponentes[[#This Row],[Propuesta]],Hoja2!$A$2:$G$239,7,FALSE)</f>
        <v>0</v>
      </c>
      <c r="L75" s="15" t="s">
        <v>59</v>
      </c>
      <c r="M75" s="15" t="s">
        <v>28</v>
      </c>
      <c r="N75" s="55">
        <f>IFERROR(VLOOKUP(Proponentes[[#This Row],[Cap Op en SMMLV]],Base!$A$15:$F$20,3),0)</f>
        <v>0</v>
      </c>
      <c r="O75" s="16">
        <f>IFERROR(VLOOKUP(Proponentes[[#This Row],[Cap Op en SMMLV]],Base!$A$15:$F$20,4),0)</f>
        <v>0</v>
      </c>
      <c r="P75" s="17">
        <f>IFERROR(VLOOKUP(Proponentes[[#This Row],[Cap Op en SMMLV]],Tabla2[],6),0)</f>
        <v>0</v>
      </c>
      <c r="Q75" s="18">
        <f>IFERROR(VLOOKUP(Proponentes[[#This Row],[Cap Op en SMMLV]],Base!$A$15:$F$20,5),0)</f>
        <v>0</v>
      </c>
      <c r="R75" s="18">
        <f>IFERROR(VLOOKUP(Proponentes[[#This Row],[Cap Op en SMMLV]],Tabla2[[DE]:[HASTA]],2),0)</f>
        <v>0</v>
      </c>
      <c r="S75" s="19">
        <f>IFERROR(Proponentes[[#This Row],[Activo Corriente]]/Proponentes[[#This Row],[Pasivo Corriente]],"INDETERMINADO")</f>
        <v>3.5193767057263288</v>
      </c>
      <c r="T75" s="20">
        <f>IFERROR(Proponentes[[#This Row],[Total Pasivo]]/Proponentes[[#This Row],[Total ACTIVO]],0)</f>
        <v>0.16181360734428549</v>
      </c>
      <c r="U75" s="21">
        <f>(Proponentes[[#This Row],[Activo Corriente]]-Proponentes[[#This Row],[Pasivo Corriente]])/Base!$B$3</f>
        <v>79.280128629322462</v>
      </c>
      <c r="V75" s="22">
        <f>Proponentes[[#This Row],[Activo Corriente]]-Proponentes[[#This Row],[Pasivo Corriente]]</f>
        <v>65653143</v>
      </c>
      <c r="W75" s="13">
        <f>IFERROR(VLOOKUP(Proponentes[[#This Row],[Propuesta]],Hoja2!$A$2:$G$329,7,FALSE),0)</f>
        <v>0</v>
      </c>
      <c r="X75" s="83">
        <f>IF(Proponentes[[#This Row],[Cap Op en Pesos]]=0,0,IF(Proponentes[[#This Row],[Cap Op en Pesos]]=0,1,Proponentes[[#This Row],[Cap Op en Pesos]]/Base!B$3))</f>
        <v>0</v>
      </c>
      <c r="Y7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7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7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75" s="23" t="str">
        <f>IF(AND(Proponentes[[#This Row],[Cumple
Liquidez]]="CUMPLE",Proponentes[[#This Row],[Cumple
Endeudamiento]]="CUMPLE",Proponentes[[#This Row],[Cumple
Capital de Trabajo]]="CUMPLE"),"CUMPLE","NO CUMPLE")</f>
        <v>NO CUMPLE</v>
      </c>
      <c r="AC75" s="24"/>
      <c r="AD75" s="10">
        <f>IF(Proponentes[[#This Row],[Liquidez
Oferente]]&lt;=1,1,IF(Proponentes[[#This Row],[Liquidez
Oferente]]&lt;=1.1,2,IF(Proponentes[[#This Row],[Liquidez
Oferente]]&lt;=1.2,3,IF(Proponentes[[#This Row],[Liquidez
Oferente]]&lt;=1.3,4,IF(Proponentes[[#This Row],[Liquidez
Oferente]]&lt;=1.4,5,6)))))</f>
        <v>6</v>
      </c>
      <c r="AE75" s="10">
        <f>IF(Proponentes[[#This Row],[Endeudamiento
Oferente]]&lt;=66%,6,IF(Proponentes[[#This Row],[Endeudamiento
Oferente]]&lt;=58,5,IF(Proponentes[[#This Row],[Endeudamiento
Oferente]]&lt;=70,4,IF(Proponentes[[#This Row],[Endeudamiento
Oferente]]&lt;=72,3,IF(Proponentes[[#This Row],[Endeudamiento
Oferente]]&lt;=74,2,1)))))</f>
        <v>6</v>
      </c>
      <c r="AF7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75" s="10">
        <f>IF(Proponentes[[#This Row],[Cap Op en SMMLV]]&lt;=500,1,IF(Proponentes[[#This Row],[Cap Op en SMMLV]]&lt;=1000,2,IF(Proponentes[[#This Row],[Cap Op en SMMLV]]&lt;=1500,3,IF(Proponentes[[#This Row],[Cap Op en SMMLV]]&lt;=2000,4,IF(Proponentes[[#This Row],[Cap Op en SMMLV]]&lt;=2500,5,6)))))</f>
        <v>1</v>
      </c>
      <c r="AH75" s="10">
        <f>MIN(Proponentes[[#This Row],[a]:[d]])</f>
        <v>1</v>
      </c>
      <c r="AI75" s="87">
        <f>IF(Proponentes[[#This Row],[e]]=Proponentes[[#This Row],[d]],Proponentes[[#This Row],[Cap Op en SMMLV]],VLOOKUP(Proponentes[[#This Row],[e]],Base!$D$1:$E$6,2,FALSE))</f>
        <v>0</v>
      </c>
      <c r="AJ75" s="101" t="str">
        <f>VLOOKUP(Proponentes[[#This Row],[Propuesta]],Hoja2!$A$2:$D$329,4,FALSE)</f>
        <v>NO CUMPLE</v>
      </c>
      <c r="AK75" s="101"/>
    </row>
    <row r="76" spans="1:37" ht="16" x14ac:dyDescent="0.2">
      <c r="A76" s="10">
        <v>75</v>
      </c>
      <c r="B76" s="11">
        <v>900912376</v>
      </c>
      <c r="C76" s="12" t="s">
        <v>126</v>
      </c>
      <c r="D76" s="13">
        <v>355391331</v>
      </c>
      <c r="E76" s="13">
        <v>24171248</v>
      </c>
      <c r="F76" s="25">
        <f>Proponentes[[#This Row],[Activo Corriente]]+Proponentes[[#This Row],[Activo NO Corriente]]</f>
        <v>379562579</v>
      </c>
      <c r="G76" s="13">
        <v>284964520</v>
      </c>
      <c r="H76" s="13">
        <v>0</v>
      </c>
      <c r="I76" s="25">
        <f>Proponentes[[#This Row],[Pasivo Corriente]]+Proponentes[[#This Row],[Pasivo NO Corriente]]</f>
        <v>284964520</v>
      </c>
      <c r="J76" s="14">
        <f>Proponentes[[#This Row],[Total ACTIVO]]-Proponentes[[#This Row],[Total Pasivo]]</f>
        <v>94598059</v>
      </c>
      <c r="K76" s="48">
        <f>VLOOKUP(Proponentes[[#This Row],[Propuesta]],Hoja2!$A$2:$G$239,7,FALSE)</f>
        <v>544391000.02570879</v>
      </c>
      <c r="L76" s="15" t="s">
        <v>59</v>
      </c>
      <c r="M76" s="15" t="s">
        <v>28</v>
      </c>
      <c r="N76" s="55">
        <f>IFERROR(VLOOKUP(Proponentes[[#This Row],[Cap Op en SMMLV]],Base!$A$15:$F$20,3),0)</f>
        <v>1.1000000000000001</v>
      </c>
      <c r="O76" s="16">
        <f>IFERROR(VLOOKUP(Proponentes[[#This Row],[Cap Op en SMMLV]],Base!$A$15:$F$20,4),0)</f>
        <v>0.74</v>
      </c>
      <c r="P76" s="17">
        <f>IFERROR(VLOOKUP(Proponentes[[#This Row],[Cap Op en SMMLV]],Tabla2[],6),0)</f>
        <v>25</v>
      </c>
      <c r="Q76" s="18">
        <f>IFERROR(VLOOKUP(Proponentes[[#This Row],[Cap Op en SMMLV]],Base!$A$15:$F$20,5),0)</f>
        <v>20702900</v>
      </c>
      <c r="R76" s="18">
        <f>IFERROR(VLOOKUP(Proponentes[[#This Row],[Cap Op en SMMLV]],Tabla2[[DE]:[HASTA]],2),0)</f>
        <v>1000</v>
      </c>
      <c r="S76" s="19">
        <f>IFERROR(Proponentes[[#This Row],[Activo Corriente]]/Proponentes[[#This Row],[Pasivo Corriente]],"INDETERMINADO")</f>
        <v>1.2471423846028271</v>
      </c>
      <c r="T76" s="20">
        <f>IFERROR(Proponentes[[#This Row],[Total Pasivo]]/Proponentes[[#This Row],[Total ACTIVO]],0)</f>
        <v>0.75077084983132647</v>
      </c>
      <c r="U76" s="21">
        <f>(Proponentes[[#This Row],[Activo Corriente]]-Proponentes[[#This Row],[Pasivo Corriente]])/Base!$B$3</f>
        <v>85.044620560404582</v>
      </c>
      <c r="V76" s="22">
        <f>Proponentes[[#This Row],[Activo Corriente]]-Proponentes[[#This Row],[Pasivo Corriente]]</f>
        <v>70426811</v>
      </c>
      <c r="W76" s="13">
        <f>IFERROR(VLOOKUP(Proponentes[[#This Row],[Propuesta]],Hoja2!$A$2:$G$329,7,FALSE),0)</f>
        <v>544391000.02570879</v>
      </c>
      <c r="X76" s="83">
        <f>IF(Proponentes[[#This Row],[Cap Op en Pesos]]=0,0,IF(Proponentes[[#This Row],[Cap Op en Pesos]]=0,1,Proponentes[[#This Row],[Cap Op en Pesos]]/Base!B$3))</f>
        <v>657.38495576188461</v>
      </c>
      <c r="Y7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7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7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76" s="23" t="str">
        <f>IF(AND(Proponentes[[#This Row],[Cumple
Liquidez]]="CUMPLE",Proponentes[[#This Row],[Cumple
Endeudamiento]]="CUMPLE",Proponentes[[#This Row],[Cumple
Capital de Trabajo]]="CUMPLE"),"CUMPLE","NO CUMPLE")</f>
        <v>NO CUMPLE</v>
      </c>
      <c r="AC76" s="24"/>
      <c r="AD76" s="10">
        <f>IF(Proponentes[[#This Row],[Liquidez
Oferente]]&lt;=1,1,IF(Proponentes[[#This Row],[Liquidez
Oferente]]&lt;=1.1,2,IF(Proponentes[[#This Row],[Liquidez
Oferente]]&lt;=1.2,3,IF(Proponentes[[#This Row],[Liquidez
Oferente]]&lt;=1.3,4,IF(Proponentes[[#This Row],[Liquidez
Oferente]]&lt;=1.4,5,6)))))</f>
        <v>4</v>
      </c>
      <c r="AE76" s="10">
        <f>IF(Proponentes[[#This Row],[Endeudamiento
Oferente]]&lt;=66%,6,IF(Proponentes[[#This Row],[Endeudamiento
Oferente]]&lt;=58,5,IF(Proponentes[[#This Row],[Endeudamiento
Oferente]]&lt;=70,4,IF(Proponentes[[#This Row],[Endeudamiento
Oferente]]&lt;=72,3,IF(Proponentes[[#This Row],[Endeudamiento
Oferente]]&lt;=74,2,1)))))</f>
        <v>5</v>
      </c>
      <c r="AF7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76" s="10">
        <f>IF(Proponentes[[#This Row],[Cap Op en SMMLV]]&lt;=500,1,IF(Proponentes[[#This Row],[Cap Op en SMMLV]]&lt;=1000,2,IF(Proponentes[[#This Row],[Cap Op en SMMLV]]&lt;=1500,3,IF(Proponentes[[#This Row],[Cap Op en SMMLV]]&lt;=2000,4,IF(Proponentes[[#This Row],[Cap Op en SMMLV]]&lt;=2500,5,6)))))</f>
        <v>2</v>
      </c>
      <c r="AH76" s="10">
        <f>MIN(Proponentes[[#This Row],[a]:[d]])</f>
        <v>2</v>
      </c>
      <c r="AI76" s="87">
        <f>IF(Proponentes[[#This Row],[e]]=Proponentes[[#This Row],[d]],Proponentes[[#This Row],[Cap Op en SMMLV]],VLOOKUP(Proponentes[[#This Row],[e]],Base!$D$1:$E$6,2,FALSE))</f>
        <v>657.38495576188461</v>
      </c>
      <c r="AJ76" s="101" t="str">
        <f>VLOOKUP(Proponentes[[#This Row],[Propuesta]],Hoja2!$A$2:$D$329,4,FALSE)</f>
        <v>NO CUMPLE</v>
      </c>
      <c r="AK76" s="101"/>
    </row>
    <row r="77" spans="1:37" ht="16" x14ac:dyDescent="0.2">
      <c r="A77" s="10">
        <v>76</v>
      </c>
      <c r="B77" s="11">
        <v>900414120</v>
      </c>
      <c r="C77" s="12" t="s">
        <v>475</v>
      </c>
      <c r="D77" s="13">
        <v>1955945000</v>
      </c>
      <c r="E77" s="13">
        <v>340260375</v>
      </c>
      <c r="F77" s="25">
        <f>Proponentes[[#This Row],[Activo Corriente]]+Proponentes[[#This Row],[Activo NO Corriente]]</f>
        <v>2296205375</v>
      </c>
      <c r="G77" s="13">
        <v>70000000</v>
      </c>
      <c r="H77" s="13">
        <v>0</v>
      </c>
      <c r="I77" s="25">
        <f>Proponentes[[#This Row],[Pasivo Corriente]]+Proponentes[[#This Row],[Pasivo NO Corriente]]</f>
        <v>70000000</v>
      </c>
      <c r="J77" s="14">
        <f>Proponentes[[#This Row],[Total ACTIVO]]-Proponentes[[#This Row],[Total Pasivo]]</f>
        <v>2226205375</v>
      </c>
      <c r="K77" s="48">
        <f>VLOOKUP(Proponentes[[#This Row],[Propuesta]],Hoja2!$A$2:$G$239,7,FALSE)</f>
        <v>536051565.89344043</v>
      </c>
      <c r="L77" s="15" t="s">
        <v>27</v>
      </c>
      <c r="M77" s="15" t="s">
        <v>28</v>
      </c>
      <c r="N77" s="55">
        <f>IFERROR(VLOOKUP(Proponentes[[#This Row],[Cap Op en SMMLV]],Base!$A$15:$F$20,3),0)</f>
        <v>1.1000000000000001</v>
      </c>
      <c r="O77" s="16">
        <f>IFERROR(VLOOKUP(Proponentes[[#This Row],[Cap Op en SMMLV]],Base!$A$15:$F$20,4),0)</f>
        <v>0.74</v>
      </c>
      <c r="P77" s="17">
        <f>IFERROR(VLOOKUP(Proponentes[[#This Row],[Cap Op en SMMLV]],Tabla2[],6),0)</f>
        <v>25</v>
      </c>
      <c r="Q77" s="18">
        <f>IFERROR(VLOOKUP(Proponentes[[#This Row],[Cap Op en SMMLV]],Base!$A$15:$F$20,5),0)</f>
        <v>20702900</v>
      </c>
      <c r="R77" s="18">
        <f>IFERROR(VLOOKUP(Proponentes[[#This Row],[Cap Op en SMMLV]],Tabla2[[DE]:[HASTA]],2),0)</f>
        <v>1000</v>
      </c>
      <c r="S77" s="19">
        <f>IFERROR(Proponentes[[#This Row],[Activo Corriente]]/Proponentes[[#This Row],[Pasivo Corriente]],"INDETERMINADO")</f>
        <v>27.942071428571428</v>
      </c>
      <c r="T77" s="20">
        <f>IFERROR(Proponentes[[#This Row],[Total Pasivo]]/Proponentes[[#This Row],[Total ACTIVO]],0)</f>
        <v>3.0485078017030598E-2</v>
      </c>
      <c r="U77" s="21">
        <f>(Proponentes[[#This Row],[Activo Corriente]]-Proponentes[[#This Row],[Pasivo Corriente]])/Base!$B$3</f>
        <v>2277.3922976974241</v>
      </c>
      <c r="V77" s="22">
        <f>Proponentes[[#This Row],[Activo Corriente]]-Proponentes[[#This Row],[Pasivo Corriente]]</f>
        <v>1885945000</v>
      </c>
      <c r="W77" s="13">
        <f>IFERROR(VLOOKUP(Proponentes[[#This Row],[Propuesta]],Hoja2!$A$2:$G$329,7,FALSE),0)</f>
        <v>536051565.89344043</v>
      </c>
      <c r="X77" s="83">
        <f>IF(Proponentes[[#This Row],[Cap Op en Pesos]]=0,0,IF(Proponentes[[#This Row],[Cap Op en Pesos]]=0,1,Proponentes[[#This Row],[Cap Op en Pesos]]/Base!B$3))</f>
        <v>647.31458623361993</v>
      </c>
      <c r="Y7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7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7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77" s="23" t="str">
        <f>IF(AND(Proponentes[[#This Row],[Cumple
Liquidez]]="CUMPLE",Proponentes[[#This Row],[Cumple
Endeudamiento]]="CUMPLE",Proponentes[[#This Row],[Cumple
Capital de Trabajo]]="CUMPLE"),"CUMPLE","NO CUMPLE")</f>
        <v>CUMPLE</v>
      </c>
      <c r="AC77" s="24"/>
      <c r="AD77" s="10">
        <f>IF(Proponentes[[#This Row],[Liquidez
Oferente]]&lt;=1,1,IF(Proponentes[[#This Row],[Liquidez
Oferente]]&lt;=1.1,2,IF(Proponentes[[#This Row],[Liquidez
Oferente]]&lt;=1.2,3,IF(Proponentes[[#This Row],[Liquidez
Oferente]]&lt;=1.3,4,IF(Proponentes[[#This Row],[Liquidez
Oferente]]&lt;=1.4,5,6)))))</f>
        <v>6</v>
      </c>
      <c r="AE77" s="10">
        <f>IF(Proponentes[[#This Row],[Endeudamiento
Oferente]]&lt;=66%,6,IF(Proponentes[[#This Row],[Endeudamiento
Oferente]]&lt;=58,5,IF(Proponentes[[#This Row],[Endeudamiento
Oferente]]&lt;=70,4,IF(Proponentes[[#This Row],[Endeudamiento
Oferente]]&lt;=72,3,IF(Proponentes[[#This Row],[Endeudamiento
Oferente]]&lt;=74,2,1)))))</f>
        <v>6</v>
      </c>
      <c r="AF7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77" s="10">
        <f>IF(Proponentes[[#This Row],[Cap Op en SMMLV]]&lt;=500,1,IF(Proponentes[[#This Row],[Cap Op en SMMLV]]&lt;=1000,2,IF(Proponentes[[#This Row],[Cap Op en SMMLV]]&lt;=1500,3,IF(Proponentes[[#This Row],[Cap Op en SMMLV]]&lt;=2000,4,IF(Proponentes[[#This Row],[Cap Op en SMMLV]]&lt;=2500,5,6)))))</f>
        <v>2</v>
      </c>
      <c r="AH77" s="10">
        <f>MIN(Proponentes[[#This Row],[a]:[d]])</f>
        <v>2</v>
      </c>
      <c r="AI77" s="87">
        <f>IF(Proponentes[[#This Row],[e]]=Proponentes[[#This Row],[d]],Proponentes[[#This Row],[Cap Op en SMMLV]],VLOOKUP(Proponentes[[#This Row],[e]],Base!$D$1:$E$6,2,FALSE))</f>
        <v>647.31458623361993</v>
      </c>
      <c r="AJ77" s="101" t="str">
        <f>VLOOKUP(Proponentes[[#This Row],[Propuesta]],Hoja2!$A$2:$D$329,4,FALSE)</f>
        <v>CUMPLE</v>
      </c>
      <c r="AK77" s="101"/>
    </row>
    <row r="78" spans="1:37" ht="16" x14ac:dyDescent="0.2">
      <c r="A78" s="10">
        <v>77</v>
      </c>
      <c r="B78" s="11">
        <v>900254067</v>
      </c>
      <c r="C78" s="12" t="s">
        <v>127</v>
      </c>
      <c r="D78" s="13">
        <v>857985239</v>
      </c>
      <c r="E78" s="13">
        <v>26314667</v>
      </c>
      <c r="F78" s="25">
        <f>Proponentes[[#This Row],[Activo Corriente]]+Proponentes[[#This Row],[Activo NO Corriente]]</f>
        <v>884299906</v>
      </c>
      <c r="G78" s="13">
        <v>505705635</v>
      </c>
      <c r="H78" s="13">
        <v>0</v>
      </c>
      <c r="I78" s="25">
        <f>Proponentes[[#This Row],[Pasivo Corriente]]+Proponentes[[#This Row],[Pasivo NO Corriente]]</f>
        <v>505705635</v>
      </c>
      <c r="J78" s="14">
        <f>Proponentes[[#This Row],[Total ACTIVO]]-Proponentes[[#This Row],[Total Pasivo]]</f>
        <v>378594271</v>
      </c>
      <c r="K78" s="48">
        <f>VLOOKUP(Proponentes[[#This Row],[Propuesta]],Hoja2!$A$2:$G$239,7,FALSE)</f>
        <v>1011156211.6874794</v>
      </c>
      <c r="L78" s="15" t="s">
        <v>59</v>
      </c>
      <c r="M78" s="15" t="s">
        <v>28</v>
      </c>
      <c r="N78" s="55">
        <f>IFERROR(VLOOKUP(Proponentes[[#This Row],[Cap Op en SMMLV]],Base!$A$15:$F$20,3),0)</f>
        <v>1.2</v>
      </c>
      <c r="O78" s="16">
        <f>IFERROR(VLOOKUP(Proponentes[[#This Row],[Cap Op en SMMLV]],Base!$A$15:$F$20,4),0)</f>
        <v>0.72</v>
      </c>
      <c r="P78" s="17">
        <f>IFERROR(VLOOKUP(Proponentes[[#This Row],[Cap Op en SMMLV]],Tabla2[],6),0)</f>
        <v>37.5</v>
      </c>
      <c r="Q78" s="18">
        <f>IFERROR(VLOOKUP(Proponentes[[#This Row],[Cap Op en SMMLV]],Base!$A$15:$F$20,5),0)</f>
        <v>31054350</v>
      </c>
      <c r="R78" s="18">
        <f>IFERROR(VLOOKUP(Proponentes[[#This Row],[Cap Op en SMMLV]],Tabla2[[DE]:[HASTA]],2),0)</f>
        <v>1500</v>
      </c>
      <c r="S78" s="19">
        <f>IFERROR(Proponentes[[#This Row],[Activo Corriente]]/Proponentes[[#This Row],[Pasivo Corriente]],"INDETERMINADO")</f>
        <v>1.6966100031691362</v>
      </c>
      <c r="T78" s="20">
        <f>IFERROR(Proponentes[[#This Row],[Total Pasivo]]/Proponentes[[#This Row],[Total ACTIVO]],0)</f>
        <v>0.57187118484212529</v>
      </c>
      <c r="U78" s="21">
        <f>(Proponentes[[#This Row],[Activo Corriente]]-Proponentes[[#This Row],[Pasivo Corriente]])/Base!$B$3</f>
        <v>425.3988619951794</v>
      </c>
      <c r="V78" s="22">
        <f>Proponentes[[#This Row],[Activo Corriente]]-Proponentes[[#This Row],[Pasivo Corriente]]</f>
        <v>352279604</v>
      </c>
      <c r="W78" s="13">
        <f>IFERROR(VLOOKUP(Proponentes[[#This Row],[Propuesta]],Hoja2!$A$2:$G$329,7,FALSE),0)</f>
        <v>1011156211.6874794</v>
      </c>
      <c r="X78" s="83">
        <f>IF(Proponentes[[#This Row],[Cap Op en Pesos]]=0,0,IF(Proponentes[[#This Row],[Cap Op en Pesos]]=0,1,Proponentes[[#This Row],[Cap Op en Pesos]]/Base!B$3))</f>
        <v>1221.0320917449721</v>
      </c>
      <c r="Y7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7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7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78" s="23" t="str">
        <f>IF(AND(Proponentes[[#This Row],[Cumple
Liquidez]]="CUMPLE",Proponentes[[#This Row],[Cumple
Endeudamiento]]="CUMPLE",Proponentes[[#This Row],[Cumple
Capital de Trabajo]]="CUMPLE"),"CUMPLE","NO CUMPLE")</f>
        <v>CUMPLE</v>
      </c>
      <c r="AC78" s="24"/>
      <c r="AD78" s="10">
        <f>IF(Proponentes[[#This Row],[Liquidez
Oferente]]&lt;=1,1,IF(Proponentes[[#This Row],[Liquidez
Oferente]]&lt;=1.1,2,IF(Proponentes[[#This Row],[Liquidez
Oferente]]&lt;=1.2,3,IF(Proponentes[[#This Row],[Liquidez
Oferente]]&lt;=1.3,4,IF(Proponentes[[#This Row],[Liquidez
Oferente]]&lt;=1.4,5,6)))))</f>
        <v>6</v>
      </c>
      <c r="AE78" s="10">
        <f>IF(Proponentes[[#This Row],[Endeudamiento
Oferente]]&lt;=66%,6,IF(Proponentes[[#This Row],[Endeudamiento
Oferente]]&lt;=58,5,IF(Proponentes[[#This Row],[Endeudamiento
Oferente]]&lt;=70,4,IF(Proponentes[[#This Row],[Endeudamiento
Oferente]]&lt;=72,3,IF(Proponentes[[#This Row],[Endeudamiento
Oferente]]&lt;=74,2,1)))))</f>
        <v>6</v>
      </c>
      <c r="AF7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78" s="10">
        <f>IF(Proponentes[[#This Row],[Cap Op en SMMLV]]&lt;=500,1,IF(Proponentes[[#This Row],[Cap Op en SMMLV]]&lt;=1000,2,IF(Proponentes[[#This Row],[Cap Op en SMMLV]]&lt;=1500,3,IF(Proponentes[[#This Row],[Cap Op en SMMLV]]&lt;=2000,4,IF(Proponentes[[#This Row],[Cap Op en SMMLV]]&lt;=2500,5,6)))))</f>
        <v>3</v>
      </c>
      <c r="AH78" s="10">
        <f>MIN(Proponentes[[#This Row],[a]:[d]])</f>
        <v>3</v>
      </c>
      <c r="AI78" s="87">
        <f>IF(Proponentes[[#This Row],[e]]=Proponentes[[#This Row],[d]],Proponentes[[#This Row],[Cap Op en SMMLV]],VLOOKUP(Proponentes[[#This Row],[e]],Base!$D$1:$E$6,2,FALSE))</f>
        <v>1221.0320917449721</v>
      </c>
      <c r="AJ78" s="101" t="str">
        <f>VLOOKUP(Proponentes[[#This Row],[Propuesta]],Hoja2!$A$2:$D$329,4,FALSE)</f>
        <v>CUMPLE</v>
      </c>
      <c r="AK78" s="101"/>
    </row>
    <row r="79" spans="1:37" ht="16" x14ac:dyDescent="0.2">
      <c r="A79" s="10">
        <v>78</v>
      </c>
      <c r="B79" s="11">
        <v>900071005</v>
      </c>
      <c r="C79" s="12" t="s">
        <v>128</v>
      </c>
      <c r="D79" s="13">
        <v>1202434407.54</v>
      </c>
      <c r="E79" s="13">
        <v>1892292737</v>
      </c>
      <c r="F79" s="25">
        <f>Proponentes[[#This Row],[Activo Corriente]]+Proponentes[[#This Row],[Activo NO Corriente]]</f>
        <v>3094727144.54</v>
      </c>
      <c r="G79" s="13">
        <v>609477274.03999996</v>
      </c>
      <c r="H79" s="13">
        <v>1461065018</v>
      </c>
      <c r="I79" s="25">
        <f>Proponentes[[#This Row],[Pasivo Corriente]]+Proponentes[[#This Row],[Pasivo NO Corriente]]</f>
        <v>2070542292.04</v>
      </c>
      <c r="J79" s="14">
        <f>Proponentes[[#This Row],[Total ACTIVO]]-Proponentes[[#This Row],[Total Pasivo]]</f>
        <v>1024184852.5</v>
      </c>
      <c r="K79" s="48">
        <f>VLOOKUP(Proponentes[[#This Row],[Propuesta]],Hoja2!$A$2:$G$239,7,FALSE)</f>
        <v>0</v>
      </c>
      <c r="L79" s="15" t="s">
        <v>59</v>
      </c>
      <c r="M79" s="15" t="s">
        <v>28</v>
      </c>
      <c r="N79" s="55">
        <f>IFERROR(VLOOKUP(Proponentes[[#This Row],[Cap Op en SMMLV]],Base!$A$15:$F$20,3),0)</f>
        <v>0</v>
      </c>
      <c r="O79" s="16">
        <f>IFERROR(VLOOKUP(Proponentes[[#This Row],[Cap Op en SMMLV]],Base!$A$15:$F$20,4),0)</f>
        <v>0</v>
      </c>
      <c r="P79" s="17">
        <f>IFERROR(VLOOKUP(Proponentes[[#This Row],[Cap Op en SMMLV]],Tabla2[],6),0)</f>
        <v>0</v>
      </c>
      <c r="Q79" s="18">
        <f>IFERROR(VLOOKUP(Proponentes[[#This Row],[Cap Op en SMMLV]],Base!$A$15:$F$20,5),0)</f>
        <v>0</v>
      </c>
      <c r="R79" s="18">
        <f>IFERROR(VLOOKUP(Proponentes[[#This Row],[Cap Op en SMMLV]],Tabla2[[DE]:[HASTA]],2),0)</f>
        <v>0</v>
      </c>
      <c r="S79" s="19">
        <f>IFERROR(Proponentes[[#This Row],[Activo Corriente]]/Proponentes[[#This Row],[Pasivo Corriente]],"INDETERMINADO")</f>
        <v>1.9728945750011415</v>
      </c>
      <c r="T79" s="20">
        <f>IFERROR(Proponentes[[#This Row],[Total Pasivo]]/Proponentes[[#This Row],[Total ACTIVO]],0)</f>
        <v>0.66905487796978791</v>
      </c>
      <c r="U79" s="21">
        <f>(Proponentes[[#This Row],[Activo Corriente]]-Proponentes[[#This Row],[Pasivo Corriente]])/Base!$B$3</f>
        <v>716.03149015355336</v>
      </c>
      <c r="V79" s="22">
        <f>Proponentes[[#This Row],[Activo Corriente]]-Proponentes[[#This Row],[Pasivo Corriente]]</f>
        <v>592957133.5</v>
      </c>
      <c r="W79" s="13">
        <f>IFERROR(VLOOKUP(Proponentes[[#This Row],[Propuesta]],Hoja2!$A$2:$G$329,7,FALSE),0)</f>
        <v>0</v>
      </c>
      <c r="X79" s="83">
        <f>IF(Proponentes[[#This Row],[Cap Op en Pesos]]=0,0,IF(Proponentes[[#This Row],[Cap Op en Pesos]]=0,1,Proponentes[[#This Row],[Cap Op en Pesos]]/Base!B$3))</f>
        <v>0</v>
      </c>
      <c r="Y7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7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7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79" s="23" t="str">
        <f>IF(AND(Proponentes[[#This Row],[Cumple
Liquidez]]="CUMPLE",Proponentes[[#This Row],[Cumple
Endeudamiento]]="CUMPLE",Proponentes[[#This Row],[Cumple
Capital de Trabajo]]="CUMPLE"),"CUMPLE","NO CUMPLE")</f>
        <v>NO CUMPLE</v>
      </c>
      <c r="AC79" s="24"/>
      <c r="AD79" s="10">
        <f>IF(Proponentes[[#This Row],[Liquidez
Oferente]]&lt;=1,1,IF(Proponentes[[#This Row],[Liquidez
Oferente]]&lt;=1.1,2,IF(Proponentes[[#This Row],[Liquidez
Oferente]]&lt;=1.2,3,IF(Proponentes[[#This Row],[Liquidez
Oferente]]&lt;=1.3,4,IF(Proponentes[[#This Row],[Liquidez
Oferente]]&lt;=1.4,5,6)))))</f>
        <v>6</v>
      </c>
      <c r="AE79" s="10">
        <f>IF(Proponentes[[#This Row],[Endeudamiento
Oferente]]&lt;=66%,6,IF(Proponentes[[#This Row],[Endeudamiento
Oferente]]&lt;=58,5,IF(Proponentes[[#This Row],[Endeudamiento
Oferente]]&lt;=70,4,IF(Proponentes[[#This Row],[Endeudamiento
Oferente]]&lt;=72,3,IF(Proponentes[[#This Row],[Endeudamiento
Oferente]]&lt;=74,2,1)))))</f>
        <v>5</v>
      </c>
      <c r="AF7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79" s="10">
        <f>IF(Proponentes[[#This Row],[Cap Op en SMMLV]]&lt;=500,1,IF(Proponentes[[#This Row],[Cap Op en SMMLV]]&lt;=1000,2,IF(Proponentes[[#This Row],[Cap Op en SMMLV]]&lt;=1500,3,IF(Proponentes[[#This Row],[Cap Op en SMMLV]]&lt;=2000,4,IF(Proponentes[[#This Row],[Cap Op en SMMLV]]&lt;=2500,5,6)))))</f>
        <v>1</v>
      </c>
      <c r="AH79" s="10">
        <f>MIN(Proponentes[[#This Row],[a]:[d]])</f>
        <v>1</v>
      </c>
      <c r="AI79" s="87">
        <f>IF(Proponentes[[#This Row],[e]]=Proponentes[[#This Row],[d]],Proponentes[[#This Row],[Cap Op en SMMLV]],VLOOKUP(Proponentes[[#This Row],[e]],Base!$D$1:$E$6,2,FALSE))</f>
        <v>0</v>
      </c>
      <c r="AJ79" s="101" t="str">
        <f>VLOOKUP(Proponentes[[#This Row],[Propuesta]],Hoja2!$A$2:$D$329,4,FALSE)</f>
        <v>NO CUMPLE</v>
      </c>
      <c r="AK79" s="101"/>
    </row>
    <row r="80" spans="1:37" ht="32" x14ac:dyDescent="0.2">
      <c r="A80" s="10">
        <v>79</v>
      </c>
      <c r="B80" s="11">
        <v>900274388</v>
      </c>
      <c r="C80" s="12" t="s">
        <v>129</v>
      </c>
      <c r="D80" s="13">
        <v>323081000</v>
      </c>
      <c r="E80" s="13">
        <v>15462991</v>
      </c>
      <c r="F80" s="25">
        <f>Proponentes[[#This Row],[Activo Corriente]]+Proponentes[[#This Row],[Activo NO Corriente]]</f>
        <v>338543991</v>
      </c>
      <c r="G80" s="13">
        <v>48000784</v>
      </c>
      <c r="H80" s="13">
        <v>0</v>
      </c>
      <c r="I80" s="25">
        <f>Proponentes[[#This Row],[Pasivo Corriente]]+Proponentes[[#This Row],[Pasivo NO Corriente]]</f>
        <v>48000784</v>
      </c>
      <c r="J80" s="14">
        <f>Proponentes[[#This Row],[Total ACTIVO]]-Proponentes[[#This Row],[Total Pasivo]]</f>
        <v>290543207</v>
      </c>
      <c r="K80" s="48">
        <f>VLOOKUP(Proponentes[[#This Row],[Propuesta]],Hoja2!$A$2:$G$239,7,FALSE)</f>
        <v>230375255.74324554</v>
      </c>
      <c r="L80" s="15" t="s">
        <v>59</v>
      </c>
      <c r="M80" s="15" t="s">
        <v>28</v>
      </c>
      <c r="N80" s="55">
        <f>IFERROR(VLOOKUP(Proponentes[[#This Row],[Cap Op en SMMLV]],Base!$A$15:$F$20,3),0)</f>
        <v>1</v>
      </c>
      <c r="O80" s="16">
        <f>IFERROR(VLOOKUP(Proponentes[[#This Row],[Cap Op en SMMLV]],Base!$A$15:$F$20,4),0)</f>
        <v>0.76</v>
      </c>
      <c r="P80" s="17">
        <f>IFERROR(VLOOKUP(Proponentes[[#This Row],[Cap Op en SMMLV]],Tabla2[],6),0)</f>
        <v>12.5</v>
      </c>
      <c r="Q80" s="18">
        <f>IFERROR(VLOOKUP(Proponentes[[#This Row],[Cap Op en SMMLV]],Base!$A$15:$F$20,5),0)</f>
        <v>10351450</v>
      </c>
      <c r="R80" s="18">
        <f>IFERROR(VLOOKUP(Proponentes[[#This Row],[Cap Op en SMMLV]],Tabla2[[DE]:[HASTA]],2),0)</f>
        <v>500</v>
      </c>
      <c r="S80" s="19">
        <f>IFERROR(Proponentes[[#This Row],[Activo Corriente]]/Proponentes[[#This Row],[Pasivo Corriente]],"INDETERMINADO")</f>
        <v>6.7307442311775576</v>
      </c>
      <c r="T80" s="20">
        <f>IFERROR(Proponentes[[#This Row],[Total Pasivo]]/Proponentes[[#This Row],[Total ACTIVO]],0)</f>
        <v>0.14178595773687799</v>
      </c>
      <c r="U80" s="21">
        <f>(Proponentes[[#This Row],[Activo Corriente]]-Proponentes[[#This Row],[Pasivo Corriente]])/Base!$B$3</f>
        <v>332.17594636500201</v>
      </c>
      <c r="V80" s="22">
        <f>Proponentes[[#This Row],[Activo Corriente]]-Proponentes[[#This Row],[Pasivo Corriente]]</f>
        <v>275080216</v>
      </c>
      <c r="W80" s="13">
        <f>IFERROR(VLOOKUP(Proponentes[[#This Row],[Propuesta]],Hoja2!$A$2:$G$329,7,FALSE),0)</f>
        <v>230375255.74324554</v>
      </c>
      <c r="X80" s="83">
        <f>IF(Proponentes[[#This Row],[Cap Op en Pesos]]=0,0,IF(Proponentes[[#This Row],[Cap Op en Pesos]]=0,1,Proponentes[[#This Row],[Cap Op en Pesos]]/Base!B$3))</f>
        <v>278.19201143710006</v>
      </c>
      <c r="Y8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8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8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80" s="23" t="str">
        <f>IF(AND(Proponentes[[#This Row],[Cumple
Liquidez]]="CUMPLE",Proponentes[[#This Row],[Cumple
Endeudamiento]]="CUMPLE",Proponentes[[#This Row],[Cumple
Capital de Trabajo]]="CUMPLE"),"CUMPLE","NO CUMPLE")</f>
        <v>CUMPLE</v>
      </c>
      <c r="AC80" s="24"/>
      <c r="AD80" s="10">
        <f>IF(Proponentes[[#This Row],[Liquidez
Oferente]]&lt;=1,1,IF(Proponentes[[#This Row],[Liquidez
Oferente]]&lt;=1.1,2,IF(Proponentes[[#This Row],[Liquidez
Oferente]]&lt;=1.2,3,IF(Proponentes[[#This Row],[Liquidez
Oferente]]&lt;=1.3,4,IF(Proponentes[[#This Row],[Liquidez
Oferente]]&lt;=1.4,5,6)))))</f>
        <v>6</v>
      </c>
      <c r="AE80" s="10">
        <f>IF(Proponentes[[#This Row],[Endeudamiento
Oferente]]&lt;=66%,6,IF(Proponentes[[#This Row],[Endeudamiento
Oferente]]&lt;=58,5,IF(Proponentes[[#This Row],[Endeudamiento
Oferente]]&lt;=70,4,IF(Proponentes[[#This Row],[Endeudamiento
Oferente]]&lt;=72,3,IF(Proponentes[[#This Row],[Endeudamiento
Oferente]]&lt;=74,2,1)))))</f>
        <v>6</v>
      </c>
      <c r="AF8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80" s="10">
        <f>IF(Proponentes[[#This Row],[Cap Op en SMMLV]]&lt;=500,1,IF(Proponentes[[#This Row],[Cap Op en SMMLV]]&lt;=1000,2,IF(Proponentes[[#This Row],[Cap Op en SMMLV]]&lt;=1500,3,IF(Proponentes[[#This Row],[Cap Op en SMMLV]]&lt;=2000,4,IF(Proponentes[[#This Row],[Cap Op en SMMLV]]&lt;=2500,5,6)))))</f>
        <v>1</v>
      </c>
      <c r="AH80" s="10">
        <f>MIN(Proponentes[[#This Row],[a]:[d]])</f>
        <v>1</v>
      </c>
      <c r="AI80" s="87">
        <f>IF(Proponentes[[#This Row],[e]]=Proponentes[[#This Row],[d]],Proponentes[[#This Row],[Cap Op en SMMLV]],VLOOKUP(Proponentes[[#This Row],[e]],Base!$D$1:$E$6,2,FALSE))</f>
        <v>278.19201143710006</v>
      </c>
      <c r="AJ80" s="101" t="str">
        <f>VLOOKUP(Proponentes[[#This Row],[Propuesta]],Hoja2!$A$2:$D$329,4,FALSE)</f>
        <v>NO CUMPLE</v>
      </c>
      <c r="AK80" s="101"/>
    </row>
    <row r="81" spans="1:37" ht="16" x14ac:dyDescent="0.2">
      <c r="A81" s="10">
        <v>80</v>
      </c>
      <c r="B81" s="11">
        <v>900763127</v>
      </c>
      <c r="C81" s="12" t="s">
        <v>130</v>
      </c>
      <c r="D81" s="13">
        <v>2000000</v>
      </c>
      <c r="E81" s="13">
        <v>0</v>
      </c>
      <c r="F81" s="25">
        <f>Proponentes[[#This Row],[Activo Corriente]]+Proponentes[[#This Row],[Activo NO Corriente]]</f>
        <v>2000000</v>
      </c>
      <c r="G81" s="13">
        <v>0</v>
      </c>
      <c r="H81" s="13">
        <v>0</v>
      </c>
      <c r="I81" s="25">
        <f>Proponentes[[#This Row],[Pasivo Corriente]]+Proponentes[[#This Row],[Pasivo NO Corriente]]</f>
        <v>0</v>
      </c>
      <c r="J81" s="14">
        <f>Proponentes[[#This Row],[Total ACTIVO]]-Proponentes[[#This Row],[Total Pasivo]]</f>
        <v>2000000</v>
      </c>
      <c r="K81" s="48">
        <f>VLOOKUP(Proponentes[[#This Row],[Propuesta]],Hoja2!$A$2:$G$239,7,FALSE)</f>
        <v>0</v>
      </c>
      <c r="L81" s="15" t="s">
        <v>41</v>
      </c>
      <c r="M81" s="15" t="s">
        <v>28</v>
      </c>
      <c r="N81" s="55">
        <f>IFERROR(VLOOKUP(Proponentes[[#This Row],[Cap Op en SMMLV]],Base!$A$15:$F$20,3),0)</f>
        <v>0</v>
      </c>
      <c r="O81" s="16">
        <f>IFERROR(VLOOKUP(Proponentes[[#This Row],[Cap Op en SMMLV]],Base!$A$15:$F$20,4),0)</f>
        <v>0</v>
      </c>
      <c r="P81" s="17">
        <f>IFERROR(VLOOKUP(Proponentes[[#This Row],[Cap Op en SMMLV]],Tabla2[],6),0)</f>
        <v>0</v>
      </c>
      <c r="Q81" s="18">
        <f>IFERROR(VLOOKUP(Proponentes[[#This Row],[Cap Op en SMMLV]],Base!$A$15:$F$20,5),0)</f>
        <v>0</v>
      </c>
      <c r="R81" s="18">
        <f>IFERROR(VLOOKUP(Proponentes[[#This Row],[Cap Op en SMMLV]],Tabla2[[DE]:[HASTA]],2),0)</f>
        <v>0</v>
      </c>
      <c r="S81" s="19" t="str">
        <f>IFERROR(Proponentes[[#This Row],[Activo Corriente]]/Proponentes[[#This Row],[Pasivo Corriente]],"INDETERMINADO")</f>
        <v>INDETERMINADO</v>
      </c>
      <c r="T81" s="20">
        <f>IFERROR(Proponentes[[#This Row],[Total Pasivo]]/Proponentes[[#This Row],[Total ACTIVO]],0)</f>
        <v>0</v>
      </c>
      <c r="U81" s="21">
        <f>(Proponentes[[#This Row],[Activo Corriente]]-Proponentes[[#This Row],[Pasivo Corriente]])/Base!$B$3</f>
        <v>2.4151205869709074</v>
      </c>
      <c r="V81" s="22">
        <f>Proponentes[[#This Row],[Activo Corriente]]-Proponentes[[#This Row],[Pasivo Corriente]]</f>
        <v>2000000</v>
      </c>
      <c r="W81" s="13">
        <f>IFERROR(VLOOKUP(Proponentes[[#This Row],[Propuesta]],Hoja2!$A$2:$G$329,7,FALSE),0)</f>
        <v>0</v>
      </c>
      <c r="X81" s="83">
        <f>IF(Proponentes[[#This Row],[Cap Op en Pesos]]=0,0,IF(Proponentes[[#This Row],[Cap Op en Pesos]]=0,1,Proponentes[[#This Row],[Cap Op en Pesos]]/Base!B$3))</f>
        <v>0</v>
      </c>
      <c r="Y8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8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8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81" s="23" t="str">
        <f>IF(AND(Proponentes[[#This Row],[Cumple
Liquidez]]="CUMPLE",Proponentes[[#This Row],[Cumple
Endeudamiento]]="CUMPLE",Proponentes[[#This Row],[Cumple
Capital de Trabajo]]="CUMPLE"),"CUMPLE","NO CUMPLE")</f>
        <v>NO CUMPLE</v>
      </c>
      <c r="AC81" s="24"/>
      <c r="AD81" s="10">
        <f>IF(Proponentes[[#This Row],[Liquidez
Oferente]]&lt;=1,1,IF(Proponentes[[#This Row],[Liquidez
Oferente]]&lt;=1.1,2,IF(Proponentes[[#This Row],[Liquidez
Oferente]]&lt;=1.2,3,IF(Proponentes[[#This Row],[Liquidez
Oferente]]&lt;=1.3,4,IF(Proponentes[[#This Row],[Liquidez
Oferente]]&lt;=1.4,5,6)))))</f>
        <v>6</v>
      </c>
      <c r="AE81" s="10">
        <f>IF(Proponentes[[#This Row],[Endeudamiento
Oferente]]&lt;=66%,6,IF(Proponentes[[#This Row],[Endeudamiento
Oferente]]&lt;=58,5,IF(Proponentes[[#This Row],[Endeudamiento
Oferente]]&lt;=70,4,IF(Proponentes[[#This Row],[Endeudamiento
Oferente]]&lt;=72,3,IF(Proponentes[[#This Row],[Endeudamiento
Oferente]]&lt;=74,2,1)))))</f>
        <v>6</v>
      </c>
      <c r="AF8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81" s="10">
        <f>IF(Proponentes[[#This Row],[Cap Op en SMMLV]]&lt;=500,1,IF(Proponentes[[#This Row],[Cap Op en SMMLV]]&lt;=1000,2,IF(Proponentes[[#This Row],[Cap Op en SMMLV]]&lt;=1500,3,IF(Proponentes[[#This Row],[Cap Op en SMMLV]]&lt;=2000,4,IF(Proponentes[[#This Row],[Cap Op en SMMLV]]&lt;=2500,5,6)))))</f>
        <v>1</v>
      </c>
      <c r="AH81" s="10">
        <f>MIN(Proponentes[[#This Row],[a]:[d]])</f>
        <v>1</v>
      </c>
      <c r="AI81" s="87">
        <f>IF(Proponentes[[#This Row],[e]]=Proponentes[[#This Row],[d]],Proponentes[[#This Row],[Cap Op en SMMLV]],VLOOKUP(Proponentes[[#This Row],[e]],Base!$D$1:$E$6,2,FALSE))</f>
        <v>0</v>
      </c>
      <c r="AJ81" s="101" t="str">
        <f>VLOOKUP(Proponentes[[#This Row],[Propuesta]],Hoja2!$A$2:$D$329,4,FALSE)</f>
        <v>NO CUMPLE</v>
      </c>
      <c r="AK81" s="101"/>
    </row>
    <row r="82" spans="1:37" ht="32" x14ac:dyDescent="0.2">
      <c r="A82" s="10">
        <v>81</v>
      </c>
      <c r="B82" s="11">
        <v>818001438</v>
      </c>
      <c r="C82" s="12" t="s">
        <v>131</v>
      </c>
      <c r="D82" s="13">
        <v>1134207290</v>
      </c>
      <c r="E82" s="13">
        <v>129569966</v>
      </c>
      <c r="F82" s="25">
        <f>Proponentes[[#This Row],[Activo Corriente]]+Proponentes[[#This Row],[Activo NO Corriente]]</f>
        <v>1263777256</v>
      </c>
      <c r="G82" s="13">
        <v>115152000</v>
      </c>
      <c r="H82" s="13">
        <v>0</v>
      </c>
      <c r="I82" s="25">
        <f>Proponentes[[#This Row],[Pasivo Corriente]]+Proponentes[[#This Row],[Pasivo NO Corriente]]</f>
        <v>115152000</v>
      </c>
      <c r="J82" s="14">
        <f>Proponentes[[#This Row],[Total ACTIVO]]-Proponentes[[#This Row],[Total Pasivo]]</f>
        <v>1148625256</v>
      </c>
      <c r="K82" s="48">
        <f>VLOOKUP(Proponentes[[#This Row],[Propuesta]],Hoja2!$A$2:$G$239,7,FALSE)</f>
        <v>0</v>
      </c>
      <c r="L82" s="15"/>
      <c r="M82" s="15" t="s">
        <v>28</v>
      </c>
      <c r="N82" s="55">
        <f>IFERROR(VLOOKUP(Proponentes[[#This Row],[Cap Op en SMMLV]],Base!$A$15:$F$20,3),0)</f>
        <v>0</v>
      </c>
      <c r="O82" s="16">
        <f>IFERROR(VLOOKUP(Proponentes[[#This Row],[Cap Op en SMMLV]],Base!$A$15:$F$20,4),0)</f>
        <v>0</v>
      </c>
      <c r="P82" s="17">
        <f>IFERROR(VLOOKUP(Proponentes[[#This Row],[Cap Op en SMMLV]],Tabla2[],6),0)</f>
        <v>0</v>
      </c>
      <c r="Q82" s="18">
        <f>IFERROR(VLOOKUP(Proponentes[[#This Row],[Cap Op en SMMLV]],Base!$A$15:$F$20,5),0)</f>
        <v>0</v>
      </c>
      <c r="R82" s="18">
        <f>IFERROR(VLOOKUP(Proponentes[[#This Row],[Cap Op en SMMLV]],Tabla2[[DE]:[HASTA]],2),0)</f>
        <v>0</v>
      </c>
      <c r="S82" s="19">
        <f>IFERROR(Proponentes[[#This Row],[Activo Corriente]]/Proponentes[[#This Row],[Pasivo Corriente]],"INDETERMINADO")</f>
        <v>9.849653414617201</v>
      </c>
      <c r="T82" s="20">
        <f>IFERROR(Proponentes[[#This Row],[Total Pasivo]]/Proponentes[[#This Row],[Total ACTIVO]],0)</f>
        <v>9.1117322655789271E-2</v>
      </c>
      <c r="U82" s="21">
        <f>(Proponentes[[#This Row],[Activo Corriente]]-Proponentes[[#This Row],[Pasivo Corriente]])/Base!$B$3</f>
        <v>1230.5707050703043</v>
      </c>
      <c r="V82" s="22">
        <f>Proponentes[[#This Row],[Activo Corriente]]-Proponentes[[#This Row],[Pasivo Corriente]]</f>
        <v>1019055290</v>
      </c>
      <c r="W82" s="13">
        <f>IFERROR(VLOOKUP(Proponentes[[#This Row],[Propuesta]],Hoja2!$A$2:$G$329,7,FALSE),0)</f>
        <v>0</v>
      </c>
      <c r="X82" s="83">
        <f>IF(Proponentes[[#This Row],[Cap Op en Pesos]]=0,0,IF(Proponentes[[#This Row],[Cap Op en Pesos]]=0,1,Proponentes[[#This Row],[Cap Op en Pesos]]/Base!B$3))</f>
        <v>0</v>
      </c>
      <c r="Y8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8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8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82" s="23" t="str">
        <f>IF(AND(Proponentes[[#This Row],[Cumple
Liquidez]]="CUMPLE",Proponentes[[#This Row],[Cumple
Endeudamiento]]="CUMPLE",Proponentes[[#This Row],[Cumple
Capital de Trabajo]]="CUMPLE"),"CUMPLE","NO CUMPLE")</f>
        <v>NO CUMPLE</v>
      </c>
      <c r="AC82" s="24"/>
      <c r="AD82" s="10">
        <f>IF(Proponentes[[#This Row],[Liquidez
Oferente]]&lt;=1,1,IF(Proponentes[[#This Row],[Liquidez
Oferente]]&lt;=1.1,2,IF(Proponentes[[#This Row],[Liquidez
Oferente]]&lt;=1.2,3,IF(Proponentes[[#This Row],[Liquidez
Oferente]]&lt;=1.3,4,IF(Proponentes[[#This Row],[Liquidez
Oferente]]&lt;=1.4,5,6)))))</f>
        <v>6</v>
      </c>
      <c r="AE82" s="10">
        <f>IF(Proponentes[[#This Row],[Endeudamiento
Oferente]]&lt;=66%,6,IF(Proponentes[[#This Row],[Endeudamiento
Oferente]]&lt;=58,5,IF(Proponentes[[#This Row],[Endeudamiento
Oferente]]&lt;=70,4,IF(Proponentes[[#This Row],[Endeudamiento
Oferente]]&lt;=72,3,IF(Proponentes[[#This Row],[Endeudamiento
Oferente]]&lt;=74,2,1)))))</f>
        <v>6</v>
      </c>
      <c r="AF8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82" s="10">
        <f>IF(Proponentes[[#This Row],[Cap Op en SMMLV]]&lt;=500,1,IF(Proponentes[[#This Row],[Cap Op en SMMLV]]&lt;=1000,2,IF(Proponentes[[#This Row],[Cap Op en SMMLV]]&lt;=1500,3,IF(Proponentes[[#This Row],[Cap Op en SMMLV]]&lt;=2000,4,IF(Proponentes[[#This Row],[Cap Op en SMMLV]]&lt;=2500,5,6)))))</f>
        <v>1</v>
      </c>
      <c r="AH82" s="10">
        <f>MIN(Proponentes[[#This Row],[a]:[d]])</f>
        <v>1</v>
      </c>
      <c r="AI82" s="87">
        <f>IF(Proponentes[[#This Row],[e]]=Proponentes[[#This Row],[d]],Proponentes[[#This Row],[Cap Op en SMMLV]],VLOOKUP(Proponentes[[#This Row],[e]],Base!$D$1:$E$6,2,FALSE))</f>
        <v>0</v>
      </c>
      <c r="AJ82" s="101" t="str">
        <f>VLOOKUP(Proponentes[[#This Row],[Propuesta]],Hoja2!$A$2:$D$329,4,FALSE)</f>
        <v>NO CUMPLE</v>
      </c>
      <c r="AK82" s="101"/>
    </row>
    <row r="83" spans="1:37" ht="16" x14ac:dyDescent="0.2">
      <c r="A83" s="10">
        <v>82</v>
      </c>
      <c r="B83" s="11">
        <v>800181797</v>
      </c>
      <c r="C83" s="12" t="s">
        <v>132</v>
      </c>
      <c r="D83" s="13">
        <v>644791656</v>
      </c>
      <c r="E83" s="13">
        <v>838793599</v>
      </c>
      <c r="F83" s="25">
        <f>Proponentes[[#This Row],[Activo Corriente]]+Proponentes[[#This Row],[Activo NO Corriente]]</f>
        <v>1483585255</v>
      </c>
      <c r="G83" s="13">
        <v>413889874</v>
      </c>
      <c r="H83" s="13">
        <v>75659705</v>
      </c>
      <c r="I83" s="25">
        <f>Proponentes[[#This Row],[Pasivo Corriente]]+Proponentes[[#This Row],[Pasivo NO Corriente]]</f>
        <v>489549579</v>
      </c>
      <c r="J83" s="14">
        <f>Proponentes[[#This Row],[Total ACTIVO]]-Proponentes[[#This Row],[Total Pasivo]]</f>
        <v>994035676</v>
      </c>
      <c r="K83" s="48">
        <f>VLOOKUP(Proponentes[[#This Row],[Propuesta]],Hoja2!$A$2:$G$239,7,FALSE)</f>
        <v>1112855439.5685997</v>
      </c>
      <c r="L83" s="15"/>
      <c r="M83" s="15" t="s">
        <v>28</v>
      </c>
      <c r="N83" s="55">
        <f>IFERROR(VLOOKUP(Proponentes[[#This Row],[Cap Op en SMMLV]],Base!$A$15:$F$20,3),0)</f>
        <v>1.2</v>
      </c>
      <c r="O83" s="16">
        <f>IFERROR(VLOOKUP(Proponentes[[#This Row],[Cap Op en SMMLV]],Base!$A$15:$F$20,4),0)</f>
        <v>0.72</v>
      </c>
      <c r="P83" s="17">
        <f>IFERROR(VLOOKUP(Proponentes[[#This Row],[Cap Op en SMMLV]],Tabla2[],6),0)</f>
        <v>37.5</v>
      </c>
      <c r="Q83" s="18">
        <f>IFERROR(VLOOKUP(Proponentes[[#This Row],[Cap Op en SMMLV]],Base!$A$15:$F$20,5),0)</f>
        <v>31054350</v>
      </c>
      <c r="R83" s="18">
        <f>IFERROR(VLOOKUP(Proponentes[[#This Row],[Cap Op en SMMLV]],Tabla2[[DE]:[HASTA]],2),0)</f>
        <v>1500</v>
      </c>
      <c r="S83" s="19">
        <f>IFERROR(Proponentes[[#This Row],[Activo Corriente]]/Proponentes[[#This Row],[Pasivo Corriente]],"INDETERMINADO")</f>
        <v>1.5578821722997747</v>
      </c>
      <c r="T83" s="20">
        <f>IFERROR(Proponentes[[#This Row],[Total Pasivo]]/Proponentes[[#This Row],[Total ACTIVO]],0)</f>
        <v>0.32997738239181945</v>
      </c>
      <c r="U83" s="21">
        <f>(Proponentes[[#This Row],[Activo Corriente]]-Proponentes[[#This Row],[Pasivo Corriente]])/Base!$B$3</f>
        <v>278.82782363823424</v>
      </c>
      <c r="V83" s="22">
        <f>Proponentes[[#This Row],[Activo Corriente]]-Proponentes[[#This Row],[Pasivo Corriente]]</f>
        <v>230901782</v>
      </c>
      <c r="W83" s="13">
        <f>IFERROR(VLOOKUP(Proponentes[[#This Row],[Propuesta]],Hoja2!$A$2:$G$329,7,FALSE),0)</f>
        <v>1112855439.5685997</v>
      </c>
      <c r="X83" s="83">
        <f>IF(Proponentes[[#This Row],[Cap Op en Pesos]]=0,0,IF(Proponentes[[#This Row],[Cap Op en Pesos]]=0,1,Proponentes[[#This Row],[Cap Op en Pesos]]/Base!B$3))</f>
        <v>1343.8400412123419</v>
      </c>
      <c r="Y8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8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8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83" s="23" t="str">
        <f>IF(AND(Proponentes[[#This Row],[Cumple
Liquidez]]="CUMPLE",Proponentes[[#This Row],[Cumple
Endeudamiento]]="CUMPLE",Proponentes[[#This Row],[Cumple
Capital de Trabajo]]="CUMPLE"),"CUMPLE","NO CUMPLE")</f>
        <v>CUMPLE</v>
      </c>
      <c r="AC83" s="24"/>
      <c r="AD83" s="10">
        <f>IF(Proponentes[[#This Row],[Liquidez
Oferente]]&lt;=1,1,IF(Proponentes[[#This Row],[Liquidez
Oferente]]&lt;=1.1,2,IF(Proponentes[[#This Row],[Liquidez
Oferente]]&lt;=1.2,3,IF(Proponentes[[#This Row],[Liquidez
Oferente]]&lt;=1.3,4,IF(Proponentes[[#This Row],[Liquidez
Oferente]]&lt;=1.4,5,6)))))</f>
        <v>6</v>
      </c>
      <c r="AE83" s="10">
        <f>IF(Proponentes[[#This Row],[Endeudamiento
Oferente]]&lt;=66%,6,IF(Proponentes[[#This Row],[Endeudamiento
Oferente]]&lt;=58,5,IF(Proponentes[[#This Row],[Endeudamiento
Oferente]]&lt;=70,4,IF(Proponentes[[#This Row],[Endeudamiento
Oferente]]&lt;=72,3,IF(Proponentes[[#This Row],[Endeudamiento
Oferente]]&lt;=74,2,1)))))</f>
        <v>6</v>
      </c>
      <c r="AF8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83" s="10">
        <f>IF(Proponentes[[#This Row],[Cap Op en SMMLV]]&lt;=500,1,IF(Proponentes[[#This Row],[Cap Op en SMMLV]]&lt;=1000,2,IF(Proponentes[[#This Row],[Cap Op en SMMLV]]&lt;=1500,3,IF(Proponentes[[#This Row],[Cap Op en SMMLV]]&lt;=2000,4,IF(Proponentes[[#This Row],[Cap Op en SMMLV]]&lt;=2500,5,6)))))</f>
        <v>3</v>
      </c>
      <c r="AH83" s="10">
        <f>MIN(Proponentes[[#This Row],[a]:[d]])</f>
        <v>3</v>
      </c>
      <c r="AI83" s="87">
        <f>IF(Proponentes[[#This Row],[e]]=Proponentes[[#This Row],[d]],Proponentes[[#This Row],[Cap Op en SMMLV]],VLOOKUP(Proponentes[[#This Row],[e]],Base!$D$1:$E$6,2,FALSE))</f>
        <v>1343.8400412123419</v>
      </c>
      <c r="AJ83" s="101" t="str">
        <f>VLOOKUP(Proponentes[[#This Row],[Propuesta]],Hoja2!$A$2:$D$329,4,FALSE)</f>
        <v>CUMPLE</v>
      </c>
      <c r="AK83" s="101"/>
    </row>
    <row r="84" spans="1:37" ht="16" x14ac:dyDescent="0.2">
      <c r="A84" s="10">
        <v>83</v>
      </c>
      <c r="B84" s="11">
        <v>818000937</v>
      </c>
      <c r="C84" s="12" t="s">
        <v>133</v>
      </c>
      <c r="D84" s="13">
        <v>604397818</v>
      </c>
      <c r="E84" s="13">
        <v>2274105750</v>
      </c>
      <c r="F84" s="25">
        <f>Proponentes[[#This Row],[Activo Corriente]]+Proponentes[[#This Row],[Activo NO Corriente]]</f>
        <v>2878503568</v>
      </c>
      <c r="G84" s="13">
        <v>544192021</v>
      </c>
      <c r="H84" s="13">
        <v>0</v>
      </c>
      <c r="I84" s="25">
        <f>Proponentes[[#This Row],[Pasivo Corriente]]+Proponentes[[#This Row],[Pasivo NO Corriente]]</f>
        <v>544192021</v>
      </c>
      <c r="J84" s="14">
        <f>Proponentes[[#This Row],[Total ACTIVO]]-Proponentes[[#This Row],[Total Pasivo]]</f>
        <v>2334311547</v>
      </c>
      <c r="K84" s="48">
        <f>VLOOKUP(Proponentes[[#This Row],[Propuesta]],Hoja2!$A$2:$G$239,7,FALSE)</f>
        <v>0</v>
      </c>
      <c r="L84" s="15" t="s">
        <v>27</v>
      </c>
      <c r="M84" s="15" t="s">
        <v>28</v>
      </c>
      <c r="N84" s="55">
        <f>IFERROR(VLOOKUP(Proponentes[[#This Row],[Cap Op en SMMLV]],Base!$A$15:$F$20,3),0)</f>
        <v>0</v>
      </c>
      <c r="O84" s="16">
        <f>IFERROR(VLOOKUP(Proponentes[[#This Row],[Cap Op en SMMLV]],Base!$A$15:$F$20,4),0)</f>
        <v>0</v>
      </c>
      <c r="P84" s="17">
        <f>IFERROR(VLOOKUP(Proponentes[[#This Row],[Cap Op en SMMLV]],Tabla2[],6),0)</f>
        <v>0</v>
      </c>
      <c r="Q84" s="18">
        <f>IFERROR(VLOOKUP(Proponentes[[#This Row],[Cap Op en SMMLV]],Base!$A$15:$F$20,5),0)</f>
        <v>0</v>
      </c>
      <c r="R84" s="18">
        <f>IFERROR(VLOOKUP(Proponentes[[#This Row],[Cap Op en SMMLV]],Tabla2[[DE]:[HASTA]],2),0)</f>
        <v>0</v>
      </c>
      <c r="S84" s="19">
        <f>IFERROR(Proponentes[[#This Row],[Activo Corriente]]/Proponentes[[#This Row],[Pasivo Corriente]],"INDETERMINADO")</f>
        <v>1.1106333696134807</v>
      </c>
      <c r="T84" s="20">
        <f>IFERROR(Proponentes[[#This Row],[Total Pasivo]]/Proponentes[[#This Row],[Total ACTIVO]],0)</f>
        <v>0.18905379414836285</v>
      </c>
      <c r="U84" s="21">
        <f>(Proponentes[[#This Row],[Activo Corriente]]-Proponentes[[#This Row],[Pasivo Corriente]])/Base!$B$3</f>
        <v>72.702129894845655</v>
      </c>
      <c r="V84" s="22">
        <f>Proponentes[[#This Row],[Activo Corriente]]-Proponentes[[#This Row],[Pasivo Corriente]]</f>
        <v>60205797</v>
      </c>
      <c r="W84" s="13">
        <f>IFERROR(VLOOKUP(Proponentes[[#This Row],[Propuesta]],Hoja2!$A$2:$G$329,7,FALSE),0)</f>
        <v>0</v>
      </c>
      <c r="X84" s="83">
        <f>IF(Proponentes[[#This Row],[Cap Op en Pesos]]=0,0,IF(Proponentes[[#This Row],[Cap Op en Pesos]]=0,1,Proponentes[[#This Row],[Cap Op en Pesos]]/Base!B$3))</f>
        <v>0</v>
      </c>
      <c r="Y8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8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8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84" s="23" t="str">
        <f>IF(AND(Proponentes[[#This Row],[Cumple
Liquidez]]="CUMPLE",Proponentes[[#This Row],[Cumple
Endeudamiento]]="CUMPLE",Proponentes[[#This Row],[Cumple
Capital de Trabajo]]="CUMPLE"),"CUMPLE","NO CUMPLE")</f>
        <v>NO CUMPLE</v>
      </c>
      <c r="AC84" s="24"/>
      <c r="AD84" s="10">
        <f>IF(Proponentes[[#This Row],[Liquidez
Oferente]]&lt;=1,1,IF(Proponentes[[#This Row],[Liquidez
Oferente]]&lt;=1.1,2,IF(Proponentes[[#This Row],[Liquidez
Oferente]]&lt;=1.2,3,IF(Proponentes[[#This Row],[Liquidez
Oferente]]&lt;=1.3,4,IF(Proponentes[[#This Row],[Liquidez
Oferente]]&lt;=1.4,5,6)))))</f>
        <v>3</v>
      </c>
      <c r="AE84" s="10">
        <f>IF(Proponentes[[#This Row],[Endeudamiento
Oferente]]&lt;=66%,6,IF(Proponentes[[#This Row],[Endeudamiento
Oferente]]&lt;=58,5,IF(Proponentes[[#This Row],[Endeudamiento
Oferente]]&lt;=70,4,IF(Proponentes[[#This Row],[Endeudamiento
Oferente]]&lt;=72,3,IF(Proponentes[[#This Row],[Endeudamiento
Oferente]]&lt;=74,2,1)))))</f>
        <v>6</v>
      </c>
      <c r="AF8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84" s="10">
        <f>IF(Proponentes[[#This Row],[Cap Op en SMMLV]]&lt;=500,1,IF(Proponentes[[#This Row],[Cap Op en SMMLV]]&lt;=1000,2,IF(Proponentes[[#This Row],[Cap Op en SMMLV]]&lt;=1500,3,IF(Proponentes[[#This Row],[Cap Op en SMMLV]]&lt;=2000,4,IF(Proponentes[[#This Row],[Cap Op en SMMLV]]&lt;=2500,5,6)))))</f>
        <v>1</v>
      </c>
      <c r="AH84" s="10">
        <f>MIN(Proponentes[[#This Row],[a]:[d]])</f>
        <v>1</v>
      </c>
      <c r="AI84" s="87">
        <f>IF(Proponentes[[#This Row],[e]]=Proponentes[[#This Row],[d]],Proponentes[[#This Row],[Cap Op en SMMLV]],VLOOKUP(Proponentes[[#This Row],[e]],Base!$D$1:$E$6,2,FALSE))</f>
        <v>0</v>
      </c>
      <c r="AJ84" s="101" t="str">
        <f>VLOOKUP(Proponentes[[#This Row],[Propuesta]],Hoja2!$A$2:$D$329,4,FALSE)</f>
        <v>NO CUMPLE</v>
      </c>
      <c r="AK84" s="101"/>
    </row>
    <row r="85" spans="1:37" ht="16" x14ac:dyDescent="0.2">
      <c r="A85" s="10">
        <v>84</v>
      </c>
      <c r="B85" s="11">
        <v>837000135</v>
      </c>
      <c r="C85" s="12" t="s">
        <v>134</v>
      </c>
      <c r="D85" s="13">
        <v>8673854</v>
      </c>
      <c r="E85" s="13">
        <v>487835360</v>
      </c>
      <c r="F85" s="25">
        <f>Proponentes[[#This Row],[Activo Corriente]]+Proponentes[[#This Row],[Activo NO Corriente]]</f>
        <v>496509214</v>
      </c>
      <c r="G85" s="13">
        <v>0</v>
      </c>
      <c r="H85" s="13">
        <v>0</v>
      </c>
      <c r="I85" s="25">
        <f>Proponentes[[#This Row],[Pasivo Corriente]]+Proponentes[[#This Row],[Pasivo NO Corriente]]</f>
        <v>0</v>
      </c>
      <c r="J85" s="14">
        <f>Proponentes[[#This Row],[Total ACTIVO]]-Proponentes[[#This Row],[Total Pasivo]]</f>
        <v>496509214</v>
      </c>
      <c r="K85" s="48">
        <f>VLOOKUP(Proponentes[[#This Row],[Propuesta]],Hoja2!$A$2:$G$239,7,FALSE)</f>
        <v>20417487.918689463</v>
      </c>
      <c r="L85" s="15" t="s">
        <v>135</v>
      </c>
      <c r="M85" s="15" t="s">
        <v>28</v>
      </c>
      <c r="N85" s="55">
        <f>IFERROR(VLOOKUP(Proponentes[[#This Row],[Cap Op en SMMLV]],Base!$A$15:$F$20,3),0)</f>
        <v>1</v>
      </c>
      <c r="O85" s="16">
        <f>IFERROR(VLOOKUP(Proponentes[[#This Row],[Cap Op en SMMLV]],Base!$A$15:$F$20,4),0)</f>
        <v>0.76</v>
      </c>
      <c r="P85" s="17">
        <f>IFERROR(VLOOKUP(Proponentes[[#This Row],[Cap Op en SMMLV]],Tabla2[],6),0)</f>
        <v>12.5</v>
      </c>
      <c r="Q85" s="18">
        <f>IFERROR(VLOOKUP(Proponentes[[#This Row],[Cap Op en SMMLV]],Base!$A$15:$F$20,5),0)</f>
        <v>10351450</v>
      </c>
      <c r="R85" s="18">
        <f>IFERROR(VLOOKUP(Proponentes[[#This Row],[Cap Op en SMMLV]],Tabla2[[DE]:[HASTA]],2),0)</f>
        <v>500</v>
      </c>
      <c r="S85" s="19" t="str">
        <f>IFERROR(Proponentes[[#This Row],[Activo Corriente]]/Proponentes[[#This Row],[Pasivo Corriente]],"INDETERMINADO")</f>
        <v>INDETERMINADO</v>
      </c>
      <c r="T85" s="20">
        <f>IFERROR(Proponentes[[#This Row],[Total Pasivo]]/Proponentes[[#This Row],[Total ACTIVO]],0)</f>
        <v>0</v>
      </c>
      <c r="U85" s="21">
        <f>(Proponentes[[#This Row],[Activo Corriente]]-Proponentes[[#This Row],[Pasivo Corriente]])/Base!$B$3</f>
        <v>10.474201681889976</v>
      </c>
      <c r="V85" s="22">
        <f>Proponentes[[#This Row],[Activo Corriente]]-Proponentes[[#This Row],[Pasivo Corriente]]</f>
        <v>8673854</v>
      </c>
      <c r="W85" s="13">
        <f>IFERROR(VLOOKUP(Proponentes[[#This Row],[Propuesta]],Hoja2!$A$2:$G$329,7,FALSE),0)</f>
        <v>20417487.918689463</v>
      </c>
      <c r="X85" s="83">
        <f>IF(Proponentes[[#This Row],[Cap Op en Pesos]]=0,0,IF(Proponentes[[#This Row],[Cap Op en Pesos]]=0,1,Proponentes[[#This Row],[Cap Op en Pesos]]/Base!B$3))</f>
        <v>24.655347703328353</v>
      </c>
      <c r="Y8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8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8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85" s="23" t="str">
        <f>IF(AND(Proponentes[[#This Row],[Cumple
Liquidez]]="CUMPLE",Proponentes[[#This Row],[Cumple
Endeudamiento]]="CUMPLE",Proponentes[[#This Row],[Cumple
Capital de Trabajo]]="CUMPLE"),"CUMPLE","NO CUMPLE")</f>
        <v>NO CUMPLE</v>
      </c>
      <c r="AC85" s="24" t="s">
        <v>790</v>
      </c>
      <c r="AD85" s="10">
        <f>IF(Proponentes[[#This Row],[Liquidez
Oferente]]&lt;=1,1,IF(Proponentes[[#This Row],[Liquidez
Oferente]]&lt;=1.1,2,IF(Proponentes[[#This Row],[Liquidez
Oferente]]&lt;=1.2,3,IF(Proponentes[[#This Row],[Liquidez
Oferente]]&lt;=1.3,4,IF(Proponentes[[#This Row],[Liquidez
Oferente]]&lt;=1.4,5,6)))))</f>
        <v>6</v>
      </c>
      <c r="AE85" s="10">
        <f>IF(Proponentes[[#This Row],[Endeudamiento
Oferente]]&lt;=66%,6,IF(Proponentes[[#This Row],[Endeudamiento
Oferente]]&lt;=58,5,IF(Proponentes[[#This Row],[Endeudamiento
Oferente]]&lt;=70,4,IF(Proponentes[[#This Row],[Endeudamiento
Oferente]]&lt;=72,3,IF(Proponentes[[#This Row],[Endeudamiento
Oferente]]&lt;=74,2,1)))))</f>
        <v>6</v>
      </c>
      <c r="AF8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85" s="10">
        <f>IF(Proponentes[[#This Row],[Cap Op en SMMLV]]&lt;=500,1,IF(Proponentes[[#This Row],[Cap Op en SMMLV]]&lt;=1000,2,IF(Proponentes[[#This Row],[Cap Op en SMMLV]]&lt;=1500,3,IF(Proponentes[[#This Row],[Cap Op en SMMLV]]&lt;=2000,4,IF(Proponentes[[#This Row],[Cap Op en SMMLV]]&lt;=2500,5,6)))))</f>
        <v>1</v>
      </c>
      <c r="AH85" s="10">
        <f>MIN(Proponentes[[#This Row],[a]:[d]])</f>
        <v>1</v>
      </c>
      <c r="AI85" s="87">
        <f>IF(Proponentes[[#This Row],[e]]=Proponentes[[#This Row],[d]],Proponentes[[#This Row],[Cap Op en SMMLV]],VLOOKUP(Proponentes[[#This Row],[e]],Base!$D$1:$E$6,2,FALSE))</f>
        <v>24.655347703328353</v>
      </c>
      <c r="AJ85" s="101" t="str">
        <f>VLOOKUP(Proponentes[[#This Row],[Propuesta]],Hoja2!$A$2:$D$329,4,FALSE)</f>
        <v>NO CUMPLE</v>
      </c>
      <c r="AK85" s="101"/>
    </row>
    <row r="86" spans="1:37" ht="16" x14ac:dyDescent="0.2">
      <c r="A86" s="10">
        <v>85</v>
      </c>
      <c r="B86" s="11">
        <v>900090967</v>
      </c>
      <c r="C86" s="12" t="s">
        <v>136</v>
      </c>
      <c r="D86" s="13">
        <v>12100000</v>
      </c>
      <c r="E86" s="13">
        <v>9355000</v>
      </c>
      <c r="F86" s="25">
        <f>Proponentes[[#This Row],[Activo Corriente]]+Proponentes[[#This Row],[Activo NO Corriente]]</f>
        <v>21455000</v>
      </c>
      <c r="G86" s="13">
        <v>8100000</v>
      </c>
      <c r="H86" s="13">
        <v>0</v>
      </c>
      <c r="I86" s="25">
        <f>Proponentes[[#This Row],[Pasivo Corriente]]+Proponentes[[#This Row],[Pasivo NO Corriente]]</f>
        <v>8100000</v>
      </c>
      <c r="J86" s="14">
        <f>Proponentes[[#This Row],[Total ACTIVO]]-Proponentes[[#This Row],[Total Pasivo]]</f>
        <v>13355000</v>
      </c>
      <c r="K86" s="48">
        <f>VLOOKUP(Proponentes[[#This Row],[Propuesta]],Hoja2!$A$2:$G$239,7,FALSE)</f>
        <v>30537712.906563502</v>
      </c>
      <c r="L86" s="15" t="s">
        <v>31</v>
      </c>
      <c r="M86" s="15" t="s">
        <v>28</v>
      </c>
      <c r="N86" s="55">
        <f>IFERROR(VLOOKUP(Proponentes[[#This Row],[Cap Op en SMMLV]],Base!$A$15:$F$20,3),0)</f>
        <v>1</v>
      </c>
      <c r="O86" s="16">
        <f>IFERROR(VLOOKUP(Proponentes[[#This Row],[Cap Op en SMMLV]],Base!$A$15:$F$20,4),0)</f>
        <v>0.76</v>
      </c>
      <c r="P86" s="17">
        <f>IFERROR(VLOOKUP(Proponentes[[#This Row],[Cap Op en SMMLV]],Tabla2[],6),0)</f>
        <v>12.5</v>
      </c>
      <c r="Q86" s="18">
        <f>IFERROR(VLOOKUP(Proponentes[[#This Row],[Cap Op en SMMLV]],Base!$A$15:$F$20,5),0)</f>
        <v>10351450</v>
      </c>
      <c r="R86" s="18">
        <f>IFERROR(VLOOKUP(Proponentes[[#This Row],[Cap Op en SMMLV]],Tabla2[[DE]:[HASTA]],2),0)</f>
        <v>500</v>
      </c>
      <c r="S86" s="19">
        <f>IFERROR(Proponentes[[#This Row],[Activo Corriente]]/Proponentes[[#This Row],[Pasivo Corriente]],"INDETERMINADO")</f>
        <v>1.4938271604938271</v>
      </c>
      <c r="T86" s="20">
        <f>IFERROR(Proponentes[[#This Row],[Total Pasivo]]/Proponentes[[#This Row],[Total ACTIVO]],0)</f>
        <v>0.37753437427173153</v>
      </c>
      <c r="U86" s="21">
        <f>(Proponentes[[#This Row],[Activo Corriente]]-Proponentes[[#This Row],[Pasivo Corriente]])/Base!$B$3</f>
        <v>4.8302411739418147</v>
      </c>
      <c r="V86" s="22">
        <f>Proponentes[[#This Row],[Activo Corriente]]-Proponentes[[#This Row],[Pasivo Corriente]]</f>
        <v>4000000</v>
      </c>
      <c r="W86" s="13">
        <f>IFERROR(VLOOKUP(Proponentes[[#This Row],[Propuesta]],Hoja2!$A$2:$G$329,7,FALSE),0)</f>
        <v>30537712.906563502</v>
      </c>
      <c r="X86" s="83">
        <f>IF(Proponentes[[#This Row],[Cap Op en Pesos]]=0,0,IF(Proponentes[[#This Row],[Cap Op en Pesos]]=0,1,Proponentes[[#This Row],[Cap Op en Pesos]]/Base!B$3))</f>
        <v>36.876129559824349</v>
      </c>
      <c r="Y8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8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8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86" s="23" t="str">
        <f>IF(AND(Proponentes[[#This Row],[Cumple
Liquidez]]="CUMPLE",Proponentes[[#This Row],[Cumple
Endeudamiento]]="CUMPLE",Proponentes[[#This Row],[Cumple
Capital de Trabajo]]="CUMPLE"),"CUMPLE","NO CUMPLE")</f>
        <v>NO CUMPLE</v>
      </c>
      <c r="AC86" s="24" t="s">
        <v>791</v>
      </c>
      <c r="AD86" s="10">
        <f>IF(Proponentes[[#This Row],[Liquidez
Oferente]]&lt;=1,1,IF(Proponentes[[#This Row],[Liquidez
Oferente]]&lt;=1.1,2,IF(Proponentes[[#This Row],[Liquidez
Oferente]]&lt;=1.2,3,IF(Proponentes[[#This Row],[Liquidez
Oferente]]&lt;=1.3,4,IF(Proponentes[[#This Row],[Liquidez
Oferente]]&lt;=1.4,5,6)))))</f>
        <v>6</v>
      </c>
      <c r="AE86" s="10">
        <f>IF(Proponentes[[#This Row],[Endeudamiento
Oferente]]&lt;=66%,6,IF(Proponentes[[#This Row],[Endeudamiento
Oferente]]&lt;=58,5,IF(Proponentes[[#This Row],[Endeudamiento
Oferente]]&lt;=70,4,IF(Proponentes[[#This Row],[Endeudamiento
Oferente]]&lt;=72,3,IF(Proponentes[[#This Row],[Endeudamiento
Oferente]]&lt;=74,2,1)))))</f>
        <v>6</v>
      </c>
      <c r="AF8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86" s="10">
        <f>IF(Proponentes[[#This Row],[Cap Op en SMMLV]]&lt;=500,1,IF(Proponentes[[#This Row],[Cap Op en SMMLV]]&lt;=1000,2,IF(Proponentes[[#This Row],[Cap Op en SMMLV]]&lt;=1500,3,IF(Proponentes[[#This Row],[Cap Op en SMMLV]]&lt;=2000,4,IF(Proponentes[[#This Row],[Cap Op en SMMLV]]&lt;=2500,5,6)))))</f>
        <v>1</v>
      </c>
      <c r="AH86" s="10">
        <f>MIN(Proponentes[[#This Row],[a]:[d]])</f>
        <v>1</v>
      </c>
      <c r="AI86" s="87">
        <f>IF(Proponentes[[#This Row],[e]]=Proponentes[[#This Row],[d]],Proponentes[[#This Row],[Cap Op en SMMLV]],VLOOKUP(Proponentes[[#This Row],[e]],Base!$D$1:$E$6,2,FALSE))</f>
        <v>36.876129559824349</v>
      </c>
      <c r="AJ86" s="101" t="str">
        <f>VLOOKUP(Proponentes[[#This Row],[Propuesta]],Hoja2!$A$2:$D$329,4,FALSE)</f>
        <v>NO CUMPLE</v>
      </c>
      <c r="AK86" s="101"/>
    </row>
    <row r="87" spans="1:37" ht="16" x14ac:dyDescent="0.2">
      <c r="A87" s="10">
        <v>86</v>
      </c>
      <c r="B87" s="11">
        <v>843000021</v>
      </c>
      <c r="C87" s="12" t="s">
        <v>137</v>
      </c>
      <c r="D87" s="13">
        <v>0</v>
      </c>
      <c r="E87" s="13">
        <v>0</v>
      </c>
      <c r="F87" s="25">
        <f>Proponentes[[#This Row],[Activo Corriente]]+Proponentes[[#This Row],[Activo NO Corriente]]</f>
        <v>0</v>
      </c>
      <c r="G87" s="13">
        <v>0</v>
      </c>
      <c r="H87" s="13">
        <v>0</v>
      </c>
      <c r="I87" s="25">
        <f>Proponentes[[#This Row],[Pasivo Corriente]]+Proponentes[[#This Row],[Pasivo NO Corriente]]</f>
        <v>0</v>
      </c>
      <c r="J87" s="14">
        <f>Proponentes[[#This Row],[Total ACTIVO]]-Proponentes[[#This Row],[Total Pasivo]]</f>
        <v>0</v>
      </c>
      <c r="K87" s="48">
        <f>VLOOKUP(Proponentes[[#This Row],[Propuesta]],Hoja2!$A$2:$G$239,7,FALSE)</f>
        <v>0</v>
      </c>
      <c r="L87" s="15" t="s">
        <v>88</v>
      </c>
      <c r="M87" s="15" t="s">
        <v>28</v>
      </c>
      <c r="N87" s="55">
        <f>IFERROR(VLOOKUP(Proponentes[[#This Row],[Cap Op en SMMLV]],Base!$A$15:$F$20,3),0)</f>
        <v>0</v>
      </c>
      <c r="O87" s="16">
        <f>IFERROR(VLOOKUP(Proponentes[[#This Row],[Cap Op en SMMLV]],Base!$A$15:$F$20,4),0)</f>
        <v>0</v>
      </c>
      <c r="P87" s="17">
        <f>IFERROR(VLOOKUP(Proponentes[[#This Row],[Cap Op en SMMLV]],Tabla2[],6),0)</f>
        <v>0</v>
      </c>
      <c r="Q87" s="18">
        <f>IFERROR(VLOOKUP(Proponentes[[#This Row],[Cap Op en SMMLV]],Base!$A$15:$F$20,5),0)</f>
        <v>0</v>
      </c>
      <c r="R87" s="18">
        <f>IFERROR(VLOOKUP(Proponentes[[#This Row],[Cap Op en SMMLV]],Tabla2[[DE]:[HASTA]],2),0)</f>
        <v>0</v>
      </c>
      <c r="S87" s="19" t="str">
        <f>IFERROR(Proponentes[[#This Row],[Activo Corriente]]/Proponentes[[#This Row],[Pasivo Corriente]],"INDETERMINADO")</f>
        <v>INDETERMINADO</v>
      </c>
      <c r="T87" s="20">
        <f>IFERROR(Proponentes[[#This Row],[Total Pasivo]]/Proponentes[[#This Row],[Total ACTIVO]],0)</f>
        <v>0</v>
      </c>
      <c r="U87" s="21">
        <f>(Proponentes[[#This Row],[Activo Corriente]]-Proponentes[[#This Row],[Pasivo Corriente]])/Base!$B$3</f>
        <v>0</v>
      </c>
      <c r="V87" s="22">
        <f>Proponentes[[#This Row],[Activo Corriente]]-Proponentes[[#This Row],[Pasivo Corriente]]</f>
        <v>0</v>
      </c>
      <c r="W87" s="13">
        <f>IFERROR(VLOOKUP(Proponentes[[#This Row],[Propuesta]],Hoja2!$A$2:$G$329,7,FALSE),0)</f>
        <v>0</v>
      </c>
      <c r="X87" s="83">
        <f>IF(Proponentes[[#This Row],[Cap Op en Pesos]]=0,0,IF(Proponentes[[#This Row],[Cap Op en Pesos]]=0,1,Proponentes[[#This Row],[Cap Op en Pesos]]/Base!B$3))</f>
        <v>0</v>
      </c>
      <c r="Y8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8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8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87" s="23" t="str">
        <f>IF(AND(Proponentes[[#This Row],[Cumple
Liquidez]]="CUMPLE",Proponentes[[#This Row],[Cumple
Endeudamiento]]="CUMPLE",Proponentes[[#This Row],[Cumple
Capital de Trabajo]]="CUMPLE"),"CUMPLE","NO CUMPLE")</f>
        <v>NO CUMPLE</v>
      </c>
      <c r="AC87" s="24"/>
      <c r="AD87" s="10">
        <f>IF(Proponentes[[#This Row],[Liquidez
Oferente]]&lt;=1,1,IF(Proponentes[[#This Row],[Liquidez
Oferente]]&lt;=1.1,2,IF(Proponentes[[#This Row],[Liquidez
Oferente]]&lt;=1.2,3,IF(Proponentes[[#This Row],[Liquidez
Oferente]]&lt;=1.3,4,IF(Proponentes[[#This Row],[Liquidez
Oferente]]&lt;=1.4,5,6)))))</f>
        <v>6</v>
      </c>
      <c r="AE87" s="10">
        <f>IF(Proponentes[[#This Row],[Endeudamiento
Oferente]]&lt;=66%,6,IF(Proponentes[[#This Row],[Endeudamiento
Oferente]]&lt;=58,5,IF(Proponentes[[#This Row],[Endeudamiento
Oferente]]&lt;=70,4,IF(Proponentes[[#This Row],[Endeudamiento
Oferente]]&lt;=72,3,IF(Proponentes[[#This Row],[Endeudamiento
Oferente]]&lt;=74,2,1)))))</f>
        <v>6</v>
      </c>
      <c r="AF8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87" s="10">
        <f>IF(Proponentes[[#This Row],[Cap Op en SMMLV]]&lt;=500,1,IF(Proponentes[[#This Row],[Cap Op en SMMLV]]&lt;=1000,2,IF(Proponentes[[#This Row],[Cap Op en SMMLV]]&lt;=1500,3,IF(Proponentes[[#This Row],[Cap Op en SMMLV]]&lt;=2000,4,IF(Proponentes[[#This Row],[Cap Op en SMMLV]]&lt;=2500,5,6)))))</f>
        <v>1</v>
      </c>
      <c r="AH87" s="10">
        <f>MIN(Proponentes[[#This Row],[a]:[d]])</f>
        <v>1</v>
      </c>
      <c r="AI87" s="87">
        <f>IF(Proponentes[[#This Row],[e]]=Proponentes[[#This Row],[d]],Proponentes[[#This Row],[Cap Op en SMMLV]],VLOOKUP(Proponentes[[#This Row],[e]],Base!$D$1:$E$6,2,FALSE))</f>
        <v>0</v>
      </c>
      <c r="AJ87" s="101" t="str">
        <f>VLOOKUP(Proponentes[[#This Row],[Propuesta]],Hoja2!$A$2:$D$329,4,FALSE)</f>
        <v>NO CUMPLE</v>
      </c>
      <c r="AK87" s="101"/>
    </row>
    <row r="88" spans="1:37" ht="16" x14ac:dyDescent="0.2">
      <c r="A88" s="10">
        <v>87</v>
      </c>
      <c r="B88" s="11">
        <v>900322099</v>
      </c>
      <c r="C88" s="12" t="s">
        <v>138</v>
      </c>
      <c r="D88" s="13">
        <v>578893695</v>
      </c>
      <c r="E88" s="13">
        <v>17029583</v>
      </c>
      <c r="F88" s="25">
        <f>Proponentes[[#This Row],[Activo Corriente]]+Proponentes[[#This Row],[Activo NO Corriente]]</f>
        <v>595923278</v>
      </c>
      <c r="G88" s="13">
        <v>238813606</v>
      </c>
      <c r="H88" s="13">
        <v>0</v>
      </c>
      <c r="I88" s="25">
        <f>Proponentes[[#This Row],[Pasivo Corriente]]+Proponentes[[#This Row],[Pasivo NO Corriente]]</f>
        <v>238813606</v>
      </c>
      <c r="J88" s="14">
        <f>Proponentes[[#This Row],[Total ACTIVO]]-Proponentes[[#This Row],[Total Pasivo]]</f>
        <v>357109672</v>
      </c>
      <c r="K88" s="48">
        <f>VLOOKUP(Proponentes[[#This Row],[Propuesta]],Hoja2!$A$2:$G$239,7,FALSE)</f>
        <v>664684241.43262112</v>
      </c>
      <c r="L88" s="15" t="s">
        <v>471</v>
      </c>
      <c r="M88" s="15" t="s">
        <v>28</v>
      </c>
      <c r="N88" s="55">
        <f>IFERROR(VLOOKUP(Proponentes[[#This Row],[Cap Op en SMMLV]],Base!$A$15:$F$20,3),0)</f>
        <v>1.1000000000000001</v>
      </c>
      <c r="O88" s="16">
        <f>IFERROR(VLOOKUP(Proponentes[[#This Row],[Cap Op en SMMLV]],Base!$A$15:$F$20,4),0)</f>
        <v>0.74</v>
      </c>
      <c r="P88" s="17">
        <f>IFERROR(VLOOKUP(Proponentes[[#This Row],[Cap Op en SMMLV]],Tabla2[],6),0)</f>
        <v>25</v>
      </c>
      <c r="Q88" s="18">
        <f>IFERROR(VLOOKUP(Proponentes[[#This Row],[Cap Op en SMMLV]],Base!$A$15:$F$20,5),0)</f>
        <v>20702900</v>
      </c>
      <c r="R88" s="18">
        <f>IFERROR(VLOOKUP(Proponentes[[#This Row],[Cap Op en SMMLV]],Tabla2[[DE]:[HASTA]],2),0)</f>
        <v>1000</v>
      </c>
      <c r="S88" s="19">
        <f>IFERROR(Proponentes[[#This Row],[Activo Corriente]]/Proponentes[[#This Row],[Pasivo Corriente]],"INDETERMINADO")</f>
        <v>2.4240398388356481</v>
      </c>
      <c r="T88" s="20">
        <f>IFERROR(Proponentes[[#This Row],[Total Pasivo]]/Proponentes[[#This Row],[Total ACTIVO]],0)</f>
        <v>0.40074555704803327</v>
      </c>
      <c r="U88" s="21">
        <f>(Proponentes[[#This Row],[Activo Corriente]]-Proponentes[[#This Row],[Pasivo Corriente]])/Base!$B$3</f>
        <v>410.66721208139921</v>
      </c>
      <c r="V88" s="22">
        <f>Proponentes[[#This Row],[Activo Corriente]]-Proponentes[[#This Row],[Pasivo Corriente]]</f>
        <v>340080089</v>
      </c>
      <c r="W88" s="13">
        <f>IFERROR(VLOOKUP(Proponentes[[#This Row],[Propuesta]],Hoja2!$A$2:$G$329,7,FALSE),0)</f>
        <v>664684241.43262112</v>
      </c>
      <c r="X88" s="83">
        <f>IF(Proponentes[[#This Row],[Cap Op en Pesos]]=0,0,IF(Proponentes[[#This Row],[Cap Op en Pesos]]=0,1,Proponentes[[#This Row],[Cap Op en Pesos]]/Base!B$3))</f>
        <v>802.64629765953214</v>
      </c>
      <c r="Y8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8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8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88" s="23" t="str">
        <f>IF(AND(Proponentes[[#This Row],[Cumple
Liquidez]]="CUMPLE",Proponentes[[#This Row],[Cumple
Endeudamiento]]="CUMPLE",Proponentes[[#This Row],[Cumple
Capital de Trabajo]]="CUMPLE"),"CUMPLE","NO CUMPLE")</f>
        <v>CUMPLE</v>
      </c>
      <c r="AC88" s="24"/>
      <c r="AD88" s="10">
        <f>IF(Proponentes[[#This Row],[Liquidez
Oferente]]&lt;=1,1,IF(Proponentes[[#This Row],[Liquidez
Oferente]]&lt;=1.1,2,IF(Proponentes[[#This Row],[Liquidez
Oferente]]&lt;=1.2,3,IF(Proponentes[[#This Row],[Liquidez
Oferente]]&lt;=1.3,4,IF(Proponentes[[#This Row],[Liquidez
Oferente]]&lt;=1.4,5,6)))))</f>
        <v>6</v>
      </c>
      <c r="AE88" s="10">
        <f>IF(Proponentes[[#This Row],[Endeudamiento
Oferente]]&lt;=66%,6,IF(Proponentes[[#This Row],[Endeudamiento
Oferente]]&lt;=58,5,IF(Proponentes[[#This Row],[Endeudamiento
Oferente]]&lt;=70,4,IF(Proponentes[[#This Row],[Endeudamiento
Oferente]]&lt;=72,3,IF(Proponentes[[#This Row],[Endeudamiento
Oferente]]&lt;=74,2,1)))))</f>
        <v>6</v>
      </c>
      <c r="AF8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88" s="10">
        <f>IF(Proponentes[[#This Row],[Cap Op en SMMLV]]&lt;=500,1,IF(Proponentes[[#This Row],[Cap Op en SMMLV]]&lt;=1000,2,IF(Proponentes[[#This Row],[Cap Op en SMMLV]]&lt;=1500,3,IF(Proponentes[[#This Row],[Cap Op en SMMLV]]&lt;=2000,4,IF(Proponentes[[#This Row],[Cap Op en SMMLV]]&lt;=2500,5,6)))))</f>
        <v>2</v>
      </c>
      <c r="AH88" s="10">
        <f>MIN(Proponentes[[#This Row],[a]:[d]])</f>
        <v>2</v>
      </c>
      <c r="AI88" s="87">
        <f>IF(Proponentes[[#This Row],[e]]=Proponentes[[#This Row],[d]],Proponentes[[#This Row],[Cap Op en SMMLV]],VLOOKUP(Proponentes[[#This Row],[e]],Base!$D$1:$E$6,2,FALSE))</f>
        <v>802.64629765953214</v>
      </c>
      <c r="AJ88" s="101" t="str">
        <f>VLOOKUP(Proponentes[[#This Row],[Propuesta]],Hoja2!$A$2:$D$329,4,FALSE)</f>
        <v>NO CUMPLE</v>
      </c>
      <c r="AK88" s="101"/>
    </row>
    <row r="89" spans="1:37" ht="16" x14ac:dyDescent="0.2">
      <c r="A89" s="10">
        <v>88</v>
      </c>
      <c r="B89" s="11">
        <v>892200893</v>
      </c>
      <c r="C89" s="12" t="s">
        <v>139</v>
      </c>
      <c r="D89" s="13">
        <v>257657558</v>
      </c>
      <c r="E89" s="13">
        <v>558932842</v>
      </c>
      <c r="F89" s="25">
        <f>Proponentes[[#This Row],[Activo Corriente]]+Proponentes[[#This Row],[Activo NO Corriente]]</f>
        <v>816590400</v>
      </c>
      <c r="G89" s="13">
        <v>192162952</v>
      </c>
      <c r="H89" s="13">
        <v>123858647</v>
      </c>
      <c r="I89" s="25">
        <f>Proponentes[[#This Row],[Pasivo Corriente]]+Proponentes[[#This Row],[Pasivo NO Corriente]]</f>
        <v>316021599</v>
      </c>
      <c r="J89" s="14">
        <f>Proponentes[[#This Row],[Total ACTIVO]]-Proponentes[[#This Row],[Total Pasivo]]</f>
        <v>500568801</v>
      </c>
      <c r="K89" s="48">
        <f>VLOOKUP(Proponentes[[#This Row],[Propuesta]],Hoja2!$A$2:$G$239,7,FALSE)</f>
        <v>85801198.668158412</v>
      </c>
      <c r="L89" s="15"/>
      <c r="M89" s="15" t="s">
        <v>28</v>
      </c>
      <c r="N89" s="55">
        <f>IFERROR(VLOOKUP(Proponentes[[#This Row],[Cap Op en SMMLV]],Base!$A$15:$F$20,3),0)</f>
        <v>1</v>
      </c>
      <c r="O89" s="16">
        <f>IFERROR(VLOOKUP(Proponentes[[#This Row],[Cap Op en SMMLV]],Base!$A$15:$F$20,4),0)</f>
        <v>0.76</v>
      </c>
      <c r="P89" s="17">
        <f>IFERROR(VLOOKUP(Proponentes[[#This Row],[Cap Op en SMMLV]],Tabla2[],6),0)</f>
        <v>12.5</v>
      </c>
      <c r="Q89" s="18">
        <f>IFERROR(VLOOKUP(Proponentes[[#This Row],[Cap Op en SMMLV]],Base!$A$15:$F$20,5),0)</f>
        <v>10351450</v>
      </c>
      <c r="R89" s="18">
        <f>IFERROR(VLOOKUP(Proponentes[[#This Row],[Cap Op en SMMLV]],Tabla2[[DE]:[HASTA]],2),0)</f>
        <v>500</v>
      </c>
      <c r="S89" s="19">
        <f>IFERROR(Proponentes[[#This Row],[Activo Corriente]]/Proponentes[[#This Row],[Pasivo Corriente]],"INDETERMINADO")</f>
        <v>1.3408284756158408</v>
      </c>
      <c r="T89" s="20">
        <f>IFERROR(Proponentes[[#This Row],[Total Pasivo]]/Proponentes[[#This Row],[Total ACTIVO]],0)</f>
        <v>0.38700136445395389</v>
      </c>
      <c r="U89" s="21">
        <f>(Proponentes[[#This Row],[Activo Corriente]]-Proponentes[[#This Row],[Pasivo Corriente]])/Base!$B$3</f>
        <v>79.088685643074157</v>
      </c>
      <c r="V89" s="22">
        <f>Proponentes[[#This Row],[Activo Corriente]]-Proponentes[[#This Row],[Pasivo Corriente]]</f>
        <v>65494606</v>
      </c>
      <c r="W89" s="13">
        <f>IFERROR(VLOOKUP(Proponentes[[#This Row],[Propuesta]],Hoja2!$A$2:$G$329,7,FALSE),0)</f>
        <v>85801198.668158412</v>
      </c>
      <c r="X89" s="83">
        <f>IF(Proponentes[[#This Row],[Cap Op en Pesos]]=0,0,IF(Proponentes[[#This Row],[Cap Op en Pesos]]=0,1,Proponentes[[#This Row],[Cap Op en Pesos]]/Base!B$3))</f>
        <v>103.61012064512509</v>
      </c>
      <c r="Y8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8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8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89" s="23" t="str">
        <f>IF(AND(Proponentes[[#This Row],[Cumple
Liquidez]]="CUMPLE",Proponentes[[#This Row],[Cumple
Endeudamiento]]="CUMPLE",Proponentes[[#This Row],[Cumple
Capital de Trabajo]]="CUMPLE"),"CUMPLE","NO CUMPLE")</f>
        <v>CUMPLE</v>
      </c>
      <c r="AC89" s="24"/>
      <c r="AD89" s="10">
        <f>IF(Proponentes[[#This Row],[Liquidez
Oferente]]&lt;=1,1,IF(Proponentes[[#This Row],[Liquidez
Oferente]]&lt;=1.1,2,IF(Proponentes[[#This Row],[Liquidez
Oferente]]&lt;=1.2,3,IF(Proponentes[[#This Row],[Liquidez
Oferente]]&lt;=1.3,4,IF(Proponentes[[#This Row],[Liquidez
Oferente]]&lt;=1.4,5,6)))))</f>
        <v>5</v>
      </c>
      <c r="AE89" s="10">
        <f>IF(Proponentes[[#This Row],[Endeudamiento
Oferente]]&lt;=66%,6,IF(Proponentes[[#This Row],[Endeudamiento
Oferente]]&lt;=58,5,IF(Proponentes[[#This Row],[Endeudamiento
Oferente]]&lt;=70,4,IF(Proponentes[[#This Row],[Endeudamiento
Oferente]]&lt;=72,3,IF(Proponentes[[#This Row],[Endeudamiento
Oferente]]&lt;=74,2,1)))))</f>
        <v>6</v>
      </c>
      <c r="AF8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89" s="10">
        <f>IF(Proponentes[[#This Row],[Cap Op en SMMLV]]&lt;=500,1,IF(Proponentes[[#This Row],[Cap Op en SMMLV]]&lt;=1000,2,IF(Proponentes[[#This Row],[Cap Op en SMMLV]]&lt;=1500,3,IF(Proponentes[[#This Row],[Cap Op en SMMLV]]&lt;=2000,4,IF(Proponentes[[#This Row],[Cap Op en SMMLV]]&lt;=2500,5,6)))))</f>
        <v>1</v>
      </c>
      <c r="AH89" s="10">
        <f>MIN(Proponentes[[#This Row],[a]:[d]])</f>
        <v>1</v>
      </c>
      <c r="AI89" s="87">
        <f>IF(Proponentes[[#This Row],[e]]=Proponentes[[#This Row],[d]],Proponentes[[#This Row],[Cap Op en SMMLV]],VLOOKUP(Proponentes[[#This Row],[e]],Base!$D$1:$E$6,2,FALSE))</f>
        <v>103.61012064512509</v>
      </c>
      <c r="AJ89" s="101" t="str">
        <f>VLOOKUP(Proponentes[[#This Row],[Propuesta]],Hoja2!$A$2:$D$329,4,FALSE)</f>
        <v>CUMPLE</v>
      </c>
      <c r="AK89" s="101"/>
    </row>
    <row r="90" spans="1:37" ht="16" x14ac:dyDescent="0.2">
      <c r="A90" s="10">
        <v>89</v>
      </c>
      <c r="B90" s="11">
        <v>900621505</v>
      </c>
      <c r="C90" s="12" t="s">
        <v>140</v>
      </c>
      <c r="D90" s="13">
        <v>38288180</v>
      </c>
      <c r="E90" s="13">
        <v>64199097</v>
      </c>
      <c r="F90" s="25">
        <f>Proponentes[[#This Row],[Activo Corriente]]+Proponentes[[#This Row],[Activo NO Corriente]]</f>
        <v>102487277</v>
      </c>
      <c r="G90" s="13">
        <v>0</v>
      </c>
      <c r="H90" s="13">
        <v>0</v>
      </c>
      <c r="I90" s="25">
        <f>Proponentes[[#This Row],[Pasivo Corriente]]+Proponentes[[#This Row],[Pasivo NO Corriente]]</f>
        <v>0</v>
      </c>
      <c r="J90" s="14">
        <f>Proponentes[[#This Row],[Total ACTIVO]]-Proponentes[[#This Row],[Total Pasivo]]</f>
        <v>102487277</v>
      </c>
      <c r="K90" s="48">
        <f>VLOOKUP(Proponentes[[#This Row],[Propuesta]],Hoja2!$A$2:$G$239,7,FALSE)</f>
        <v>50014706.542288303</v>
      </c>
      <c r="L90" s="15" t="s">
        <v>472</v>
      </c>
      <c r="M90" s="15" t="s">
        <v>28</v>
      </c>
      <c r="N90" s="55">
        <f>IFERROR(VLOOKUP(Proponentes[[#This Row],[Cap Op en SMMLV]],Base!$A$15:$F$20,3),0)</f>
        <v>1</v>
      </c>
      <c r="O90" s="16">
        <f>IFERROR(VLOOKUP(Proponentes[[#This Row],[Cap Op en SMMLV]],Base!$A$15:$F$20,4),0)</f>
        <v>0.76</v>
      </c>
      <c r="P90" s="17">
        <f>IFERROR(VLOOKUP(Proponentes[[#This Row],[Cap Op en SMMLV]],Tabla2[],6),0)</f>
        <v>12.5</v>
      </c>
      <c r="Q90" s="18">
        <f>IFERROR(VLOOKUP(Proponentes[[#This Row],[Cap Op en SMMLV]],Base!$A$15:$F$20,5),0)</f>
        <v>10351450</v>
      </c>
      <c r="R90" s="18">
        <f>IFERROR(VLOOKUP(Proponentes[[#This Row],[Cap Op en SMMLV]],Tabla2[[DE]:[HASTA]],2),0)</f>
        <v>500</v>
      </c>
      <c r="S90" s="19" t="str">
        <f>IFERROR(Proponentes[[#This Row],[Activo Corriente]]/Proponentes[[#This Row],[Pasivo Corriente]],"INDETERMINADO")</f>
        <v>INDETERMINADO</v>
      </c>
      <c r="T90" s="20">
        <f>IFERROR(Proponentes[[#This Row],[Total Pasivo]]/Proponentes[[#This Row],[Total ACTIVO]],0)</f>
        <v>0</v>
      </c>
      <c r="U90" s="21">
        <f>(Proponentes[[#This Row],[Activo Corriente]]-Proponentes[[#This Row],[Pasivo Corriente]])/Base!$B$3</f>
        <v>46.235285877823877</v>
      </c>
      <c r="V90" s="22">
        <f>Proponentes[[#This Row],[Activo Corriente]]-Proponentes[[#This Row],[Pasivo Corriente]]</f>
        <v>38288180</v>
      </c>
      <c r="W90" s="13">
        <f>IFERROR(VLOOKUP(Proponentes[[#This Row],[Propuesta]],Hoja2!$A$2:$G$329,7,FALSE),0)</f>
        <v>50014706.542288303</v>
      </c>
      <c r="X90" s="83">
        <f>IF(Proponentes[[#This Row],[Cap Op en Pesos]]=0,0,IF(Proponentes[[#This Row],[Cap Op en Pesos]]=0,1,Proponentes[[#This Row],[Cap Op en Pesos]]/Base!B$3))</f>
        <v>60.395773710794508</v>
      </c>
      <c r="Y9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9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9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90" s="23" t="str">
        <f>IF(AND(Proponentes[[#This Row],[Cumple
Liquidez]]="CUMPLE",Proponentes[[#This Row],[Cumple
Endeudamiento]]="CUMPLE",Proponentes[[#This Row],[Cumple
Capital de Trabajo]]="CUMPLE"),"CUMPLE","NO CUMPLE")</f>
        <v>CUMPLE</v>
      </c>
      <c r="AC90" s="24" t="s">
        <v>792</v>
      </c>
      <c r="AD90" s="10">
        <f>IF(Proponentes[[#This Row],[Liquidez
Oferente]]&lt;=1,1,IF(Proponentes[[#This Row],[Liquidez
Oferente]]&lt;=1.1,2,IF(Proponentes[[#This Row],[Liquidez
Oferente]]&lt;=1.2,3,IF(Proponentes[[#This Row],[Liquidez
Oferente]]&lt;=1.3,4,IF(Proponentes[[#This Row],[Liquidez
Oferente]]&lt;=1.4,5,6)))))</f>
        <v>6</v>
      </c>
      <c r="AE90" s="10">
        <f>IF(Proponentes[[#This Row],[Endeudamiento
Oferente]]&lt;=66%,6,IF(Proponentes[[#This Row],[Endeudamiento
Oferente]]&lt;=58,5,IF(Proponentes[[#This Row],[Endeudamiento
Oferente]]&lt;=70,4,IF(Proponentes[[#This Row],[Endeudamiento
Oferente]]&lt;=72,3,IF(Proponentes[[#This Row],[Endeudamiento
Oferente]]&lt;=74,2,1)))))</f>
        <v>6</v>
      </c>
      <c r="AF9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4</v>
      </c>
      <c r="AG90" s="10">
        <f>IF(Proponentes[[#This Row],[Cap Op en SMMLV]]&lt;=500,1,IF(Proponentes[[#This Row],[Cap Op en SMMLV]]&lt;=1000,2,IF(Proponentes[[#This Row],[Cap Op en SMMLV]]&lt;=1500,3,IF(Proponentes[[#This Row],[Cap Op en SMMLV]]&lt;=2000,4,IF(Proponentes[[#This Row],[Cap Op en SMMLV]]&lt;=2500,5,6)))))</f>
        <v>1</v>
      </c>
      <c r="AH90" s="10">
        <f>MIN(Proponentes[[#This Row],[a]:[d]])</f>
        <v>1</v>
      </c>
      <c r="AI90" s="87">
        <f>IF(Proponentes[[#This Row],[e]]=Proponentes[[#This Row],[d]],Proponentes[[#This Row],[Cap Op en SMMLV]],VLOOKUP(Proponentes[[#This Row],[e]],Base!$D$1:$E$6,2,FALSE))</f>
        <v>60.395773710794508</v>
      </c>
      <c r="AJ90" s="101" t="str">
        <f>VLOOKUP(Proponentes[[#This Row],[Propuesta]],Hoja2!$A$2:$D$329,4,FALSE)</f>
        <v>NO CUMPLE</v>
      </c>
      <c r="AK90" s="101"/>
    </row>
    <row r="91" spans="1:37" ht="16" x14ac:dyDescent="0.2">
      <c r="A91" s="10">
        <v>90</v>
      </c>
      <c r="B91" s="11">
        <v>900174216</v>
      </c>
      <c r="C91" s="12" t="s">
        <v>141</v>
      </c>
      <c r="D91" s="13">
        <v>2508873450</v>
      </c>
      <c r="E91" s="13">
        <v>159750633</v>
      </c>
      <c r="F91" s="25">
        <f>Proponentes[[#This Row],[Activo Corriente]]+Proponentes[[#This Row],[Activo NO Corriente]]</f>
        <v>2668624083</v>
      </c>
      <c r="G91" s="13">
        <v>375394748</v>
      </c>
      <c r="H91" s="13">
        <v>318891674</v>
      </c>
      <c r="I91" s="25">
        <f>Proponentes[[#This Row],[Pasivo Corriente]]+Proponentes[[#This Row],[Pasivo NO Corriente]]</f>
        <v>694286422</v>
      </c>
      <c r="J91" s="14">
        <f>Proponentes[[#This Row],[Total ACTIVO]]-Proponentes[[#This Row],[Total Pasivo]]</f>
        <v>1974337661</v>
      </c>
      <c r="K91" s="48">
        <f>VLOOKUP(Proponentes[[#This Row],[Propuesta]],Hoja2!$A$2:$G$239,7,FALSE)</f>
        <v>1857594607.3307977</v>
      </c>
      <c r="L91" s="15"/>
      <c r="M91" s="15" t="s">
        <v>28</v>
      </c>
      <c r="N91" s="55">
        <f>IFERROR(VLOOKUP(Proponentes[[#This Row],[Cap Op en SMMLV]],Base!$A$15:$F$20,3),0)</f>
        <v>1.4</v>
      </c>
      <c r="O91" s="16">
        <f>IFERROR(VLOOKUP(Proponentes[[#This Row],[Cap Op en SMMLV]],Base!$A$15:$F$20,4),0)</f>
        <v>0.68</v>
      </c>
      <c r="P91" s="17">
        <f>IFERROR(VLOOKUP(Proponentes[[#This Row],[Cap Op en SMMLV]],Tabla2[],6),0)</f>
        <v>62.5</v>
      </c>
      <c r="Q91" s="18">
        <f>IFERROR(VLOOKUP(Proponentes[[#This Row],[Cap Op en SMMLV]],Base!$A$15:$F$20,5),0)</f>
        <v>51757250</v>
      </c>
      <c r="R91" s="18">
        <f>IFERROR(VLOOKUP(Proponentes[[#This Row],[Cap Op en SMMLV]],Tabla2[[DE]:[HASTA]],2),0)</f>
        <v>2500</v>
      </c>
      <c r="S91" s="19">
        <f>IFERROR(Proponentes[[#This Row],[Activo Corriente]]/Proponentes[[#This Row],[Pasivo Corriente]],"INDETERMINADO")</f>
        <v>6.6832939548744035</v>
      </c>
      <c r="T91" s="20">
        <f>IFERROR(Proponentes[[#This Row],[Total Pasivo]]/Proponentes[[#This Row],[Total ACTIVO]],0)</f>
        <v>0.26016643798683731</v>
      </c>
      <c r="U91" s="21">
        <f>(Proponentes[[#This Row],[Activo Corriente]]-Proponentes[[#This Row],[Pasivo Corriente]])/Base!$B$3</f>
        <v>2576.3041675320851</v>
      </c>
      <c r="V91" s="22">
        <f>Proponentes[[#This Row],[Activo Corriente]]-Proponentes[[#This Row],[Pasivo Corriente]]</f>
        <v>2133478702</v>
      </c>
      <c r="W91" s="13">
        <f>IFERROR(VLOOKUP(Proponentes[[#This Row],[Propuesta]],Hoja2!$A$2:$G$329,7,FALSE),0)</f>
        <v>1857594607.3307977</v>
      </c>
      <c r="X91" s="83">
        <f>IF(Proponentes[[#This Row],[Cap Op en Pesos]]=0,0,IF(Proponentes[[#This Row],[Cap Op en Pesos]]=0,1,Proponentes[[#This Row],[Cap Op en Pesos]]/Base!B$3))</f>
        <v>2243.1574892053741</v>
      </c>
      <c r="Y9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9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9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91" s="23" t="str">
        <f>IF(AND(Proponentes[[#This Row],[Cumple
Liquidez]]="CUMPLE",Proponentes[[#This Row],[Cumple
Endeudamiento]]="CUMPLE",Proponentes[[#This Row],[Cumple
Capital de Trabajo]]="CUMPLE"),"CUMPLE","NO CUMPLE")</f>
        <v>CUMPLE</v>
      </c>
      <c r="AC91" s="24"/>
      <c r="AD91" s="10">
        <f>IF(Proponentes[[#This Row],[Liquidez
Oferente]]&lt;=1,1,IF(Proponentes[[#This Row],[Liquidez
Oferente]]&lt;=1.1,2,IF(Proponentes[[#This Row],[Liquidez
Oferente]]&lt;=1.2,3,IF(Proponentes[[#This Row],[Liquidez
Oferente]]&lt;=1.3,4,IF(Proponentes[[#This Row],[Liquidez
Oferente]]&lt;=1.4,5,6)))))</f>
        <v>6</v>
      </c>
      <c r="AE91" s="10">
        <f>IF(Proponentes[[#This Row],[Endeudamiento
Oferente]]&lt;=66%,6,IF(Proponentes[[#This Row],[Endeudamiento
Oferente]]&lt;=58,5,IF(Proponentes[[#This Row],[Endeudamiento
Oferente]]&lt;=70,4,IF(Proponentes[[#This Row],[Endeudamiento
Oferente]]&lt;=72,3,IF(Proponentes[[#This Row],[Endeudamiento
Oferente]]&lt;=74,2,1)))))</f>
        <v>6</v>
      </c>
      <c r="AF9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91" s="10">
        <f>IF(Proponentes[[#This Row],[Cap Op en SMMLV]]&lt;=500,1,IF(Proponentes[[#This Row],[Cap Op en SMMLV]]&lt;=1000,2,IF(Proponentes[[#This Row],[Cap Op en SMMLV]]&lt;=1500,3,IF(Proponentes[[#This Row],[Cap Op en SMMLV]]&lt;=2000,4,IF(Proponentes[[#This Row],[Cap Op en SMMLV]]&lt;=2500,5,6)))))</f>
        <v>5</v>
      </c>
      <c r="AH91" s="10">
        <f>MIN(Proponentes[[#This Row],[a]:[d]])</f>
        <v>5</v>
      </c>
      <c r="AI91" s="87">
        <f>IF(Proponentes[[#This Row],[e]]=Proponentes[[#This Row],[d]],Proponentes[[#This Row],[Cap Op en SMMLV]],VLOOKUP(Proponentes[[#This Row],[e]],Base!$D$1:$E$6,2,FALSE))</f>
        <v>2243.1574892053741</v>
      </c>
      <c r="AJ91" s="101" t="str">
        <f>VLOOKUP(Proponentes[[#This Row],[Propuesta]],Hoja2!$A$2:$D$329,4,FALSE)</f>
        <v>CUMPLE</v>
      </c>
      <c r="AK91" s="101"/>
    </row>
    <row r="92" spans="1:37" ht="16" x14ac:dyDescent="0.2">
      <c r="A92" s="10">
        <v>91</v>
      </c>
      <c r="B92" s="11">
        <v>806007865</v>
      </c>
      <c r="C92" s="12" t="s">
        <v>142</v>
      </c>
      <c r="D92" s="13">
        <v>76397159</v>
      </c>
      <c r="E92" s="13">
        <v>44275667</v>
      </c>
      <c r="F92" s="25">
        <f>Proponentes[[#This Row],[Activo Corriente]]+Proponentes[[#This Row],[Activo NO Corriente]]</f>
        <v>120672826</v>
      </c>
      <c r="G92" s="13">
        <v>52862189</v>
      </c>
      <c r="H92" s="13">
        <v>23650000</v>
      </c>
      <c r="I92" s="25">
        <f>Proponentes[[#This Row],[Pasivo Corriente]]+Proponentes[[#This Row],[Pasivo NO Corriente]]</f>
        <v>76512189</v>
      </c>
      <c r="J92" s="14">
        <f>Proponentes[[#This Row],[Total ACTIVO]]-Proponentes[[#This Row],[Total Pasivo]]</f>
        <v>44160637</v>
      </c>
      <c r="K92" s="48">
        <f>VLOOKUP(Proponentes[[#This Row],[Propuesta]],Hoja2!$A$2:$G$239,7,FALSE)</f>
        <v>235608647.64454523</v>
      </c>
      <c r="L92" s="15"/>
      <c r="M92" s="15" t="s">
        <v>28</v>
      </c>
      <c r="N92" s="55">
        <f>IFERROR(VLOOKUP(Proponentes[[#This Row],[Cap Op en SMMLV]],Base!$A$15:$F$20,3),0)</f>
        <v>1</v>
      </c>
      <c r="O92" s="16">
        <f>IFERROR(VLOOKUP(Proponentes[[#This Row],[Cap Op en SMMLV]],Base!$A$15:$F$20,4),0)</f>
        <v>0.76</v>
      </c>
      <c r="P92" s="17">
        <f>IFERROR(VLOOKUP(Proponentes[[#This Row],[Cap Op en SMMLV]],Tabla2[],6),0)</f>
        <v>12.5</v>
      </c>
      <c r="Q92" s="18">
        <f>IFERROR(VLOOKUP(Proponentes[[#This Row],[Cap Op en SMMLV]],Base!$A$15:$F$20,5),0)</f>
        <v>10351450</v>
      </c>
      <c r="R92" s="18">
        <f>IFERROR(VLOOKUP(Proponentes[[#This Row],[Cap Op en SMMLV]],Tabla2[[DE]:[HASTA]],2),0)</f>
        <v>500</v>
      </c>
      <c r="S92" s="19">
        <f>IFERROR(Proponentes[[#This Row],[Activo Corriente]]/Proponentes[[#This Row],[Pasivo Corriente]],"INDETERMINADO")</f>
        <v>1.4452136857215656</v>
      </c>
      <c r="T92" s="20">
        <f>IFERROR(Proponentes[[#This Row],[Total Pasivo]]/Proponentes[[#This Row],[Total ACTIVO]],0)</f>
        <v>0.63404654996643572</v>
      </c>
      <c r="U92" s="21">
        <f>(Proponentes[[#This Row],[Activo Corriente]]-Proponentes[[#This Row],[Pasivo Corriente]])/Base!$B$3</f>
        <v>28.41989528037135</v>
      </c>
      <c r="V92" s="22">
        <f>Proponentes[[#This Row],[Activo Corriente]]-Proponentes[[#This Row],[Pasivo Corriente]]</f>
        <v>23534970</v>
      </c>
      <c r="W92" s="13">
        <f>IFERROR(VLOOKUP(Proponentes[[#This Row],[Propuesta]],Hoja2!$A$2:$G$329,7,FALSE),0)</f>
        <v>235608647.64454523</v>
      </c>
      <c r="X92" s="83">
        <f>IF(Proponentes[[#This Row],[Cap Op en Pesos]]=0,0,IF(Proponentes[[#This Row],[Cap Op en Pesos]]=0,1,Proponentes[[#This Row],[Cap Op en Pesos]]/Base!B$3))</f>
        <v>284.51164769735789</v>
      </c>
      <c r="Y9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9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9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92" s="23" t="str">
        <f>IF(AND(Proponentes[[#This Row],[Cumple
Liquidez]]="CUMPLE",Proponentes[[#This Row],[Cumple
Endeudamiento]]="CUMPLE",Proponentes[[#This Row],[Cumple
Capital de Trabajo]]="CUMPLE"),"CUMPLE","NO CUMPLE")</f>
        <v>CUMPLE</v>
      </c>
      <c r="AC92" s="24"/>
      <c r="AD92" s="10">
        <f>IF(Proponentes[[#This Row],[Liquidez
Oferente]]&lt;=1,1,IF(Proponentes[[#This Row],[Liquidez
Oferente]]&lt;=1.1,2,IF(Proponentes[[#This Row],[Liquidez
Oferente]]&lt;=1.2,3,IF(Proponentes[[#This Row],[Liquidez
Oferente]]&lt;=1.3,4,IF(Proponentes[[#This Row],[Liquidez
Oferente]]&lt;=1.4,5,6)))))</f>
        <v>6</v>
      </c>
      <c r="AE92" s="10">
        <f>IF(Proponentes[[#This Row],[Endeudamiento
Oferente]]&lt;=66%,6,IF(Proponentes[[#This Row],[Endeudamiento
Oferente]]&lt;=58,5,IF(Proponentes[[#This Row],[Endeudamiento
Oferente]]&lt;=70,4,IF(Proponentes[[#This Row],[Endeudamiento
Oferente]]&lt;=72,3,IF(Proponentes[[#This Row],[Endeudamiento
Oferente]]&lt;=74,2,1)))))</f>
        <v>6</v>
      </c>
      <c r="AF9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92" s="10">
        <f>IF(Proponentes[[#This Row],[Cap Op en SMMLV]]&lt;=500,1,IF(Proponentes[[#This Row],[Cap Op en SMMLV]]&lt;=1000,2,IF(Proponentes[[#This Row],[Cap Op en SMMLV]]&lt;=1500,3,IF(Proponentes[[#This Row],[Cap Op en SMMLV]]&lt;=2000,4,IF(Proponentes[[#This Row],[Cap Op en SMMLV]]&lt;=2500,5,6)))))</f>
        <v>1</v>
      </c>
      <c r="AH92" s="10">
        <f>MIN(Proponentes[[#This Row],[a]:[d]])</f>
        <v>1</v>
      </c>
      <c r="AI92" s="87">
        <f>IF(Proponentes[[#This Row],[e]]=Proponentes[[#This Row],[d]],Proponentes[[#This Row],[Cap Op en SMMLV]],VLOOKUP(Proponentes[[#This Row],[e]],Base!$D$1:$E$6,2,FALSE))</f>
        <v>284.51164769735789</v>
      </c>
      <c r="AJ92" s="101" t="str">
        <f>VLOOKUP(Proponentes[[#This Row],[Propuesta]],Hoja2!$A$2:$D$329,4,FALSE)</f>
        <v>CUMPLE</v>
      </c>
      <c r="AK92" s="101"/>
    </row>
    <row r="93" spans="1:37" ht="16" x14ac:dyDescent="0.2">
      <c r="A93" s="10">
        <v>92</v>
      </c>
      <c r="B93" s="11">
        <v>900106789</v>
      </c>
      <c r="C93" s="12" t="s">
        <v>143</v>
      </c>
      <c r="D93" s="13">
        <v>2735100874</v>
      </c>
      <c r="E93" s="13">
        <v>465847877</v>
      </c>
      <c r="F93" s="25">
        <f>Proponentes[[#This Row],[Activo Corriente]]+Proponentes[[#This Row],[Activo NO Corriente]]</f>
        <v>3200948751</v>
      </c>
      <c r="G93" s="13">
        <v>656930052</v>
      </c>
      <c r="H93" s="13">
        <v>1081995649</v>
      </c>
      <c r="I93" s="25">
        <f>Proponentes[[#This Row],[Pasivo Corriente]]+Proponentes[[#This Row],[Pasivo NO Corriente]]</f>
        <v>1738925701</v>
      </c>
      <c r="J93" s="14">
        <f>Proponentes[[#This Row],[Total ACTIVO]]-Proponentes[[#This Row],[Total Pasivo]]</f>
        <v>1462023050</v>
      </c>
      <c r="K93" s="48">
        <f>VLOOKUP(Proponentes[[#This Row],[Propuesta]],Hoja2!$A$2:$G$239,7,FALSE)</f>
        <v>469898306.40854126</v>
      </c>
      <c r="L93" s="15"/>
      <c r="M93" s="15" t="s">
        <v>28</v>
      </c>
      <c r="N93" s="55">
        <f>IFERROR(VLOOKUP(Proponentes[[#This Row],[Cap Op en SMMLV]],Base!$A$15:$F$20,3),0)</f>
        <v>1.1000000000000001</v>
      </c>
      <c r="O93" s="16">
        <f>IFERROR(VLOOKUP(Proponentes[[#This Row],[Cap Op en SMMLV]],Base!$A$15:$F$20,4),0)</f>
        <v>0.74</v>
      </c>
      <c r="P93" s="17">
        <f>IFERROR(VLOOKUP(Proponentes[[#This Row],[Cap Op en SMMLV]],Tabla2[],6),0)</f>
        <v>25</v>
      </c>
      <c r="Q93" s="18">
        <f>IFERROR(VLOOKUP(Proponentes[[#This Row],[Cap Op en SMMLV]],Base!$A$15:$F$20,5),0)</f>
        <v>20702900</v>
      </c>
      <c r="R93" s="18">
        <f>IFERROR(VLOOKUP(Proponentes[[#This Row],[Cap Op en SMMLV]],Tabla2[[DE]:[HASTA]],2),0)</f>
        <v>1000</v>
      </c>
      <c r="S93" s="19">
        <f>IFERROR(Proponentes[[#This Row],[Activo Corriente]]/Proponentes[[#This Row],[Pasivo Corriente]],"INDETERMINADO")</f>
        <v>4.1634582946435215</v>
      </c>
      <c r="T93" s="20">
        <f>IFERROR(Proponentes[[#This Row],[Total Pasivo]]/Proponentes[[#This Row],[Total ACTIVO]],0)</f>
        <v>0.54325321530272763</v>
      </c>
      <c r="U93" s="21">
        <f>(Proponentes[[#This Row],[Activo Corriente]]-Proponentes[[#This Row],[Pasivo Corriente]])/Base!$B$3</f>
        <v>2509.5165677272266</v>
      </c>
      <c r="V93" s="22">
        <f>Proponentes[[#This Row],[Activo Corriente]]-Proponentes[[#This Row],[Pasivo Corriente]]</f>
        <v>2078170822</v>
      </c>
      <c r="W93" s="13">
        <f>IFERROR(VLOOKUP(Proponentes[[#This Row],[Propuesta]],Hoja2!$A$2:$G$329,7,FALSE),0)</f>
        <v>469898306.40854126</v>
      </c>
      <c r="X93" s="83">
        <f>IF(Proponentes[[#This Row],[Cap Op en Pesos]]=0,0,IF(Proponentes[[#This Row],[Cap Op en Pesos]]=0,1,Proponentes[[#This Row],[Cap Op en Pesos]]/Base!B$3))</f>
        <v>567.43053679501577</v>
      </c>
      <c r="Y9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9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9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93" s="23" t="str">
        <f>IF(AND(Proponentes[[#This Row],[Cumple
Liquidez]]="CUMPLE",Proponentes[[#This Row],[Cumple
Endeudamiento]]="CUMPLE",Proponentes[[#This Row],[Cumple
Capital de Trabajo]]="CUMPLE"),"CUMPLE","NO CUMPLE")</f>
        <v>CUMPLE</v>
      </c>
      <c r="AC93" s="24"/>
      <c r="AD93" s="10">
        <f>IF(Proponentes[[#This Row],[Liquidez
Oferente]]&lt;=1,1,IF(Proponentes[[#This Row],[Liquidez
Oferente]]&lt;=1.1,2,IF(Proponentes[[#This Row],[Liquidez
Oferente]]&lt;=1.2,3,IF(Proponentes[[#This Row],[Liquidez
Oferente]]&lt;=1.3,4,IF(Proponentes[[#This Row],[Liquidez
Oferente]]&lt;=1.4,5,6)))))</f>
        <v>6</v>
      </c>
      <c r="AE93" s="10">
        <f>IF(Proponentes[[#This Row],[Endeudamiento
Oferente]]&lt;=66%,6,IF(Proponentes[[#This Row],[Endeudamiento
Oferente]]&lt;=58,5,IF(Proponentes[[#This Row],[Endeudamiento
Oferente]]&lt;=70,4,IF(Proponentes[[#This Row],[Endeudamiento
Oferente]]&lt;=72,3,IF(Proponentes[[#This Row],[Endeudamiento
Oferente]]&lt;=74,2,1)))))</f>
        <v>6</v>
      </c>
      <c r="AF9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93" s="10">
        <f>IF(Proponentes[[#This Row],[Cap Op en SMMLV]]&lt;=500,1,IF(Proponentes[[#This Row],[Cap Op en SMMLV]]&lt;=1000,2,IF(Proponentes[[#This Row],[Cap Op en SMMLV]]&lt;=1500,3,IF(Proponentes[[#This Row],[Cap Op en SMMLV]]&lt;=2000,4,IF(Proponentes[[#This Row],[Cap Op en SMMLV]]&lt;=2500,5,6)))))</f>
        <v>2</v>
      </c>
      <c r="AH93" s="10">
        <f>MIN(Proponentes[[#This Row],[a]:[d]])</f>
        <v>2</v>
      </c>
      <c r="AI93" s="87">
        <f>IF(Proponentes[[#This Row],[e]]=Proponentes[[#This Row],[d]],Proponentes[[#This Row],[Cap Op en SMMLV]],VLOOKUP(Proponentes[[#This Row],[e]],Base!$D$1:$E$6,2,FALSE))</f>
        <v>567.43053679501577</v>
      </c>
      <c r="AJ93" s="101" t="str">
        <f>VLOOKUP(Proponentes[[#This Row],[Propuesta]],Hoja2!$A$2:$D$329,4,FALSE)</f>
        <v>CUMPLE</v>
      </c>
      <c r="AK93" s="101"/>
    </row>
    <row r="94" spans="1:37" ht="16" x14ac:dyDescent="0.2">
      <c r="A94" s="10">
        <v>93</v>
      </c>
      <c r="B94" s="11">
        <v>900231743</v>
      </c>
      <c r="C94" s="12" t="s">
        <v>144</v>
      </c>
      <c r="D94" s="13">
        <v>2524127039</v>
      </c>
      <c r="E94" s="13">
        <v>271812226</v>
      </c>
      <c r="F94" s="25">
        <f>Proponentes[[#This Row],[Activo Corriente]]+Proponentes[[#This Row],[Activo NO Corriente]]</f>
        <v>2795939265</v>
      </c>
      <c r="G94" s="13">
        <v>1342247020</v>
      </c>
      <c r="H94" s="13">
        <v>0</v>
      </c>
      <c r="I94" s="25">
        <f>Proponentes[[#This Row],[Pasivo Corriente]]+Proponentes[[#This Row],[Pasivo NO Corriente]]</f>
        <v>1342247020</v>
      </c>
      <c r="J94" s="14">
        <f>Proponentes[[#This Row],[Total ACTIVO]]-Proponentes[[#This Row],[Total Pasivo]]</f>
        <v>1453692245</v>
      </c>
      <c r="K94" s="48">
        <f>VLOOKUP(Proponentes[[#This Row],[Propuesta]],Hoja2!$A$2:$G$239,7,FALSE)</f>
        <v>1262316547.7623117</v>
      </c>
      <c r="L94" s="15"/>
      <c r="M94" s="15" t="s">
        <v>28</v>
      </c>
      <c r="N94" s="55">
        <f>IFERROR(VLOOKUP(Proponentes[[#This Row],[Cap Op en SMMLV]],Base!$A$15:$F$20,3),0)</f>
        <v>1.3</v>
      </c>
      <c r="O94" s="16">
        <f>IFERROR(VLOOKUP(Proponentes[[#This Row],[Cap Op en SMMLV]],Base!$A$15:$F$20,4),0)</f>
        <v>0.7</v>
      </c>
      <c r="P94" s="17">
        <f>IFERROR(VLOOKUP(Proponentes[[#This Row],[Cap Op en SMMLV]],Tabla2[],6),0)</f>
        <v>50</v>
      </c>
      <c r="Q94" s="18">
        <f>IFERROR(VLOOKUP(Proponentes[[#This Row],[Cap Op en SMMLV]],Base!$A$15:$F$20,5),0)</f>
        <v>41405800</v>
      </c>
      <c r="R94" s="18">
        <f>IFERROR(VLOOKUP(Proponentes[[#This Row],[Cap Op en SMMLV]],Tabla2[[DE]:[HASTA]],2),0)</f>
        <v>2000</v>
      </c>
      <c r="S94" s="19">
        <f>IFERROR(Proponentes[[#This Row],[Activo Corriente]]/Proponentes[[#This Row],[Pasivo Corriente]],"INDETERMINADO")</f>
        <v>1.8805234814378653</v>
      </c>
      <c r="T94" s="20">
        <f>IFERROR(Proponentes[[#This Row],[Total Pasivo]]/Proponentes[[#This Row],[Total ACTIVO]],0)</f>
        <v>0.48007016346973475</v>
      </c>
      <c r="U94" s="21">
        <f>(Proponentes[[#This Row],[Activo Corriente]]-Proponentes[[#This Row],[Pasivo Corriente]])/Base!$B$3</f>
        <v>1427.1913826082337</v>
      </c>
      <c r="V94" s="22">
        <f>Proponentes[[#This Row],[Activo Corriente]]-Proponentes[[#This Row],[Pasivo Corriente]]</f>
        <v>1181880019</v>
      </c>
      <c r="W94" s="13">
        <f>IFERROR(VLOOKUP(Proponentes[[#This Row],[Propuesta]],Hoja2!$A$2:$G$329,7,FALSE),0)</f>
        <v>1262316547.7623117</v>
      </c>
      <c r="X94" s="83">
        <f>IF(Proponentes[[#This Row],[Cap Op en Pesos]]=0,0,IF(Proponentes[[#This Row],[Cap Op en Pesos]]=0,1,Proponentes[[#This Row],[Cap Op en Pesos]]/Base!B$3))</f>
        <v>1524.3233408874019</v>
      </c>
      <c r="Y9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9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9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94" s="23" t="str">
        <f>IF(AND(Proponentes[[#This Row],[Cumple
Liquidez]]="CUMPLE",Proponentes[[#This Row],[Cumple
Endeudamiento]]="CUMPLE",Proponentes[[#This Row],[Cumple
Capital de Trabajo]]="CUMPLE"),"CUMPLE","NO CUMPLE")</f>
        <v>CUMPLE</v>
      </c>
      <c r="AC94" s="24"/>
      <c r="AD94" s="10">
        <f>IF(Proponentes[[#This Row],[Liquidez
Oferente]]&lt;=1,1,IF(Proponentes[[#This Row],[Liquidez
Oferente]]&lt;=1.1,2,IF(Proponentes[[#This Row],[Liquidez
Oferente]]&lt;=1.2,3,IF(Proponentes[[#This Row],[Liquidez
Oferente]]&lt;=1.3,4,IF(Proponentes[[#This Row],[Liquidez
Oferente]]&lt;=1.4,5,6)))))</f>
        <v>6</v>
      </c>
      <c r="AE94" s="10">
        <f>IF(Proponentes[[#This Row],[Endeudamiento
Oferente]]&lt;=66%,6,IF(Proponentes[[#This Row],[Endeudamiento
Oferente]]&lt;=58,5,IF(Proponentes[[#This Row],[Endeudamiento
Oferente]]&lt;=70,4,IF(Proponentes[[#This Row],[Endeudamiento
Oferente]]&lt;=72,3,IF(Proponentes[[#This Row],[Endeudamiento
Oferente]]&lt;=74,2,1)))))</f>
        <v>6</v>
      </c>
      <c r="AF9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94" s="10">
        <f>IF(Proponentes[[#This Row],[Cap Op en SMMLV]]&lt;=500,1,IF(Proponentes[[#This Row],[Cap Op en SMMLV]]&lt;=1000,2,IF(Proponentes[[#This Row],[Cap Op en SMMLV]]&lt;=1500,3,IF(Proponentes[[#This Row],[Cap Op en SMMLV]]&lt;=2000,4,IF(Proponentes[[#This Row],[Cap Op en SMMLV]]&lt;=2500,5,6)))))</f>
        <v>4</v>
      </c>
      <c r="AH94" s="10">
        <f>MIN(Proponentes[[#This Row],[a]:[d]])</f>
        <v>4</v>
      </c>
      <c r="AI94" s="87">
        <f>IF(Proponentes[[#This Row],[e]]=Proponentes[[#This Row],[d]],Proponentes[[#This Row],[Cap Op en SMMLV]],VLOOKUP(Proponentes[[#This Row],[e]],Base!$D$1:$E$6,2,FALSE))</f>
        <v>1524.3233408874019</v>
      </c>
      <c r="AJ94" s="101" t="str">
        <f>VLOOKUP(Proponentes[[#This Row],[Propuesta]],Hoja2!$A$2:$D$329,4,FALSE)</f>
        <v>CUMPLE</v>
      </c>
      <c r="AK94" s="101"/>
    </row>
    <row r="95" spans="1:37" ht="16" x14ac:dyDescent="0.2">
      <c r="A95" s="10">
        <v>94</v>
      </c>
      <c r="B95" s="11">
        <v>901123909</v>
      </c>
      <c r="C95" s="12" t="s">
        <v>145</v>
      </c>
      <c r="D95" s="13">
        <v>0</v>
      </c>
      <c r="E95" s="13">
        <v>0</v>
      </c>
      <c r="F95" s="25">
        <f>Proponentes[[#This Row],[Activo Corriente]]+Proponentes[[#This Row],[Activo NO Corriente]]</f>
        <v>0</v>
      </c>
      <c r="G95" s="13">
        <v>0</v>
      </c>
      <c r="H95" s="13">
        <v>0</v>
      </c>
      <c r="I95" s="25">
        <f>Proponentes[[#This Row],[Pasivo Corriente]]+Proponentes[[#This Row],[Pasivo NO Corriente]]</f>
        <v>0</v>
      </c>
      <c r="J95" s="14">
        <f>Proponentes[[#This Row],[Total ACTIVO]]-Proponentes[[#This Row],[Total Pasivo]]</f>
        <v>0</v>
      </c>
      <c r="K95" s="48">
        <f>VLOOKUP(Proponentes[[#This Row],[Propuesta]],Hoja2!$A$2:$G$239,7,FALSE)</f>
        <v>0</v>
      </c>
      <c r="L95" s="15" t="s">
        <v>146</v>
      </c>
      <c r="M95" s="15" t="s">
        <v>28</v>
      </c>
      <c r="N95" s="55">
        <f>IFERROR(VLOOKUP(Proponentes[[#This Row],[Cap Op en SMMLV]],Base!$A$15:$F$20,3),0)</f>
        <v>0</v>
      </c>
      <c r="O95" s="16">
        <f>IFERROR(VLOOKUP(Proponentes[[#This Row],[Cap Op en SMMLV]],Base!$A$15:$F$20,4),0)</f>
        <v>0</v>
      </c>
      <c r="P95" s="17">
        <f>IFERROR(VLOOKUP(Proponentes[[#This Row],[Cap Op en SMMLV]],Tabla2[],6),0)</f>
        <v>0</v>
      </c>
      <c r="Q95" s="18">
        <f>IFERROR(VLOOKUP(Proponentes[[#This Row],[Cap Op en SMMLV]],Base!$A$15:$F$20,5),0)</f>
        <v>0</v>
      </c>
      <c r="R95" s="18">
        <f>IFERROR(VLOOKUP(Proponentes[[#This Row],[Cap Op en SMMLV]],Tabla2[[DE]:[HASTA]],2),0)</f>
        <v>0</v>
      </c>
      <c r="S95" s="19" t="str">
        <f>IFERROR(Proponentes[[#This Row],[Activo Corriente]]/Proponentes[[#This Row],[Pasivo Corriente]],"INDETERMINADO")</f>
        <v>INDETERMINADO</v>
      </c>
      <c r="T95" s="20">
        <f>IFERROR(Proponentes[[#This Row],[Total Pasivo]]/Proponentes[[#This Row],[Total ACTIVO]],0)</f>
        <v>0</v>
      </c>
      <c r="U95" s="21">
        <f>(Proponentes[[#This Row],[Activo Corriente]]-Proponentes[[#This Row],[Pasivo Corriente]])/Base!$B$3</f>
        <v>0</v>
      </c>
      <c r="V95" s="22">
        <f>Proponentes[[#This Row],[Activo Corriente]]-Proponentes[[#This Row],[Pasivo Corriente]]</f>
        <v>0</v>
      </c>
      <c r="W95" s="13">
        <f>IFERROR(VLOOKUP(Proponentes[[#This Row],[Propuesta]],Hoja2!$A$2:$G$329,7,FALSE),0)</f>
        <v>0</v>
      </c>
      <c r="X95" s="83">
        <f>IF(Proponentes[[#This Row],[Cap Op en Pesos]]=0,0,IF(Proponentes[[#This Row],[Cap Op en Pesos]]=0,1,Proponentes[[#This Row],[Cap Op en Pesos]]/Base!B$3))</f>
        <v>0</v>
      </c>
      <c r="Y9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9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9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95" s="23" t="str">
        <f>IF(AND(Proponentes[[#This Row],[Cumple
Liquidez]]="CUMPLE",Proponentes[[#This Row],[Cumple
Endeudamiento]]="CUMPLE",Proponentes[[#This Row],[Cumple
Capital de Trabajo]]="CUMPLE"),"CUMPLE","NO CUMPLE")</f>
        <v>NO CUMPLE</v>
      </c>
      <c r="AC95" s="24" t="s">
        <v>793</v>
      </c>
      <c r="AD95" s="10">
        <f>IF(Proponentes[[#This Row],[Liquidez
Oferente]]&lt;=1,1,IF(Proponentes[[#This Row],[Liquidez
Oferente]]&lt;=1.1,2,IF(Proponentes[[#This Row],[Liquidez
Oferente]]&lt;=1.2,3,IF(Proponentes[[#This Row],[Liquidez
Oferente]]&lt;=1.3,4,IF(Proponentes[[#This Row],[Liquidez
Oferente]]&lt;=1.4,5,6)))))</f>
        <v>6</v>
      </c>
      <c r="AE95" s="10">
        <f>IF(Proponentes[[#This Row],[Endeudamiento
Oferente]]&lt;=66%,6,IF(Proponentes[[#This Row],[Endeudamiento
Oferente]]&lt;=58,5,IF(Proponentes[[#This Row],[Endeudamiento
Oferente]]&lt;=70,4,IF(Proponentes[[#This Row],[Endeudamiento
Oferente]]&lt;=72,3,IF(Proponentes[[#This Row],[Endeudamiento
Oferente]]&lt;=74,2,1)))))</f>
        <v>6</v>
      </c>
      <c r="AF9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95" s="10">
        <f>IF(Proponentes[[#This Row],[Cap Op en SMMLV]]&lt;=500,1,IF(Proponentes[[#This Row],[Cap Op en SMMLV]]&lt;=1000,2,IF(Proponentes[[#This Row],[Cap Op en SMMLV]]&lt;=1500,3,IF(Proponentes[[#This Row],[Cap Op en SMMLV]]&lt;=2000,4,IF(Proponentes[[#This Row],[Cap Op en SMMLV]]&lt;=2500,5,6)))))</f>
        <v>1</v>
      </c>
      <c r="AH95" s="10">
        <f>MIN(Proponentes[[#This Row],[a]:[d]])</f>
        <v>1</v>
      </c>
      <c r="AI95" s="87">
        <f>IF(Proponentes[[#This Row],[e]]=Proponentes[[#This Row],[d]],Proponentes[[#This Row],[Cap Op en SMMLV]],VLOOKUP(Proponentes[[#This Row],[e]],Base!$D$1:$E$6,2,FALSE))</f>
        <v>0</v>
      </c>
      <c r="AJ95" s="101" t="str">
        <f>VLOOKUP(Proponentes[[#This Row],[Propuesta]],Hoja2!$A$2:$D$329,4,FALSE)</f>
        <v>NO CUMPLE</v>
      </c>
      <c r="AK95" s="101"/>
    </row>
    <row r="96" spans="1:37" ht="16" x14ac:dyDescent="0.2">
      <c r="A96" s="10">
        <v>95</v>
      </c>
      <c r="B96" s="11">
        <v>823002781</v>
      </c>
      <c r="C96" s="12" t="s">
        <v>147</v>
      </c>
      <c r="D96" s="13">
        <v>121250000</v>
      </c>
      <c r="E96" s="13">
        <v>21677270</v>
      </c>
      <c r="F96" s="25">
        <f>Proponentes[[#This Row],[Activo Corriente]]+Proponentes[[#This Row],[Activo NO Corriente]]</f>
        <v>142927270</v>
      </c>
      <c r="G96" s="13">
        <v>12000000</v>
      </c>
      <c r="H96" s="13">
        <v>0</v>
      </c>
      <c r="I96" s="25">
        <f>Proponentes[[#This Row],[Pasivo Corriente]]+Proponentes[[#This Row],[Pasivo NO Corriente]]</f>
        <v>12000000</v>
      </c>
      <c r="J96" s="14">
        <f>Proponentes[[#This Row],[Total ACTIVO]]-Proponentes[[#This Row],[Total Pasivo]]</f>
        <v>130927270</v>
      </c>
      <c r="K96" s="48">
        <f>VLOOKUP(Proponentes[[#This Row],[Propuesta]],Hoja2!$A$2:$G$239,7,FALSE)</f>
        <v>161467195.94333029</v>
      </c>
      <c r="L96" s="15" t="s">
        <v>148</v>
      </c>
      <c r="M96" s="15" t="s">
        <v>28</v>
      </c>
      <c r="N96" s="55">
        <f>IFERROR(VLOOKUP(Proponentes[[#This Row],[Cap Op en SMMLV]],Base!$A$15:$F$20,3),0)</f>
        <v>1</v>
      </c>
      <c r="O96" s="16">
        <f>IFERROR(VLOOKUP(Proponentes[[#This Row],[Cap Op en SMMLV]],Base!$A$15:$F$20,4),0)</f>
        <v>0.76</v>
      </c>
      <c r="P96" s="17">
        <f>IFERROR(VLOOKUP(Proponentes[[#This Row],[Cap Op en SMMLV]],Tabla2[],6),0)</f>
        <v>12.5</v>
      </c>
      <c r="Q96" s="18">
        <f>IFERROR(VLOOKUP(Proponentes[[#This Row],[Cap Op en SMMLV]],Base!$A$15:$F$20,5),0)</f>
        <v>10351450</v>
      </c>
      <c r="R96" s="18">
        <f>IFERROR(VLOOKUP(Proponentes[[#This Row],[Cap Op en SMMLV]],Tabla2[[DE]:[HASTA]],2),0)</f>
        <v>500</v>
      </c>
      <c r="S96" s="19">
        <f>IFERROR(Proponentes[[#This Row],[Activo Corriente]]/Proponentes[[#This Row],[Pasivo Corriente]],"INDETERMINADO")</f>
        <v>10.104166666666666</v>
      </c>
      <c r="T96" s="20">
        <f>IFERROR(Proponentes[[#This Row],[Total Pasivo]]/Proponentes[[#This Row],[Total ACTIVO]],0)</f>
        <v>8.3958785471799746E-2</v>
      </c>
      <c r="U96" s="21">
        <f>(Proponentes[[#This Row],[Activo Corriente]]-Proponentes[[#This Row],[Pasivo Corriente]])/Base!$B$3</f>
        <v>131.92596206328582</v>
      </c>
      <c r="V96" s="22">
        <f>Proponentes[[#This Row],[Activo Corriente]]-Proponentes[[#This Row],[Pasivo Corriente]]</f>
        <v>109250000</v>
      </c>
      <c r="W96" s="13">
        <f>IFERROR(VLOOKUP(Proponentes[[#This Row],[Propuesta]],Hoja2!$A$2:$G$329,7,FALSE),0)</f>
        <v>161467195.94333029</v>
      </c>
      <c r="X96" s="83">
        <f>IF(Proponentes[[#This Row],[Cap Op en Pesos]]=0,0,IF(Proponentes[[#This Row],[Cap Op en Pesos]]=0,1,Proponentes[[#This Row],[Cap Op en Pesos]]/Base!B$3))</f>
        <v>194.9813745216012</v>
      </c>
      <c r="Y9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9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9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96" s="23" t="str">
        <f>IF(AND(Proponentes[[#This Row],[Cumple
Liquidez]]="CUMPLE",Proponentes[[#This Row],[Cumple
Endeudamiento]]="CUMPLE",Proponentes[[#This Row],[Cumple
Capital de Trabajo]]="CUMPLE"),"CUMPLE","NO CUMPLE")</f>
        <v>CUMPLE</v>
      </c>
      <c r="AC96" s="24" t="s">
        <v>794</v>
      </c>
      <c r="AD96" s="10">
        <f>IF(Proponentes[[#This Row],[Liquidez
Oferente]]&lt;=1,1,IF(Proponentes[[#This Row],[Liquidez
Oferente]]&lt;=1.1,2,IF(Proponentes[[#This Row],[Liquidez
Oferente]]&lt;=1.2,3,IF(Proponentes[[#This Row],[Liquidez
Oferente]]&lt;=1.3,4,IF(Proponentes[[#This Row],[Liquidez
Oferente]]&lt;=1.4,5,6)))))</f>
        <v>6</v>
      </c>
      <c r="AE96" s="10">
        <f>IF(Proponentes[[#This Row],[Endeudamiento
Oferente]]&lt;=66%,6,IF(Proponentes[[#This Row],[Endeudamiento
Oferente]]&lt;=58,5,IF(Proponentes[[#This Row],[Endeudamiento
Oferente]]&lt;=70,4,IF(Proponentes[[#This Row],[Endeudamiento
Oferente]]&lt;=72,3,IF(Proponentes[[#This Row],[Endeudamiento
Oferente]]&lt;=74,2,1)))))</f>
        <v>6</v>
      </c>
      <c r="AF9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96" s="10">
        <f>IF(Proponentes[[#This Row],[Cap Op en SMMLV]]&lt;=500,1,IF(Proponentes[[#This Row],[Cap Op en SMMLV]]&lt;=1000,2,IF(Proponentes[[#This Row],[Cap Op en SMMLV]]&lt;=1500,3,IF(Proponentes[[#This Row],[Cap Op en SMMLV]]&lt;=2000,4,IF(Proponentes[[#This Row],[Cap Op en SMMLV]]&lt;=2500,5,6)))))</f>
        <v>1</v>
      </c>
      <c r="AH96" s="10">
        <f>MIN(Proponentes[[#This Row],[a]:[d]])</f>
        <v>1</v>
      </c>
      <c r="AI96" s="87">
        <f>IF(Proponentes[[#This Row],[e]]=Proponentes[[#This Row],[d]],Proponentes[[#This Row],[Cap Op en SMMLV]],VLOOKUP(Proponentes[[#This Row],[e]],Base!$D$1:$E$6,2,FALSE))</f>
        <v>194.9813745216012</v>
      </c>
      <c r="AJ96" s="101" t="str">
        <f>VLOOKUP(Proponentes[[#This Row],[Propuesta]],Hoja2!$A$2:$D$329,4,FALSE)</f>
        <v>CUMPLE</v>
      </c>
      <c r="AK96" s="101"/>
    </row>
    <row r="97" spans="1:37" ht="16" x14ac:dyDescent="0.2">
      <c r="A97" s="10">
        <v>96</v>
      </c>
      <c r="B97" s="11">
        <v>900064245</v>
      </c>
      <c r="C97" s="12" t="s">
        <v>149</v>
      </c>
      <c r="D97" s="13">
        <v>2191545968</v>
      </c>
      <c r="E97" s="13">
        <v>84927660</v>
      </c>
      <c r="F97" s="25">
        <f>Proponentes[[#This Row],[Activo Corriente]]+Proponentes[[#This Row],[Activo NO Corriente]]</f>
        <v>2276473628</v>
      </c>
      <c r="G97" s="13">
        <v>38157900</v>
      </c>
      <c r="H97" s="13">
        <v>5897400</v>
      </c>
      <c r="I97" s="25">
        <f>Proponentes[[#This Row],[Pasivo Corriente]]+Proponentes[[#This Row],[Pasivo NO Corriente]]</f>
        <v>44055300</v>
      </c>
      <c r="J97" s="14">
        <f>Proponentes[[#This Row],[Total ACTIVO]]-Proponentes[[#This Row],[Total Pasivo]]</f>
        <v>2232418328</v>
      </c>
      <c r="K97" s="48">
        <f>VLOOKUP(Proponentes[[#This Row],[Propuesta]],Hoja2!$A$2:$G$239,7,FALSE)</f>
        <v>300518747.44866365</v>
      </c>
      <c r="L97" s="15"/>
      <c r="M97" s="15" t="s">
        <v>28</v>
      </c>
      <c r="N97" s="55">
        <f>IFERROR(VLOOKUP(Proponentes[[#This Row],[Cap Op en SMMLV]],Base!$A$15:$F$20,3),0)</f>
        <v>1</v>
      </c>
      <c r="O97" s="16">
        <f>IFERROR(VLOOKUP(Proponentes[[#This Row],[Cap Op en SMMLV]],Base!$A$15:$F$20,4),0)</f>
        <v>0.76</v>
      </c>
      <c r="P97" s="17">
        <f>IFERROR(VLOOKUP(Proponentes[[#This Row],[Cap Op en SMMLV]],Tabla2[],6),0)</f>
        <v>12.5</v>
      </c>
      <c r="Q97" s="18">
        <f>IFERROR(VLOOKUP(Proponentes[[#This Row],[Cap Op en SMMLV]],Base!$A$15:$F$20,5),0)</f>
        <v>10351450</v>
      </c>
      <c r="R97" s="18">
        <f>IFERROR(VLOOKUP(Proponentes[[#This Row],[Cap Op en SMMLV]],Tabla2[[DE]:[HASTA]],2),0)</f>
        <v>500</v>
      </c>
      <c r="S97" s="19">
        <f>IFERROR(Proponentes[[#This Row],[Activo Corriente]]/Proponentes[[#This Row],[Pasivo Corriente]],"INDETERMINADO")</f>
        <v>57.433610549846819</v>
      </c>
      <c r="T97" s="20">
        <f>IFERROR(Proponentes[[#This Row],[Total Pasivo]]/Proponentes[[#This Row],[Total ACTIVO]],0)</f>
        <v>1.9352431523094279E-2</v>
      </c>
      <c r="U97" s="21">
        <f>(Proponentes[[#This Row],[Activo Corriente]]-Proponentes[[#This Row],[Pasivo Corriente]])/Base!$B$3</f>
        <v>2600.3459273821541</v>
      </c>
      <c r="V97" s="22">
        <f>Proponentes[[#This Row],[Activo Corriente]]-Proponentes[[#This Row],[Pasivo Corriente]]</f>
        <v>2153388068</v>
      </c>
      <c r="W97" s="13">
        <f>IFERROR(VLOOKUP(Proponentes[[#This Row],[Propuesta]],Hoja2!$A$2:$G$329,7,FALSE),0)</f>
        <v>300518747.44866365</v>
      </c>
      <c r="X97" s="83">
        <f>IF(Proponentes[[#This Row],[Cap Op en Pesos]]=0,0,IF(Proponentes[[#This Row],[Cap Op en Pesos]]=0,1,Proponentes[[#This Row],[Cap Op en Pesos]]/Base!B$3))</f>
        <v>362.89450686698922</v>
      </c>
      <c r="Y9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9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9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97" s="23" t="str">
        <f>IF(AND(Proponentes[[#This Row],[Cumple
Liquidez]]="CUMPLE",Proponentes[[#This Row],[Cumple
Endeudamiento]]="CUMPLE",Proponentes[[#This Row],[Cumple
Capital de Trabajo]]="CUMPLE"),"CUMPLE","NO CUMPLE")</f>
        <v>CUMPLE</v>
      </c>
      <c r="AC97" s="24"/>
      <c r="AD97" s="10">
        <f>IF(Proponentes[[#This Row],[Liquidez
Oferente]]&lt;=1,1,IF(Proponentes[[#This Row],[Liquidez
Oferente]]&lt;=1.1,2,IF(Proponentes[[#This Row],[Liquidez
Oferente]]&lt;=1.2,3,IF(Proponentes[[#This Row],[Liquidez
Oferente]]&lt;=1.3,4,IF(Proponentes[[#This Row],[Liquidez
Oferente]]&lt;=1.4,5,6)))))</f>
        <v>6</v>
      </c>
      <c r="AE97" s="10">
        <f>IF(Proponentes[[#This Row],[Endeudamiento
Oferente]]&lt;=66%,6,IF(Proponentes[[#This Row],[Endeudamiento
Oferente]]&lt;=58,5,IF(Proponentes[[#This Row],[Endeudamiento
Oferente]]&lt;=70,4,IF(Proponentes[[#This Row],[Endeudamiento
Oferente]]&lt;=72,3,IF(Proponentes[[#This Row],[Endeudamiento
Oferente]]&lt;=74,2,1)))))</f>
        <v>6</v>
      </c>
      <c r="AF9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97" s="10">
        <f>IF(Proponentes[[#This Row],[Cap Op en SMMLV]]&lt;=500,1,IF(Proponentes[[#This Row],[Cap Op en SMMLV]]&lt;=1000,2,IF(Proponentes[[#This Row],[Cap Op en SMMLV]]&lt;=1500,3,IF(Proponentes[[#This Row],[Cap Op en SMMLV]]&lt;=2000,4,IF(Proponentes[[#This Row],[Cap Op en SMMLV]]&lt;=2500,5,6)))))</f>
        <v>1</v>
      </c>
      <c r="AH97" s="10">
        <f>MIN(Proponentes[[#This Row],[a]:[d]])</f>
        <v>1</v>
      </c>
      <c r="AI97" s="87">
        <f>IF(Proponentes[[#This Row],[e]]=Proponentes[[#This Row],[d]],Proponentes[[#This Row],[Cap Op en SMMLV]],VLOOKUP(Proponentes[[#This Row],[e]],Base!$D$1:$E$6,2,FALSE))</f>
        <v>362.89450686698922</v>
      </c>
      <c r="AJ97" s="101" t="str">
        <f>VLOOKUP(Proponentes[[#This Row],[Propuesta]],Hoja2!$A$2:$D$329,4,FALSE)</f>
        <v>NO CUMPLE</v>
      </c>
      <c r="AK97" s="101"/>
    </row>
    <row r="98" spans="1:37" ht="32" x14ac:dyDescent="0.2">
      <c r="A98" s="10">
        <v>97</v>
      </c>
      <c r="B98" s="11">
        <v>812004257</v>
      </c>
      <c r="C98" s="12" t="s">
        <v>150</v>
      </c>
      <c r="D98" s="13">
        <v>390992700</v>
      </c>
      <c r="E98" s="13">
        <v>80901000</v>
      </c>
      <c r="F98" s="25">
        <f>Proponentes[[#This Row],[Activo Corriente]]+Proponentes[[#This Row],[Activo NO Corriente]]</f>
        <v>471893700</v>
      </c>
      <c r="G98" s="13">
        <v>16987500</v>
      </c>
      <c r="H98" s="13">
        <v>0</v>
      </c>
      <c r="I98" s="25">
        <f>Proponentes[[#This Row],[Pasivo Corriente]]+Proponentes[[#This Row],[Pasivo NO Corriente]]</f>
        <v>16987500</v>
      </c>
      <c r="J98" s="14">
        <f>Proponentes[[#This Row],[Total ACTIVO]]-Proponentes[[#This Row],[Total Pasivo]]</f>
        <v>454906200</v>
      </c>
      <c r="K98" s="48">
        <f>VLOOKUP(Proponentes[[#This Row],[Propuesta]],Hoja2!$A$2:$G$239,7,FALSE)</f>
        <v>0</v>
      </c>
      <c r="L98" s="15" t="s">
        <v>31</v>
      </c>
      <c r="M98" s="15" t="s">
        <v>28</v>
      </c>
      <c r="N98" s="55">
        <f>IFERROR(VLOOKUP(Proponentes[[#This Row],[Cap Op en SMMLV]],Base!$A$15:$F$20,3),0)</f>
        <v>0</v>
      </c>
      <c r="O98" s="16">
        <f>IFERROR(VLOOKUP(Proponentes[[#This Row],[Cap Op en SMMLV]],Base!$A$15:$F$20,4),0)</f>
        <v>0</v>
      </c>
      <c r="P98" s="17">
        <f>IFERROR(VLOOKUP(Proponentes[[#This Row],[Cap Op en SMMLV]],Tabla2[],6),0)</f>
        <v>0</v>
      </c>
      <c r="Q98" s="18">
        <f>IFERROR(VLOOKUP(Proponentes[[#This Row],[Cap Op en SMMLV]],Base!$A$15:$F$20,5),0)</f>
        <v>0</v>
      </c>
      <c r="R98" s="18">
        <f>IFERROR(VLOOKUP(Proponentes[[#This Row],[Cap Op en SMMLV]],Tabla2[[DE]:[HASTA]],2),0)</f>
        <v>0</v>
      </c>
      <c r="S98" s="19">
        <f>IFERROR(Proponentes[[#This Row],[Activo Corriente]]/Proponentes[[#This Row],[Pasivo Corriente]],"INDETERMINADO")</f>
        <v>23.016494481236204</v>
      </c>
      <c r="T98" s="20">
        <f>IFERROR(Proponentes[[#This Row],[Total Pasivo]]/Proponentes[[#This Row],[Total ACTIVO]],0)</f>
        <v>3.599857340752801E-2</v>
      </c>
      <c r="U98" s="21">
        <f>(Proponentes[[#This Row],[Activo Corriente]]-Proponentes[[#This Row],[Pasivo Corriente]])/Base!$B$3</f>
        <v>451.63382907708581</v>
      </c>
      <c r="V98" s="22">
        <f>Proponentes[[#This Row],[Activo Corriente]]-Proponentes[[#This Row],[Pasivo Corriente]]</f>
        <v>374005200</v>
      </c>
      <c r="W98" s="13">
        <f>IFERROR(VLOOKUP(Proponentes[[#This Row],[Propuesta]],Hoja2!$A$2:$G$329,7,FALSE),0)</f>
        <v>0</v>
      </c>
      <c r="X98" s="83">
        <f>IF(Proponentes[[#This Row],[Cap Op en Pesos]]=0,0,IF(Proponentes[[#This Row],[Cap Op en Pesos]]=0,1,Proponentes[[#This Row],[Cap Op en Pesos]]/Base!B$3))</f>
        <v>0</v>
      </c>
      <c r="Y9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9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9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98" s="23" t="str">
        <f>IF(AND(Proponentes[[#This Row],[Cumple
Liquidez]]="CUMPLE",Proponentes[[#This Row],[Cumple
Endeudamiento]]="CUMPLE",Proponentes[[#This Row],[Cumple
Capital de Trabajo]]="CUMPLE"),"CUMPLE","NO CUMPLE")</f>
        <v>NO CUMPLE</v>
      </c>
      <c r="AC98" s="24"/>
      <c r="AD98" s="10">
        <f>IF(Proponentes[[#This Row],[Liquidez
Oferente]]&lt;=1,1,IF(Proponentes[[#This Row],[Liquidez
Oferente]]&lt;=1.1,2,IF(Proponentes[[#This Row],[Liquidez
Oferente]]&lt;=1.2,3,IF(Proponentes[[#This Row],[Liquidez
Oferente]]&lt;=1.3,4,IF(Proponentes[[#This Row],[Liquidez
Oferente]]&lt;=1.4,5,6)))))</f>
        <v>6</v>
      </c>
      <c r="AE98" s="10">
        <f>IF(Proponentes[[#This Row],[Endeudamiento
Oferente]]&lt;=66%,6,IF(Proponentes[[#This Row],[Endeudamiento
Oferente]]&lt;=58,5,IF(Proponentes[[#This Row],[Endeudamiento
Oferente]]&lt;=70,4,IF(Proponentes[[#This Row],[Endeudamiento
Oferente]]&lt;=72,3,IF(Proponentes[[#This Row],[Endeudamiento
Oferente]]&lt;=74,2,1)))))</f>
        <v>6</v>
      </c>
      <c r="AF9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98" s="10">
        <f>IF(Proponentes[[#This Row],[Cap Op en SMMLV]]&lt;=500,1,IF(Proponentes[[#This Row],[Cap Op en SMMLV]]&lt;=1000,2,IF(Proponentes[[#This Row],[Cap Op en SMMLV]]&lt;=1500,3,IF(Proponentes[[#This Row],[Cap Op en SMMLV]]&lt;=2000,4,IF(Proponentes[[#This Row],[Cap Op en SMMLV]]&lt;=2500,5,6)))))</f>
        <v>1</v>
      </c>
      <c r="AH98" s="10">
        <f>MIN(Proponentes[[#This Row],[a]:[d]])</f>
        <v>1</v>
      </c>
      <c r="AI98" s="87">
        <f>IF(Proponentes[[#This Row],[e]]=Proponentes[[#This Row],[d]],Proponentes[[#This Row],[Cap Op en SMMLV]],VLOOKUP(Proponentes[[#This Row],[e]],Base!$D$1:$E$6,2,FALSE))</f>
        <v>0</v>
      </c>
      <c r="AJ98" s="101" t="str">
        <f>VLOOKUP(Proponentes[[#This Row],[Propuesta]],Hoja2!$A$2:$D$329,4,FALSE)</f>
        <v>NO CUMPLE</v>
      </c>
      <c r="AK98" s="101"/>
    </row>
    <row r="99" spans="1:37" ht="16" x14ac:dyDescent="0.2">
      <c r="A99" s="10">
        <v>98</v>
      </c>
      <c r="B99" s="11">
        <v>900267143</v>
      </c>
      <c r="C99" s="12" t="s">
        <v>151</v>
      </c>
      <c r="D99" s="13">
        <v>194008688</v>
      </c>
      <c r="E99" s="13">
        <v>14499200</v>
      </c>
      <c r="F99" s="25">
        <f>Proponentes[[#This Row],[Activo Corriente]]+Proponentes[[#This Row],[Activo NO Corriente]]</f>
        <v>208507888</v>
      </c>
      <c r="G99" s="13">
        <v>741838</v>
      </c>
      <c r="H99" s="13">
        <v>0</v>
      </c>
      <c r="I99" s="25">
        <f>Proponentes[[#This Row],[Pasivo Corriente]]+Proponentes[[#This Row],[Pasivo NO Corriente]]</f>
        <v>741838</v>
      </c>
      <c r="J99" s="14">
        <f>Proponentes[[#This Row],[Total ACTIVO]]-Proponentes[[#This Row],[Total Pasivo]]</f>
        <v>207766050</v>
      </c>
      <c r="K99" s="48">
        <f>VLOOKUP(Proponentes[[#This Row],[Propuesta]],Hoja2!$A$2:$G$239,7,FALSE)</f>
        <v>42920657.915387325</v>
      </c>
      <c r="L99" s="15" t="s">
        <v>135</v>
      </c>
      <c r="M99" s="15" t="s">
        <v>28</v>
      </c>
      <c r="N99" s="55">
        <f>IFERROR(VLOOKUP(Proponentes[[#This Row],[Cap Op en SMMLV]],Base!$A$15:$F$20,3),0)</f>
        <v>1</v>
      </c>
      <c r="O99" s="16">
        <f>IFERROR(VLOOKUP(Proponentes[[#This Row],[Cap Op en SMMLV]],Base!$A$15:$F$20,4),0)</f>
        <v>0.76</v>
      </c>
      <c r="P99" s="17">
        <f>IFERROR(VLOOKUP(Proponentes[[#This Row],[Cap Op en SMMLV]],Tabla2[],6),0)</f>
        <v>12.5</v>
      </c>
      <c r="Q99" s="18">
        <f>IFERROR(VLOOKUP(Proponentes[[#This Row],[Cap Op en SMMLV]],Base!$A$15:$F$20,5),0)</f>
        <v>10351450</v>
      </c>
      <c r="R99" s="18">
        <f>IFERROR(VLOOKUP(Proponentes[[#This Row],[Cap Op en SMMLV]],Tabla2[[DE]:[HASTA]],2),0)</f>
        <v>500</v>
      </c>
      <c r="S99" s="19">
        <f>IFERROR(Proponentes[[#This Row],[Activo Corriente]]/Proponentes[[#This Row],[Pasivo Corriente]],"INDETERMINADO")</f>
        <v>261.52433280581477</v>
      </c>
      <c r="T99" s="20">
        <f>IFERROR(Proponentes[[#This Row],[Total Pasivo]]/Proponentes[[#This Row],[Total ACTIVO]],0)</f>
        <v>3.5578414184503178E-3</v>
      </c>
      <c r="U99" s="21">
        <f>(Proponentes[[#This Row],[Activo Corriente]]-Proponentes[[#This Row],[Pasivo Corriente]])/Base!$B$3</f>
        <v>233.38137410700915</v>
      </c>
      <c r="V99" s="22">
        <f>Proponentes[[#This Row],[Activo Corriente]]-Proponentes[[#This Row],[Pasivo Corriente]]</f>
        <v>193266850</v>
      </c>
      <c r="W99" s="13">
        <f>IFERROR(VLOOKUP(Proponentes[[#This Row],[Propuesta]],Hoja2!$A$2:$G$329,7,FALSE),0)</f>
        <v>42920657.915387325</v>
      </c>
      <c r="X99" s="83">
        <f>IF(Proponentes[[#This Row],[Cap Op en Pesos]]=0,0,IF(Proponentes[[#This Row],[Cap Op en Pesos]]=0,1,Proponentes[[#This Row],[Cap Op en Pesos]]/Base!B$3))</f>
        <v>51.829282268893884</v>
      </c>
      <c r="Y9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9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9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99" s="23" t="str">
        <f>IF(AND(Proponentes[[#This Row],[Cumple
Liquidez]]="CUMPLE",Proponentes[[#This Row],[Cumple
Endeudamiento]]="CUMPLE",Proponentes[[#This Row],[Cumple
Capital de Trabajo]]="CUMPLE"),"CUMPLE","NO CUMPLE")</f>
        <v>CUMPLE</v>
      </c>
      <c r="AC99" s="24"/>
      <c r="AD99" s="10">
        <f>IF(Proponentes[[#This Row],[Liquidez
Oferente]]&lt;=1,1,IF(Proponentes[[#This Row],[Liquidez
Oferente]]&lt;=1.1,2,IF(Proponentes[[#This Row],[Liquidez
Oferente]]&lt;=1.2,3,IF(Proponentes[[#This Row],[Liquidez
Oferente]]&lt;=1.3,4,IF(Proponentes[[#This Row],[Liquidez
Oferente]]&lt;=1.4,5,6)))))</f>
        <v>6</v>
      </c>
      <c r="AE99" s="10">
        <f>IF(Proponentes[[#This Row],[Endeudamiento
Oferente]]&lt;=66%,6,IF(Proponentes[[#This Row],[Endeudamiento
Oferente]]&lt;=58,5,IF(Proponentes[[#This Row],[Endeudamiento
Oferente]]&lt;=70,4,IF(Proponentes[[#This Row],[Endeudamiento
Oferente]]&lt;=72,3,IF(Proponentes[[#This Row],[Endeudamiento
Oferente]]&lt;=74,2,1)))))</f>
        <v>6</v>
      </c>
      <c r="AF9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99" s="10">
        <f>IF(Proponentes[[#This Row],[Cap Op en SMMLV]]&lt;=500,1,IF(Proponentes[[#This Row],[Cap Op en SMMLV]]&lt;=1000,2,IF(Proponentes[[#This Row],[Cap Op en SMMLV]]&lt;=1500,3,IF(Proponentes[[#This Row],[Cap Op en SMMLV]]&lt;=2000,4,IF(Proponentes[[#This Row],[Cap Op en SMMLV]]&lt;=2500,5,6)))))</f>
        <v>1</v>
      </c>
      <c r="AH99" s="10">
        <f>MIN(Proponentes[[#This Row],[a]:[d]])</f>
        <v>1</v>
      </c>
      <c r="AI99" s="87">
        <f>IF(Proponentes[[#This Row],[e]]=Proponentes[[#This Row],[d]],Proponentes[[#This Row],[Cap Op en SMMLV]],VLOOKUP(Proponentes[[#This Row],[e]],Base!$D$1:$E$6,2,FALSE))</f>
        <v>51.829282268893884</v>
      </c>
      <c r="AJ99" s="101" t="str">
        <f>VLOOKUP(Proponentes[[#This Row],[Propuesta]],Hoja2!$A$2:$D$329,4,FALSE)</f>
        <v>CUMPLE</v>
      </c>
      <c r="AK99" s="101"/>
    </row>
    <row r="100" spans="1:37" ht="16" x14ac:dyDescent="0.2">
      <c r="A100" s="10">
        <v>99</v>
      </c>
      <c r="B100" s="11">
        <v>900238123</v>
      </c>
      <c r="C100" s="12" t="s">
        <v>152</v>
      </c>
      <c r="D100" s="13">
        <v>2613488500</v>
      </c>
      <c r="E100" s="13">
        <v>36823812</v>
      </c>
      <c r="F100" s="25">
        <f>Proponentes[[#This Row],[Activo Corriente]]+Proponentes[[#This Row],[Activo NO Corriente]]</f>
        <v>2650312312</v>
      </c>
      <c r="G100" s="13">
        <v>1387734495</v>
      </c>
      <c r="H100" s="13">
        <v>0</v>
      </c>
      <c r="I100" s="25">
        <f>Proponentes[[#This Row],[Pasivo Corriente]]+Proponentes[[#This Row],[Pasivo NO Corriente]]</f>
        <v>1387734495</v>
      </c>
      <c r="J100" s="14">
        <f>Proponentes[[#This Row],[Total ACTIVO]]-Proponentes[[#This Row],[Total Pasivo]]</f>
        <v>1262577817</v>
      </c>
      <c r="K100" s="48">
        <f>VLOOKUP(Proponentes[[#This Row],[Propuesta]],Hoja2!$A$2:$G$239,7,FALSE)</f>
        <v>348801683.77277362</v>
      </c>
      <c r="L100" s="15" t="s">
        <v>55</v>
      </c>
      <c r="M100" s="15" t="s">
        <v>28</v>
      </c>
      <c r="N100" s="55">
        <f>IFERROR(VLOOKUP(Proponentes[[#This Row],[Cap Op en SMMLV]],Base!$A$15:$F$20,3),0)</f>
        <v>1</v>
      </c>
      <c r="O100" s="16">
        <f>IFERROR(VLOOKUP(Proponentes[[#This Row],[Cap Op en SMMLV]],Base!$A$15:$F$20,4),0)</f>
        <v>0.76</v>
      </c>
      <c r="P100" s="17">
        <f>IFERROR(VLOOKUP(Proponentes[[#This Row],[Cap Op en SMMLV]],Tabla2[],6),0)</f>
        <v>12.5</v>
      </c>
      <c r="Q100" s="18">
        <f>IFERROR(VLOOKUP(Proponentes[[#This Row],[Cap Op en SMMLV]],Base!$A$15:$F$20,5),0)</f>
        <v>10351450</v>
      </c>
      <c r="R100" s="18">
        <f>IFERROR(VLOOKUP(Proponentes[[#This Row],[Cap Op en SMMLV]],Tabla2[[DE]:[HASTA]],2),0)</f>
        <v>500</v>
      </c>
      <c r="S100" s="19">
        <f>IFERROR(Proponentes[[#This Row],[Activo Corriente]]/Proponentes[[#This Row],[Pasivo Corriente]],"INDETERMINADO")</f>
        <v>1.883277031317147</v>
      </c>
      <c r="T100" s="20">
        <f>IFERROR(Proponentes[[#This Row],[Total Pasivo]]/Proponentes[[#This Row],[Total ACTIVO]],0)</f>
        <v>0.52361168482546749</v>
      </c>
      <c r="U100" s="21">
        <f>(Proponentes[[#This Row],[Activo Corriente]]-Proponentes[[#This Row],[Pasivo Corriente]])/Base!$B$3</f>
        <v>1480.1718660187703</v>
      </c>
      <c r="V100" s="22">
        <f>Proponentes[[#This Row],[Activo Corriente]]-Proponentes[[#This Row],[Pasivo Corriente]]</f>
        <v>1225754005</v>
      </c>
      <c r="W100" s="13">
        <f>IFERROR(VLOOKUP(Proponentes[[#This Row],[Propuesta]],Hoja2!$A$2:$G$329,7,FALSE),0)</f>
        <v>348801683.77277362</v>
      </c>
      <c r="X100" s="83">
        <f>IF(Proponentes[[#This Row],[Cap Op en Pesos]]=0,0,IF(Proponentes[[#This Row],[Cap Op en Pesos]]=0,1,Proponentes[[#This Row],[Cap Op en Pesos]]/Base!B$3))</f>
        <v>421.19906362487092</v>
      </c>
      <c r="Y10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0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0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00" s="23" t="str">
        <f>IF(AND(Proponentes[[#This Row],[Cumple
Liquidez]]="CUMPLE",Proponentes[[#This Row],[Cumple
Endeudamiento]]="CUMPLE",Proponentes[[#This Row],[Cumple
Capital de Trabajo]]="CUMPLE"),"CUMPLE","NO CUMPLE")</f>
        <v>CUMPLE</v>
      </c>
      <c r="AC100" s="24"/>
      <c r="AD100" s="10">
        <f>IF(Proponentes[[#This Row],[Liquidez
Oferente]]&lt;=1,1,IF(Proponentes[[#This Row],[Liquidez
Oferente]]&lt;=1.1,2,IF(Proponentes[[#This Row],[Liquidez
Oferente]]&lt;=1.2,3,IF(Proponentes[[#This Row],[Liquidez
Oferente]]&lt;=1.3,4,IF(Proponentes[[#This Row],[Liquidez
Oferente]]&lt;=1.4,5,6)))))</f>
        <v>6</v>
      </c>
      <c r="AE100" s="10">
        <f>IF(Proponentes[[#This Row],[Endeudamiento
Oferente]]&lt;=66%,6,IF(Proponentes[[#This Row],[Endeudamiento
Oferente]]&lt;=58,5,IF(Proponentes[[#This Row],[Endeudamiento
Oferente]]&lt;=70,4,IF(Proponentes[[#This Row],[Endeudamiento
Oferente]]&lt;=72,3,IF(Proponentes[[#This Row],[Endeudamiento
Oferente]]&lt;=74,2,1)))))</f>
        <v>6</v>
      </c>
      <c r="AF10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00" s="10">
        <f>IF(Proponentes[[#This Row],[Cap Op en SMMLV]]&lt;=500,1,IF(Proponentes[[#This Row],[Cap Op en SMMLV]]&lt;=1000,2,IF(Proponentes[[#This Row],[Cap Op en SMMLV]]&lt;=1500,3,IF(Proponentes[[#This Row],[Cap Op en SMMLV]]&lt;=2000,4,IF(Proponentes[[#This Row],[Cap Op en SMMLV]]&lt;=2500,5,6)))))</f>
        <v>1</v>
      </c>
      <c r="AH100" s="10">
        <f>MIN(Proponentes[[#This Row],[a]:[d]])</f>
        <v>1</v>
      </c>
      <c r="AI100" s="87">
        <f>IF(Proponentes[[#This Row],[e]]=Proponentes[[#This Row],[d]],Proponentes[[#This Row],[Cap Op en SMMLV]],VLOOKUP(Proponentes[[#This Row],[e]],Base!$D$1:$E$6,2,FALSE))</f>
        <v>421.19906362487092</v>
      </c>
      <c r="AJ100" s="101" t="str">
        <f>VLOOKUP(Proponentes[[#This Row],[Propuesta]],Hoja2!$A$2:$D$329,4,FALSE)</f>
        <v>CUMPLE</v>
      </c>
      <c r="AK100" s="101"/>
    </row>
    <row r="101" spans="1:37" ht="16" x14ac:dyDescent="0.2">
      <c r="A101" s="10">
        <v>100</v>
      </c>
      <c r="B101" s="11">
        <v>900967134</v>
      </c>
      <c r="C101" s="12" t="s">
        <v>153</v>
      </c>
      <c r="D101" s="13">
        <v>96401600</v>
      </c>
      <c r="E101" s="13">
        <v>8458000</v>
      </c>
      <c r="F101" s="25">
        <f>Proponentes[[#This Row],[Activo Corriente]]+Proponentes[[#This Row],[Activo NO Corriente]]</f>
        <v>104859600</v>
      </c>
      <c r="G101" s="13">
        <v>4859600</v>
      </c>
      <c r="H101" s="13">
        <v>0</v>
      </c>
      <c r="I101" s="25">
        <f>Proponentes[[#This Row],[Pasivo Corriente]]+Proponentes[[#This Row],[Pasivo NO Corriente]]</f>
        <v>4859600</v>
      </c>
      <c r="J101" s="14">
        <f>Proponentes[[#This Row],[Total ACTIVO]]-Proponentes[[#This Row],[Total Pasivo]]</f>
        <v>100000000</v>
      </c>
      <c r="K101" s="48">
        <f>VLOOKUP(Proponentes[[#This Row],[Propuesta]],Hoja2!$A$2:$G$239,7,FALSE)</f>
        <v>20064058.263688274</v>
      </c>
      <c r="L101" s="15" t="s">
        <v>135</v>
      </c>
      <c r="M101" s="15" t="s">
        <v>28</v>
      </c>
      <c r="N101" s="55">
        <f>IFERROR(VLOOKUP(Proponentes[[#This Row],[Cap Op en SMMLV]],Base!$A$15:$F$20,3),0)</f>
        <v>1</v>
      </c>
      <c r="O101" s="16">
        <f>IFERROR(VLOOKUP(Proponentes[[#This Row],[Cap Op en SMMLV]],Base!$A$15:$F$20,4),0)</f>
        <v>0.76</v>
      </c>
      <c r="P101" s="17">
        <f>IFERROR(VLOOKUP(Proponentes[[#This Row],[Cap Op en SMMLV]],Tabla2[],6),0)</f>
        <v>12.5</v>
      </c>
      <c r="Q101" s="18">
        <f>IFERROR(VLOOKUP(Proponentes[[#This Row],[Cap Op en SMMLV]],Base!$A$15:$F$20,5),0)</f>
        <v>10351450</v>
      </c>
      <c r="R101" s="18">
        <f>IFERROR(VLOOKUP(Proponentes[[#This Row],[Cap Op en SMMLV]],Tabla2[[DE]:[HASTA]],2),0)</f>
        <v>500</v>
      </c>
      <c r="S101" s="19">
        <f>IFERROR(Proponentes[[#This Row],[Activo Corriente]]/Proponentes[[#This Row],[Pasivo Corriente]],"INDETERMINADO")</f>
        <v>19.837352868548852</v>
      </c>
      <c r="T101" s="20">
        <f>IFERROR(Proponentes[[#This Row],[Total Pasivo]]/Proponentes[[#This Row],[Total ACTIVO]],0)</f>
        <v>4.6343873140847383E-2</v>
      </c>
      <c r="U101" s="21">
        <f>(Proponentes[[#This Row],[Activo Corriente]]-Proponentes[[#This Row],[Pasivo Corriente]])/Base!$B$3</f>
        <v>110.54248438624541</v>
      </c>
      <c r="V101" s="22">
        <f>Proponentes[[#This Row],[Activo Corriente]]-Proponentes[[#This Row],[Pasivo Corriente]]</f>
        <v>91542000</v>
      </c>
      <c r="W101" s="13">
        <f>IFERROR(VLOOKUP(Proponentes[[#This Row],[Propuesta]],Hoja2!$A$2:$G$329,7,FALSE),0)</f>
        <v>20064058.263688274</v>
      </c>
      <c r="X101" s="83">
        <f>IF(Proponentes[[#This Row],[Cap Op en Pesos]]=0,0,IF(Proponentes[[#This Row],[Cap Op en Pesos]]=0,1,Proponentes[[#This Row],[Cap Op en Pesos]]/Base!B$3))</f>
        <v>24.228560085408656</v>
      </c>
      <c r="Y10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0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0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01" s="23" t="str">
        <f>IF(AND(Proponentes[[#This Row],[Cumple
Liquidez]]="CUMPLE",Proponentes[[#This Row],[Cumple
Endeudamiento]]="CUMPLE",Proponentes[[#This Row],[Cumple
Capital de Trabajo]]="CUMPLE"),"CUMPLE","NO CUMPLE")</f>
        <v>CUMPLE</v>
      </c>
      <c r="AC101" s="24"/>
      <c r="AD101" s="10">
        <f>IF(Proponentes[[#This Row],[Liquidez
Oferente]]&lt;=1,1,IF(Proponentes[[#This Row],[Liquidez
Oferente]]&lt;=1.1,2,IF(Proponentes[[#This Row],[Liquidez
Oferente]]&lt;=1.2,3,IF(Proponentes[[#This Row],[Liquidez
Oferente]]&lt;=1.3,4,IF(Proponentes[[#This Row],[Liquidez
Oferente]]&lt;=1.4,5,6)))))</f>
        <v>6</v>
      </c>
      <c r="AE101" s="10">
        <f>IF(Proponentes[[#This Row],[Endeudamiento
Oferente]]&lt;=66%,6,IF(Proponentes[[#This Row],[Endeudamiento
Oferente]]&lt;=58,5,IF(Proponentes[[#This Row],[Endeudamiento
Oferente]]&lt;=70,4,IF(Proponentes[[#This Row],[Endeudamiento
Oferente]]&lt;=72,3,IF(Proponentes[[#This Row],[Endeudamiento
Oferente]]&lt;=74,2,1)))))</f>
        <v>6</v>
      </c>
      <c r="AF10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01" s="10">
        <f>IF(Proponentes[[#This Row],[Cap Op en SMMLV]]&lt;=500,1,IF(Proponentes[[#This Row],[Cap Op en SMMLV]]&lt;=1000,2,IF(Proponentes[[#This Row],[Cap Op en SMMLV]]&lt;=1500,3,IF(Proponentes[[#This Row],[Cap Op en SMMLV]]&lt;=2000,4,IF(Proponentes[[#This Row],[Cap Op en SMMLV]]&lt;=2500,5,6)))))</f>
        <v>1</v>
      </c>
      <c r="AH101" s="10">
        <f>MIN(Proponentes[[#This Row],[a]:[d]])</f>
        <v>1</v>
      </c>
      <c r="AI101" s="87">
        <f>IF(Proponentes[[#This Row],[e]]=Proponentes[[#This Row],[d]],Proponentes[[#This Row],[Cap Op en SMMLV]],VLOOKUP(Proponentes[[#This Row],[e]],Base!$D$1:$E$6,2,FALSE))</f>
        <v>24.228560085408656</v>
      </c>
      <c r="AJ101" s="101" t="str">
        <f>VLOOKUP(Proponentes[[#This Row],[Propuesta]],Hoja2!$A$2:$D$329,4,FALSE)</f>
        <v>CUMPLE</v>
      </c>
      <c r="AK101" s="101"/>
    </row>
    <row r="102" spans="1:37" ht="16" x14ac:dyDescent="0.2">
      <c r="A102" s="10">
        <v>101</v>
      </c>
      <c r="B102" s="11">
        <v>900877034</v>
      </c>
      <c r="C102" s="12" t="s">
        <v>154</v>
      </c>
      <c r="D102" s="13">
        <v>81787666</v>
      </c>
      <c r="E102" s="13">
        <v>37798000</v>
      </c>
      <c r="F102" s="25">
        <f>Proponentes[[#This Row],[Activo Corriente]]+Proponentes[[#This Row],[Activo NO Corriente]]</f>
        <v>119585666</v>
      </c>
      <c r="G102" s="13">
        <v>62050000</v>
      </c>
      <c r="H102" s="13">
        <v>0</v>
      </c>
      <c r="I102" s="25">
        <f>Proponentes[[#This Row],[Pasivo Corriente]]+Proponentes[[#This Row],[Pasivo NO Corriente]]</f>
        <v>62050000</v>
      </c>
      <c r="J102" s="14">
        <f>Proponentes[[#This Row],[Total ACTIVO]]-Proponentes[[#This Row],[Total Pasivo]]</f>
        <v>57535666</v>
      </c>
      <c r="K102" s="48">
        <f>VLOOKUP(Proponentes[[#This Row],[Propuesta]],Hoja2!$A$2:$G$239,7,FALSE)</f>
        <v>184557133.74886373</v>
      </c>
      <c r="L102" s="15"/>
      <c r="M102" s="15" t="s">
        <v>155</v>
      </c>
      <c r="N102" s="55">
        <f>IFERROR(VLOOKUP(Proponentes[[#This Row],[Cap Op en SMMLV]],Base!$A$15:$F$20,3),0)</f>
        <v>1</v>
      </c>
      <c r="O102" s="16">
        <f>IFERROR(VLOOKUP(Proponentes[[#This Row],[Cap Op en SMMLV]],Base!$A$15:$F$20,4),0)</f>
        <v>0.76</v>
      </c>
      <c r="P102" s="17">
        <f>IFERROR(VLOOKUP(Proponentes[[#This Row],[Cap Op en SMMLV]],Tabla2[],6),0)</f>
        <v>12.5</v>
      </c>
      <c r="Q102" s="18">
        <f>IFERROR(VLOOKUP(Proponentes[[#This Row],[Cap Op en SMMLV]],Base!$A$15:$F$20,5),0)</f>
        <v>10351450</v>
      </c>
      <c r="R102" s="18">
        <f>IFERROR(VLOOKUP(Proponentes[[#This Row],[Cap Op en SMMLV]],Tabla2[[DE]:[HASTA]],2),0)</f>
        <v>500</v>
      </c>
      <c r="S102" s="19">
        <f>IFERROR(Proponentes[[#This Row],[Activo Corriente]]/Proponentes[[#This Row],[Pasivo Corriente]],"INDETERMINADO")</f>
        <v>1.3180929250604352</v>
      </c>
      <c r="T102" s="20">
        <f>IFERROR(Proponentes[[#This Row],[Total Pasivo]]/Proponentes[[#This Row],[Total ACTIVO]],0)</f>
        <v>0.51887489592607194</v>
      </c>
      <c r="U102" s="21">
        <f>(Proponentes[[#This Row],[Activo Corriente]]-Proponentes[[#This Row],[Pasivo Corriente]])/Base!$B$3</f>
        <v>23.834421747677862</v>
      </c>
      <c r="V102" s="22">
        <f>Proponentes[[#This Row],[Activo Corriente]]-Proponentes[[#This Row],[Pasivo Corriente]]</f>
        <v>19737666</v>
      </c>
      <c r="W102" s="13">
        <f>IFERROR(VLOOKUP(Proponentes[[#This Row],[Propuesta]],Hoja2!$A$2:$G$329,7,FALSE),0)</f>
        <v>184557133.74886373</v>
      </c>
      <c r="X102" s="83">
        <f>IF(Proponentes[[#This Row],[Cap Op en Pesos]]=0,0,IF(Proponentes[[#This Row],[Cap Op en Pesos]]=0,1,Proponentes[[#This Row],[Cap Op en Pesos]]/Base!B$3))</f>
        <v>222.86386659461201</v>
      </c>
      <c r="Y10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0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0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02" s="23" t="str">
        <f>IF(AND(Proponentes[[#This Row],[Cumple
Liquidez]]="CUMPLE",Proponentes[[#This Row],[Cumple
Endeudamiento]]="CUMPLE",Proponentes[[#This Row],[Cumple
Capital de Trabajo]]="CUMPLE"),"CUMPLE","NO CUMPLE")</f>
        <v>CUMPLE</v>
      </c>
      <c r="AC102" s="24" t="s">
        <v>795</v>
      </c>
      <c r="AD102" s="10">
        <f>IF(Proponentes[[#This Row],[Liquidez
Oferente]]&lt;=1,1,IF(Proponentes[[#This Row],[Liquidez
Oferente]]&lt;=1.1,2,IF(Proponentes[[#This Row],[Liquidez
Oferente]]&lt;=1.2,3,IF(Proponentes[[#This Row],[Liquidez
Oferente]]&lt;=1.3,4,IF(Proponentes[[#This Row],[Liquidez
Oferente]]&lt;=1.4,5,6)))))</f>
        <v>5</v>
      </c>
      <c r="AE102" s="10">
        <f>IF(Proponentes[[#This Row],[Endeudamiento
Oferente]]&lt;=66%,6,IF(Proponentes[[#This Row],[Endeudamiento
Oferente]]&lt;=58,5,IF(Proponentes[[#This Row],[Endeudamiento
Oferente]]&lt;=70,4,IF(Proponentes[[#This Row],[Endeudamiento
Oferente]]&lt;=72,3,IF(Proponentes[[#This Row],[Endeudamiento
Oferente]]&lt;=74,2,1)))))</f>
        <v>6</v>
      </c>
      <c r="AF10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102" s="10">
        <f>IF(Proponentes[[#This Row],[Cap Op en SMMLV]]&lt;=500,1,IF(Proponentes[[#This Row],[Cap Op en SMMLV]]&lt;=1000,2,IF(Proponentes[[#This Row],[Cap Op en SMMLV]]&lt;=1500,3,IF(Proponentes[[#This Row],[Cap Op en SMMLV]]&lt;=2000,4,IF(Proponentes[[#This Row],[Cap Op en SMMLV]]&lt;=2500,5,6)))))</f>
        <v>1</v>
      </c>
      <c r="AH102" s="10">
        <f>MIN(Proponentes[[#This Row],[a]:[d]])</f>
        <v>1</v>
      </c>
      <c r="AI102" s="87">
        <f>IF(Proponentes[[#This Row],[e]]=Proponentes[[#This Row],[d]],Proponentes[[#This Row],[Cap Op en SMMLV]],VLOOKUP(Proponentes[[#This Row],[e]],Base!$D$1:$E$6,2,FALSE))</f>
        <v>222.86386659461201</v>
      </c>
      <c r="AJ102" s="101" t="str">
        <f>VLOOKUP(Proponentes[[#This Row],[Propuesta]],Hoja2!$A$2:$D$329,4,FALSE)</f>
        <v>CUMPLE</v>
      </c>
      <c r="AK102" s="101"/>
    </row>
    <row r="103" spans="1:37" ht="16" x14ac:dyDescent="0.2">
      <c r="A103" s="10">
        <v>102</v>
      </c>
      <c r="B103" s="11">
        <v>900208443</v>
      </c>
      <c r="C103" s="12" t="s">
        <v>156</v>
      </c>
      <c r="D103" s="13">
        <v>906291641</v>
      </c>
      <c r="E103" s="13">
        <v>314275679</v>
      </c>
      <c r="F103" s="25">
        <f>Proponentes[[#This Row],[Activo Corriente]]+Proponentes[[#This Row],[Activo NO Corriente]]</f>
        <v>1220567320</v>
      </c>
      <c r="G103" s="13">
        <v>172194649</v>
      </c>
      <c r="H103" s="13">
        <v>344407637</v>
      </c>
      <c r="I103" s="25">
        <f>Proponentes[[#This Row],[Pasivo Corriente]]+Proponentes[[#This Row],[Pasivo NO Corriente]]</f>
        <v>516602286</v>
      </c>
      <c r="J103" s="14">
        <f>Proponentes[[#This Row],[Total ACTIVO]]-Proponentes[[#This Row],[Total Pasivo]]</f>
        <v>703965034</v>
      </c>
      <c r="K103" s="48">
        <f>VLOOKUP(Proponentes[[#This Row],[Propuesta]],Hoja2!$A$2:$G$239,7,FALSE)</f>
        <v>395656943.24201071</v>
      </c>
      <c r="L103" s="15"/>
      <c r="M103" s="15" t="s">
        <v>157</v>
      </c>
      <c r="N103" s="55">
        <f>IFERROR(VLOOKUP(Proponentes[[#This Row],[Cap Op en SMMLV]],Base!$A$15:$F$20,3),0)</f>
        <v>1</v>
      </c>
      <c r="O103" s="16">
        <f>IFERROR(VLOOKUP(Proponentes[[#This Row],[Cap Op en SMMLV]],Base!$A$15:$F$20,4),0)</f>
        <v>0.76</v>
      </c>
      <c r="P103" s="17">
        <f>IFERROR(VLOOKUP(Proponentes[[#This Row],[Cap Op en SMMLV]],Tabla2[],6),0)</f>
        <v>12.5</v>
      </c>
      <c r="Q103" s="18">
        <f>IFERROR(VLOOKUP(Proponentes[[#This Row],[Cap Op en SMMLV]],Base!$A$15:$F$20,5),0)</f>
        <v>10351450</v>
      </c>
      <c r="R103" s="18">
        <f>IFERROR(VLOOKUP(Proponentes[[#This Row],[Cap Op en SMMLV]],Tabla2[[DE]:[HASTA]],2),0)</f>
        <v>500</v>
      </c>
      <c r="S103" s="19">
        <f>IFERROR(Proponentes[[#This Row],[Activo Corriente]]/Proponentes[[#This Row],[Pasivo Corriente]],"INDETERMINADO")</f>
        <v>5.2631812095392112</v>
      </c>
      <c r="T103" s="20">
        <f>IFERROR(Proponentes[[#This Row],[Total Pasivo]]/Proponentes[[#This Row],[Total ACTIVO]],0)</f>
        <v>0.42324767961180543</v>
      </c>
      <c r="U103" s="21">
        <f>(Proponentes[[#This Row],[Activo Corriente]]-Proponentes[[#This Row],[Pasivo Corriente]])/Base!$B$3</f>
        <v>886.46637910630875</v>
      </c>
      <c r="V103" s="22">
        <f>Proponentes[[#This Row],[Activo Corriente]]-Proponentes[[#This Row],[Pasivo Corriente]]</f>
        <v>734096992</v>
      </c>
      <c r="W103" s="13">
        <f>IFERROR(VLOOKUP(Proponentes[[#This Row],[Propuesta]],Hoja2!$A$2:$G$329,7,FALSE),0)</f>
        <v>395656943.24201071</v>
      </c>
      <c r="X103" s="83">
        <f>IF(Proponentes[[#This Row],[Cap Op en Pesos]]=0,0,IF(Proponentes[[#This Row],[Cap Op en Pesos]]=0,1,Proponentes[[#This Row],[Cap Op en Pesos]]/Base!B$3))</f>
        <v>477.77961450087997</v>
      </c>
      <c r="Y10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0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0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03" s="23" t="str">
        <f>IF(AND(Proponentes[[#This Row],[Cumple
Liquidez]]="CUMPLE",Proponentes[[#This Row],[Cumple
Endeudamiento]]="CUMPLE",Proponentes[[#This Row],[Cumple
Capital de Trabajo]]="CUMPLE"),"CUMPLE","NO CUMPLE")</f>
        <v>CUMPLE</v>
      </c>
      <c r="AC103" s="24"/>
      <c r="AD103" s="10">
        <f>IF(Proponentes[[#This Row],[Liquidez
Oferente]]&lt;=1,1,IF(Proponentes[[#This Row],[Liquidez
Oferente]]&lt;=1.1,2,IF(Proponentes[[#This Row],[Liquidez
Oferente]]&lt;=1.2,3,IF(Proponentes[[#This Row],[Liquidez
Oferente]]&lt;=1.3,4,IF(Proponentes[[#This Row],[Liquidez
Oferente]]&lt;=1.4,5,6)))))</f>
        <v>6</v>
      </c>
      <c r="AE103" s="10">
        <f>IF(Proponentes[[#This Row],[Endeudamiento
Oferente]]&lt;=66%,6,IF(Proponentes[[#This Row],[Endeudamiento
Oferente]]&lt;=58,5,IF(Proponentes[[#This Row],[Endeudamiento
Oferente]]&lt;=70,4,IF(Proponentes[[#This Row],[Endeudamiento
Oferente]]&lt;=72,3,IF(Proponentes[[#This Row],[Endeudamiento
Oferente]]&lt;=74,2,1)))))</f>
        <v>6</v>
      </c>
      <c r="AF10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03" s="10">
        <f>IF(Proponentes[[#This Row],[Cap Op en SMMLV]]&lt;=500,1,IF(Proponentes[[#This Row],[Cap Op en SMMLV]]&lt;=1000,2,IF(Proponentes[[#This Row],[Cap Op en SMMLV]]&lt;=1500,3,IF(Proponentes[[#This Row],[Cap Op en SMMLV]]&lt;=2000,4,IF(Proponentes[[#This Row],[Cap Op en SMMLV]]&lt;=2500,5,6)))))</f>
        <v>1</v>
      </c>
      <c r="AH103" s="10">
        <f>MIN(Proponentes[[#This Row],[a]:[d]])</f>
        <v>1</v>
      </c>
      <c r="AI103" s="87">
        <f>IF(Proponentes[[#This Row],[e]]=Proponentes[[#This Row],[d]],Proponentes[[#This Row],[Cap Op en SMMLV]],VLOOKUP(Proponentes[[#This Row],[e]],Base!$D$1:$E$6,2,FALSE))</f>
        <v>477.77961450087997</v>
      </c>
      <c r="AJ103" s="101" t="str">
        <f>VLOOKUP(Proponentes[[#This Row],[Propuesta]],Hoja2!$A$2:$D$329,4,FALSE)</f>
        <v>CUMPLE</v>
      </c>
      <c r="AK103" s="101"/>
    </row>
    <row r="104" spans="1:37" ht="32" x14ac:dyDescent="0.2">
      <c r="A104" s="10">
        <v>103</v>
      </c>
      <c r="B104" s="11">
        <v>804003003</v>
      </c>
      <c r="C104" s="12" t="s">
        <v>158</v>
      </c>
      <c r="D104" s="13">
        <v>2963851448</v>
      </c>
      <c r="E104" s="13">
        <v>1492913948</v>
      </c>
      <c r="F104" s="25">
        <f>Proponentes[[#This Row],[Activo Corriente]]+Proponentes[[#This Row],[Activo NO Corriente]]</f>
        <v>4456765396</v>
      </c>
      <c r="G104" s="13">
        <v>458611858</v>
      </c>
      <c r="H104" s="13">
        <v>222982384</v>
      </c>
      <c r="I104" s="25">
        <f>Proponentes[[#This Row],[Pasivo Corriente]]+Proponentes[[#This Row],[Pasivo NO Corriente]]</f>
        <v>681594242</v>
      </c>
      <c r="J104" s="14">
        <f>Proponentes[[#This Row],[Total ACTIVO]]-Proponentes[[#This Row],[Total Pasivo]]</f>
        <v>3775171154</v>
      </c>
      <c r="K104" s="48">
        <f>VLOOKUP(Proponentes[[#This Row],[Propuesta]],Hoja2!$A$2:$G$239,7,FALSE)</f>
        <v>840399571.50173044</v>
      </c>
      <c r="L104" s="15"/>
      <c r="M104" s="15" t="s">
        <v>59</v>
      </c>
      <c r="N104" s="55">
        <f>IFERROR(VLOOKUP(Proponentes[[#This Row],[Cap Op en SMMLV]],Base!$A$15:$F$20,3),0)</f>
        <v>1.2</v>
      </c>
      <c r="O104" s="16">
        <f>IFERROR(VLOOKUP(Proponentes[[#This Row],[Cap Op en SMMLV]],Base!$A$15:$F$20,4),0)</f>
        <v>0.72</v>
      </c>
      <c r="P104" s="17">
        <f>IFERROR(VLOOKUP(Proponentes[[#This Row],[Cap Op en SMMLV]],Tabla2[],6),0)</f>
        <v>37.5</v>
      </c>
      <c r="Q104" s="18">
        <f>IFERROR(VLOOKUP(Proponentes[[#This Row],[Cap Op en SMMLV]],Base!$A$15:$F$20,5),0)</f>
        <v>31054350</v>
      </c>
      <c r="R104" s="18">
        <f>IFERROR(VLOOKUP(Proponentes[[#This Row],[Cap Op en SMMLV]],Tabla2[[DE]:[HASTA]],2),0)</f>
        <v>1500</v>
      </c>
      <c r="S104" s="19">
        <f>IFERROR(Proponentes[[#This Row],[Activo Corriente]]/Proponentes[[#This Row],[Pasivo Corriente]],"INDETERMINADO")</f>
        <v>6.4626576838316288</v>
      </c>
      <c r="T104" s="20">
        <f>IFERROR(Proponentes[[#This Row],[Total Pasivo]]/Proponentes[[#This Row],[Total ACTIVO]],0)</f>
        <v>0.15293473661677121</v>
      </c>
      <c r="U104" s="21">
        <f>(Proponentes[[#This Row],[Activo Corriente]]-Proponentes[[#This Row],[Pasivo Corriente]])/Base!$B$3</f>
        <v>3025.2278545517779</v>
      </c>
      <c r="V104" s="22">
        <f>Proponentes[[#This Row],[Activo Corriente]]-Proponentes[[#This Row],[Pasivo Corriente]]</f>
        <v>2505239590</v>
      </c>
      <c r="W104" s="13">
        <f>IFERROR(VLOOKUP(Proponentes[[#This Row],[Propuesta]],Hoja2!$A$2:$G$329,7,FALSE),0)</f>
        <v>840399571.50173044</v>
      </c>
      <c r="X104" s="83">
        <f>IF(Proponentes[[#This Row],[Cap Op en Pesos]]=0,0,IF(Proponentes[[#This Row],[Cap Op en Pesos]]=0,1,Proponentes[[#This Row],[Cap Op en Pesos]]/Base!B$3))</f>
        <v>1014.8331532076792</v>
      </c>
      <c r="Y10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0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0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04" s="23" t="str">
        <f>IF(AND(Proponentes[[#This Row],[Cumple
Liquidez]]="CUMPLE",Proponentes[[#This Row],[Cumple
Endeudamiento]]="CUMPLE",Proponentes[[#This Row],[Cumple
Capital de Trabajo]]="CUMPLE"),"CUMPLE","NO CUMPLE")</f>
        <v>CUMPLE</v>
      </c>
      <c r="AC104" s="24"/>
      <c r="AD104" s="10">
        <f>IF(Proponentes[[#This Row],[Liquidez
Oferente]]&lt;=1,1,IF(Proponentes[[#This Row],[Liquidez
Oferente]]&lt;=1.1,2,IF(Proponentes[[#This Row],[Liquidez
Oferente]]&lt;=1.2,3,IF(Proponentes[[#This Row],[Liquidez
Oferente]]&lt;=1.3,4,IF(Proponentes[[#This Row],[Liquidez
Oferente]]&lt;=1.4,5,6)))))</f>
        <v>6</v>
      </c>
      <c r="AE104" s="10">
        <f>IF(Proponentes[[#This Row],[Endeudamiento
Oferente]]&lt;=66%,6,IF(Proponentes[[#This Row],[Endeudamiento
Oferente]]&lt;=58,5,IF(Proponentes[[#This Row],[Endeudamiento
Oferente]]&lt;=70,4,IF(Proponentes[[#This Row],[Endeudamiento
Oferente]]&lt;=72,3,IF(Proponentes[[#This Row],[Endeudamiento
Oferente]]&lt;=74,2,1)))))</f>
        <v>6</v>
      </c>
      <c r="AF10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04" s="10">
        <f>IF(Proponentes[[#This Row],[Cap Op en SMMLV]]&lt;=500,1,IF(Proponentes[[#This Row],[Cap Op en SMMLV]]&lt;=1000,2,IF(Proponentes[[#This Row],[Cap Op en SMMLV]]&lt;=1500,3,IF(Proponentes[[#This Row],[Cap Op en SMMLV]]&lt;=2000,4,IF(Proponentes[[#This Row],[Cap Op en SMMLV]]&lt;=2500,5,6)))))</f>
        <v>3</v>
      </c>
      <c r="AH104" s="10">
        <f>MIN(Proponentes[[#This Row],[a]:[d]])</f>
        <v>3</v>
      </c>
      <c r="AI104" s="87">
        <f>IF(Proponentes[[#This Row],[e]]=Proponentes[[#This Row],[d]],Proponentes[[#This Row],[Cap Op en SMMLV]],VLOOKUP(Proponentes[[#This Row],[e]],Base!$D$1:$E$6,2,FALSE))</f>
        <v>1014.8331532076792</v>
      </c>
      <c r="AJ104" s="101" t="str">
        <f>VLOOKUP(Proponentes[[#This Row],[Propuesta]],Hoja2!$A$2:$D$329,4,FALSE)</f>
        <v>CUMPLE</v>
      </c>
      <c r="AK104" s="101"/>
    </row>
    <row r="105" spans="1:37" ht="16" x14ac:dyDescent="0.2">
      <c r="A105" s="10">
        <v>104</v>
      </c>
      <c r="B105" s="11">
        <v>813013497</v>
      </c>
      <c r="C105" s="12" t="s">
        <v>159</v>
      </c>
      <c r="D105" s="13">
        <v>428590067.63999999</v>
      </c>
      <c r="E105" s="13">
        <v>679840110.42999995</v>
      </c>
      <c r="F105" s="25">
        <f>Proponentes[[#This Row],[Activo Corriente]]+Proponentes[[#This Row],[Activo NO Corriente]]</f>
        <v>1108430178.0699999</v>
      </c>
      <c r="G105" s="13">
        <v>53531367.390000001</v>
      </c>
      <c r="H105" s="13">
        <v>312855082.17000002</v>
      </c>
      <c r="I105" s="25">
        <f>Proponentes[[#This Row],[Pasivo Corriente]]+Proponentes[[#This Row],[Pasivo NO Corriente]]</f>
        <v>366386449.56</v>
      </c>
      <c r="J105" s="14">
        <f>Proponentes[[#This Row],[Total ACTIVO]]-Proponentes[[#This Row],[Total Pasivo]]</f>
        <v>742043728.50999999</v>
      </c>
      <c r="K105" s="48">
        <f>VLOOKUP(Proponentes[[#This Row],[Propuesta]],Hoja2!$A$2:$G$239,7,FALSE)</f>
        <v>612935492.62639952</v>
      </c>
      <c r="L105" s="15"/>
      <c r="M105" s="15" t="s">
        <v>59</v>
      </c>
      <c r="N105" s="55">
        <f>IFERROR(VLOOKUP(Proponentes[[#This Row],[Cap Op en SMMLV]],Base!$A$15:$F$20,3),0)</f>
        <v>1.1000000000000001</v>
      </c>
      <c r="O105" s="16">
        <f>IFERROR(VLOOKUP(Proponentes[[#This Row],[Cap Op en SMMLV]],Base!$A$15:$F$20,4),0)</f>
        <v>0.74</v>
      </c>
      <c r="P105" s="17">
        <f>IFERROR(VLOOKUP(Proponentes[[#This Row],[Cap Op en SMMLV]],Tabla2[],6),0)</f>
        <v>25</v>
      </c>
      <c r="Q105" s="18">
        <f>IFERROR(VLOOKUP(Proponentes[[#This Row],[Cap Op en SMMLV]],Base!$A$15:$F$20,5),0)</f>
        <v>20702900</v>
      </c>
      <c r="R105" s="18">
        <f>IFERROR(VLOOKUP(Proponentes[[#This Row],[Cap Op en SMMLV]],Tabla2[[DE]:[HASTA]],2),0)</f>
        <v>1000</v>
      </c>
      <c r="S105" s="19">
        <f>IFERROR(Proponentes[[#This Row],[Activo Corriente]]/Proponentes[[#This Row],[Pasivo Corriente]],"INDETERMINADO")</f>
        <v>8.0063351365103248</v>
      </c>
      <c r="T105" s="20">
        <f>IFERROR(Proponentes[[#This Row],[Total Pasivo]]/Proponentes[[#This Row],[Total ACTIVO]],0)</f>
        <v>0.33054535757764425</v>
      </c>
      <c r="U105" s="21">
        <f>(Proponentes[[#This Row],[Activo Corriente]]-Proponentes[[#This Row],[Pasivo Corriente]])/Base!$B$3</f>
        <v>452.90599414816279</v>
      </c>
      <c r="V105" s="22">
        <f>Proponentes[[#This Row],[Activo Corriente]]-Proponentes[[#This Row],[Pasivo Corriente]]</f>
        <v>375058700.25</v>
      </c>
      <c r="W105" s="13">
        <f>IFERROR(VLOOKUP(Proponentes[[#This Row],[Propuesta]],Hoja2!$A$2:$G$329,7,FALSE),0)</f>
        <v>612935492.62639952</v>
      </c>
      <c r="X105" s="83">
        <f>IF(Proponentes[[#This Row],[Cap Op en Pesos]]=0,0,IF(Proponentes[[#This Row],[Cap Op en Pesos]]=0,1,Proponentes[[#This Row],[Cap Op en Pesos]]/Base!B$3))</f>
        <v>740.1565633635862</v>
      </c>
      <c r="Y10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0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0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05" s="23" t="str">
        <f>IF(AND(Proponentes[[#This Row],[Cumple
Liquidez]]="CUMPLE",Proponentes[[#This Row],[Cumple
Endeudamiento]]="CUMPLE",Proponentes[[#This Row],[Cumple
Capital de Trabajo]]="CUMPLE"),"CUMPLE","NO CUMPLE")</f>
        <v>CUMPLE</v>
      </c>
      <c r="AC105" s="24"/>
      <c r="AD105" s="10">
        <f>IF(Proponentes[[#This Row],[Liquidez
Oferente]]&lt;=1,1,IF(Proponentes[[#This Row],[Liquidez
Oferente]]&lt;=1.1,2,IF(Proponentes[[#This Row],[Liquidez
Oferente]]&lt;=1.2,3,IF(Proponentes[[#This Row],[Liquidez
Oferente]]&lt;=1.3,4,IF(Proponentes[[#This Row],[Liquidez
Oferente]]&lt;=1.4,5,6)))))</f>
        <v>6</v>
      </c>
      <c r="AE105" s="10">
        <f>IF(Proponentes[[#This Row],[Endeudamiento
Oferente]]&lt;=66%,6,IF(Proponentes[[#This Row],[Endeudamiento
Oferente]]&lt;=58,5,IF(Proponentes[[#This Row],[Endeudamiento
Oferente]]&lt;=70,4,IF(Proponentes[[#This Row],[Endeudamiento
Oferente]]&lt;=72,3,IF(Proponentes[[#This Row],[Endeudamiento
Oferente]]&lt;=74,2,1)))))</f>
        <v>6</v>
      </c>
      <c r="AF10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05" s="10">
        <f>IF(Proponentes[[#This Row],[Cap Op en SMMLV]]&lt;=500,1,IF(Proponentes[[#This Row],[Cap Op en SMMLV]]&lt;=1000,2,IF(Proponentes[[#This Row],[Cap Op en SMMLV]]&lt;=1500,3,IF(Proponentes[[#This Row],[Cap Op en SMMLV]]&lt;=2000,4,IF(Proponentes[[#This Row],[Cap Op en SMMLV]]&lt;=2500,5,6)))))</f>
        <v>2</v>
      </c>
      <c r="AH105" s="10">
        <f>MIN(Proponentes[[#This Row],[a]:[d]])</f>
        <v>2</v>
      </c>
      <c r="AI105" s="87">
        <f>IF(Proponentes[[#This Row],[e]]=Proponentes[[#This Row],[d]],Proponentes[[#This Row],[Cap Op en SMMLV]],VLOOKUP(Proponentes[[#This Row],[e]],Base!$D$1:$E$6,2,FALSE))</f>
        <v>740.1565633635862</v>
      </c>
      <c r="AJ105" s="101" t="str">
        <f>VLOOKUP(Proponentes[[#This Row],[Propuesta]],Hoja2!$A$2:$D$329,4,FALSE)</f>
        <v>CUMPLE</v>
      </c>
      <c r="AK105" s="101"/>
    </row>
    <row r="106" spans="1:37" ht="32" x14ac:dyDescent="0.2">
      <c r="A106" s="10">
        <v>105</v>
      </c>
      <c r="B106" s="11">
        <v>900943875</v>
      </c>
      <c r="C106" s="12" t="s">
        <v>160</v>
      </c>
      <c r="D106" s="13">
        <v>24753120</v>
      </c>
      <c r="E106" s="13">
        <v>107362300</v>
      </c>
      <c r="F106" s="25">
        <f>Proponentes[[#This Row],[Activo Corriente]]+Proponentes[[#This Row],[Activo NO Corriente]]</f>
        <v>132115420</v>
      </c>
      <c r="G106" s="13">
        <v>0</v>
      </c>
      <c r="H106" s="13">
        <v>0</v>
      </c>
      <c r="I106" s="25">
        <f>Proponentes[[#This Row],[Pasivo Corriente]]+Proponentes[[#This Row],[Pasivo NO Corriente]]</f>
        <v>0</v>
      </c>
      <c r="J106" s="14">
        <f>Proponentes[[#This Row],[Total ACTIVO]]-Proponentes[[#This Row],[Total Pasivo]]</f>
        <v>132115420</v>
      </c>
      <c r="K106" s="48">
        <f>VLOOKUP(Proponentes[[#This Row],[Propuesta]],Hoja2!$A$2:$G$239,7,FALSE)</f>
        <v>11618728.596010098</v>
      </c>
      <c r="L106" s="15"/>
      <c r="M106" s="15" t="s">
        <v>161</v>
      </c>
      <c r="N106" s="55">
        <f>IFERROR(VLOOKUP(Proponentes[[#This Row],[Cap Op en SMMLV]],Base!$A$15:$F$20,3),0)</f>
        <v>1</v>
      </c>
      <c r="O106" s="16">
        <f>IFERROR(VLOOKUP(Proponentes[[#This Row],[Cap Op en SMMLV]],Base!$A$15:$F$20,4),0)</f>
        <v>0.76</v>
      </c>
      <c r="P106" s="17">
        <f>IFERROR(VLOOKUP(Proponentes[[#This Row],[Cap Op en SMMLV]],Tabla2[],6),0)</f>
        <v>12.5</v>
      </c>
      <c r="Q106" s="18">
        <f>IFERROR(VLOOKUP(Proponentes[[#This Row],[Cap Op en SMMLV]],Base!$A$15:$F$20,5),0)</f>
        <v>10351450</v>
      </c>
      <c r="R106" s="18">
        <f>IFERROR(VLOOKUP(Proponentes[[#This Row],[Cap Op en SMMLV]],Tabla2[[DE]:[HASTA]],2),0)</f>
        <v>500</v>
      </c>
      <c r="S106" s="19" t="str">
        <f>IFERROR(Proponentes[[#This Row],[Activo Corriente]]/Proponentes[[#This Row],[Pasivo Corriente]],"INDETERMINADO")</f>
        <v>INDETERMINADO</v>
      </c>
      <c r="T106" s="20">
        <f>IFERROR(Proponentes[[#This Row],[Total Pasivo]]/Proponentes[[#This Row],[Total ACTIVO]],0)</f>
        <v>0</v>
      </c>
      <c r="U106" s="21">
        <f>(Proponentes[[#This Row],[Activo Corriente]]-Proponentes[[#This Row],[Pasivo Corriente]])/Base!$B$3</f>
        <v>29.890884851880653</v>
      </c>
      <c r="V106" s="22">
        <f>Proponentes[[#This Row],[Activo Corriente]]-Proponentes[[#This Row],[Pasivo Corriente]]</f>
        <v>24753120</v>
      </c>
      <c r="W106" s="13">
        <f>IFERROR(VLOOKUP(Proponentes[[#This Row],[Propuesta]],Hoja2!$A$2:$G$329,7,FALSE),0)</f>
        <v>11618728.596010098</v>
      </c>
      <c r="X106" s="83">
        <f>IF(Proponentes[[#This Row],[Cap Op en Pesos]]=0,0,IF(Proponentes[[#This Row],[Cap Op en Pesos]]=0,1,Proponentes[[#This Row],[Cap Op en Pesos]]/Base!B$3))</f>
        <v>14.030315313325788</v>
      </c>
      <c r="Y10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0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0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06" s="23" t="str">
        <f>IF(AND(Proponentes[[#This Row],[Cumple
Liquidez]]="CUMPLE",Proponentes[[#This Row],[Cumple
Endeudamiento]]="CUMPLE",Proponentes[[#This Row],[Cumple
Capital de Trabajo]]="CUMPLE"),"CUMPLE","NO CUMPLE")</f>
        <v>CUMPLE</v>
      </c>
      <c r="AC106" s="24"/>
      <c r="AD106" s="10">
        <f>IF(Proponentes[[#This Row],[Liquidez
Oferente]]&lt;=1,1,IF(Proponentes[[#This Row],[Liquidez
Oferente]]&lt;=1.1,2,IF(Proponentes[[#This Row],[Liquidez
Oferente]]&lt;=1.2,3,IF(Proponentes[[#This Row],[Liquidez
Oferente]]&lt;=1.3,4,IF(Proponentes[[#This Row],[Liquidez
Oferente]]&lt;=1.4,5,6)))))</f>
        <v>6</v>
      </c>
      <c r="AE106" s="10">
        <f>IF(Proponentes[[#This Row],[Endeudamiento
Oferente]]&lt;=66%,6,IF(Proponentes[[#This Row],[Endeudamiento
Oferente]]&lt;=58,5,IF(Proponentes[[#This Row],[Endeudamiento
Oferente]]&lt;=70,4,IF(Proponentes[[#This Row],[Endeudamiento
Oferente]]&lt;=72,3,IF(Proponentes[[#This Row],[Endeudamiento
Oferente]]&lt;=74,2,1)))))</f>
        <v>6</v>
      </c>
      <c r="AF10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106" s="10">
        <f>IF(Proponentes[[#This Row],[Cap Op en SMMLV]]&lt;=500,1,IF(Proponentes[[#This Row],[Cap Op en SMMLV]]&lt;=1000,2,IF(Proponentes[[#This Row],[Cap Op en SMMLV]]&lt;=1500,3,IF(Proponentes[[#This Row],[Cap Op en SMMLV]]&lt;=2000,4,IF(Proponentes[[#This Row],[Cap Op en SMMLV]]&lt;=2500,5,6)))))</f>
        <v>1</v>
      </c>
      <c r="AH106" s="10">
        <f>MIN(Proponentes[[#This Row],[a]:[d]])</f>
        <v>1</v>
      </c>
      <c r="AI106" s="87">
        <f>IF(Proponentes[[#This Row],[e]]=Proponentes[[#This Row],[d]],Proponentes[[#This Row],[Cap Op en SMMLV]],VLOOKUP(Proponentes[[#This Row],[e]],Base!$D$1:$E$6,2,FALSE))</f>
        <v>14.030315313325788</v>
      </c>
      <c r="AJ106" s="101" t="str">
        <f>VLOOKUP(Proponentes[[#This Row],[Propuesta]],Hoja2!$A$2:$D$329,4,FALSE)</f>
        <v>CUMPLE</v>
      </c>
      <c r="AK106" s="101"/>
    </row>
    <row r="107" spans="1:37" ht="16" x14ac:dyDescent="0.2">
      <c r="A107" s="10">
        <v>106</v>
      </c>
      <c r="B107" s="11">
        <v>900631920</v>
      </c>
      <c r="C107" s="12" t="s">
        <v>162</v>
      </c>
      <c r="D107" s="13">
        <v>2612366692.96</v>
      </c>
      <c r="E107" s="13">
        <v>835539226.44000006</v>
      </c>
      <c r="F107" s="25">
        <f>Proponentes[[#This Row],[Activo Corriente]]+Proponentes[[#This Row],[Activo NO Corriente]]</f>
        <v>3447905919.4000001</v>
      </c>
      <c r="G107" s="13">
        <v>741342590.83000004</v>
      </c>
      <c r="H107" s="13">
        <v>0</v>
      </c>
      <c r="I107" s="25">
        <f>Proponentes[[#This Row],[Pasivo Corriente]]+Proponentes[[#This Row],[Pasivo NO Corriente]]</f>
        <v>741342590.83000004</v>
      </c>
      <c r="J107" s="14">
        <f>Proponentes[[#This Row],[Total ACTIVO]]-Proponentes[[#This Row],[Total Pasivo]]</f>
        <v>2706563328.5700002</v>
      </c>
      <c r="K107" s="48">
        <f>VLOOKUP(Proponentes[[#This Row],[Propuesta]],Hoja2!$A$2:$G$239,7,FALSE)</f>
        <v>0</v>
      </c>
      <c r="L107" s="15"/>
      <c r="M107" s="15" t="s">
        <v>59</v>
      </c>
      <c r="N107" s="55">
        <f>IFERROR(VLOOKUP(Proponentes[[#This Row],[Cap Op en SMMLV]],Base!$A$15:$F$20,3),0)</f>
        <v>0</v>
      </c>
      <c r="O107" s="16">
        <f>IFERROR(VLOOKUP(Proponentes[[#This Row],[Cap Op en SMMLV]],Base!$A$15:$F$20,4),0)</f>
        <v>0</v>
      </c>
      <c r="P107" s="17">
        <f>IFERROR(VLOOKUP(Proponentes[[#This Row],[Cap Op en SMMLV]],Tabla2[],6),0)</f>
        <v>0</v>
      </c>
      <c r="Q107" s="18">
        <f>IFERROR(VLOOKUP(Proponentes[[#This Row],[Cap Op en SMMLV]],Base!$A$15:$F$20,5),0)</f>
        <v>0</v>
      </c>
      <c r="R107" s="18">
        <f>IFERROR(VLOOKUP(Proponentes[[#This Row],[Cap Op en SMMLV]],Tabla2[[DE]:[HASTA]],2),0)</f>
        <v>0</v>
      </c>
      <c r="S107" s="19">
        <f>IFERROR(Proponentes[[#This Row],[Activo Corriente]]/Proponentes[[#This Row],[Pasivo Corriente]],"INDETERMINADO")</f>
        <v>3.5238319304374777</v>
      </c>
      <c r="T107" s="20">
        <f>IFERROR(Proponentes[[#This Row],[Total Pasivo]]/Proponentes[[#This Row],[Total ACTIVO]],0)</f>
        <v>0.21501241859841916</v>
      </c>
      <c r="U107" s="21">
        <f>(Proponentes[[#This Row],[Activo Corriente]]-Proponentes[[#This Row],[Pasivo Corriente]])/Base!$B$3</f>
        <v>2259.3744138864604</v>
      </c>
      <c r="V107" s="22">
        <f>Proponentes[[#This Row],[Activo Corriente]]-Proponentes[[#This Row],[Pasivo Corriente]]</f>
        <v>1871024102.1300001</v>
      </c>
      <c r="W107" s="13">
        <f>IFERROR(VLOOKUP(Proponentes[[#This Row],[Propuesta]],Hoja2!$A$2:$G$329,7,FALSE),0)</f>
        <v>0</v>
      </c>
      <c r="X107" s="83">
        <f>IF(Proponentes[[#This Row],[Cap Op en Pesos]]=0,0,IF(Proponentes[[#This Row],[Cap Op en Pesos]]=0,1,Proponentes[[#This Row],[Cap Op en Pesos]]/Base!B$3))</f>
        <v>0</v>
      </c>
      <c r="Y10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0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0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07" s="23" t="str">
        <f>IF(AND(Proponentes[[#This Row],[Cumple
Liquidez]]="CUMPLE",Proponentes[[#This Row],[Cumple
Endeudamiento]]="CUMPLE",Proponentes[[#This Row],[Cumple
Capital de Trabajo]]="CUMPLE"),"CUMPLE","NO CUMPLE")</f>
        <v>NO CUMPLE</v>
      </c>
      <c r="AC107" s="24"/>
      <c r="AD107" s="10">
        <f>IF(Proponentes[[#This Row],[Liquidez
Oferente]]&lt;=1,1,IF(Proponentes[[#This Row],[Liquidez
Oferente]]&lt;=1.1,2,IF(Proponentes[[#This Row],[Liquidez
Oferente]]&lt;=1.2,3,IF(Proponentes[[#This Row],[Liquidez
Oferente]]&lt;=1.3,4,IF(Proponentes[[#This Row],[Liquidez
Oferente]]&lt;=1.4,5,6)))))</f>
        <v>6</v>
      </c>
      <c r="AE107" s="10">
        <f>IF(Proponentes[[#This Row],[Endeudamiento
Oferente]]&lt;=66%,6,IF(Proponentes[[#This Row],[Endeudamiento
Oferente]]&lt;=58,5,IF(Proponentes[[#This Row],[Endeudamiento
Oferente]]&lt;=70,4,IF(Proponentes[[#This Row],[Endeudamiento
Oferente]]&lt;=72,3,IF(Proponentes[[#This Row],[Endeudamiento
Oferente]]&lt;=74,2,1)))))</f>
        <v>6</v>
      </c>
      <c r="AF10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07" s="10">
        <f>IF(Proponentes[[#This Row],[Cap Op en SMMLV]]&lt;=500,1,IF(Proponentes[[#This Row],[Cap Op en SMMLV]]&lt;=1000,2,IF(Proponentes[[#This Row],[Cap Op en SMMLV]]&lt;=1500,3,IF(Proponentes[[#This Row],[Cap Op en SMMLV]]&lt;=2000,4,IF(Proponentes[[#This Row],[Cap Op en SMMLV]]&lt;=2500,5,6)))))</f>
        <v>1</v>
      </c>
      <c r="AH107" s="10">
        <f>MIN(Proponentes[[#This Row],[a]:[d]])</f>
        <v>1</v>
      </c>
      <c r="AI107" s="87">
        <f>IF(Proponentes[[#This Row],[e]]=Proponentes[[#This Row],[d]],Proponentes[[#This Row],[Cap Op en SMMLV]],VLOOKUP(Proponentes[[#This Row],[e]],Base!$D$1:$E$6,2,FALSE))</f>
        <v>0</v>
      </c>
      <c r="AJ107" s="101" t="str">
        <f>VLOOKUP(Proponentes[[#This Row],[Propuesta]],Hoja2!$A$2:$D$329,4,FALSE)</f>
        <v>NO CUMPLE</v>
      </c>
      <c r="AK107" s="101"/>
    </row>
    <row r="108" spans="1:37" ht="16" x14ac:dyDescent="0.2">
      <c r="A108" s="10">
        <v>107</v>
      </c>
      <c r="B108" s="11">
        <v>818001353</v>
      </c>
      <c r="C108" s="12" t="s">
        <v>163</v>
      </c>
      <c r="D108" s="13">
        <v>728975381</v>
      </c>
      <c r="E108" s="13">
        <v>339772570</v>
      </c>
      <c r="F108" s="25">
        <f>Proponentes[[#This Row],[Activo Corriente]]+Proponentes[[#This Row],[Activo NO Corriente]]</f>
        <v>1068747951</v>
      </c>
      <c r="G108" s="13">
        <v>67441500</v>
      </c>
      <c r="H108" s="13">
        <v>127099093</v>
      </c>
      <c r="I108" s="25">
        <f>Proponentes[[#This Row],[Pasivo Corriente]]+Proponentes[[#This Row],[Pasivo NO Corriente]]</f>
        <v>194540593</v>
      </c>
      <c r="J108" s="14">
        <f>Proponentes[[#This Row],[Total ACTIVO]]-Proponentes[[#This Row],[Total Pasivo]]</f>
        <v>874207358</v>
      </c>
      <c r="K108" s="48">
        <f>VLOOKUP(Proponentes[[#This Row],[Propuesta]],Hoja2!$A$2:$G$239,7,FALSE)</f>
        <v>82651768.61512576</v>
      </c>
      <c r="L108" s="15"/>
      <c r="M108" s="15" t="s">
        <v>161</v>
      </c>
      <c r="N108" s="55">
        <f>IFERROR(VLOOKUP(Proponentes[[#This Row],[Cap Op en SMMLV]],Base!$A$15:$F$20,3),0)</f>
        <v>1</v>
      </c>
      <c r="O108" s="16">
        <f>IFERROR(VLOOKUP(Proponentes[[#This Row],[Cap Op en SMMLV]],Base!$A$15:$F$20,4),0)</f>
        <v>0.76</v>
      </c>
      <c r="P108" s="17">
        <f>IFERROR(VLOOKUP(Proponentes[[#This Row],[Cap Op en SMMLV]],Tabla2[],6),0)</f>
        <v>12.5</v>
      </c>
      <c r="Q108" s="18">
        <f>IFERROR(VLOOKUP(Proponentes[[#This Row],[Cap Op en SMMLV]],Base!$A$15:$F$20,5),0)</f>
        <v>10351450</v>
      </c>
      <c r="R108" s="18">
        <f>IFERROR(VLOOKUP(Proponentes[[#This Row],[Cap Op en SMMLV]],Tabla2[[DE]:[HASTA]],2),0)</f>
        <v>500</v>
      </c>
      <c r="S108" s="19">
        <f>IFERROR(Proponentes[[#This Row],[Activo Corriente]]/Proponentes[[#This Row],[Pasivo Corriente]],"INDETERMINADO")</f>
        <v>10.809003076740582</v>
      </c>
      <c r="T108" s="20">
        <f>IFERROR(Proponentes[[#This Row],[Total Pasivo]]/Proponentes[[#This Row],[Total ACTIVO]],0)</f>
        <v>0.18202663482814013</v>
      </c>
      <c r="U108" s="21">
        <f>(Proponentes[[#This Row],[Activo Corriente]]-Proponentes[[#This Row],[Pasivo Corriente]])/Base!$B$3</f>
        <v>798.84204749093124</v>
      </c>
      <c r="V108" s="22">
        <f>Proponentes[[#This Row],[Activo Corriente]]-Proponentes[[#This Row],[Pasivo Corriente]]</f>
        <v>661533881</v>
      </c>
      <c r="W108" s="13">
        <f>IFERROR(VLOOKUP(Proponentes[[#This Row],[Propuesta]],Hoja2!$A$2:$G$329,7,FALSE),0)</f>
        <v>82651768.61512576</v>
      </c>
      <c r="X108" s="83">
        <f>IF(Proponentes[[#This Row],[Cap Op en Pesos]]=0,0,IF(Proponentes[[#This Row],[Cap Op en Pesos]]=0,1,Proponentes[[#This Row],[Cap Op en Pesos]]/Base!B$3))</f>
        <v>99.806993965973078</v>
      </c>
      <c r="Y10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0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0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08" s="23" t="str">
        <f>IF(AND(Proponentes[[#This Row],[Cumple
Liquidez]]="CUMPLE",Proponentes[[#This Row],[Cumple
Endeudamiento]]="CUMPLE",Proponentes[[#This Row],[Cumple
Capital de Trabajo]]="CUMPLE"),"CUMPLE","NO CUMPLE")</f>
        <v>CUMPLE</v>
      </c>
      <c r="AC108" s="24"/>
      <c r="AD108" s="10">
        <f>IF(Proponentes[[#This Row],[Liquidez
Oferente]]&lt;=1,1,IF(Proponentes[[#This Row],[Liquidez
Oferente]]&lt;=1.1,2,IF(Proponentes[[#This Row],[Liquidez
Oferente]]&lt;=1.2,3,IF(Proponentes[[#This Row],[Liquidez
Oferente]]&lt;=1.3,4,IF(Proponentes[[#This Row],[Liquidez
Oferente]]&lt;=1.4,5,6)))))</f>
        <v>6</v>
      </c>
      <c r="AE108" s="10">
        <f>IF(Proponentes[[#This Row],[Endeudamiento
Oferente]]&lt;=66%,6,IF(Proponentes[[#This Row],[Endeudamiento
Oferente]]&lt;=58,5,IF(Proponentes[[#This Row],[Endeudamiento
Oferente]]&lt;=70,4,IF(Proponentes[[#This Row],[Endeudamiento
Oferente]]&lt;=72,3,IF(Proponentes[[#This Row],[Endeudamiento
Oferente]]&lt;=74,2,1)))))</f>
        <v>6</v>
      </c>
      <c r="AF10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08" s="10">
        <f>IF(Proponentes[[#This Row],[Cap Op en SMMLV]]&lt;=500,1,IF(Proponentes[[#This Row],[Cap Op en SMMLV]]&lt;=1000,2,IF(Proponentes[[#This Row],[Cap Op en SMMLV]]&lt;=1500,3,IF(Proponentes[[#This Row],[Cap Op en SMMLV]]&lt;=2000,4,IF(Proponentes[[#This Row],[Cap Op en SMMLV]]&lt;=2500,5,6)))))</f>
        <v>1</v>
      </c>
      <c r="AH108" s="10">
        <f>MIN(Proponentes[[#This Row],[a]:[d]])</f>
        <v>1</v>
      </c>
      <c r="AI108" s="87">
        <f>IF(Proponentes[[#This Row],[e]]=Proponentes[[#This Row],[d]],Proponentes[[#This Row],[Cap Op en SMMLV]],VLOOKUP(Proponentes[[#This Row],[e]],Base!$D$1:$E$6,2,FALSE))</f>
        <v>99.806993965973078</v>
      </c>
      <c r="AJ108" s="101" t="str">
        <f>VLOOKUP(Proponentes[[#This Row],[Propuesta]],Hoja2!$A$2:$D$329,4,FALSE)</f>
        <v>CUMPLE</v>
      </c>
      <c r="AK108" s="101"/>
    </row>
    <row r="109" spans="1:37" ht="32" x14ac:dyDescent="0.2">
      <c r="A109" s="10">
        <v>108</v>
      </c>
      <c r="B109" s="11">
        <v>900666427</v>
      </c>
      <c r="C109" s="12" t="s">
        <v>164</v>
      </c>
      <c r="D109" s="13">
        <v>62494000</v>
      </c>
      <c r="E109" s="13">
        <v>49124000</v>
      </c>
      <c r="F109" s="25">
        <f>Proponentes[[#This Row],[Activo Corriente]]+Proponentes[[#This Row],[Activo NO Corriente]]</f>
        <v>111618000</v>
      </c>
      <c r="G109" s="13">
        <v>25847980</v>
      </c>
      <c r="H109" s="13">
        <v>43054620</v>
      </c>
      <c r="I109" s="25">
        <f>Proponentes[[#This Row],[Pasivo Corriente]]+Proponentes[[#This Row],[Pasivo NO Corriente]]</f>
        <v>68902600</v>
      </c>
      <c r="J109" s="14">
        <f>Proponentes[[#This Row],[Total ACTIVO]]-Proponentes[[#This Row],[Total Pasivo]]</f>
        <v>42715400</v>
      </c>
      <c r="K109" s="48">
        <f>VLOOKUP(Proponentes[[#This Row],[Propuesta]],Hoja2!$A$2:$G$239,7,FALSE)</f>
        <v>60939189.741707139</v>
      </c>
      <c r="L109" s="15"/>
      <c r="M109" s="15" t="s">
        <v>165</v>
      </c>
      <c r="N109" s="55">
        <f>IFERROR(VLOOKUP(Proponentes[[#This Row],[Cap Op en SMMLV]],Base!$A$15:$F$20,3),0)</f>
        <v>1</v>
      </c>
      <c r="O109" s="16">
        <f>IFERROR(VLOOKUP(Proponentes[[#This Row],[Cap Op en SMMLV]],Base!$A$15:$F$20,4),0)</f>
        <v>0.76</v>
      </c>
      <c r="P109" s="17">
        <f>IFERROR(VLOOKUP(Proponentes[[#This Row],[Cap Op en SMMLV]],Tabla2[],6),0)</f>
        <v>12.5</v>
      </c>
      <c r="Q109" s="18">
        <f>IFERROR(VLOOKUP(Proponentes[[#This Row],[Cap Op en SMMLV]],Base!$A$15:$F$20,5),0)</f>
        <v>10351450</v>
      </c>
      <c r="R109" s="18">
        <f>IFERROR(VLOOKUP(Proponentes[[#This Row],[Cap Op en SMMLV]],Tabla2[[DE]:[HASTA]],2),0)</f>
        <v>500</v>
      </c>
      <c r="S109" s="19">
        <f>IFERROR(Proponentes[[#This Row],[Activo Corriente]]/Proponentes[[#This Row],[Pasivo Corriente]],"INDETERMINADO")</f>
        <v>2.4177517933703139</v>
      </c>
      <c r="T109" s="20">
        <f>IFERROR(Proponentes[[#This Row],[Total Pasivo]]/Proponentes[[#This Row],[Total ACTIVO]],0)</f>
        <v>0.61730724435126949</v>
      </c>
      <c r="U109" s="21">
        <f>(Proponentes[[#This Row],[Activo Corriente]]-Proponentes[[#This Row],[Pasivo Corriente]])/Base!$B$3</f>
        <v>44.25227866627381</v>
      </c>
      <c r="V109" s="22">
        <f>Proponentes[[#This Row],[Activo Corriente]]-Proponentes[[#This Row],[Pasivo Corriente]]</f>
        <v>36646020</v>
      </c>
      <c r="W109" s="13">
        <f>IFERROR(VLOOKUP(Proponentes[[#This Row],[Propuesta]],Hoja2!$A$2:$G$329,7,FALSE),0)</f>
        <v>60939189.741707139</v>
      </c>
      <c r="X109" s="83">
        <f>IF(Proponentes[[#This Row],[Cap Op en Pesos]]=0,0,IF(Proponentes[[#This Row],[Cap Op en Pesos]]=0,1,Proponentes[[#This Row],[Cap Op en Pesos]]/Base!B$3))</f>
        <v>73.587745849261623</v>
      </c>
      <c r="Y10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0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0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09" s="23" t="str">
        <f>IF(AND(Proponentes[[#This Row],[Cumple
Liquidez]]="CUMPLE",Proponentes[[#This Row],[Cumple
Endeudamiento]]="CUMPLE",Proponentes[[#This Row],[Cumple
Capital de Trabajo]]="CUMPLE"),"CUMPLE","NO CUMPLE")</f>
        <v>CUMPLE</v>
      </c>
      <c r="AC109" s="24"/>
      <c r="AD109" s="10">
        <f>IF(Proponentes[[#This Row],[Liquidez
Oferente]]&lt;=1,1,IF(Proponentes[[#This Row],[Liquidez
Oferente]]&lt;=1.1,2,IF(Proponentes[[#This Row],[Liquidez
Oferente]]&lt;=1.2,3,IF(Proponentes[[#This Row],[Liquidez
Oferente]]&lt;=1.3,4,IF(Proponentes[[#This Row],[Liquidez
Oferente]]&lt;=1.4,5,6)))))</f>
        <v>6</v>
      </c>
      <c r="AE109" s="10">
        <f>IF(Proponentes[[#This Row],[Endeudamiento
Oferente]]&lt;=66%,6,IF(Proponentes[[#This Row],[Endeudamiento
Oferente]]&lt;=58,5,IF(Proponentes[[#This Row],[Endeudamiento
Oferente]]&lt;=70,4,IF(Proponentes[[#This Row],[Endeudamiento
Oferente]]&lt;=72,3,IF(Proponentes[[#This Row],[Endeudamiento
Oferente]]&lt;=74,2,1)))))</f>
        <v>6</v>
      </c>
      <c r="AF10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4</v>
      </c>
      <c r="AG109" s="10">
        <f>IF(Proponentes[[#This Row],[Cap Op en SMMLV]]&lt;=500,1,IF(Proponentes[[#This Row],[Cap Op en SMMLV]]&lt;=1000,2,IF(Proponentes[[#This Row],[Cap Op en SMMLV]]&lt;=1500,3,IF(Proponentes[[#This Row],[Cap Op en SMMLV]]&lt;=2000,4,IF(Proponentes[[#This Row],[Cap Op en SMMLV]]&lt;=2500,5,6)))))</f>
        <v>1</v>
      </c>
      <c r="AH109" s="10">
        <f>MIN(Proponentes[[#This Row],[a]:[d]])</f>
        <v>1</v>
      </c>
      <c r="AI109" s="87">
        <f>IF(Proponentes[[#This Row],[e]]=Proponentes[[#This Row],[d]],Proponentes[[#This Row],[Cap Op en SMMLV]],VLOOKUP(Proponentes[[#This Row],[e]],Base!$D$1:$E$6,2,FALSE))</f>
        <v>73.587745849261623</v>
      </c>
      <c r="AJ109" s="101" t="str">
        <f>VLOOKUP(Proponentes[[#This Row],[Propuesta]],Hoja2!$A$2:$D$329,4,FALSE)</f>
        <v>CUMPLE</v>
      </c>
      <c r="AK109" s="101"/>
    </row>
    <row r="110" spans="1:37" ht="16" x14ac:dyDescent="0.2">
      <c r="A110" s="10">
        <v>109</v>
      </c>
      <c r="B110" s="11">
        <v>840000903</v>
      </c>
      <c r="C110" s="12" t="s">
        <v>166</v>
      </c>
      <c r="D110" s="13">
        <v>1560736150</v>
      </c>
      <c r="E110" s="13">
        <v>151190398</v>
      </c>
      <c r="F110" s="25">
        <f>Proponentes[[#This Row],[Activo Corriente]]+Proponentes[[#This Row],[Activo NO Corriente]]</f>
        <v>1711926548</v>
      </c>
      <c r="G110" s="13">
        <v>313824813</v>
      </c>
      <c r="H110" s="13">
        <v>194468349</v>
      </c>
      <c r="I110" s="25">
        <f>Proponentes[[#This Row],[Pasivo Corriente]]+Proponentes[[#This Row],[Pasivo NO Corriente]]</f>
        <v>508293162</v>
      </c>
      <c r="J110" s="14">
        <f>Proponentes[[#This Row],[Total ACTIVO]]-Proponentes[[#This Row],[Total Pasivo]]</f>
        <v>1203633386</v>
      </c>
      <c r="K110" s="48">
        <f>VLOOKUP(Proponentes[[#This Row],[Propuesta]],Hoja2!$A$2:$G$239,7,FALSE)</f>
        <v>980173846.10712922</v>
      </c>
      <c r="L110" s="15"/>
      <c r="M110" s="15" t="s">
        <v>59</v>
      </c>
      <c r="N110" s="55">
        <f>IFERROR(VLOOKUP(Proponentes[[#This Row],[Cap Op en SMMLV]],Base!$A$15:$F$20,3),0)</f>
        <v>1.2</v>
      </c>
      <c r="O110" s="16">
        <f>IFERROR(VLOOKUP(Proponentes[[#This Row],[Cap Op en SMMLV]],Base!$A$15:$F$20,4),0)</f>
        <v>0.72</v>
      </c>
      <c r="P110" s="17">
        <f>IFERROR(VLOOKUP(Proponentes[[#This Row],[Cap Op en SMMLV]],Tabla2[],6),0)</f>
        <v>37.5</v>
      </c>
      <c r="Q110" s="18">
        <f>IFERROR(VLOOKUP(Proponentes[[#This Row],[Cap Op en SMMLV]],Base!$A$15:$F$20,5),0)</f>
        <v>31054350</v>
      </c>
      <c r="R110" s="18">
        <f>IFERROR(VLOOKUP(Proponentes[[#This Row],[Cap Op en SMMLV]],Tabla2[[DE]:[HASTA]],2),0)</f>
        <v>1500</v>
      </c>
      <c r="S110" s="19">
        <f>IFERROR(Proponentes[[#This Row],[Activo Corriente]]/Proponentes[[#This Row],[Pasivo Corriente]],"INDETERMINADO")</f>
        <v>4.9732719827988872</v>
      </c>
      <c r="T110" s="20">
        <f>IFERROR(Proponentes[[#This Row],[Total Pasivo]]/Proponentes[[#This Row],[Total ACTIVO]],0)</f>
        <v>0.29691295026286374</v>
      </c>
      <c r="U110" s="21">
        <f>(Proponentes[[#This Row],[Activo Corriente]]-Proponentes[[#This Row],[Pasivo Corriente]])/Base!$B$3</f>
        <v>1505.7206200580595</v>
      </c>
      <c r="V110" s="22">
        <f>Proponentes[[#This Row],[Activo Corriente]]-Proponentes[[#This Row],[Pasivo Corriente]]</f>
        <v>1246911337</v>
      </c>
      <c r="W110" s="13">
        <f>IFERROR(VLOOKUP(Proponentes[[#This Row],[Propuesta]],Hoja2!$A$2:$G$329,7,FALSE),0)</f>
        <v>980173846.10712922</v>
      </c>
      <c r="X110" s="83">
        <f>IF(Proponentes[[#This Row],[Cap Op en Pesos]]=0,0,IF(Proponentes[[#This Row],[Cap Op en Pesos]]=0,1,Proponentes[[#This Row],[Cap Op en Pesos]]/Base!B$3))</f>
        <v>1183.6190172718909</v>
      </c>
      <c r="Y11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1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1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10" s="23" t="str">
        <f>IF(AND(Proponentes[[#This Row],[Cumple
Liquidez]]="CUMPLE",Proponentes[[#This Row],[Cumple
Endeudamiento]]="CUMPLE",Proponentes[[#This Row],[Cumple
Capital de Trabajo]]="CUMPLE"),"CUMPLE","NO CUMPLE")</f>
        <v>CUMPLE</v>
      </c>
      <c r="AC110" s="24"/>
      <c r="AD110" s="10">
        <f>IF(Proponentes[[#This Row],[Liquidez
Oferente]]&lt;=1,1,IF(Proponentes[[#This Row],[Liquidez
Oferente]]&lt;=1.1,2,IF(Proponentes[[#This Row],[Liquidez
Oferente]]&lt;=1.2,3,IF(Proponentes[[#This Row],[Liquidez
Oferente]]&lt;=1.3,4,IF(Proponentes[[#This Row],[Liquidez
Oferente]]&lt;=1.4,5,6)))))</f>
        <v>6</v>
      </c>
      <c r="AE110" s="10">
        <f>IF(Proponentes[[#This Row],[Endeudamiento
Oferente]]&lt;=66%,6,IF(Proponentes[[#This Row],[Endeudamiento
Oferente]]&lt;=58,5,IF(Proponentes[[#This Row],[Endeudamiento
Oferente]]&lt;=70,4,IF(Proponentes[[#This Row],[Endeudamiento
Oferente]]&lt;=72,3,IF(Proponentes[[#This Row],[Endeudamiento
Oferente]]&lt;=74,2,1)))))</f>
        <v>6</v>
      </c>
      <c r="AF11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10" s="10">
        <f>IF(Proponentes[[#This Row],[Cap Op en SMMLV]]&lt;=500,1,IF(Proponentes[[#This Row],[Cap Op en SMMLV]]&lt;=1000,2,IF(Proponentes[[#This Row],[Cap Op en SMMLV]]&lt;=1500,3,IF(Proponentes[[#This Row],[Cap Op en SMMLV]]&lt;=2000,4,IF(Proponentes[[#This Row],[Cap Op en SMMLV]]&lt;=2500,5,6)))))</f>
        <v>3</v>
      </c>
      <c r="AH110" s="10">
        <f>MIN(Proponentes[[#This Row],[a]:[d]])</f>
        <v>3</v>
      </c>
      <c r="AI110" s="87">
        <f>IF(Proponentes[[#This Row],[e]]=Proponentes[[#This Row],[d]],Proponentes[[#This Row],[Cap Op en SMMLV]],VLOOKUP(Proponentes[[#This Row],[e]],Base!$D$1:$E$6,2,FALSE))</f>
        <v>1183.6190172718909</v>
      </c>
      <c r="AJ110" s="101" t="str">
        <f>VLOOKUP(Proponentes[[#This Row],[Propuesta]],Hoja2!$A$2:$D$329,4,FALSE)</f>
        <v>CUMPLE</v>
      </c>
      <c r="AK110" s="101"/>
    </row>
    <row r="111" spans="1:37" ht="32" x14ac:dyDescent="0.2">
      <c r="A111" s="10">
        <v>110</v>
      </c>
      <c r="B111" s="11">
        <v>900005961</v>
      </c>
      <c r="C111" s="12" t="s">
        <v>167</v>
      </c>
      <c r="D111" s="13">
        <v>214628600</v>
      </c>
      <c r="E111" s="13">
        <v>761252820</v>
      </c>
      <c r="F111" s="25">
        <f>Proponentes[[#This Row],[Activo Corriente]]+Proponentes[[#This Row],[Activo NO Corriente]]</f>
        <v>975881420</v>
      </c>
      <c r="G111" s="13">
        <v>0</v>
      </c>
      <c r="H111" s="13">
        <v>0</v>
      </c>
      <c r="I111" s="25">
        <f>Proponentes[[#This Row],[Pasivo Corriente]]+Proponentes[[#This Row],[Pasivo NO Corriente]]</f>
        <v>0</v>
      </c>
      <c r="J111" s="14">
        <f>Proponentes[[#This Row],[Total ACTIVO]]-Proponentes[[#This Row],[Total Pasivo]]</f>
        <v>975881420</v>
      </c>
      <c r="K111" s="48">
        <f>VLOOKUP(Proponentes[[#This Row],[Propuesta]],Hoja2!$A$2:$G$239,7,FALSE)</f>
        <v>0</v>
      </c>
      <c r="L111" s="15"/>
      <c r="M111" s="15" t="s">
        <v>59</v>
      </c>
      <c r="N111" s="55">
        <f>IFERROR(VLOOKUP(Proponentes[[#This Row],[Cap Op en SMMLV]],Base!$A$15:$F$20,3),0)</f>
        <v>0</v>
      </c>
      <c r="O111" s="16">
        <f>IFERROR(VLOOKUP(Proponentes[[#This Row],[Cap Op en SMMLV]],Base!$A$15:$F$20,4),0)</f>
        <v>0</v>
      </c>
      <c r="P111" s="17">
        <f>IFERROR(VLOOKUP(Proponentes[[#This Row],[Cap Op en SMMLV]],Tabla2[],6),0)</f>
        <v>0</v>
      </c>
      <c r="Q111" s="18">
        <f>IFERROR(VLOOKUP(Proponentes[[#This Row],[Cap Op en SMMLV]],Base!$A$15:$F$20,5),0)</f>
        <v>0</v>
      </c>
      <c r="R111" s="18">
        <f>IFERROR(VLOOKUP(Proponentes[[#This Row],[Cap Op en SMMLV]],Tabla2[[DE]:[HASTA]],2),0)</f>
        <v>0</v>
      </c>
      <c r="S111" s="19" t="str">
        <f>IFERROR(Proponentes[[#This Row],[Activo Corriente]]/Proponentes[[#This Row],[Pasivo Corriente]],"INDETERMINADO")</f>
        <v>INDETERMINADO</v>
      </c>
      <c r="T111" s="20">
        <f>IFERROR(Proponentes[[#This Row],[Total Pasivo]]/Proponentes[[#This Row],[Total ACTIVO]],0)</f>
        <v>0</v>
      </c>
      <c r="U111" s="21">
        <f>(Proponentes[[#This Row],[Activo Corriente]]-Proponentes[[#This Row],[Pasivo Corriente]])/Base!$B$3</f>
        <v>259.17697520637205</v>
      </c>
      <c r="V111" s="22">
        <f>Proponentes[[#This Row],[Activo Corriente]]-Proponentes[[#This Row],[Pasivo Corriente]]</f>
        <v>214628600</v>
      </c>
      <c r="W111" s="13">
        <f>IFERROR(VLOOKUP(Proponentes[[#This Row],[Propuesta]],Hoja2!$A$2:$G$329,7,FALSE),0)</f>
        <v>0</v>
      </c>
      <c r="X111" s="83">
        <f>IF(Proponentes[[#This Row],[Cap Op en Pesos]]=0,0,IF(Proponentes[[#This Row],[Cap Op en Pesos]]=0,1,Proponentes[[#This Row],[Cap Op en Pesos]]/Base!B$3))</f>
        <v>0</v>
      </c>
      <c r="Y11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1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1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11" s="23" t="str">
        <f>IF(AND(Proponentes[[#This Row],[Cumple
Liquidez]]="CUMPLE",Proponentes[[#This Row],[Cumple
Endeudamiento]]="CUMPLE",Proponentes[[#This Row],[Cumple
Capital de Trabajo]]="CUMPLE"),"CUMPLE","NO CUMPLE")</f>
        <v>CUMPLE</v>
      </c>
      <c r="AC111" s="24"/>
      <c r="AD111" s="10">
        <f>IF(Proponentes[[#This Row],[Liquidez
Oferente]]&lt;=1,1,IF(Proponentes[[#This Row],[Liquidez
Oferente]]&lt;=1.1,2,IF(Proponentes[[#This Row],[Liquidez
Oferente]]&lt;=1.2,3,IF(Proponentes[[#This Row],[Liquidez
Oferente]]&lt;=1.3,4,IF(Proponentes[[#This Row],[Liquidez
Oferente]]&lt;=1.4,5,6)))))</f>
        <v>6</v>
      </c>
      <c r="AE111" s="10">
        <f>IF(Proponentes[[#This Row],[Endeudamiento
Oferente]]&lt;=66%,6,IF(Proponentes[[#This Row],[Endeudamiento
Oferente]]&lt;=58,5,IF(Proponentes[[#This Row],[Endeudamiento
Oferente]]&lt;=70,4,IF(Proponentes[[#This Row],[Endeudamiento
Oferente]]&lt;=72,3,IF(Proponentes[[#This Row],[Endeudamiento
Oferente]]&lt;=74,2,1)))))</f>
        <v>6</v>
      </c>
      <c r="AF11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11" s="10">
        <f>IF(Proponentes[[#This Row],[Cap Op en SMMLV]]&lt;=500,1,IF(Proponentes[[#This Row],[Cap Op en SMMLV]]&lt;=1000,2,IF(Proponentes[[#This Row],[Cap Op en SMMLV]]&lt;=1500,3,IF(Proponentes[[#This Row],[Cap Op en SMMLV]]&lt;=2000,4,IF(Proponentes[[#This Row],[Cap Op en SMMLV]]&lt;=2500,5,6)))))</f>
        <v>1</v>
      </c>
      <c r="AH111" s="10">
        <f>MIN(Proponentes[[#This Row],[a]:[d]])</f>
        <v>1</v>
      </c>
      <c r="AI111" s="87">
        <f>IF(Proponentes[[#This Row],[e]]=Proponentes[[#This Row],[d]],Proponentes[[#This Row],[Cap Op en SMMLV]],VLOOKUP(Proponentes[[#This Row],[e]],Base!$D$1:$E$6,2,FALSE))</f>
        <v>0</v>
      </c>
      <c r="AJ111" s="101" t="str">
        <f>VLOOKUP(Proponentes[[#This Row],[Propuesta]],Hoja2!$A$2:$D$329,4,FALSE)</f>
        <v>NO CUMPLE</v>
      </c>
      <c r="AK111" s="101"/>
    </row>
    <row r="112" spans="1:37" ht="16" x14ac:dyDescent="0.2">
      <c r="A112" s="10">
        <v>111</v>
      </c>
      <c r="B112" s="11">
        <v>900133071</v>
      </c>
      <c r="C112" s="12" t="s">
        <v>168</v>
      </c>
      <c r="D112" s="13">
        <v>1560736150</v>
      </c>
      <c r="E112" s="13">
        <v>151190398</v>
      </c>
      <c r="F112" s="25">
        <f>Proponentes[[#This Row],[Activo Corriente]]+Proponentes[[#This Row],[Activo NO Corriente]]</f>
        <v>1711926548</v>
      </c>
      <c r="G112" s="13">
        <v>313824813</v>
      </c>
      <c r="H112" s="13">
        <v>194468349</v>
      </c>
      <c r="I112" s="25">
        <f>Proponentes[[#This Row],[Pasivo Corriente]]+Proponentes[[#This Row],[Pasivo NO Corriente]]</f>
        <v>508293162</v>
      </c>
      <c r="J112" s="14">
        <f>Proponentes[[#This Row],[Total ACTIVO]]-Proponentes[[#This Row],[Total Pasivo]]</f>
        <v>1203633386</v>
      </c>
      <c r="K112" s="48">
        <f>VLOOKUP(Proponentes[[#This Row],[Propuesta]],Hoja2!$A$2:$G$239,7,FALSE)</f>
        <v>740972884.14452469</v>
      </c>
      <c r="L112" s="15"/>
      <c r="M112" s="15" t="s">
        <v>59</v>
      </c>
      <c r="N112" s="55">
        <f>IFERROR(VLOOKUP(Proponentes[[#This Row],[Cap Op en SMMLV]],Base!$A$15:$F$20,3),0)</f>
        <v>1.1000000000000001</v>
      </c>
      <c r="O112" s="16">
        <f>IFERROR(VLOOKUP(Proponentes[[#This Row],[Cap Op en SMMLV]],Base!$A$15:$F$20,4),0)</f>
        <v>0.74</v>
      </c>
      <c r="P112" s="17">
        <f>IFERROR(VLOOKUP(Proponentes[[#This Row],[Cap Op en SMMLV]],Tabla2[],6),0)</f>
        <v>25</v>
      </c>
      <c r="Q112" s="18">
        <f>IFERROR(VLOOKUP(Proponentes[[#This Row],[Cap Op en SMMLV]],Base!$A$15:$F$20,5),0)</f>
        <v>20702900</v>
      </c>
      <c r="R112" s="18">
        <f>IFERROR(VLOOKUP(Proponentes[[#This Row],[Cap Op en SMMLV]],Tabla2[[DE]:[HASTA]],2),0)</f>
        <v>1000</v>
      </c>
      <c r="S112" s="19">
        <f>IFERROR(Proponentes[[#This Row],[Activo Corriente]]/Proponentes[[#This Row],[Pasivo Corriente]],"INDETERMINADO")</f>
        <v>4.9732719827988872</v>
      </c>
      <c r="T112" s="20">
        <f>IFERROR(Proponentes[[#This Row],[Total Pasivo]]/Proponentes[[#This Row],[Total ACTIVO]],0)</f>
        <v>0.29691295026286374</v>
      </c>
      <c r="U112" s="21">
        <f>(Proponentes[[#This Row],[Activo Corriente]]-Proponentes[[#This Row],[Pasivo Corriente]])/Base!$B$3</f>
        <v>1505.7206200580595</v>
      </c>
      <c r="V112" s="22">
        <f>Proponentes[[#This Row],[Activo Corriente]]-Proponentes[[#This Row],[Pasivo Corriente]]</f>
        <v>1246911337</v>
      </c>
      <c r="W112" s="13">
        <f>IFERROR(VLOOKUP(Proponentes[[#This Row],[Propuesta]],Hoja2!$A$2:$G$329,7,FALSE),0)</f>
        <v>740972884.14452469</v>
      </c>
      <c r="X112" s="83">
        <f>IF(Proponentes[[#This Row],[Cap Op en Pesos]]=0,0,IF(Proponentes[[#This Row],[Cap Op en Pesos]]=0,1,Proponentes[[#This Row],[Cap Op en Pesos]]/Base!B$3))</f>
        <v>894.76943344232529</v>
      </c>
      <c r="Y11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1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1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12" s="23" t="str">
        <f>IF(AND(Proponentes[[#This Row],[Cumple
Liquidez]]="CUMPLE",Proponentes[[#This Row],[Cumple
Endeudamiento]]="CUMPLE",Proponentes[[#This Row],[Cumple
Capital de Trabajo]]="CUMPLE"),"CUMPLE","NO CUMPLE")</f>
        <v>CUMPLE</v>
      </c>
      <c r="AC112" s="24"/>
      <c r="AD112" s="10">
        <f>IF(Proponentes[[#This Row],[Liquidez
Oferente]]&lt;=1,1,IF(Proponentes[[#This Row],[Liquidez
Oferente]]&lt;=1.1,2,IF(Proponentes[[#This Row],[Liquidez
Oferente]]&lt;=1.2,3,IF(Proponentes[[#This Row],[Liquidez
Oferente]]&lt;=1.3,4,IF(Proponentes[[#This Row],[Liquidez
Oferente]]&lt;=1.4,5,6)))))</f>
        <v>6</v>
      </c>
      <c r="AE112" s="10">
        <f>IF(Proponentes[[#This Row],[Endeudamiento
Oferente]]&lt;=66%,6,IF(Proponentes[[#This Row],[Endeudamiento
Oferente]]&lt;=58,5,IF(Proponentes[[#This Row],[Endeudamiento
Oferente]]&lt;=70,4,IF(Proponentes[[#This Row],[Endeudamiento
Oferente]]&lt;=72,3,IF(Proponentes[[#This Row],[Endeudamiento
Oferente]]&lt;=74,2,1)))))</f>
        <v>6</v>
      </c>
      <c r="AF11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12" s="10">
        <f>IF(Proponentes[[#This Row],[Cap Op en SMMLV]]&lt;=500,1,IF(Proponentes[[#This Row],[Cap Op en SMMLV]]&lt;=1000,2,IF(Proponentes[[#This Row],[Cap Op en SMMLV]]&lt;=1500,3,IF(Proponentes[[#This Row],[Cap Op en SMMLV]]&lt;=2000,4,IF(Proponentes[[#This Row],[Cap Op en SMMLV]]&lt;=2500,5,6)))))</f>
        <v>2</v>
      </c>
      <c r="AH112" s="10">
        <f>MIN(Proponentes[[#This Row],[a]:[d]])</f>
        <v>2</v>
      </c>
      <c r="AI112" s="87">
        <f>IF(Proponentes[[#This Row],[e]]=Proponentes[[#This Row],[d]],Proponentes[[#This Row],[Cap Op en SMMLV]],VLOOKUP(Proponentes[[#This Row],[e]],Base!$D$1:$E$6,2,FALSE))</f>
        <v>894.76943344232529</v>
      </c>
      <c r="AJ112" s="101" t="str">
        <f>VLOOKUP(Proponentes[[#This Row],[Propuesta]],Hoja2!$A$2:$D$329,4,FALSE)</f>
        <v>CUMPLE</v>
      </c>
      <c r="AK112" s="101"/>
    </row>
    <row r="113" spans="1:37" ht="32" x14ac:dyDescent="0.2">
      <c r="A113" s="10">
        <v>112</v>
      </c>
      <c r="B113" s="11">
        <v>900517521</v>
      </c>
      <c r="C113" s="12" t="s">
        <v>169</v>
      </c>
      <c r="D113" s="13">
        <v>68583496</v>
      </c>
      <c r="E113" s="13">
        <v>23831000</v>
      </c>
      <c r="F113" s="25">
        <f>Proponentes[[#This Row],[Activo Corriente]]+Proponentes[[#This Row],[Activo NO Corriente]]</f>
        <v>92414496</v>
      </c>
      <c r="G113" s="13">
        <v>29350000</v>
      </c>
      <c r="H113" s="13">
        <v>0</v>
      </c>
      <c r="I113" s="25">
        <f>Proponentes[[#This Row],[Pasivo Corriente]]+Proponentes[[#This Row],[Pasivo NO Corriente]]</f>
        <v>29350000</v>
      </c>
      <c r="J113" s="14">
        <f>Proponentes[[#This Row],[Total ACTIVO]]-Proponentes[[#This Row],[Total Pasivo]]</f>
        <v>63064496</v>
      </c>
      <c r="K113" s="48">
        <f>VLOOKUP(Proponentes[[#This Row],[Propuesta]],Hoja2!$A$2:$G$239,7,FALSE)</f>
        <v>130695970.67591579</v>
      </c>
      <c r="L113" s="15"/>
      <c r="M113" s="15" t="s">
        <v>170</v>
      </c>
      <c r="N113" s="55">
        <f>IFERROR(VLOOKUP(Proponentes[[#This Row],[Cap Op en SMMLV]],Base!$A$15:$F$20,3),0)</f>
        <v>1</v>
      </c>
      <c r="O113" s="16">
        <f>IFERROR(VLOOKUP(Proponentes[[#This Row],[Cap Op en SMMLV]],Base!$A$15:$F$20,4),0)</f>
        <v>0.76</v>
      </c>
      <c r="P113" s="17">
        <f>IFERROR(VLOOKUP(Proponentes[[#This Row],[Cap Op en SMMLV]],Tabla2[],6),0)</f>
        <v>12.5</v>
      </c>
      <c r="Q113" s="18">
        <f>IFERROR(VLOOKUP(Proponentes[[#This Row],[Cap Op en SMMLV]],Base!$A$15:$F$20,5),0)</f>
        <v>10351450</v>
      </c>
      <c r="R113" s="18">
        <f>IFERROR(VLOOKUP(Proponentes[[#This Row],[Cap Op en SMMLV]],Tabla2[[DE]:[HASTA]],2),0)</f>
        <v>500</v>
      </c>
      <c r="S113" s="19">
        <f>IFERROR(Proponentes[[#This Row],[Activo Corriente]]/Proponentes[[#This Row],[Pasivo Corriente]],"INDETERMINADO")</f>
        <v>2.3367460306643952</v>
      </c>
      <c r="T113" s="20">
        <f>IFERROR(Proponentes[[#This Row],[Total Pasivo]]/Proponentes[[#This Row],[Total ACTIVO]],0)</f>
        <v>0.31759086799542791</v>
      </c>
      <c r="U113" s="21">
        <f>(Proponentes[[#This Row],[Activo Corriente]]-Proponentes[[#This Row],[Pasivo Corriente]])/Base!$B$3</f>
        <v>47.376811944220378</v>
      </c>
      <c r="V113" s="22">
        <f>Proponentes[[#This Row],[Activo Corriente]]-Proponentes[[#This Row],[Pasivo Corriente]]</f>
        <v>39233496</v>
      </c>
      <c r="W113" s="13">
        <f>IFERROR(VLOOKUP(Proponentes[[#This Row],[Propuesta]],Hoja2!$A$2:$G$329,7,FALSE),0)</f>
        <v>130695970.67591579</v>
      </c>
      <c r="X113" s="83">
        <f>IF(Proponentes[[#This Row],[Cap Op en Pesos]]=0,0,IF(Proponentes[[#This Row],[Cap Op en Pesos]]=0,1,Proponentes[[#This Row],[Cap Op en Pesos]]/Base!B$3))</f>
        <v>157.82326470677512</v>
      </c>
      <c r="Y11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1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1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13" s="23" t="str">
        <f>IF(AND(Proponentes[[#This Row],[Cumple
Liquidez]]="CUMPLE",Proponentes[[#This Row],[Cumple
Endeudamiento]]="CUMPLE",Proponentes[[#This Row],[Cumple
Capital de Trabajo]]="CUMPLE"),"CUMPLE","NO CUMPLE")</f>
        <v>CUMPLE</v>
      </c>
      <c r="AC113" s="24"/>
      <c r="AD113" s="10">
        <f>IF(Proponentes[[#This Row],[Liquidez
Oferente]]&lt;=1,1,IF(Proponentes[[#This Row],[Liquidez
Oferente]]&lt;=1.1,2,IF(Proponentes[[#This Row],[Liquidez
Oferente]]&lt;=1.2,3,IF(Proponentes[[#This Row],[Liquidez
Oferente]]&lt;=1.3,4,IF(Proponentes[[#This Row],[Liquidez
Oferente]]&lt;=1.4,5,6)))))</f>
        <v>6</v>
      </c>
      <c r="AE113" s="10">
        <f>IF(Proponentes[[#This Row],[Endeudamiento
Oferente]]&lt;=66%,6,IF(Proponentes[[#This Row],[Endeudamiento
Oferente]]&lt;=58,5,IF(Proponentes[[#This Row],[Endeudamiento
Oferente]]&lt;=70,4,IF(Proponentes[[#This Row],[Endeudamiento
Oferente]]&lt;=72,3,IF(Proponentes[[#This Row],[Endeudamiento
Oferente]]&lt;=74,2,1)))))</f>
        <v>6</v>
      </c>
      <c r="AF11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4</v>
      </c>
      <c r="AG113" s="10">
        <f>IF(Proponentes[[#This Row],[Cap Op en SMMLV]]&lt;=500,1,IF(Proponentes[[#This Row],[Cap Op en SMMLV]]&lt;=1000,2,IF(Proponentes[[#This Row],[Cap Op en SMMLV]]&lt;=1500,3,IF(Proponentes[[#This Row],[Cap Op en SMMLV]]&lt;=2000,4,IF(Proponentes[[#This Row],[Cap Op en SMMLV]]&lt;=2500,5,6)))))</f>
        <v>1</v>
      </c>
      <c r="AH113" s="10">
        <f>MIN(Proponentes[[#This Row],[a]:[d]])</f>
        <v>1</v>
      </c>
      <c r="AI113" s="87">
        <f>IF(Proponentes[[#This Row],[e]]=Proponentes[[#This Row],[d]],Proponentes[[#This Row],[Cap Op en SMMLV]],VLOOKUP(Proponentes[[#This Row],[e]],Base!$D$1:$E$6,2,FALSE))</f>
        <v>157.82326470677512</v>
      </c>
      <c r="AJ113" s="101" t="str">
        <f>VLOOKUP(Proponentes[[#This Row],[Propuesta]],Hoja2!$A$2:$D$329,4,FALSE)</f>
        <v>NO CUMPLE</v>
      </c>
      <c r="AK113" s="101"/>
    </row>
    <row r="114" spans="1:37" ht="16" x14ac:dyDescent="0.2">
      <c r="A114" s="10">
        <v>113</v>
      </c>
      <c r="B114" s="11">
        <v>900968008</v>
      </c>
      <c r="C114" s="12" t="s">
        <v>171</v>
      </c>
      <c r="D114" s="13">
        <v>847196790</v>
      </c>
      <c r="E114" s="13">
        <v>86963007</v>
      </c>
      <c r="F114" s="25">
        <f>Proponentes[[#This Row],[Activo Corriente]]+Proponentes[[#This Row],[Activo NO Corriente]]</f>
        <v>934159797</v>
      </c>
      <c r="G114" s="13">
        <v>19941162</v>
      </c>
      <c r="H114" s="13">
        <v>0</v>
      </c>
      <c r="I114" s="25">
        <f>Proponentes[[#This Row],[Pasivo Corriente]]+Proponentes[[#This Row],[Pasivo NO Corriente]]</f>
        <v>19941162</v>
      </c>
      <c r="J114" s="14">
        <f>Proponentes[[#This Row],[Total ACTIVO]]-Proponentes[[#This Row],[Total Pasivo]]</f>
        <v>914218635</v>
      </c>
      <c r="K114" s="48">
        <f>VLOOKUP(Proponentes[[#This Row],[Propuesta]],Hoja2!$A$2:$G$239,7,FALSE)</f>
        <v>0</v>
      </c>
      <c r="L114" s="15"/>
      <c r="M114" s="15" t="s">
        <v>59</v>
      </c>
      <c r="N114" s="55">
        <f>IFERROR(VLOOKUP(Proponentes[[#This Row],[Cap Op en SMMLV]],Base!$A$15:$F$20,3),0)</f>
        <v>0</v>
      </c>
      <c r="O114" s="16">
        <f>IFERROR(VLOOKUP(Proponentes[[#This Row],[Cap Op en SMMLV]],Base!$A$15:$F$20,4),0)</f>
        <v>0</v>
      </c>
      <c r="P114" s="17">
        <f>IFERROR(VLOOKUP(Proponentes[[#This Row],[Cap Op en SMMLV]],Tabla2[],6),0)</f>
        <v>0</v>
      </c>
      <c r="Q114" s="18">
        <f>IFERROR(VLOOKUP(Proponentes[[#This Row],[Cap Op en SMMLV]],Base!$A$15:$F$20,5),0)</f>
        <v>0</v>
      </c>
      <c r="R114" s="18">
        <f>IFERROR(VLOOKUP(Proponentes[[#This Row],[Cap Op en SMMLV]],Tabla2[[DE]:[HASTA]],2),0)</f>
        <v>0</v>
      </c>
      <c r="S114" s="19">
        <f>IFERROR(Proponentes[[#This Row],[Activo Corriente]]/Proponentes[[#This Row],[Pasivo Corriente]],"INDETERMINADO")</f>
        <v>42.48482560845752</v>
      </c>
      <c r="T114" s="20">
        <f>IFERROR(Proponentes[[#This Row],[Total Pasivo]]/Proponentes[[#This Row],[Total ACTIVO]],0)</f>
        <v>2.1346628343501706E-2</v>
      </c>
      <c r="U114" s="21">
        <f>(Proponentes[[#This Row],[Activo Corriente]]-Proponentes[[#This Row],[Pasivo Corriente]])/Base!$B$3</f>
        <v>998.96104893517338</v>
      </c>
      <c r="V114" s="22">
        <f>Proponentes[[#This Row],[Activo Corriente]]-Proponentes[[#This Row],[Pasivo Corriente]]</f>
        <v>827255628</v>
      </c>
      <c r="W114" s="13">
        <f>IFERROR(VLOOKUP(Proponentes[[#This Row],[Propuesta]],Hoja2!$A$2:$G$329,7,FALSE),0)</f>
        <v>0</v>
      </c>
      <c r="X114" s="83">
        <f>IF(Proponentes[[#This Row],[Cap Op en Pesos]]=0,0,IF(Proponentes[[#This Row],[Cap Op en Pesos]]=0,1,Proponentes[[#This Row],[Cap Op en Pesos]]/Base!B$3))</f>
        <v>0</v>
      </c>
      <c r="Y11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1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1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14" s="23" t="str">
        <f>IF(AND(Proponentes[[#This Row],[Cumple
Liquidez]]="CUMPLE",Proponentes[[#This Row],[Cumple
Endeudamiento]]="CUMPLE",Proponentes[[#This Row],[Cumple
Capital de Trabajo]]="CUMPLE"),"CUMPLE","NO CUMPLE")</f>
        <v>NO CUMPLE</v>
      </c>
      <c r="AC114" s="24"/>
      <c r="AD114" s="10">
        <f>IF(Proponentes[[#This Row],[Liquidez
Oferente]]&lt;=1,1,IF(Proponentes[[#This Row],[Liquidez
Oferente]]&lt;=1.1,2,IF(Proponentes[[#This Row],[Liquidez
Oferente]]&lt;=1.2,3,IF(Proponentes[[#This Row],[Liquidez
Oferente]]&lt;=1.3,4,IF(Proponentes[[#This Row],[Liquidez
Oferente]]&lt;=1.4,5,6)))))</f>
        <v>6</v>
      </c>
      <c r="AE114" s="10">
        <f>IF(Proponentes[[#This Row],[Endeudamiento
Oferente]]&lt;=66%,6,IF(Proponentes[[#This Row],[Endeudamiento
Oferente]]&lt;=58,5,IF(Proponentes[[#This Row],[Endeudamiento
Oferente]]&lt;=70,4,IF(Proponentes[[#This Row],[Endeudamiento
Oferente]]&lt;=72,3,IF(Proponentes[[#This Row],[Endeudamiento
Oferente]]&lt;=74,2,1)))))</f>
        <v>6</v>
      </c>
      <c r="AF11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14" s="10">
        <f>IF(Proponentes[[#This Row],[Cap Op en SMMLV]]&lt;=500,1,IF(Proponentes[[#This Row],[Cap Op en SMMLV]]&lt;=1000,2,IF(Proponentes[[#This Row],[Cap Op en SMMLV]]&lt;=1500,3,IF(Proponentes[[#This Row],[Cap Op en SMMLV]]&lt;=2000,4,IF(Proponentes[[#This Row],[Cap Op en SMMLV]]&lt;=2500,5,6)))))</f>
        <v>1</v>
      </c>
      <c r="AH114" s="10">
        <f>MIN(Proponentes[[#This Row],[a]:[d]])</f>
        <v>1</v>
      </c>
      <c r="AI114" s="87">
        <f>IF(Proponentes[[#This Row],[e]]=Proponentes[[#This Row],[d]],Proponentes[[#This Row],[Cap Op en SMMLV]],VLOOKUP(Proponentes[[#This Row],[e]],Base!$D$1:$E$6,2,FALSE))</f>
        <v>0</v>
      </c>
      <c r="AJ114" s="101" t="str">
        <f>VLOOKUP(Proponentes[[#This Row],[Propuesta]],Hoja2!$A$2:$D$329,4,FALSE)</f>
        <v>NO CUMPLE</v>
      </c>
      <c r="AK114" s="101"/>
    </row>
    <row r="115" spans="1:37" ht="32" x14ac:dyDescent="0.2">
      <c r="A115" s="10">
        <v>114</v>
      </c>
      <c r="B115" s="11">
        <v>806012901</v>
      </c>
      <c r="C115" s="12" t="s">
        <v>172</v>
      </c>
      <c r="D115" s="13">
        <v>62418588</v>
      </c>
      <c r="E115" s="13">
        <v>205081160</v>
      </c>
      <c r="F115" s="25">
        <f>Proponentes[[#This Row],[Activo Corriente]]+Proponentes[[#This Row],[Activo NO Corriente]]</f>
        <v>267499748</v>
      </c>
      <c r="G115" s="13">
        <v>2976000</v>
      </c>
      <c r="H115" s="13">
        <v>0</v>
      </c>
      <c r="I115" s="25">
        <f>Proponentes[[#This Row],[Pasivo Corriente]]+Proponentes[[#This Row],[Pasivo NO Corriente]]</f>
        <v>2976000</v>
      </c>
      <c r="J115" s="14">
        <f>Proponentes[[#This Row],[Total ACTIVO]]-Proponentes[[#This Row],[Total Pasivo]]</f>
        <v>264523748</v>
      </c>
      <c r="K115" s="48">
        <f>VLOOKUP(Proponentes[[#This Row],[Propuesta]],Hoja2!$A$2:$G$239,7,FALSE)</f>
        <v>196726974.25496754</v>
      </c>
      <c r="L115" s="15"/>
      <c r="M115" s="15" t="s">
        <v>59</v>
      </c>
      <c r="N115" s="55">
        <f>IFERROR(VLOOKUP(Proponentes[[#This Row],[Cap Op en SMMLV]],Base!$A$15:$F$20,3),0)</f>
        <v>1</v>
      </c>
      <c r="O115" s="16">
        <f>IFERROR(VLOOKUP(Proponentes[[#This Row],[Cap Op en SMMLV]],Base!$A$15:$F$20,4),0)</f>
        <v>0.76</v>
      </c>
      <c r="P115" s="17">
        <f>IFERROR(VLOOKUP(Proponentes[[#This Row],[Cap Op en SMMLV]],Tabla2[],6),0)</f>
        <v>12.5</v>
      </c>
      <c r="Q115" s="18">
        <f>IFERROR(VLOOKUP(Proponentes[[#This Row],[Cap Op en SMMLV]],Base!$A$15:$F$20,5),0)</f>
        <v>10351450</v>
      </c>
      <c r="R115" s="18">
        <f>IFERROR(VLOOKUP(Proponentes[[#This Row],[Cap Op en SMMLV]],Tabla2[[DE]:[HASTA]],2),0)</f>
        <v>500</v>
      </c>
      <c r="S115" s="19">
        <f>IFERROR(Proponentes[[#This Row],[Activo Corriente]]/Proponentes[[#This Row],[Pasivo Corriente]],"INDETERMINADO")</f>
        <v>20.973987903225808</v>
      </c>
      <c r="T115" s="20">
        <f>IFERROR(Proponentes[[#This Row],[Total Pasivo]]/Proponentes[[#This Row],[Total ACTIVO]],0)</f>
        <v>1.1125244125463625E-2</v>
      </c>
      <c r="U115" s="21">
        <f>(Proponentes[[#This Row],[Activo Corriente]]-Proponentes[[#This Row],[Pasivo Corriente]])/Base!$B$3</f>
        <v>71.78050901081491</v>
      </c>
      <c r="V115" s="22">
        <f>Proponentes[[#This Row],[Activo Corriente]]-Proponentes[[#This Row],[Pasivo Corriente]]</f>
        <v>59442588</v>
      </c>
      <c r="W115" s="13">
        <f>IFERROR(VLOOKUP(Proponentes[[#This Row],[Propuesta]],Hoja2!$A$2:$G$329,7,FALSE),0)</f>
        <v>196726974.25496754</v>
      </c>
      <c r="X115" s="83">
        <f>IF(Proponentes[[#This Row],[Cap Op en Pesos]]=0,0,IF(Proponentes[[#This Row],[Cap Op en Pesos]]=0,1,Proponentes[[#This Row],[Cap Op en Pesos]]/Base!B$3))</f>
        <v>237.55968276783389</v>
      </c>
      <c r="Y11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1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1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15" s="23" t="str">
        <f>IF(AND(Proponentes[[#This Row],[Cumple
Liquidez]]="CUMPLE",Proponentes[[#This Row],[Cumple
Endeudamiento]]="CUMPLE",Proponentes[[#This Row],[Cumple
Capital de Trabajo]]="CUMPLE"),"CUMPLE","NO CUMPLE")</f>
        <v>CUMPLE</v>
      </c>
      <c r="AC115" s="24"/>
      <c r="AD115" s="10">
        <f>IF(Proponentes[[#This Row],[Liquidez
Oferente]]&lt;=1,1,IF(Proponentes[[#This Row],[Liquidez
Oferente]]&lt;=1.1,2,IF(Proponentes[[#This Row],[Liquidez
Oferente]]&lt;=1.2,3,IF(Proponentes[[#This Row],[Liquidez
Oferente]]&lt;=1.3,4,IF(Proponentes[[#This Row],[Liquidez
Oferente]]&lt;=1.4,5,6)))))</f>
        <v>6</v>
      </c>
      <c r="AE115" s="10">
        <f>IF(Proponentes[[#This Row],[Endeudamiento
Oferente]]&lt;=66%,6,IF(Proponentes[[#This Row],[Endeudamiento
Oferente]]&lt;=58,5,IF(Proponentes[[#This Row],[Endeudamiento
Oferente]]&lt;=70,4,IF(Proponentes[[#This Row],[Endeudamiento
Oferente]]&lt;=72,3,IF(Proponentes[[#This Row],[Endeudamiento
Oferente]]&lt;=74,2,1)))))</f>
        <v>6</v>
      </c>
      <c r="AF11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15" s="10">
        <f>IF(Proponentes[[#This Row],[Cap Op en SMMLV]]&lt;=500,1,IF(Proponentes[[#This Row],[Cap Op en SMMLV]]&lt;=1000,2,IF(Proponentes[[#This Row],[Cap Op en SMMLV]]&lt;=1500,3,IF(Proponentes[[#This Row],[Cap Op en SMMLV]]&lt;=2000,4,IF(Proponentes[[#This Row],[Cap Op en SMMLV]]&lt;=2500,5,6)))))</f>
        <v>1</v>
      </c>
      <c r="AH115" s="10">
        <f>MIN(Proponentes[[#This Row],[a]:[d]])</f>
        <v>1</v>
      </c>
      <c r="AI115" s="87">
        <f>IF(Proponentes[[#This Row],[e]]=Proponentes[[#This Row],[d]],Proponentes[[#This Row],[Cap Op en SMMLV]],VLOOKUP(Proponentes[[#This Row],[e]],Base!$D$1:$E$6,2,FALSE))</f>
        <v>237.55968276783389</v>
      </c>
      <c r="AJ115" s="101" t="str">
        <f>VLOOKUP(Proponentes[[#This Row],[Propuesta]],Hoja2!$A$2:$D$329,4,FALSE)</f>
        <v>NO CUMPLE</v>
      </c>
      <c r="AK115" s="101"/>
    </row>
    <row r="116" spans="1:37" ht="16" x14ac:dyDescent="0.2">
      <c r="A116" s="10">
        <v>115</v>
      </c>
      <c r="B116" s="11">
        <v>900468173</v>
      </c>
      <c r="C116" s="12" t="s">
        <v>173</v>
      </c>
      <c r="D116" s="13">
        <v>53345345</v>
      </c>
      <c r="E116" s="13">
        <v>193390000</v>
      </c>
      <c r="F116" s="25">
        <f>Proponentes[[#This Row],[Activo Corriente]]+Proponentes[[#This Row],[Activo NO Corriente]]</f>
        <v>246735345</v>
      </c>
      <c r="G116" s="13">
        <v>38611869</v>
      </c>
      <c r="H116" s="13">
        <v>0</v>
      </c>
      <c r="I116" s="25">
        <f>Proponentes[[#This Row],[Pasivo Corriente]]+Proponentes[[#This Row],[Pasivo NO Corriente]]</f>
        <v>38611869</v>
      </c>
      <c r="J116" s="14">
        <f>Proponentes[[#This Row],[Total ACTIVO]]-Proponentes[[#This Row],[Total Pasivo]]</f>
        <v>208123476</v>
      </c>
      <c r="K116" s="48">
        <f>VLOOKUP(Proponentes[[#This Row],[Propuesta]],Hoja2!$A$2:$G$239,7,FALSE)</f>
        <v>0</v>
      </c>
      <c r="L116" s="15"/>
      <c r="M116" s="15" t="s">
        <v>174</v>
      </c>
      <c r="N116" s="55">
        <f>IFERROR(VLOOKUP(Proponentes[[#This Row],[Cap Op en SMMLV]],Base!$A$15:$F$20,3),0)</f>
        <v>0</v>
      </c>
      <c r="O116" s="16">
        <f>IFERROR(VLOOKUP(Proponentes[[#This Row],[Cap Op en SMMLV]],Base!$A$15:$F$20,4),0)</f>
        <v>0</v>
      </c>
      <c r="P116" s="17">
        <f>IFERROR(VLOOKUP(Proponentes[[#This Row],[Cap Op en SMMLV]],Tabla2[],6),0)</f>
        <v>0</v>
      </c>
      <c r="Q116" s="18">
        <f>IFERROR(VLOOKUP(Proponentes[[#This Row],[Cap Op en SMMLV]],Base!$A$15:$F$20,5),0)</f>
        <v>0</v>
      </c>
      <c r="R116" s="18">
        <f>IFERROR(VLOOKUP(Proponentes[[#This Row],[Cap Op en SMMLV]],Tabla2[[DE]:[HASTA]],2),0)</f>
        <v>0</v>
      </c>
      <c r="S116" s="19">
        <f>IFERROR(Proponentes[[#This Row],[Activo Corriente]]/Proponentes[[#This Row],[Pasivo Corriente]],"INDETERMINADO")</f>
        <v>1.381578938849088</v>
      </c>
      <c r="T116" s="20">
        <f>IFERROR(Proponentes[[#This Row],[Total Pasivo]]/Proponentes[[#This Row],[Total ACTIVO]],0)</f>
        <v>0.15649103293247266</v>
      </c>
      <c r="U116" s="21">
        <f>(Proponentes[[#This Row],[Activo Corriente]]-Proponentes[[#This Row],[Pasivo Corriente]])/Base!$B$3</f>
        <v>17.791560602620891</v>
      </c>
      <c r="V116" s="22">
        <f>Proponentes[[#This Row],[Activo Corriente]]-Proponentes[[#This Row],[Pasivo Corriente]]</f>
        <v>14733476</v>
      </c>
      <c r="W116" s="13">
        <f>IFERROR(VLOOKUP(Proponentes[[#This Row],[Propuesta]],Hoja2!$A$2:$G$329,7,FALSE),0)</f>
        <v>0</v>
      </c>
      <c r="X116" s="83">
        <f>IF(Proponentes[[#This Row],[Cap Op en Pesos]]=0,0,IF(Proponentes[[#This Row],[Cap Op en Pesos]]=0,1,Proponentes[[#This Row],[Cap Op en Pesos]]/Base!B$3))</f>
        <v>0</v>
      </c>
      <c r="Y11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1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1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16" s="23" t="str">
        <f>IF(AND(Proponentes[[#This Row],[Cumple
Liquidez]]="CUMPLE",Proponentes[[#This Row],[Cumple
Endeudamiento]]="CUMPLE",Proponentes[[#This Row],[Cumple
Capital de Trabajo]]="CUMPLE"),"CUMPLE","NO CUMPLE")</f>
        <v>NO CUMPLE</v>
      </c>
      <c r="AC116" s="24" t="s">
        <v>796</v>
      </c>
      <c r="AD116" s="10">
        <f>IF(Proponentes[[#This Row],[Liquidez
Oferente]]&lt;=1,1,IF(Proponentes[[#This Row],[Liquidez
Oferente]]&lt;=1.1,2,IF(Proponentes[[#This Row],[Liquidez
Oferente]]&lt;=1.2,3,IF(Proponentes[[#This Row],[Liquidez
Oferente]]&lt;=1.3,4,IF(Proponentes[[#This Row],[Liquidez
Oferente]]&lt;=1.4,5,6)))))</f>
        <v>5</v>
      </c>
      <c r="AE116" s="10">
        <f>IF(Proponentes[[#This Row],[Endeudamiento
Oferente]]&lt;=66%,6,IF(Proponentes[[#This Row],[Endeudamiento
Oferente]]&lt;=58,5,IF(Proponentes[[#This Row],[Endeudamiento
Oferente]]&lt;=70,4,IF(Proponentes[[#This Row],[Endeudamiento
Oferente]]&lt;=72,3,IF(Proponentes[[#This Row],[Endeudamiento
Oferente]]&lt;=74,2,1)))))</f>
        <v>6</v>
      </c>
      <c r="AF11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116" s="10">
        <f>IF(Proponentes[[#This Row],[Cap Op en SMMLV]]&lt;=500,1,IF(Proponentes[[#This Row],[Cap Op en SMMLV]]&lt;=1000,2,IF(Proponentes[[#This Row],[Cap Op en SMMLV]]&lt;=1500,3,IF(Proponentes[[#This Row],[Cap Op en SMMLV]]&lt;=2000,4,IF(Proponentes[[#This Row],[Cap Op en SMMLV]]&lt;=2500,5,6)))))</f>
        <v>1</v>
      </c>
      <c r="AH116" s="10">
        <f>MIN(Proponentes[[#This Row],[a]:[d]])</f>
        <v>1</v>
      </c>
      <c r="AI116" s="87">
        <f>IF(Proponentes[[#This Row],[e]]=Proponentes[[#This Row],[d]],Proponentes[[#This Row],[Cap Op en SMMLV]],VLOOKUP(Proponentes[[#This Row],[e]],Base!$D$1:$E$6,2,FALSE))</f>
        <v>0</v>
      </c>
      <c r="AJ116" s="101" t="str">
        <f>VLOOKUP(Proponentes[[#This Row],[Propuesta]],Hoja2!$A$2:$D$329,4,FALSE)</f>
        <v>NO CUMPLE</v>
      </c>
      <c r="AK116" s="101"/>
    </row>
    <row r="117" spans="1:37" ht="16" x14ac:dyDescent="0.2">
      <c r="A117" s="10">
        <v>116</v>
      </c>
      <c r="B117" s="11">
        <v>900778390</v>
      </c>
      <c r="C117" s="12" t="s">
        <v>175</v>
      </c>
      <c r="D117" s="13">
        <v>153243275</v>
      </c>
      <c r="E117" s="13">
        <v>0</v>
      </c>
      <c r="F117" s="25">
        <f>Proponentes[[#This Row],[Activo Corriente]]+Proponentes[[#This Row],[Activo NO Corriente]]</f>
        <v>153243275</v>
      </c>
      <c r="G117" s="13">
        <v>100000</v>
      </c>
      <c r="H117" s="13">
        <v>0</v>
      </c>
      <c r="I117" s="25">
        <f>Proponentes[[#This Row],[Pasivo Corriente]]+Proponentes[[#This Row],[Pasivo NO Corriente]]</f>
        <v>100000</v>
      </c>
      <c r="J117" s="14">
        <f>Proponentes[[#This Row],[Total ACTIVO]]-Proponentes[[#This Row],[Total Pasivo]]</f>
        <v>153143275</v>
      </c>
      <c r="K117" s="48">
        <f>VLOOKUP(Proponentes[[#This Row],[Propuesta]],Hoja2!$A$2:$G$239,7,FALSE)</f>
        <v>0</v>
      </c>
      <c r="L117" s="15"/>
      <c r="M117" s="15" t="s">
        <v>176</v>
      </c>
      <c r="N117" s="55">
        <f>IFERROR(VLOOKUP(Proponentes[[#This Row],[Cap Op en SMMLV]],Base!$A$15:$F$20,3),0)</f>
        <v>0</v>
      </c>
      <c r="O117" s="16">
        <f>IFERROR(VLOOKUP(Proponentes[[#This Row],[Cap Op en SMMLV]],Base!$A$15:$F$20,4),0)</f>
        <v>0</v>
      </c>
      <c r="P117" s="17">
        <f>IFERROR(VLOOKUP(Proponentes[[#This Row],[Cap Op en SMMLV]],Tabla2[],6),0)</f>
        <v>0</v>
      </c>
      <c r="Q117" s="18">
        <f>IFERROR(VLOOKUP(Proponentes[[#This Row],[Cap Op en SMMLV]],Base!$A$15:$F$20,5),0)</f>
        <v>0</v>
      </c>
      <c r="R117" s="18">
        <f>IFERROR(VLOOKUP(Proponentes[[#This Row],[Cap Op en SMMLV]],Tabla2[[DE]:[HASTA]],2),0)</f>
        <v>0</v>
      </c>
      <c r="S117" s="19">
        <f>IFERROR(Proponentes[[#This Row],[Activo Corriente]]/Proponentes[[#This Row],[Pasivo Corriente]],"INDETERMINADO")</f>
        <v>1532.4327499999999</v>
      </c>
      <c r="T117" s="20">
        <f>IFERROR(Proponentes[[#This Row],[Total Pasivo]]/Proponentes[[#This Row],[Total ACTIVO]],0)</f>
        <v>6.5255718399388166E-4</v>
      </c>
      <c r="U117" s="21">
        <f>(Proponentes[[#This Row],[Activo Corriente]]-Proponentes[[#This Row],[Pasivo Corriente]])/Base!$B$3</f>
        <v>184.92973810432355</v>
      </c>
      <c r="V117" s="22">
        <f>Proponentes[[#This Row],[Activo Corriente]]-Proponentes[[#This Row],[Pasivo Corriente]]</f>
        <v>153143275</v>
      </c>
      <c r="W117" s="13">
        <f>IFERROR(VLOOKUP(Proponentes[[#This Row],[Propuesta]],Hoja2!$A$2:$G$329,7,FALSE),0)</f>
        <v>0</v>
      </c>
      <c r="X117" s="83">
        <f>IF(Proponentes[[#This Row],[Cap Op en Pesos]]=0,0,IF(Proponentes[[#This Row],[Cap Op en Pesos]]=0,1,Proponentes[[#This Row],[Cap Op en Pesos]]/Base!B$3))</f>
        <v>0</v>
      </c>
      <c r="Y11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1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1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17" s="23" t="str">
        <f>IF(AND(Proponentes[[#This Row],[Cumple
Liquidez]]="CUMPLE",Proponentes[[#This Row],[Cumple
Endeudamiento]]="CUMPLE",Proponentes[[#This Row],[Cumple
Capital de Trabajo]]="CUMPLE"),"CUMPLE","NO CUMPLE")</f>
        <v>NO CUMPLE</v>
      </c>
      <c r="AC117" s="24"/>
      <c r="AD117" s="10">
        <f>IF(Proponentes[[#This Row],[Liquidez
Oferente]]&lt;=1,1,IF(Proponentes[[#This Row],[Liquidez
Oferente]]&lt;=1.1,2,IF(Proponentes[[#This Row],[Liquidez
Oferente]]&lt;=1.2,3,IF(Proponentes[[#This Row],[Liquidez
Oferente]]&lt;=1.3,4,IF(Proponentes[[#This Row],[Liquidez
Oferente]]&lt;=1.4,5,6)))))</f>
        <v>6</v>
      </c>
      <c r="AE117" s="10">
        <f>IF(Proponentes[[#This Row],[Endeudamiento
Oferente]]&lt;=66%,6,IF(Proponentes[[#This Row],[Endeudamiento
Oferente]]&lt;=58,5,IF(Proponentes[[#This Row],[Endeudamiento
Oferente]]&lt;=70,4,IF(Proponentes[[#This Row],[Endeudamiento
Oferente]]&lt;=72,3,IF(Proponentes[[#This Row],[Endeudamiento
Oferente]]&lt;=74,2,1)))))</f>
        <v>6</v>
      </c>
      <c r="AF11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17" s="10">
        <f>IF(Proponentes[[#This Row],[Cap Op en SMMLV]]&lt;=500,1,IF(Proponentes[[#This Row],[Cap Op en SMMLV]]&lt;=1000,2,IF(Proponentes[[#This Row],[Cap Op en SMMLV]]&lt;=1500,3,IF(Proponentes[[#This Row],[Cap Op en SMMLV]]&lt;=2000,4,IF(Proponentes[[#This Row],[Cap Op en SMMLV]]&lt;=2500,5,6)))))</f>
        <v>1</v>
      </c>
      <c r="AH117" s="10">
        <f>MIN(Proponentes[[#This Row],[a]:[d]])</f>
        <v>1</v>
      </c>
      <c r="AI117" s="87">
        <f>IF(Proponentes[[#This Row],[e]]=Proponentes[[#This Row],[d]],Proponentes[[#This Row],[Cap Op en SMMLV]],VLOOKUP(Proponentes[[#This Row],[e]],Base!$D$1:$E$6,2,FALSE))</f>
        <v>0</v>
      </c>
      <c r="AJ117" s="101" t="str">
        <f>VLOOKUP(Proponentes[[#This Row],[Propuesta]],Hoja2!$A$2:$D$329,4,FALSE)</f>
        <v>NO CUMPLE</v>
      </c>
      <c r="AK117" s="101"/>
    </row>
    <row r="118" spans="1:37" ht="32" x14ac:dyDescent="0.2">
      <c r="A118" s="10">
        <v>117</v>
      </c>
      <c r="B118" s="11">
        <v>804000939</v>
      </c>
      <c r="C118" s="12" t="s">
        <v>177</v>
      </c>
      <c r="D118" s="13">
        <v>516695467</v>
      </c>
      <c r="E118" s="13">
        <v>171586987</v>
      </c>
      <c r="F118" s="25">
        <f>Proponentes[[#This Row],[Activo Corriente]]+Proponentes[[#This Row],[Activo NO Corriente]]</f>
        <v>688282454</v>
      </c>
      <c r="G118" s="13">
        <v>221611133</v>
      </c>
      <c r="H118" s="13">
        <v>161587198</v>
      </c>
      <c r="I118" s="25">
        <f>Proponentes[[#This Row],[Pasivo Corriente]]+Proponentes[[#This Row],[Pasivo NO Corriente]]</f>
        <v>383198331</v>
      </c>
      <c r="J118" s="14">
        <f>Proponentes[[#This Row],[Total ACTIVO]]-Proponentes[[#This Row],[Total Pasivo]]</f>
        <v>305084123</v>
      </c>
      <c r="K118" s="48">
        <f>VLOOKUP(Proponentes[[#This Row],[Propuesta]],Hoja2!$A$2:$G$239,7,FALSE)</f>
        <v>1152455442.1508114</v>
      </c>
      <c r="L118" s="15"/>
      <c r="M118" s="15" t="s">
        <v>59</v>
      </c>
      <c r="N118" s="55">
        <f>IFERROR(VLOOKUP(Proponentes[[#This Row],[Cap Op en SMMLV]],Base!$A$15:$F$20,3),0)</f>
        <v>1.2</v>
      </c>
      <c r="O118" s="16">
        <f>IFERROR(VLOOKUP(Proponentes[[#This Row],[Cap Op en SMMLV]],Base!$A$15:$F$20,4),0)</f>
        <v>0.72</v>
      </c>
      <c r="P118" s="17">
        <f>IFERROR(VLOOKUP(Proponentes[[#This Row],[Cap Op en SMMLV]],Tabla2[],6),0)</f>
        <v>37.5</v>
      </c>
      <c r="Q118" s="18">
        <f>IFERROR(VLOOKUP(Proponentes[[#This Row],[Cap Op en SMMLV]],Base!$A$15:$F$20,5),0)</f>
        <v>31054350</v>
      </c>
      <c r="R118" s="18">
        <f>IFERROR(VLOOKUP(Proponentes[[#This Row],[Cap Op en SMMLV]],Tabla2[[DE]:[HASTA]],2),0)</f>
        <v>1500</v>
      </c>
      <c r="S118" s="19">
        <f>IFERROR(Proponentes[[#This Row],[Activo Corriente]]/Proponentes[[#This Row],[Pasivo Corriente]],"INDETERMINADO")</f>
        <v>2.3315411098954129</v>
      </c>
      <c r="T118" s="20">
        <f>IFERROR(Proponentes[[#This Row],[Total Pasivo]]/Proponentes[[#This Row],[Total ACTIVO]],0)</f>
        <v>0.5567457499069125</v>
      </c>
      <c r="U118" s="21">
        <f>(Proponentes[[#This Row],[Activo Corriente]]-Proponentes[[#This Row],[Pasivo Corriente]])/Base!$B$3</f>
        <v>356.33212496799968</v>
      </c>
      <c r="V118" s="22">
        <f>Proponentes[[#This Row],[Activo Corriente]]-Proponentes[[#This Row],[Pasivo Corriente]]</f>
        <v>295084334</v>
      </c>
      <c r="W118" s="13">
        <f>IFERROR(VLOOKUP(Proponentes[[#This Row],[Propuesta]],Hoja2!$A$2:$G$329,7,FALSE),0)</f>
        <v>1152455442.1508114</v>
      </c>
      <c r="X118" s="83">
        <f>IF(Proponentes[[#This Row],[Cap Op en Pesos]]=0,0,IF(Proponentes[[#This Row],[Cap Op en Pesos]]=0,1,Proponentes[[#This Row],[Cap Op en Pesos]]/Base!B$3))</f>
        <v>1391.6594319525423</v>
      </c>
      <c r="Y11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1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1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18" s="23" t="str">
        <f>IF(AND(Proponentes[[#This Row],[Cumple
Liquidez]]="CUMPLE",Proponentes[[#This Row],[Cumple
Endeudamiento]]="CUMPLE",Proponentes[[#This Row],[Cumple
Capital de Trabajo]]="CUMPLE"),"CUMPLE","NO CUMPLE")</f>
        <v>CUMPLE</v>
      </c>
      <c r="AC118" s="24"/>
      <c r="AD118" s="10">
        <f>IF(Proponentes[[#This Row],[Liquidez
Oferente]]&lt;=1,1,IF(Proponentes[[#This Row],[Liquidez
Oferente]]&lt;=1.1,2,IF(Proponentes[[#This Row],[Liquidez
Oferente]]&lt;=1.2,3,IF(Proponentes[[#This Row],[Liquidez
Oferente]]&lt;=1.3,4,IF(Proponentes[[#This Row],[Liquidez
Oferente]]&lt;=1.4,5,6)))))</f>
        <v>6</v>
      </c>
      <c r="AE118" s="10">
        <f>IF(Proponentes[[#This Row],[Endeudamiento
Oferente]]&lt;=66%,6,IF(Proponentes[[#This Row],[Endeudamiento
Oferente]]&lt;=58,5,IF(Proponentes[[#This Row],[Endeudamiento
Oferente]]&lt;=70,4,IF(Proponentes[[#This Row],[Endeudamiento
Oferente]]&lt;=72,3,IF(Proponentes[[#This Row],[Endeudamiento
Oferente]]&lt;=74,2,1)))))</f>
        <v>6</v>
      </c>
      <c r="AF11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18" s="10">
        <f>IF(Proponentes[[#This Row],[Cap Op en SMMLV]]&lt;=500,1,IF(Proponentes[[#This Row],[Cap Op en SMMLV]]&lt;=1000,2,IF(Proponentes[[#This Row],[Cap Op en SMMLV]]&lt;=1500,3,IF(Proponentes[[#This Row],[Cap Op en SMMLV]]&lt;=2000,4,IF(Proponentes[[#This Row],[Cap Op en SMMLV]]&lt;=2500,5,6)))))</f>
        <v>3</v>
      </c>
      <c r="AH118" s="10">
        <f>MIN(Proponentes[[#This Row],[a]:[d]])</f>
        <v>3</v>
      </c>
      <c r="AI118" s="87">
        <f>IF(Proponentes[[#This Row],[e]]=Proponentes[[#This Row],[d]],Proponentes[[#This Row],[Cap Op en SMMLV]],VLOOKUP(Proponentes[[#This Row],[e]],Base!$D$1:$E$6,2,FALSE))</f>
        <v>1391.6594319525423</v>
      </c>
      <c r="AJ118" s="101" t="str">
        <f>VLOOKUP(Proponentes[[#This Row],[Propuesta]],Hoja2!$A$2:$D$329,4,FALSE)</f>
        <v>CUMPLE</v>
      </c>
      <c r="AK118" s="101"/>
    </row>
    <row r="119" spans="1:37" ht="32" x14ac:dyDescent="0.2">
      <c r="A119" s="10">
        <v>118</v>
      </c>
      <c r="B119" s="11">
        <v>900310029</v>
      </c>
      <c r="C119" s="12" t="s">
        <v>178</v>
      </c>
      <c r="D119" s="13">
        <v>452648467</v>
      </c>
      <c r="E119" s="13">
        <v>88451428</v>
      </c>
      <c r="F119" s="25">
        <f>Proponentes[[#This Row],[Activo Corriente]]+Proponentes[[#This Row],[Activo NO Corriente]]</f>
        <v>541099895</v>
      </c>
      <c r="G119" s="13">
        <v>305875289</v>
      </c>
      <c r="H119" s="13">
        <v>7101507</v>
      </c>
      <c r="I119" s="25">
        <f>Proponentes[[#This Row],[Pasivo Corriente]]+Proponentes[[#This Row],[Pasivo NO Corriente]]</f>
        <v>312976796</v>
      </c>
      <c r="J119" s="14">
        <f>Proponentes[[#This Row],[Total ACTIVO]]-Proponentes[[#This Row],[Total Pasivo]]</f>
        <v>228123099</v>
      </c>
      <c r="K119" s="48">
        <f>VLOOKUP(Proponentes[[#This Row],[Propuesta]],Hoja2!$A$2:$G$239,7,FALSE)</f>
        <v>0</v>
      </c>
      <c r="L119" s="15"/>
      <c r="M119" s="15" t="s">
        <v>179</v>
      </c>
      <c r="N119" s="55">
        <f>IFERROR(VLOOKUP(Proponentes[[#This Row],[Cap Op en SMMLV]],Base!$A$15:$F$20,3),0)</f>
        <v>0</v>
      </c>
      <c r="O119" s="16">
        <f>IFERROR(VLOOKUP(Proponentes[[#This Row],[Cap Op en SMMLV]],Base!$A$15:$F$20,4),0)</f>
        <v>0</v>
      </c>
      <c r="P119" s="17">
        <f>IFERROR(VLOOKUP(Proponentes[[#This Row],[Cap Op en SMMLV]],Tabla2[],6),0)</f>
        <v>0</v>
      </c>
      <c r="Q119" s="18">
        <f>IFERROR(VLOOKUP(Proponentes[[#This Row],[Cap Op en SMMLV]],Base!$A$15:$F$20,5),0)</f>
        <v>0</v>
      </c>
      <c r="R119" s="18">
        <f>IFERROR(VLOOKUP(Proponentes[[#This Row],[Cap Op en SMMLV]],Tabla2[[DE]:[HASTA]],2),0)</f>
        <v>0</v>
      </c>
      <c r="S119" s="19">
        <f>IFERROR(Proponentes[[#This Row],[Activo Corriente]]/Proponentes[[#This Row],[Pasivo Corriente]],"INDETERMINADO")</f>
        <v>1.4798464710236858</v>
      </c>
      <c r="T119" s="20">
        <f>IFERROR(Proponentes[[#This Row],[Total Pasivo]]/Proponentes[[#This Row],[Total ACTIVO]],0)</f>
        <v>0.5784085321251079</v>
      </c>
      <c r="U119" s="21">
        <f>(Proponentes[[#This Row],[Activo Corriente]]-Proponentes[[#This Row],[Pasivo Corriente]])/Base!$B$3</f>
        <v>177.23746190147273</v>
      </c>
      <c r="V119" s="22">
        <f>Proponentes[[#This Row],[Activo Corriente]]-Proponentes[[#This Row],[Pasivo Corriente]]</f>
        <v>146773178</v>
      </c>
      <c r="W119" s="13">
        <f>IFERROR(VLOOKUP(Proponentes[[#This Row],[Propuesta]],Hoja2!$A$2:$G$329,7,FALSE),0)</f>
        <v>0</v>
      </c>
      <c r="X119" s="83">
        <f>IF(Proponentes[[#This Row],[Cap Op en Pesos]]=0,0,IF(Proponentes[[#This Row],[Cap Op en Pesos]]=0,1,Proponentes[[#This Row],[Cap Op en Pesos]]/Base!B$3))</f>
        <v>0</v>
      </c>
      <c r="Y11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1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1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19" s="23" t="str">
        <f>IF(AND(Proponentes[[#This Row],[Cumple
Liquidez]]="CUMPLE",Proponentes[[#This Row],[Cumple
Endeudamiento]]="CUMPLE",Proponentes[[#This Row],[Cumple
Capital de Trabajo]]="CUMPLE"),"CUMPLE","NO CUMPLE")</f>
        <v>NO CUMPLE</v>
      </c>
      <c r="AC119" s="24"/>
      <c r="AD119" s="10">
        <f>IF(Proponentes[[#This Row],[Liquidez
Oferente]]&lt;=1,1,IF(Proponentes[[#This Row],[Liquidez
Oferente]]&lt;=1.1,2,IF(Proponentes[[#This Row],[Liquidez
Oferente]]&lt;=1.2,3,IF(Proponentes[[#This Row],[Liquidez
Oferente]]&lt;=1.3,4,IF(Proponentes[[#This Row],[Liquidez
Oferente]]&lt;=1.4,5,6)))))</f>
        <v>6</v>
      </c>
      <c r="AE119" s="10">
        <f>IF(Proponentes[[#This Row],[Endeudamiento
Oferente]]&lt;=66%,6,IF(Proponentes[[#This Row],[Endeudamiento
Oferente]]&lt;=58,5,IF(Proponentes[[#This Row],[Endeudamiento
Oferente]]&lt;=70,4,IF(Proponentes[[#This Row],[Endeudamiento
Oferente]]&lt;=72,3,IF(Proponentes[[#This Row],[Endeudamiento
Oferente]]&lt;=74,2,1)))))</f>
        <v>6</v>
      </c>
      <c r="AF11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19" s="10">
        <f>IF(Proponentes[[#This Row],[Cap Op en SMMLV]]&lt;=500,1,IF(Proponentes[[#This Row],[Cap Op en SMMLV]]&lt;=1000,2,IF(Proponentes[[#This Row],[Cap Op en SMMLV]]&lt;=1500,3,IF(Proponentes[[#This Row],[Cap Op en SMMLV]]&lt;=2000,4,IF(Proponentes[[#This Row],[Cap Op en SMMLV]]&lt;=2500,5,6)))))</f>
        <v>1</v>
      </c>
      <c r="AH119" s="10">
        <f>MIN(Proponentes[[#This Row],[a]:[d]])</f>
        <v>1</v>
      </c>
      <c r="AI119" s="87">
        <f>IF(Proponentes[[#This Row],[e]]=Proponentes[[#This Row],[d]],Proponentes[[#This Row],[Cap Op en SMMLV]],VLOOKUP(Proponentes[[#This Row],[e]],Base!$D$1:$E$6,2,FALSE))</f>
        <v>0</v>
      </c>
      <c r="AJ119" s="101" t="str">
        <f>VLOOKUP(Proponentes[[#This Row],[Propuesta]],Hoja2!$A$2:$D$329,4,FALSE)</f>
        <v>NO CUMPLE</v>
      </c>
      <c r="AK119" s="101"/>
    </row>
    <row r="120" spans="1:37" ht="16" x14ac:dyDescent="0.2">
      <c r="A120" s="10">
        <v>119</v>
      </c>
      <c r="B120" s="11">
        <v>825001160</v>
      </c>
      <c r="C120" s="12" t="s">
        <v>180</v>
      </c>
      <c r="D120" s="13">
        <v>3185275375</v>
      </c>
      <c r="E120" s="13">
        <v>1323042886</v>
      </c>
      <c r="F120" s="25">
        <f>Proponentes[[#This Row],[Activo Corriente]]+Proponentes[[#This Row],[Activo NO Corriente]]</f>
        <v>4508318261</v>
      </c>
      <c r="G120" s="13">
        <v>43152899</v>
      </c>
      <c r="H120" s="13">
        <v>39273248</v>
      </c>
      <c r="I120" s="25">
        <f>Proponentes[[#This Row],[Pasivo Corriente]]+Proponentes[[#This Row],[Pasivo NO Corriente]]</f>
        <v>82426147</v>
      </c>
      <c r="J120" s="14">
        <f>Proponentes[[#This Row],[Total ACTIVO]]-Proponentes[[#This Row],[Total Pasivo]]</f>
        <v>4425892114</v>
      </c>
      <c r="K120" s="48">
        <f>VLOOKUP(Proponentes[[#This Row],[Propuesta]],Hoja2!$A$2:$G$239,7,FALSE)</f>
        <v>371849356.91628283</v>
      </c>
      <c r="L120" s="15"/>
      <c r="M120" s="15" t="s">
        <v>59</v>
      </c>
      <c r="N120" s="55">
        <f>IFERROR(VLOOKUP(Proponentes[[#This Row],[Cap Op en SMMLV]],Base!$A$15:$F$20,3),0)</f>
        <v>1</v>
      </c>
      <c r="O120" s="16">
        <f>IFERROR(VLOOKUP(Proponentes[[#This Row],[Cap Op en SMMLV]],Base!$A$15:$F$20,4),0)</f>
        <v>0.76</v>
      </c>
      <c r="P120" s="17">
        <f>IFERROR(VLOOKUP(Proponentes[[#This Row],[Cap Op en SMMLV]],Tabla2[],6),0)</f>
        <v>12.5</v>
      </c>
      <c r="Q120" s="18">
        <f>IFERROR(VLOOKUP(Proponentes[[#This Row],[Cap Op en SMMLV]],Base!$A$15:$F$20,5),0)</f>
        <v>10351450</v>
      </c>
      <c r="R120" s="18">
        <f>IFERROR(VLOOKUP(Proponentes[[#This Row],[Cap Op en SMMLV]],Tabla2[[DE]:[HASTA]],2),0)</f>
        <v>500</v>
      </c>
      <c r="S120" s="19">
        <f>IFERROR(Proponentes[[#This Row],[Activo Corriente]]/Proponentes[[#This Row],[Pasivo Corriente]],"INDETERMINADO")</f>
        <v>73.813705424518531</v>
      </c>
      <c r="T120" s="20">
        <f>IFERROR(Proponentes[[#This Row],[Total Pasivo]]/Proponentes[[#This Row],[Total ACTIVO]],0)</f>
        <v>1.8283125154016273E-2</v>
      </c>
      <c r="U120" s="21">
        <f>(Proponentes[[#This Row],[Activo Corriente]]-Proponentes[[#This Row],[Pasivo Corriente]])/Base!$B$3</f>
        <v>3794.3023392858004</v>
      </c>
      <c r="V120" s="22">
        <f>Proponentes[[#This Row],[Activo Corriente]]-Proponentes[[#This Row],[Pasivo Corriente]]</f>
        <v>3142122476</v>
      </c>
      <c r="W120" s="13">
        <f>IFERROR(VLOOKUP(Proponentes[[#This Row],[Propuesta]],Hoja2!$A$2:$G$329,7,FALSE),0)</f>
        <v>371849356.91628283</v>
      </c>
      <c r="X120" s="83">
        <f>IF(Proponentes[[#This Row],[Cap Op en Pesos]]=0,0,IF(Proponentes[[#This Row],[Cap Op en Pesos]]=0,1,Proponentes[[#This Row],[Cap Op en Pesos]]/Base!B$3))</f>
        <v>449.03051857020375</v>
      </c>
      <c r="Y12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2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2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20" s="23" t="str">
        <f>IF(AND(Proponentes[[#This Row],[Cumple
Liquidez]]="CUMPLE",Proponentes[[#This Row],[Cumple
Endeudamiento]]="CUMPLE",Proponentes[[#This Row],[Cumple
Capital de Trabajo]]="CUMPLE"),"CUMPLE","NO CUMPLE")</f>
        <v>CUMPLE</v>
      </c>
      <c r="AC120" s="24"/>
      <c r="AD120" s="10">
        <f>IF(Proponentes[[#This Row],[Liquidez
Oferente]]&lt;=1,1,IF(Proponentes[[#This Row],[Liquidez
Oferente]]&lt;=1.1,2,IF(Proponentes[[#This Row],[Liquidez
Oferente]]&lt;=1.2,3,IF(Proponentes[[#This Row],[Liquidez
Oferente]]&lt;=1.3,4,IF(Proponentes[[#This Row],[Liquidez
Oferente]]&lt;=1.4,5,6)))))</f>
        <v>6</v>
      </c>
      <c r="AE120" s="10">
        <f>IF(Proponentes[[#This Row],[Endeudamiento
Oferente]]&lt;=66%,6,IF(Proponentes[[#This Row],[Endeudamiento
Oferente]]&lt;=58,5,IF(Proponentes[[#This Row],[Endeudamiento
Oferente]]&lt;=70,4,IF(Proponentes[[#This Row],[Endeudamiento
Oferente]]&lt;=72,3,IF(Proponentes[[#This Row],[Endeudamiento
Oferente]]&lt;=74,2,1)))))</f>
        <v>6</v>
      </c>
      <c r="AF12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20" s="10">
        <f>IF(Proponentes[[#This Row],[Cap Op en SMMLV]]&lt;=500,1,IF(Proponentes[[#This Row],[Cap Op en SMMLV]]&lt;=1000,2,IF(Proponentes[[#This Row],[Cap Op en SMMLV]]&lt;=1500,3,IF(Proponentes[[#This Row],[Cap Op en SMMLV]]&lt;=2000,4,IF(Proponentes[[#This Row],[Cap Op en SMMLV]]&lt;=2500,5,6)))))</f>
        <v>1</v>
      </c>
      <c r="AH120" s="10">
        <f>MIN(Proponentes[[#This Row],[a]:[d]])</f>
        <v>1</v>
      </c>
      <c r="AI120" s="87">
        <f>IF(Proponentes[[#This Row],[e]]=Proponentes[[#This Row],[d]],Proponentes[[#This Row],[Cap Op en SMMLV]],VLOOKUP(Proponentes[[#This Row],[e]],Base!$D$1:$E$6,2,FALSE))</f>
        <v>449.03051857020375</v>
      </c>
      <c r="AJ120" s="101" t="str">
        <f>VLOOKUP(Proponentes[[#This Row],[Propuesta]],Hoja2!$A$2:$D$329,4,FALSE)</f>
        <v>NO CUMPLE</v>
      </c>
      <c r="AK120" s="101"/>
    </row>
    <row r="121" spans="1:37" ht="16" x14ac:dyDescent="0.2">
      <c r="A121" s="10">
        <v>120</v>
      </c>
      <c r="B121" s="11">
        <v>828002605</v>
      </c>
      <c r="C121" s="12" t="s">
        <v>181</v>
      </c>
      <c r="D121" s="13">
        <v>317801709.81</v>
      </c>
      <c r="E121" s="13">
        <v>76174256.139999986</v>
      </c>
      <c r="F121" s="25">
        <f>Proponentes[[#This Row],[Activo Corriente]]+Proponentes[[#This Row],[Activo NO Corriente]]</f>
        <v>393975965.94999999</v>
      </c>
      <c r="G121" s="13">
        <v>12827411.560000001</v>
      </c>
      <c r="H121" s="13">
        <v>232275101.49000001</v>
      </c>
      <c r="I121" s="25">
        <f>Proponentes[[#This Row],[Pasivo Corriente]]+Proponentes[[#This Row],[Pasivo NO Corriente]]</f>
        <v>245102513.05000001</v>
      </c>
      <c r="J121" s="14">
        <f>Proponentes[[#This Row],[Total ACTIVO]]-Proponentes[[#This Row],[Total Pasivo]]</f>
        <v>148873452.89999998</v>
      </c>
      <c r="K121" s="48">
        <f>VLOOKUP(Proponentes[[#This Row],[Propuesta]],Hoja2!$A$2:$G$239,7,FALSE)</f>
        <v>201935626.36989731</v>
      </c>
      <c r="L121" s="15"/>
      <c r="M121" s="15" t="s">
        <v>182</v>
      </c>
      <c r="N121" s="55">
        <f>IFERROR(VLOOKUP(Proponentes[[#This Row],[Cap Op en SMMLV]],Base!$A$15:$F$20,3),0)</f>
        <v>1</v>
      </c>
      <c r="O121" s="16">
        <f>IFERROR(VLOOKUP(Proponentes[[#This Row],[Cap Op en SMMLV]],Base!$A$15:$F$20,4),0)</f>
        <v>0.76</v>
      </c>
      <c r="P121" s="17">
        <f>IFERROR(VLOOKUP(Proponentes[[#This Row],[Cap Op en SMMLV]],Tabla2[],6),0)</f>
        <v>12.5</v>
      </c>
      <c r="Q121" s="18">
        <f>IFERROR(VLOOKUP(Proponentes[[#This Row],[Cap Op en SMMLV]],Base!$A$15:$F$20,5),0)</f>
        <v>10351450</v>
      </c>
      <c r="R121" s="18">
        <f>IFERROR(VLOOKUP(Proponentes[[#This Row],[Cap Op en SMMLV]],Tabla2[[DE]:[HASTA]],2),0)</f>
        <v>500</v>
      </c>
      <c r="S121" s="19">
        <f>IFERROR(Proponentes[[#This Row],[Activo Corriente]]/Proponentes[[#This Row],[Pasivo Corriente]],"INDETERMINADO")</f>
        <v>24.775201787475819</v>
      </c>
      <c r="T121" s="20">
        <f>IFERROR(Proponentes[[#This Row],[Total Pasivo]]/Proponentes[[#This Row],[Total ACTIVO]],0)</f>
        <v>0.62212554631087902</v>
      </c>
      <c r="U121" s="21">
        <f>(Proponentes[[#This Row],[Activo Corriente]]-Proponentes[[#This Row],[Pasivo Corriente]])/Base!$B$3</f>
        <v>368.27485310029027</v>
      </c>
      <c r="V121" s="22">
        <f>Proponentes[[#This Row],[Activo Corriente]]-Proponentes[[#This Row],[Pasivo Corriente]]</f>
        <v>304974298.25</v>
      </c>
      <c r="W121" s="13">
        <f>IFERROR(VLOOKUP(Proponentes[[#This Row],[Propuesta]],Hoja2!$A$2:$G$329,7,FALSE),0)</f>
        <v>201935626.36989731</v>
      </c>
      <c r="X121" s="83">
        <f>IF(Proponentes[[#This Row],[Cap Op en Pesos]]=0,0,IF(Proponentes[[#This Row],[Cap Op en Pesos]]=0,1,Proponentes[[#This Row],[Cap Op en Pesos]]/Base!B$3))</f>
        <v>243.84944424440212</v>
      </c>
      <c r="Y12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2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2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21" s="23" t="str">
        <f>IF(AND(Proponentes[[#This Row],[Cumple
Liquidez]]="CUMPLE",Proponentes[[#This Row],[Cumple
Endeudamiento]]="CUMPLE",Proponentes[[#This Row],[Cumple
Capital de Trabajo]]="CUMPLE"),"CUMPLE","NO CUMPLE")</f>
        <v>CUMPLE</v>
      </c>
      <c r="AC121" s="24" t="s">
        <v>797</v>
      </c>
      <c r="AD121" s="10">
        <f>IF(Proponentes[[#This Row],[Liquidez
Oferente]]&lt;=1,1,IF(Proponentes[[#This Row],[Liquidez
Oferente]]&lt;=1.1,2,IF(Proponentes[[#This Row],[Liquidez
Oferente]]&lt;=1.2,3,IF(Proponentes[[#This Row],[Liquidez
Oferente]]&lt;=1.3,4,IF(Proponentes[[#This Row],[Liquidez
Oferente]]&lt;=1.4,5,6)))))</f>
        <v>6</v>
      </c>
      <c r="AE121" s="10">
        <f>IF(Proponentes[[#This Row],[Endeudamiento
Oferente]]&lt;=66%,6,IF(Proponentes[[#This Row],[Endeudamiento
Oferente]]&lt;=58,5,IF(Proponentes[[#This Row],[Endeudamiento
Oferente]]&lt;=70,4,IF(Proponentes[[#This Row],[Endeudamiento
Oferente]]&lt;=72,3,IF(Proponentes[[#This Row],[Endeudamiento
Oferente]]&lt;=74,2,1)))))</f>
        <v>6</v>
      </c>
      <c r="AF12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21" s="10">
        <f>IF(Proponentes[[#This Row],[Cap Op en SMMLV]]&lt;=500,1,IF(Proponentes[[#This Row],[Cap Op en SMMLV]]&lt;=1000,2,IF(Proponentes[[#This Row],[Cap Op en SMMLV]]&lt;=1500,3,IF(Proponentes[[#This Row],[Cap Op en SMMLV]]&lt;=2000,4,IF(Proponentes[[#This Row],[Cap Op en SMMLV]]&lt;=2500,5,6)))))</f>
        <v>1</v>
      </c>
      <c r="AH121" s="10">
        <f>MIN(Proponentes[[#This Row],[a]:[d]])</f>
        <v>1</v>
      </c>
      <c r="AI121" s="87">
        <f>IF(Proponentes[[#This Row],[e]]=Proponentes[[#This Row],[d]],Proponentes[[#This Row],[Cap Op en SMMLV]],VLOOKUP(Proponentes[[#This Row],[e]],Base!$D$1:$E$6,2,FALSE))</f>
        <v>243.84944424440212</v>
      </c>
      <c r="AJ121" s="101" t="str">
        <f>VLOOKUP(Proponentes[[#This Row],[Propuesta]],Hoja2!$A$2:$D$329,4,FALSE)</f>
        <v>NO CUMPLE</v>
      </c>
      <c r="AK121" s="101"/>
    </row>
    <row r="122" spans="1:37" ht="16" x14ac:dyDescent="0.2">
      <c r="A122" s="10">
        <v>121</v>
      </c>
      <c r="B122" s="11">
        <v>890400794</v>
      </c>
      <c r="C122" s="12" t="s">
        <v>183</v>
      </c>
      <c r="D122" s="13">
        <v>1165232893</v>
      </c>
      <c r="E122" s="13">
        <v>16618452258</v>
      </c>
      <c r="F122" s="25">
        <f>Proponentes[[#This Row],[Activo Corriente]]+Proponentes[[#This Row],[Activo NO Corriente]]</f>
        <v>17783685151</v>
      </c>
      <c r="G122" s="13">
        <v>361591707</v>
      </c>
      <c r="H122" s="13">
        <v>0</v>
      </c>
      <c r="I122" s="25">
        <f>Proponentes[[#This Row],[Pasivo Corriente]]+Proponentes[[#This Row],[Pasivo NO Corriente]]</f>
        <v>361591707</v>
      </c>
      <c r="J122" s="14">
        <f>Proponentes[[#This Row],[Total ACTIVO]]-Proponentes[[#This Row],[Total Pasivo]]</f>
        <v>17422093444</v>
      </c>
      <c r="K122" s="48">
        <f>VLOOKUP(Proponentes[[#This Row],[Propuesta]],Hoja2!$A$2:$G$239,7,FALSE)</f>
        <v>10471385217.211941</v>
      </c>
      <c r="L122" s="15"/>
      <c r="M122" s="15" t="s">
        <v>59</v>
      </c>
      <c r="N122" s="55">
        <f>IFERROR(VLOOKUP(Proponentes[[#This Row],[Cap Op en SMMLV]],Base!$A$15:$F$20,3),0)</f>
        <v>1.5</v>
      </c>
      <c r="O122" s="16">
        <f>IFERROR(VLOOKUP(Proponentes[[#This Row],[Cap Op en SMMLV]],Base!$A$15:$F$20,4),0)</f>
        <v>0.66</v>
      </c>
      <c r="P122" s="17">
        <f>IFERROR(VLOOKUP(Proponentes[[#This Row],[Cap Op en SMMLV]],Tabla2[],6),0)</f>
        <v>90.075000362268085</v>
      </c>
      <c r="Q122" s="18">
        <f>IFERROR(VLOOKUP(Proponentes[[#This Row],[Cap Op en SMMLV]],Base!$A$15:$F$20,5),0)</f>
        <v>74592549</v>
      </c>
      <c r="R122" s="18">
        <f>IFERROR(VLOOKUP(Proponentes[[#This Row],[Cap Op en SMMLV]],Tabla2[[DE]:[HASTA]],2),0)</f>
        <v>1000000</v>
      </c>
      <c r="S122" s="19">
        <f>IFERROR(Proponentes[[#This Row],[Activo Corriente]]/Proponentes[[#This Row],[Pasivo Corriente]],"INDETERMINADO")</f>
        <v>3.2225100035272658</v>
      </c>
      <c r="T122" s="20">
        <f>IFERROR(Proponentes[[#This Row],[Total Pasivo]]/Proponentes[[#This Row],[Total ACTIVO]],0)</f>
        <v>2.0332777145442616E-2</v>
      </c>
      <c r="U122" s="21">
        <f>(Proponentes[[#This Row],[Activo Corriente]]-Proponentes[[#This Row],[Pasivo Corriente]])/Base!$B$3</f>
        <v>970.44518642315813</v>
      </c>
      <c r="V122" s="22">
        <f>Proponentes[[#This Row],[Activo Corriente]]-Proponentes[[#This Row],[Pasivo Corriente]]</f>
        <v>803641186</v>
      </c>
      <c r="W122" s="13">
        <f>IFERROR(VLOOKUP(Proponentes[[#This Row],[Propuesta]],Hoja2!$A$2:$G$329,7,FALSE),0)</f>
        <v>10471385217.211941</v>
      </c>
      <c r="X122" s="83">
        <f>IF(Proponentes[[#This Row],[Cap Op en Pesos]]=0,0,IF(Proponentes[[#This Row],[Cap Op en Pesos]]=0,1,Proponentes[[#This Row],[Cap Op en Pesos]]/Base!B$3))</f>
        <v>12644.829006095693</v>
      </c>
      <c r="Y12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2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2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22" s="23" t="str">
        <f>IF(AND(Proponentes[[#This Row],[Cumple
Liquidez]]="CUMPLE",Proponentes[[#This Row],[Cumple
Endeudamiento]]="CUMPLE",Proponentes[[#This Row],[Cumple
Capital de Trabajo]]="CUMPLE"),"CUMPLE","NO CUMPLE")</f>
        <v>CUMPLE</v>
      </c>
      <c r="AC122" s="24"/>
      <c r="AD122" s="10">
        <f>IF(Proponentes[[#This Row],[Liquidez
Oferente]]&lt;=1,1,IF(Proponentes[[#This Row],[Liquidez
Oferente]]&lt;=1.1,2,IF(Proponentes[[#This Row],[Liquidez
Oferente]]&lt;=1.2,3,IF(Proponentes[[#This Row],[Liquidez
Oferente]]&lt;=1.3,4,IF(Proponentes[[#This Row],[Liquidez
Oferente]]&lt;=1.4,5,6)))))</f>
        <v>6</v>
      </c>
      <c r="AE122" s="10">
        <f>IF(Proponentes[[#This Row],[Endeudamiento
Oferente]]&lt;=66%,6,IF(Proponentes[[#This Row],[Endeudamiento
Oferente]]&lt;=58,5,IF(Proponentes[[#This Row],[Endeudamiento
Oferente]]&lt;=70,4,IF(Proponentes[[#This Row],[Endeudamiento
Oferente]]&lt;=72,3,IF(Proponentes[[#This Row],[Endeudamiento
Oferente]]&lt;=74,2,1)))))</f>
        <v>6</v>
      </c>
      <c r="AF12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22" s="10">
        <f>IF(Proponentes[[#This Row],[Cap Op en SMMLV]]&lt;=500,1,IF(Proponentes[[#This Row],[Cap Op en SMMLV]]&lt;=1000,2,IF(Proponentes[[#This Row],[Cap Op en SMMLV]]&lt;=1500,3,IF(Proponentes[[#This Row],[Cap Op en SMMLV]]&lt;=2000,4,IF(Proponentes[[#This Row],[Cap Op en SMMLV]]&lt;=2500,5,6)))))</f>
        <v>6</v>
      </c>
      <c r="AH122" s="10">
        <f>MIN(Proponentes[[#This Row],[a]:[d]])</f>
        <v>6</v>
      </c>
      <c r="AI122" s="87">
        <f>IF(Proponentes[[#This Row],[e]]=Proponentes[[#This Row],[d]],Proponentes[[#This Row],[Cap Op en SMMLV]],VLOOKUP(Proponentes[[#This Row],[e]],Base!$D$1:$E$6,2,FALSE))</f>
        <v>12644.829006095693</v>
      </c>
      <c r="AJ122" s="101" t="str">
        <f>VLOOKUP(Proponentes[[#This Row],[Propuesta]],Hoja2!$A$2:$D$329,4,FALSE)</f>
        <v>CUMPLE</v>
      </c>
      <c r="AK122" s="101"/>
    </row>
    <row r="123" spans="1:37" ht="16" x14ac:dyDescent="0.2">
      <c r="A123" s="10">
        <v>122</v>
      </c>
      <c r="B123" s="11">
        <v>820002498</v>
      </c>
      <c r="C123" s="12" t="s">
        <v>184</v>
      </c>
      <c r="D123" s="13">
        <v>106203312</v>
      </c>
      <c r="E123" s="13">
        <v>1676414920</v>
      </c>
      <c r="F123" s="25">
        <f>Proponentes[[#This Row],[Activo Corriente]]+Proponentes[[#This Row],[Activo NO Corriente]]</f>
        <v>1782618232</v>
      </c>
      <c r="G123" s="13">
        <v>2440506</v>
      </c>
      <c r="H123" s="13">
        <v>0</v>
      </c>
      <c r="I123" s="25">
        <f>Proponentes[[#This Row],[Pasivo Corriente]]+Proponentes[[#This Row],[Pasivo NO Corriente]]</f>
        <v>2440506</v>
      </c>
      <c r="J123" s="14">
        <f>Proponentes[[#This Row],[Total ACTIVO]]-Proponentes[[#This Row],[Total Pasivo]]</f>
        <v>1780177726</v>
      </c>
      <c r="K123" s="48">
        <f>VLOOKUP(Proponentes[[#This Row],[Propuesta]],Hoja2!$A$2:$G$239,7,FALSE)</f>
        <v>23879109.896401316</v>
      </c>
      <c r="L123" s="15"/>
      <c r="M123" s="15" t="s">
        <v>59</v>
      </c>
      <c r="N123" s="55">
        <f>IFERROR(VLOOKUP(Proponentes[[#This Row],[Cap Op en SMMLV]],Base!$A$15:$F$20,3),0)</f>
        <v>1</v>
      </c>
      <c r="O123" s="16">
        <f>IFERROR(VLOOKUP(Proponentes[[#This Row],[Cap Op en SMMLV]],Base!$A$15:$F$20,4),0)</f>
        <v>0.76</v>
      </c>
      <c r="P123" s="17">
        <f>IFERROR(VLOOKUP(Proponentes[[#This Row],[Cap Op en SMMLV]],Tabla2[],6),0)</f>
        <v>12.5</v>
      </c>
      <c r="Q123" s="18">
        <f>IFERROR(VLOOKUP(Proponentes[[#This Row],[Cap Op en SMMLV]],Base!$A$15:$F$20,5),0)</f>
        <v>10351450</v>
      </c>
      <c r="R123" s="18">
        <f>IFERROR(VLOOKUP(Proponentes[[#This Row],[Cap Op en SMMLV]],Tabla2[[DE]:[HASTA]],2),0)</f>
        <v>500</v>
      </c>
      <c r="S123" s="19">
        <f>IFERROR(Proponentes[[#This Row],[Activo Corriente]]/Proponentes[[#This Row],[Pasivo Corriente]],"INDETERMINADO")</f>
        <v>43.516923129875529</v>
      </c>
      <c r="T123" s="20">
        <f>IFERROR(Proponentes[[#This Row],[Total Pasivo]]/Proponentes[[#This Row],[Total ACTIVO]],0)</f>
        <v>1.369057017475854E-3</v>
      </c>
      <c r="U123" s="21">
        <f>(Proponentes[[#This Row],[Activo Corriente]]-Proponentes[[#This Row],[Pasivo Corriente]])/Base!$B$3</f>
        <v>125.29984446623421</v>
      </c>
      <c r="V123" s="22">
        <f>Proponentes[[#This Row],[Activo Corriente]]-Proponentes[[#This Row],[Pasivo Corriente]]</f>
        <v>103762806</v>
      </c>
      <c r="W123" s="13">
        <f>IFERROR(VLOOKUP(Proponentes[[#This Row],[Propuesta]],Hoja2!$A$2:$G$329,7,FALSE),0)</f>
        <v>23879109.896401316</v>
      </c>
      <c r="X123" s="83">
        <f>IF(Proponentes[[#This Row],[Cap Op en Pesos]]=0,0,IF(Proponentes[[#This Row],[Cap Op en Pesos]]=0,1,Proponentes[[#This Row],[Cap Op en Pesos]]/Base!B$3))</f>
        <v>28.835464954669774</v>
      </c>
      <c r="Y12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2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2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23" s="23" t="str">
        <f>IF(AND(Proponentes[[#This Row],[Cumple
Liquidez]]="CUMPLE",Proponentes[[#This Row],[Cumple
Endeudamiento]]="CUMPLE",Proponentes[[#This Row],[Cumple
Capital de Trabajo]]="CUMPLE"),"CUMPLE","NO CUMPLE")</f>
        <v>CUMPLE</v>
      </c>
      <c r="AC123" s="24"/>
      <c r="AD123" s="10">
        <f>IF(Proponentes[[#This Row],[Liquidez
Oferente]]&lt;=1,1,IF(Proponentes[[#This Row],[Liquidez
Oferente]]&lt;=1.1,2,IF(Proponentes[[#This Row],[Liquidez
Oferente]]&lt;=1.2,3,IF(Proponentes[[#This Row],[Liquidez
Oferente]]&lt;=1.3,4,IF(Proponentes[[#This Row],[Liquidez
Oferente]]&lt;=1.4,5,6)))))</f>
        <v>6</v>
      </c>
      <c r="AE123" s="10">
        <f>IF(Proponentes[[#This Row],[Endeudamiento
Oferente]]&lt;=66%,6,IF(Proponentes[[#This Row],[Endeudamiento
Oferente]]&lt;=58,5,IF(Proponentes[[#This Row],[Endeudamiento
Oferente]]&lt;=70,4,IF(Proponentes[[#This Row],[Endeudamiento
Oferente]]&lt;=72,3,IF(Proponentes[[#This Row],[Endeudamiento
Oferente]]&lt;=74,2,1)))))</f>
        <v>6</v>
      </c>
      <c r="AF12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23" s="10">
        <f>IF(Proponentes[[#This Row],[Cap Op en SMMLV]]&lt;=500,1,IF(Proponentes[[#This Row],[Cap Op en SMMLV]]&lt;=1000,2,IF(Proponentes[[#This Row],[Cap Op en SMMLV]]&lt;=1500,3,IF(Proponentes[[#This Row],[Cap Op en SMMLV]]&lt;=2000,4,IF(Proponentes[[#This Row],[Cap Op en SMMLV]]&lt;=2500,5,6)))))</f>
        <v>1</v>
      </c>
      <c r="AH123" s="10">
        <f>MIN(Proponentes[[#This Row],[a]:[d]])</f>
        <v>1</v>
      </c>
      <c r="AI123" s="87">
        <f>IF(Proponentes[[#This Row],[e]]=Proponentes[[#This Row],[d]],Proponentes[[#This Row],[Cap Op en SMMLV]],VLOOKUP(Proponentes[[#This Row],[e]],Base!$D$1:$E$6,2,FALSE))</f>
        <v>28.835464954669774</v>
      </c>
      <c r="AJ123" s="101" t="str">
        <f>VLOOKUP(Proponentes[[#This Row],[Propuesta]],Hoja2!$A$2:$D$329,4,FALSE)</f>
        <v>NO CUMPLE</v>
      </c>
      <c r="AK123" s="101"/>
    </row>
    <row r="124" spans="1:37" ht="32" x14ac:dyDescent="0.2">
      <c r="A124" s="10">
        <v>123</v>
      </c>
      <c r="B124" s="11">
        <v>890303178</v>
      </c>
      <c r="C124" s="12" t="s">
        <v>185</v>
      </c>
      <c r="D124" s="13">
        <v>3354650774</v>
      </c>
      <c r="E124" s="13">
        <v>8154826869</v>
      </c>
      <c r="F124" s="25">
        <f>Proponentes[[#This Row],[Activo Corriente]]+Proponentes[[#This Row],[Activo NO Corriente]]</f>
        <v>11509477643</v>
      </c>
      <c r="G124" s="13">
        <v>1520202213</v>
      </c>
      <c r="H124" s="13">
        <v>104825000</v>
      </c>
      <c r="I124" s="25">
        <f>Proponentes[[#This Row],[Pasivo Corriente]]+Proponentes[[#This Row],[Pasivo NO Corriente]]</f>
        <v>1625027213</v>
      </c>
      <c r="J124" s="14">
        <f>Proponentes[[#This Row],[Total ACTIVO]]-Proponentes[[#This Row],[Total Pasivo]]</f>
        <v>9884450430</v>
      </c>
      <c r="K124" s="48">
        <f>VLOOKUP(Proponentes[[#This Row],[Propuesta]],Hoja2!$A$2:$G$239,7,FALSE)</f>
        <v>990407030.25321257</v>
      </c>
      <c r="L124" s="15"/>
      <c r="M124" s="15" t="s">
        <v>59</v>
      </c>
      <c r="N124" s="55">
        <f>IFERROR(VLOOKUP(Proponentes[[#This Row],[Cap Op en SMMLV]],Base!$A$15:$F$20,3),0)</f>
        <v>1.2</v>
      </c>
      <c r="O124" s="16">
        <f>IFERROR(VLOOKUP(Proponentes[[#This Row],[Cap Op en SMMLV]],Base!$A$15:$F$20,4),0)</f>
        <v>0.72</v>
      </c>
      <c r="P124" s="17">
        <f>IFERROR(VLOOKUP(Proponentes[[#This Row],[Cap Op en SMMLV]],Tabla2[],6),0)</f>
        <v>37.5</v>
      </c>
      <c r="Q124" s="18">
        <f>IFERROR(VLOOKUP(Proponentes[[#This Row],[Cap Op en SMMLV]],Base!$A$15:$F$20,5),0)</f>
        <v>31054350</v>
      </c>
      <c r="R124" s="18">
        <f>IFERROR(VLOOKUP(Proponentes[[#This Row],[Cap Op en SMMLV]],Tabla2[[DE]:[HASTA]],2),0)</f>
        <v>1500</v>
      </c>
      <c r="S124" s="19">
        <f>IFERROR(Proponentes[[#This Row],[Activo Corriente]]/Proponentes[[#This Row],[Pasivo Corriente]],"INDETERMINADO")</f>
        <v>2.2067135183153428</v>
      </c>
      <c r="T124" s="20">
        <f>IFERROR(Proponentes[[#This Row],[Total Pasivo]]/Proponentes[[#This Row],[Total ACTIVO]],0)</f>
        <v>0.14119035315111217</v>
      </c>
      <c r="U124" s="21">
        <f>(Proponentes[[#This Row],[Activo Corriente]]-Proponentes[[#This Row],[Pasivo Corriente]])/Base!$B$3</f>
        <v>2215.2072427051285</v>
      </c>
      <c r="V124" s="22">
        <f>Proponentes[[#This Row],[Activo Corriente]]-Proponentes[[#This Row],[Pasivo Corriente]]</f>
        <v>1834448561</v>
      </c>
      <c r="W124" s="13">
        <f>IFERROR(VLOOKUP(Proponentes[[#This Row],[Propuesta]],Hoja2!$A$2:$G$329,7,FALSE),0)</f>
        <v>990407030.25321257</v>
      </c>
      <c r="X124" s="83">
        <f>IF(Proponentes[[#This Row],[Cap Op en Pesos]]=0,0,IF(Proponentes[[#This Row],[Cap Op en Pesos]]=0,1,Proponentes[[#This Row],[Cap Op en Pesos]]/Base!B$3))</f>
        <v>1195.9762041226261</v>
      </c>
      <c r="Y12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2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2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24" s="23" t="str">
        <f>IF(AND(Proponentes[[#This Row],[Cumple
Liquidez]]="CUMPLE",Proponentes[[#This Row],[Cumple
Endeudamiento]]="CUMPLE",Proponentes[[#This Row],[Cumple
Capital de Trabajo]]="CUMPLE"),"CUMPLE","NO CUMPLE")</f>
        <v>CUMPLE</v>
      </c>
      <c r="AC124" s="24"/>
      <c r="AD124" s="10">
        <f>IF(Proponentes[[#This Row],[Liquidez
Oferente]]&lt;=1,1,IF(Proponentes[[#This Row],[Liquidez
Oferente]]&lt;=1.1,2,IF(Proponentes[[#This Row],[Liquidez
Oferente]]&lt;=1.2,3,IF(Proponentes[[#This Row],[Liquidez
Oferente]]&lt;=1.3,4,IF(Proponentes[[#This Row],[Liquidez
Oferente]]&lt;=1.4,5,6)))))</f>
        <v>6</v>
      </c>
      <c r="AE124" s="10">
        <f>IF(Proponentes[[#This Row],[Endeudamiento
Oferente]]&lt;=66%,6,IF(Proponentes[[#This Row],[Endeudamiento
Oferente]]&lt;=58,5,IF(Proponentes[[#This Row],[Endeudamiento
Oferente]]&lt;=70,4,IF(Proponentes[[#This Row],[Endeudamiento
Oferente]]&lt;=72,3,IF(Proponentes[[#This Row],[Endeudamiento
Oferente]]&lt;=74,2,1)))))</f>
        <v>6</v>
      </c>
      <c r="AF12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24" s="10">
        <f>IF(Proponentes[[#This Row],[Cap Op en SMMLV]]&lt;=500,1,IF(Proponentes[[#This Row],[Cap Op en SMMLV]]&lt;=1000,2,IF(Proponentes[[#This Row],[Cap Op en SMMLV]]&lt;=1500,3,IF(Proponentes[[#This Row],[Cap Op en SMMLV]]&lt;=2000,4,IF(Proponentes[[#This Row],[Cap Op en SMMLV]]&lt;=2500,5,6)))))</f>
        <v>3</v>
      </c>
      <c r="AH124" s="10">
        <f>MIN(Proponentes[[#This Row],[a]:[d]])</f>
        <v>3</v>
      </c>
      <c r="AI124" s="87">
        <f>IF(Proponentes[[#This Row],[e]]=Proponentes[[#This Row],[d]],Proponentes[[#This Row],[Cap Op en SMMLV]],VLOOKUP(Proponentes[[#This Row],[e]],Base!$D$1:$E$6,2,FALSE))</f>
        <v>1195.9762041226261</v>
      </c>
      <c r="AJ124" s="101" t="str">
        <f>VLOOKUP(Proponentes[[#This Row],[Propuesta]],Hoja2!$A$2:$D$329,4,FALSE)</f>
        <v>CUMPLE</v>
      </c>
      <c r="AK124" s="101"/>
    </row>
    <row r="125" spans="1:37" ht="16" x14ac:dyDescent="0.2">
      <c r="A125" s="10">
        <v>124</v>
      </c>
      <c r="B125" s="11">
        <v>830107985</v>
      </c>
      <c r="C125" s="12" t="s">
        <v>186</v>
      </c>
      <c r="D125" s="13">
        <v>1661707041</v>
      </c>
      <c r="E125" s="13">
        <v>864324195</v>
      </c>
      <c r="F125" s="25">
        <f>Proponentes[[#This Row],[Activo Corriente]]+Proponentes[[#This Row],[Activo NO Corriente]]</f>
        <v>2526031236</v>
      </c>
      <c r="G125" s="13">
        <v>28219154</v>
      </c>
      <c r="H125" s="13">
        <v>0</v>
      </c>
      <c r="I125" s="25">
        <f>Proponentes[[#This Row],[Pasivo Corriente]]+Proponentes[[#This Row],[Pasivo NO Corriente]]</f>
        <v>28219154</v>
      </c>
      <c r="J125" s="14">
        <f>Proponentes[[#This Row],[Total ACTIVO]]-Proponentes[[#This Row],[Total Pasivo]]</f>
        <v>2497812082</v>
      </c>
      <c r="K125" s="48">
        <f>VLOOKUP(Proponentes[[#This Row],[Propuesta]],Hoja2!$A$2:$G$239,7,FALSE)</f>
        <v>1029363373.1567405</v>
      </c>
      <c r="L125" s="15"/>
      <c r="M125" s="15" t="s">
        <v>59</v>
      </c>
      <c r="N125" s="55">
        <f>IFERROR(VLOOKUP(Proponentes[[#This Row],[Cap Op en SMMLV]],Base!$A$15:$F$20,3),0)</f>
        <v>1.2</v>
      </c>
      <c r="O125" s="16">
        <f>IFERROR(VLOOKUP(Proponentes[[#This Row],[Cap Op en SMMLV]],Base!$A$15:$F$20,4),0)</f>
        <v>0.72</v>
      </c>
      <c r="P125" s="17">
        <f>IFERROR(VLOOKUP(Proponentes[[#This Row],[Cap Op en SMMLV]],Tabla2[],6),0)</f>
        <v>37.5</v>
      </c>
      <c r="Q125" s="18">
        <f>IFERROR(VLOOKUP(Proponentes[[#This Row],[Cap Op en SMMLV]],Base!$A$15:$F$20,5),0)</f>
        <v>31054350</v>
      </c>
      <c r="R125" s="18">
        <f>IFERROR(VLOOKUP(Proponentes[[#This Row],[Cap Op en SMMLV]],Tabla2[[DE]:[HASTA]],2),0)</f>
        <v>1500</v>
      </c>
      <c r="S125" s="19">
        <f>IFERROR(Proponentes[[#This Row],[Activo Corriente]]/Proponentes[[#This Row],[Pasivo Corriente]],"INDETERMINADO")</f>
        <v>58.885785201072999</v>
      </c>
      <c r="T125" s="20">
        <f>IFERROR(Proponentes[[#This Row],[Total Pasivo]]/Proponentes[[#This Row],[Total ACTIVO]],0)</f>
        <v>1.1171340083935525E-2</v>
      </c>
      <c r="U125" s="21">
        <f>(Proponentes[[#This Row],[Activo Corriente]]-Proponentes[[#This Row],[Pasivo Corriente]])/Base!$B$3</f>
        <v>1972.5351122306536</v>
      </c>
      <c r="V125" s="22">
        <f>Proponentes[[#This Row],[Activo Corriente]]-Proponentes[[#This Row],[Pasivo Corriente]]</f>
        <v>1633487887</v>
      </c>
      <c r="W125" s="13">
        <f>IFERROR(VLOOKUP(Proponentes[[#This Row],[Propuesta]],Hoja2!$A$2:$G$329,7,FALSE),0)</f>
        <v>1029363373.1567405</v>
      </c>
      <c r="X125" s="83">
        <f>IF(Proponentes[[#This Row],[Cap Op en Pesos]]=0,0,IF(Proponentes[[#This Row],[Cap Op en Pesos]]=0,1,Proponentes[[#This Row],[Cap Op en Pesos]]/Base!B$3))</f>
        <v>1243.0183369923302</v>
      </c>
      <c r="Y12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2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2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25" s="23" t="str">
        <f>IF(AND(Proponentes[[#This Row],[Cumple
Liquidez]]="CUMPLE",Proponentes[[#This Row],[Cumple
Endeudamiento]]="CUMPLE",Proponentes[[#This Row],[Cumple
Capital de Trabajo]]="CUMPLE"),"CUMPLE","NO CUMPLE")</f>
        <v>CUMPLE</v>
      </c>
      <c r="AC125" s="24"/>
      <c r="AD125" s="10">
        <f>IF(Proponentes[[#This Row],[Liquidez
Oferente]]&lt;=1,1,IF(Proponentes[[#This Row],[Liquidez
Oferente]]&lt;=1.1,2,IF(Proponentes[[#This Row],[Liquidez
Oferente]]&lt;=1.2,3,IF(Proponentes[[#This Row],[Liquidez
Oferente]]&lt;=1.3,4,IF(Proponentes[[#This Row],[Liquidez
Oferente]]&lt;=1.4,5,6)))))</f>
        <v>6</v>
      </c>
      <c r="AE125" s="10">
        <f>IF(Proponentes[[#This Row],[Endeudamiento
Oferente]]&lt;=66%,6,IF(Proponentes[[#This Row],[Endeudamiento
Oferente]]&lt;=58,5,IF(Proponentes[[#This Row],[Endeudamiento
Oferente]]&lt;=70,4,IF(Proponentes[[#This Row],[Endeudamiento
Oferente]]&lt;=72,3,IF(Proponentes[[#This Row],[Endeudamiento
Oferente]]&lt;=74,2,1)))))</f>
        <v>6</v>
      </c>
      <c r="AF12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25" s="10">
        <f>IF(Proponentes[[#This Row],[Cap Op en SMMLV]]&lt;=500,1,IF(Proponentes[[#This Row],[Cap Op en SMMLV]]&lt;=1000,2,IF(Proponentes[[#This Row],[Cap Op en SMMLV]]&lt;=1500,3,IF(Proponentes[[#This Row],[Cap Op en SMMLV]]&lt;=2000,4,IF(Proponentes[[#This Row],[Cap Op en SMMLV]]&lt;=2500,5,6)))))</f>
        <v>3</v>
      </c>
      <c r="AH125" s="10">
        <f>MIN(Proponentes[[#This Row],[a]:[d]])</f>
        <v>3</v>
      </c>
      <c r="AI125" s="87">
        <f>IF(Proponentes[[#This Row],[e]]=Proponentes[[#This Row],[d]],Proponentes[[#This Row],[Cap Op en SMMLV]],VLOOKUP(Proponentes[[#This Row],[e]],Base!$D$1:$E$6,2,FALSE))</f>
        <v>1243.0183369923302</v>
      </c>
      <c r="AJ125" s="101" t="str">
        <f>VLOOKUP(Proponentes[[#This Row],[Propuesta]],Hoja2!$A$2:$D$329,4,FALSE)</f>
        <v>CUMPLE</v>
      </c>
      <c r="AK125" s="101"/>
    </row>
    <row r="126" spans="1:37" ht="16" x14ac:dyDescent="0.2">
      <c r="A126" s="10">
        <v>125</v>
      </c>
      <c r="B126" s="11">
        <v>825002112</v>
      </c>
      <c r="C126" s="12" t="s">
        <v>187</v>
      </c>
      <c r="D126" s="13">
        <v>1021913000</v>
      </c>
      <c r="E126" s="13">
        <v>210045000</v>
      </c>
      <c r="F126" s="25">
        <f>Proponentes[[#This Row],[Activo Corriente]]+Proponentes[[#This Row],[Activo NO Corriente]]</f>
        <v>1231958000</v>
      </c>
      <c r="G126" s="13">
        <v>633961000</v>
      </c>
      <c r="H126" s="13">
        <v>5324000</v>
      </c>
      <c r="I126" s="25">
        <f>Proponentes[[#This Row],[Pasivo Corriente]]+Proponentes[[#This Row],[Pasivo NO Corriente]]</f>
        <v>639285000</v>
      </c>
      <c r="J126" s="14">
        <f>Proponentes[[#This Row],[Total ACTIVO]]-Proponentes[[#This Row],[Total Pasivo]]</f>
        <v>592673000</v>
      </c>
      <c r="K126" s="48">
        <f>VLOOKUP(Proponentes[[#This Row],[Propuesta]],Hoja2!$A$2:$G$239,7,FALSE)</f>
        <v>0</v>
      </c>
      <c r="L126" s="15"/>
      <c r="M126" s="15" t="s">
        <v>188</v>
      </c>
      <c r="N126" s="55">
        <f>IFERROR(VLOOKUP(Proponentes[[#This Row],[Cap Op en SMMLV]],Base!$A$15:$F$20,3),0)</f>
        <v>0</v>
      </c>
      <c r="O126" s="16">
        <f>IFERROR(VLOOKUP(Proponentes[[#This Row],[Cap Op en SMMLV]],Base!$A$15:$F$20,4),0)</f>
        <v>0</v>
      </c>
      <c r="P126" s="17">
        <f>IFERROR(VLOOKUP(Proponentes[[#This Row],[Cap Op en SMMLV]],Tabla2[],6),0)</f>
        <v>0</v>
      </c>
      <c r="Q126" s="18">
        <f>IFERROR(VLOOKUP(Proponentes[[#This Row],[Cap Op en SMMLV]],Base!$A$15:$F$20,5),0)</f>
        <v>0</v>
      </c>
      <c r="R126" s="18">
        <f>IFERROR(VLOOKUP(Proponentes[[#This Row],[Cap Op en SMMLV]],Tabla2[[DE]:[HASTA]],2),0)</f>
        <v>0</v>
      </c>
      <c r="S126" s="19">
        <f>IFERROR(Proponentes[[#This Row],[Activo Corriente]]/Proponentes[[#This Row],[Pasivo Corriente]],"INDETERMINADO")</f>
        <v>1.6119493154941709</v>
      </c>
      <c r="T126" s="20">
        <f>IFERROR(Proponentes[[#This Row],[Total Pasivo]]/Proponentes[[#This Row],[Total ACTIVO]],0)</f>
        <v>0.51891785271900503</v>
      </c>
      <c r="U126" s="21">
        <f>(Proponentes[[#This Row],[Activo Corriente]]-Proponentes[[#This Row],[Pasivo Corriente]])/Base!$B$3</f>
        <v>468.47543097826872</v>
      </c>
      <c r="V126" s="22">
        <f>Proponentes[[#This Row],[Activo Corriente]]-Proponentes[[#This Row],[Pasivo Corriente]]</f>
        <v>387952000</v>
      </c>
      <c r="W126" s="13">
        <f>IFERROR(VLOOKUP(Proponentes[[#This Row],[Propuesta]],Hoja2!$A$2:$G$329,7,FALSE),0)</f>
        <v>0</v>
      </c>
      <c r="X126" s="83">
        <f>IF(Proponentes[[#This Row],[Cap Op en Pesos]]=0,0,IF(Proponentes[[#This Row],[Cap Op en Pesos]]=0,1,Proponentes[[#This Row],[Cap Op en Pesos]]/Base!B$3))</f>
        <v>0</v>
      </c>
      <c r="Y12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2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2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26" s="23" t="str">
        <f>IF(AND(Proponentes[[#This Row],[Cumple
Liquidez]]="CUMPLE",Proponentes[[#This Row],[Cumple
Endeudamiento]]="CUMPLE",Proponentes[[#This Row],[Cumple
Capital de Trabajo]]="CUMPLE"),"CUMPLE","NO CUMPLE")</f>
        <v>NO CUMPLE</v>
      </c>
      <c r="AC126" s="24"/>
      <c r="AD126" s="10">
        <f>IF(Proponentes[[#This Row],[Liquidez
Oferente]]&lt;=1,1,IF(Proponentes[[#This Row],[Liquidez
Oferente]]&lt;=1.1,2,IF(Proponentes[[#This Row],[Liquidez
Oferente]]&lt;=1.2,3,IF(Proponentes[[#This Row],[Liquidez
Oferente]]&lt;=1.3,4,IF(Proponentes[[#This Row],[Liquidez
Oferente]]&lt;=1.4,5,6)))))</f>
        <v>6</v>
      </c>
      <c r="AE126" s="10">
        <f>IF(Proponentes[[#This Row],[Endeudamiento
Oferente]]&lt;=66%,6,IF(Proponentes[[#This Row],[Endeudamiento
Oferente]]&lt;=58,5,IF(Proponentes[[#This Row],[Endeudamiento
Oferente]]&lt;=70,4,IF(Proponentes[[#This Row],[Endeudamiento
Oferente]]&lt;=72,3,IF(Proponentes[[#This Row],[Endeudamiento
Oferente]]&lt;=74,2,1)))))</f>
        <v>6</v>
      </c>
      <c r="AF12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26" s="10">
        <f>IF(Proponentes[[#This Row],[Cap Op en SMMLV]]&lt;=500,1,IF(Proponentes[[#This Row],[Cap Op en SMMLV]]&lt;=1000,2,IF(Proponentes[[#This Row],[Cap Op en SMMLV]]&lt;=1500,3,IF(Proponentes[[#This Row],[Cap Op en SMMLV]]&lt;=2000,4,IF(Proponentes[[#This Row],[Cap Op en SMMLV]]&lt;=2500,5,6)))))</f>
        <v>1</v>
      </c>
      <c r="AH126" s="10">
        <f>MIN(Proponentes[[#This Row],[a]:[d]])</f>
        <v>1</v>
      </c>
      <c r="AI126" s="87">
        <f>IF(Proponentes[[#This Row],[e]]=Proponentes[[#This Row],[d]],Proponentes[[#This Row],[Cap Op en SMMLV]],VLOOKUP(Proponentes[[#This Row],[e]],Base!$D$1:$E$6,2,FALSE))</f>
        <v>0</v>
      </c>
      <c r="AJ126" s="101" t="str">
        <f>VLOOKUP(Proponentes[[#This Row],[Propuesta]],Hoja2!$A$2:$D$329,4,FALSE)</f>
        <v>NO CUMPLE</v>
      </c>
      <c r="AK126" s="101"/>
    </row>
    <row r="127" spans="1:37" ht="16" x14ac:dyDescent="0.2">
      <c r="A127" s="10">
        <v>126</v>
      </c>
      <c r="B127" s="11">
        <v>890984938</v>
      </c>
      <c r="C127" s="12" t="s">
        <v>189</v>
      </c>
      <c r="D127" s="13">
        <v>6778538040</v>
      </c>
      <c r="E127" s="13">
        <v>10450506389</v>
      </c>
      <c r="F127" s="25">
        <f>Proponentes[[#This Row],[Activo Corriente]]+Proponentes[[#This Row],[Activo NO Corriente]]</f>
        <v>17229044429</v>
      </c>
      <c r="G127" s="13">
        <v>1920329214</v>
      </c>
      <c r="H127" s="13">
        <v>0</v>
      </c>
      <c r="I127" s="25">
        <f>Proponentes[[#This Row],[Pasivo Corriente]]+Proponentes[[#This Row],[Pasivo NO Corriente]]</f>
        <v>1920329214</v>
      </c>
      <c r="J127" s="14">
        <f>Proponentes[[#This Row],[Total ACTIVO]]-Proponentes[[#This Row],[Total Pasivo]]</f>
        <v>15308715215</v>
      </c>
      <c r="K127" s="48">
        <f>VLOOKUP(Proponentes[[#This Row],[Propuesta]],Hoja2!$A$2:$G$239,7,FALSE)</f>
        <v>1402620542.2983754</v>
      </c>
      <c r="L127" s="15"/>
      <c r="M127" s="15" t="s">
        <v>59</v>
      </c>
      <c r="N127" s="55">
        <f>IFERROR(VLOOKUP(Proponentes[[#This Row],[Cap Op en SMMLV]],Base!$A$15:$F$20,3),0)</f>
        <v>1.3</v>
      </c>
      <c r="O127" s="16">
        <f>IFERROR(VLOOKUP(Proponentes[[#This Row],[Cap Op en SMMLV]],Base!$A$15:$F$20,4),0)</f>
        <v>0.7</v>
      </c>
      <c r="P127" s="17">
        <f>IFERROR(VLOOKUP(Proponentes[[#This Row],[Cap Op en SMMLV]],Tabla2[],6),0)</f>
        <v>50</v>
      </c>
      <c r="Q127" s="18">
        <f>IFERROR(VLOOKUP(Proponentes[[#This Row],[Cap Op en SMMLV]],Base!$A$15:$F$20,5),0)</f>
        <v>41405800</v>
      </c>
      <c r="R127" s="18">
        <f>IFERROR(VLOOKUP(Proponentes[[#This Row],[Cap Op en SMMLV]],Tabla2[[DE]:[HASTA]],2),0)</f>
        <v>2000</v>
      </c>
      <c r="S127" s="19">
        <f>IFERROR(Proponentes[[#This Row],[Activo Corriente]]/Proponentes[[#This Row],[Pasivo Corriente]],"INDETERMINADO")</f>
        <v>3.5298833088522708</v>
      </c>
      <c r="T127" s="20">
        <f>IFERROR(Proponentes[[#This Row],[Total Pasivo]]/Proponentes[[#This Row],[Total ACTIVO]],0)</f>
        <v>0.11145883463900609</v>
      </c>
      <c r="U127" s="21">
        <f>(Proponentes[[#This Row],[Activo Corriente]]-Proponentes[[#This Row],[Pasivo Corriente]])/Base!$B$3</f>
        <v>5866.5800757381812</v>
      </c>
      <c r="V127" s="22">
        <f>Proponentes[[#This Row],[Activo Corriente]]-Proponentes[[#This Row],[Pasivo Corriente]]</f>
        <v>4858208826</v>
      </c>
      <c r="W127" s="13">
        <f>IFERROR(VLOOKUP(Proponentes[[#This Row],[Propuesta]],Hoja2!$A$2:$G$329,7,FALSE),0)</f>
        <v>1402620542.2983754</v>
      </c>
      <c r="X127" s="83">
        <f>IF(Proponentes[[#This Row],[Cap Op en Pesos]]=0,0,IF(Proponentes[[#This Row],[Cap Op en Pesos]]=0,1,Proponentes[[#This Row],[Cap Op en Pesos]]/Base!B$3))</f>
        <v>1693.7488737065523</v>
      </c>
      <c r="Y12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2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2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27" s="23" t="str">
        <f>IF(AND(Proponentes[[#This Row],[Cumple
Liquidez]]="CUMPLE",Proponentes[[#This Row],[Cumple
Endeudamiento]]="CUMPLE",Proponentes[[#This Row],[Cumple
Capital de Trabajo]]="CUMPLE"),"CUMPLE","NO CUMPLE")</f>
        <v>CUMPLE</v>
      </c>
      <c r="AC127" s="24"/>
      <c r="AD127" s="10">
        <f>IF(Proponentes[[#This Row],[Liquidez
Oferente]]&lt;=1,1,IF(Proponentes[[#This Row],[Liquidez
Oferente]]&lt;=1.1,2,IF(Proponentes[[#This Row],[Liquidez
Oferente]]&lt;=1.2,3,IF(Proponentes[[#This Row],[Liquidez
Oferente]]&lt;=1.3,4,IF(Proponentes[[#This Row],[Liquidez
Oferente]]&lt;=1.4,5,6)))))</f>
        <v>6</v>
      </c>
      <c r="AE127" s="10">
        <f>IF(Proponentes[[#This Row],[Endeudamiento
Oferente]]&lt;=66%,6,IF(Proponentes[[#This Row],[Endeudamiento
Oferente]]&lt;=58,5,IF(Proponentes[[#This Row],[Endeudamiento
Oferente]]&lt;=70,4,IF(Proponentes[[#This Row],[Endeudamiento
Oferente]]&lt;=72,3,IF(Proponentes[[#This Row],[Endeudamiento
Oferente]]&lt;=74,2,1)))))</f>
        <v>6</v>
      </c>
      <c r="AF12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27" s="10">
        <f>IF(Proponentes[[#This Row],[Cap Op en SMMLV]]&lt;=500,1,IF(Proponentes[[#This Row],[Cap Op en SMMLV]]&lt;=1000,2,IF(Proponentes[[#This Row],[Cap Op en SMMLV]]&lt;=1500,3,IF(Proponentes[[#This Row],[Cap Op en SMMLV]]&lt;=2000,4,IF(Proponentes[[#This Row],[Cap Op en SMMLV]]&lt;=2500,5,6)))))</f>
        <v>4</v>
      </c>
      <c r="AH127" s="10">
        <f>MIN(Proponentes[[#This Row],[a]:[d]])</f>
        <v>4</v>
      </c>
      <c r="AI127" s="87">
        <f>IF(Proponentes[[#This Row],[e]]=Proponentes[[#This Row],[d]],Proponentes[[#This Row],[Cap Op en SMMLV]],VLOOKUP(Proponentes[[#This Row],[e]],Base!$D$1:$E$6,2,FALSE))</f>
        <v>1693.7488737065523</v>
      </c>
      <c r="AJ127" s="101" t="str">
        <f>VLOOKUP(Proponentes[[#This Row],[Propuesta]],Hoja2!$A$2:$D$329,4,FALSE)</f>
        <v>CUMPLE</v>
      </c>
      <c r="AK127" s="101"/>
    </row>
    <row r="128" spans="1:37" ht="16" x14ac:dyDescent="0.2">
      <c r="A128" s="10">
        <v>127</v>
      </c>
      <c r="B128" s="11">
        <v>890800971</v>
      </c>
      <c r="C128" s="12" t="s">
        <v>190</v>
      </c>
      <c r="D128" s="13">
        <v>1810677783</v>
      </c>
      <c r="E128" s="13">
        <v>2250906942</v>
      </c>
      <c r="F128" s="25">
        <f>Proponentes[[#This Row],[Activo Corriente]]+Proponentes[[#This Row],[Activo NO Corriente]]</f>
        <v>4061584725</v>
      </c>
      <c r="G128" s="13">
        <v>126216197</v>
      </c>
      <c r="H128" s="13">
        <v>1753274381</v>
      </c>
      <c r="I128" s="25">
        <f>Proponentes[[#This Row],[Pasivo Corriente]]+Proponentes[[#This Row],[Pasivo NO Corriente]]</f>
        <v>1879490578</v>
      </c>
      <c r="J128" s="14">
        <f>Proponentes[[#This Row],[Total ACTIVO]]-Proponentes[[#This Row],[Total Pasivo]]</f>
        <v>2182094147</v>
      </c>
      <c r="K128" s="48">
        <f>VLOOKUP(Proponentes[[#This Row],[Propuesta]],Hoja2!$A$2:$G$239,7,FALSE)</f>
        <v>40266808.241840988</v>
      </c>
      <c r="L128" s="15"/>
      <c r="M128" s="15" t="s">
        <v>59</v>
      </c>
      <c r="N128" s="55">
        <f>IFERROR(VLOOKUP(Proponentes[[#This Row],[Cap Op en SMMLV]],Base!$A$15:$F$20,3),0)</f>
        <v>1</v>
      </c>
      <c r="O128" s="16">
        <f>IFERROR(VLOOKUP(Proponentes[[#This Row],[Cap Op en SMMLV]],Base!$A$15:$F$20,4),0)</f>
        <v>0.76</v>
      </c>
      <c r="P128" s="17">
        <f>IFERROR(VLOOKUP(Proponentes[[#This Row],[Cap Op en SMMLV]],Tabla2[],6),0)</f>
        <v>12.5</v>
      </c>
      <c r="Q128" s="18">
        <f>IFERROR(VLOOKUP(Proponentes[[#This Row],[Cap Op en SMMLV]],Base!$A$15:$F$20,5),0)</f>
        <v>10351450</v>
      </c>
      <c r="R128" s="18">
        <f>IFERROR(VLOOKUP(Proponentes[[#This Row],[Cap Op en SMMLV]],Tabla2[[DE]:[HASTA]],2),0)</f>
        <v>500</v>
      </c>
      <c r="S128" s="19">
        <f>IFERROR(Proponentes[[#This Row],[Activo Corriente]]/Proponentes[[#This Row],[Pasivo Corriente]],"INDETERMINADO")</f>
        <v>14.345843291412116</v>
      </c>
      <c r="T128" s="20">
        <f>IFERROR(Proponentes[[#This Row],[Total Pasivo]]/Proponentes[[#This Row],[Total ACTIVO]],0)</f>
        <v>0.4627480910176015</v>
      </c>
      <c r="U128" s="21">
        <f>(Proponentes[[#This Row],[Activo Corriente]]-Proponentes[[#This Row],[Pasivo Corriente]])/Base!$B$3</f>
        <v>2034.0889271551328</v>
      </c>
      <c r="V128" s="22">
        <f>Proponentes[[#This Row],[Activo Corriente]]-Proponentes[[#This Row],[Pasivo Corriente]]</f>
        <v>1684461586</v>
      </c>
      <c r="W128" s="13">
        <f>IFERROR(VLOOKUP(Proponentes[[#This Row],[Propuesta]],Hoja2!$A$2:$G$329,7,FALSE),0)</f>
        <v>40266808.241840988</v>
      </c>
      <c r="X128" s="83">
        <f>IF(Proponentes[[#This Row],[Cap Op en Pesos]]=0,0,IF(Proponentes[[#This Row],[Cap Op en Pesos]]=0,1,Proponentes[[#This Row],[Cap Op en Pesos]]/Base!B$3))</f>
        <v>48.624598778239992</v>
      </c>
      <c r="Y12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2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2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28" s="23" t="str">
        <f>IF(AND(Proponentes[[#This Row],[Cumple
Liquidez]]="CUMPLE",Proponentes[[#This Row],[Cumple
Endeudamiento]]="CUMPLE",Proponentes[[#This Row],[Cumple
Capital de Trabajo]]="CUMPLE"),"CUMPLE","NO CUMPLE")</f>
        <v>CUMPLE</v>
      </c>
      <c r="AC128" s="24"/>
      <c r="AD128" s="10">
        <f>IF(Proponentes[[#This Row],[Liquidez
Oferente]]&lt;=1,1,IF(Proponentes[[#This Row],[Liquidez
Oferente]]&lt;=1.1,2,IF(Proponentes[[#This Row],[Liquidez
Oferente]]&lt;=1.2,3,IF(Proponentes[[#This Row],[Liquidez
Oferente]]&lt;=1.3,4,IF(Proponentes[[#This Row],[Liquidez
Oferente]]&lt;=1.4,5,6)))))</f>
        <v>6</v>
      </c>
      <c r="AE128" s="10">
        <f>IF(Proponentes[[#This Row],[Endeudamiento
Oferente]]&lt;=66%,6,IF(Proponentes[[#This Row],[Endeudamiento
Oferente]]&lt;=58,5,IF(Proponentes[[#This Row],[Endeudamiento
Oferente]]&lt;=70,4,IF(Proponentes[[#This Row],[Endeudamiento
Oferente]]&lt;=72,3,IF(Proponentes[[#This Row],[Endeudamiento
Oferente]]&lt;=74,2,1)))))</f>
        <v>6</v>
      </c>
      <c r="AF12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28" s="10">
        <f>IF(Proponentes[[#This Row],[Cap Op en SMMLV]]&lt;=500,1,IF(Proponentes[[#This Row],[Cap Op en SMMLV]]&lt;=1000,2,IF(Proponentes[[#This Row],[Cap Op en SMMLV]]&lt;=1500,3,IF(Proponentes[[#This Row],[Cap Op en SMMLV]]&lt;=2000,4,IF(Proponentes[[#This Row],[Cap Op en SMMLV]]&lt;=2500,5,6)))))</f>
        <v>1</v>
      </c>
      <c r="AH128" s="10">
        <f>MIN(Proponentes[[#This Row],[a]:[d]])</f>
        <v>1</v>
      </c>
      <c r="AI128" s="87">
        <f>IF(Proponentes[[#This Row],[e]]=Proponentes[[#This Row],[d]],Proponentes[[#This Row],[Cap Op en SMMLV]],VLOOKUP(Proponentes[[#This Row],[e]],Base!$D$1:$E$6,2,FALSE))</f>
        <v>48.624598778239992</v>
      </c>
      <c r="AJ128" s="101" t="str">
        <f>VLOOKUP(Proponentes[[#This Row],[Propuesta]],Hoja2!$A$2:$D$329,4,FALSE)</f>
        <v>NO CUMPLE</v>
      </c>
      <c r="AK128" s="101"/>
    </row>
    <row r="129" spans="1:37" ht="32" x14ac:dyDescent="0.2">
      <c r="A129" s="10">
        <v>128</v>
      </c>
      <c r="B129" s="11">
        <v>900484538</v>
      </c>
      <c r="C129" s="12" t="s">
        <v>191</v>
      </c>
      <c r="D129" s="13">
        <v>12580000</v>
      </c>
      <c r="E129" s="13">
        <v>73250000</v>
      </c>
      <c r="F129" s="25">
        <f>Proponentes[[#This Row],[Activo Corriente]]+Proponentes[[#This Row],[Activo NO Corriente]]</f>
        <v>85830000</v>
      </c>
      <c r="G129" s="13">
        <v>350000</v>
      </c>
      <c r="H129" s="13">
        <v>0</v>
      </c>
      <c r="I129" s="25">
        <f>Proponentes[[#This Row],[Pasivo Corriente]]+Proponentes[[#This Row],[Pasivo NO Corriente]]</f>
        <v>350000</v>
      </c>
      <c r="J129" s="14">
        <f>Proponentes[[#This Row],[Total ACTIVO]]-Proponentes[[#This Row],[Total Pasivo]]</f>
        <v>85480000</v>
      </c>
      <c r="K129" s="48">
        <f>VLOOKUP(Proponentes[[#This Row],[Propuesta]],Hoja2!$A$2:$G$239,7,FALSE)</f>
        <v>0</v>
      </c>
      <c r="L129" s="15"/>
      <c r="M129" s="15" t="s">
        <v>192</v>
      </c>
      <c r="N129" s="55">
        <f>IFERROR(VLOOKUP(Proponentes[[#This Row],[Cap Op en SMMLV]],Base!$A$15:$F$20,3),0)</f>
        <v>0</v>
      </c>
      <c r="O129" s="16">
        <f>IFERROR(VLOOKUP(Proponentes[[#This Row],[Cap Op en SMMLV]],Base!$A$15:$F$20,4),0)</f>
        <v>0</v>
      </c>
      <c r="P129" s="17">
        <f>IFERROR(VLOOKUP(Proponentes[[#This Row],[Cap Op en SMMLV]],Tabla2[],6),0)</f>
        <v>0</v>
      </c>
      <c r="Q129" s="18">
        <f>IFERROR(VLOOKUP(Proponentes[[#This Row],[Cap Op en SMMLV]],Base!$A$15:$F$20,5),0)</f>
        <v>0</v>
      </c>
      <c r="R129" s="18">
        <f>IFERROR(VLOOKUP(Proponentes[[#This Row],[Cap Op en SMMLV]],Tabla2[[DE]:[HASTA]],2),0)</f>
        <v>0</v>
      </c>
      <c r="S129" s="19">
        <f>IFERROR(Proponentes[[#This Row],[Activo Corriente]]/Proponentes[[#This Row],[Pasivo Corriente]],"INDETERMINADO")</f>
        <v>35.942857142857143</v>
      </c>
      <c r="T129" s="20">
        <f>IFERROR(Proponentes[[#This Row],[Total Pasivo]]/Proponentes[[#This Row],[Total ACTIVO]],0)</f>
        <v>4.0778282651753464E-3</v>
      </c>
      <c r="U129" s="21">
        <f>(Proponentes[[#This Row],[Activo Corriente]]-Proponentes[[#This Row],[Pasivo Corriente]])/Base!$B$3</f>
        <v>14.7684623893271</v>
      </c>
      <c r="V129" s="22">
        <f>Proponentes[[#This Row],[Activo Corriente]]-Proponentes[[#This Row],[Pasivo Corriente]]</f>
        <v>12230000</v>
      </c>
      <c r="W129" s="13">
        <f>IFERROR(VLOOKUP(Proponentes[[#This Row],[Propuesta]],Hoja2!$A$2:$G$329,7,FALSE),0)</f>
        <v>0</v>
      </c>
      <c r="X129" s="83">
        <f>IF(Proponentes[[#This Row],[Cap Op en Pesos]]=0,0,IF(Proponentes[[#This Row],[Cap Op en Pesos]]=0,1,Proponentes[[#This Row],[Cap Op en Pesos]]/Base!B$3))</f>
        <v>0</v>
      </c>
      <c r="Y12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2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2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29" s="23" t="str">
        <f>IF(AND(Proponentes[[#This Row],[Cumple
Liquidez]]="CUMPLE",Proponentes[[#This Row],[Cumple
Endeudamiento]]="CUMPLE",Proponentes[[#This Row],[Cumple
Capital de Trabajo]]="CUMPLE"),"CUMPLE","NO CUMPLE")</f>
        <v>NO CUMPLE</v>
      </c>
      <c r="AC129" s="24"/>
      <c r="AD129" s="10">
        <f>IF(Proponentes[[#This Row],[Liquidez
Oferente]]&lt;=1,1,IF(Proponentes[[#This Row],[Liquidez
Oferente]]&lt;=1.1,2,IF(Proponentes[[#This Row],[Liquidez
Oferente]]&lt;=1.2,3,IF(Proponentes[[#This Row],[Liquidez
Oferente]]&lt;=1.3,4,IF(Proponentes[[#This Row],[Liquidez
Oferente]]&lt;=1.4,5,6)))))</f>
        <v>6</v>
      </c>
      <c r="AE129" s="10">
        <f>IF(Proponentes[[#This Row],[Endeudamiento
Oferente]]&lt;=66%,6,IF(Proponentes[[#This Row],[Endeudamiento
Oferente]]&lt;=58,5,IF(Proponentes[[#This Row],[Endeudamiento
Oferente]]&lt;=70,4,IF(Proponentes[[#This Row],[Endeudamiento
Oferente]]&lt;=72,3,IF(Proponentes[[#This Row],[Endeudamiento
Oferente]]&lt;=74,2,1)))))</f>
        <v>6</v>
      </c>
      <c r="AF12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129" s="10">
        <f>IF(Proponentes[[#This Row],[Cap Op en SMMLV]]&lt;=500,1,IF(Proponentes[[#This Row],[Cap Op en SMMLV]]&lt;=1000,2,IF(Proponentes[[#This Row],[Cap Op en SMMLV]]&lt;=1500,3,IF(Proponentes[[#This Row],[Cap Op en SMMLV]]&lt;=2000,4,IF(Proponentes[[#This Row],[Cap Op en SMMLV]]&lt;=2500,5,6)))))</f>
        <v>1</v>
      </c>
      <c r="AH129" s="10">
        <f>MIN(Proponentes[[#This Row],[a]:[d]])</f>
        <v>1</v>
      </c>
      <c r="AI129" s="87">
        <f>IF(Proponentes[[#This Row],[e]]=Proponentes[[#This Row],[d]],Proponentes[[#This Row],[Cap Op en SMMLV]],VLOOKUP(Proponentes[[#This Row],[e]],Base!$D$1:$E$6,2,FALSE))</f>
        <v>0</v>
      </c>
      <c r="AJ129" s="101" t="str">
        <f>VLOOKUP(Proponentes[[#This Row],[Propuesta]],Hoja2!$A$2:$D$329,4,FALSE)</f>
        <v>NO CUMPLE</v>
      </c>
      <c r="AK129" s="101"/>
    </row>
    <row r="130" spans="1:37" ht="32" x14ac:dyDescent="0.2">
      <c r="A130" s="10">
        <v>129</v>
      </c>
      <c r="B130" s="11">
        <v>900408053</v>
      </c>
      <c r="C130" s="12" t="s">
        <v>193</v>
      </c>
      <c r="D130" s="13">
        <v>14809000</v>
      </c>
      <c r="E130" s="13">
        <v>22000000</v>
      </c>
      <c r="F130" s="25">
        <f>Proponentes[[#This Row],[Activo Corriente]]+Proponentes[[#This Row],[Activo NO Corriente]]</f>
        <v>36809000</v>
      </c>
      <c r="G130" s="13">
        <v>0</v>
      </c>
      <c r="H130" s="13">
        <v>0</v>
      </c>
      <c r="I130" s="25">
        <f>Proponentes[[#This Row],[Pasivo Corriente]]+Proponentes[[#This Row],[Pasivo NO Corriente]]</f>
        <v>0</v>
      </c>
      <c r="J130" s="14">
        <f>Proponentes[[#This Row],[Total ACTIVO]]-Proponentes[[#This Row],[Total Pasivo]]</f>
        <v>36809000</v>
      </c>
      <c r="K130" s="48">
        <f>VLOOKUP(Proponentes[[#This Row],[Propuesta]],Hoja2!$A$2:$G$239,7,FALSE)</f>
        <v>28661895.526671268</v>
      </c>
      <c r="L130" s="15"/>
      <c r="M130" s="15" t="s">
        <v>194</v>
      </c>
      <c r="N130" s="55">
        <f>IFERROR(VLOOKUP(Proponentes[[#This Row],[Cap Op en SMMLV]],Base!$A$15:$F$20,3),0)</f>
        <v>1</v>
      </c>
      <c r="O130" s="16">
        <f>IFERROR(VLOOKUP(Proponentes[[#This Row],[Cap Op en SMMLV]],Base!$A$15:$F$20,4),0)</f>
        <v>0.76</v>
      </c>
      <c r="P130" s="17">
        <f>IFERROR(VLOOKUP(Proponentes[[#This Row],[Cap Op en SMMLV]],Tabla2[],6),0)</f>
        <v>12.5</v>
      </c>
      <c r="Q130" s="18">
        <f>IFERROR(VLOOKUP(Proponentes[[#This Row],[Cap Op en SMMLV]],Base!$A$15:$F$20,5),0)</f>
        <v>10351450</v>
      </c>
      <c r="R130" s="18">
        <f>IFERROR(VLOOKUP(Proponentes[[#This Row],[Cap Op en SMMLV]],Tabla2[[DE]:[HASTA]],2),0)</f>
        <v>500</v>
      </c>
      <c r="S130" s="19" t="str">
        <f>IFERROR(Proponentes[[#This Row],[Activo Corriente]]/Proponentes[[#This Row],[Pasivo Corriente]],"INDETERMINADO")</f>
        <v>INDETERMINADO</v>
      </c>
      <c r="T130" s="20">
        <f>IFERROR(Proponentes[[#This Row],[Total Pasivo]]/Proponentes[[#This Row],[Total ACTIVO]],0)</f>
        <v>0</v>
      </c>
      <c r="U130" s="21">
        <f>(Proponentes[[#This Row],[Activo Corriente]]-Proponentes[[#This Row],[Pasivo Corriente]])/Base!$B$3</f>
        <v>17.882760386226085</v>
      </c>
      <c r="V130" s="22">
        <f>Proponentes[[#This Row],[Activo Corriente]]-Proponentes[[#This Row],[Pasivo Corriente]]</f>
        <v>14809000</v>
      </c>
      <c r="W130" s="13">
        <f>IFERROR(VLOOKUP(Proponentes[[#This Row],[Propuesta]],Hoja2!$A$2:$G$329,7,FALSE),0)</f>
        <v>28661895.526671268</v>
      </c>
      <c r="X130" s="83">
        <f>IF(Proponentes[[#This Row],[Cap Op en Pesos]]=0,0,IF(Proponentes[[#This Row],[Cap Op en Pesos]]=0,1,Proponentes[[#This Row],[Cap Op en Pesos]]/Base!B$3))</f>
        <v>34.610966974036572</v>
      </c>
      <c r="Y13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3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3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30" s="23" t="str">
        <f>IF(AND(Proponentes[[#This Row],[Cumple
Liquidez]]="CUMPLE",Proponentes[[#This Row],[Cumple
Endeudamiento]]="CUMPLE",Proponentes[[#This Row],[Cumple
Capital de Trabajo]]="CUMPLE"),"CUMPLE","NO CUMPLE")</f>
        <v>CUMPLE</v>
      </c>
      <c r="AC130" s="24"/>
      <c r="AD130" s="10">
        <f>IF(Proponentes[[#This Row],[Liquidez
Oferente]]&lt;=1,1,IF(Proponentes[[#This Row],[Liquidez
Oferente]]&lt;=1.1,2,IF(Proponentes[[#This Row],[Liquidez
Oferente]]&lt;=1.2,3,IF(Proponentes[[#This Row],[Liquidez
Oferente]]&lt;=1.3,4,IF(Proponentes[[#This Row],[Liquidez
Oferente]]&lt;=1.4,5,6)))))</f>
        <v>6</v>
      </c>
      <c r="AE130" s="10">
        <f>IF(Proponentes[[#This Row],[Endeudamiento
Oferente]]&lt;=66%,6,IF(Proponentes[[#This Row],[Endeudamiento
Oferente]]&lt;=58,5,IF(Proponentes[[#This Row],[Endeudamiento
Oferente]]&lt;=70,4,IF(Proponentes[[#This Row],[Endeudamiento
Oferente]]&lt;=72,3,IF(Proponentes[[#This Row],[Endeudamiento
Oferente]]&lt;=74,2,1)))))</f>
        <v>6</v>
      </c>
      <c r="AF13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130" s="10">
        <f>IF(Proponentes[[#This Row],[Cap Op en SMMLV]]&lt;=500,1,IF(Proponentes[[#This Row],[Cap Op en SMMLV]]&lt;=1000,2,IF(Proponentes[[#This Row],[Cap Op en SMMLV]]&lt;=1500,3,IF(Proponentes[[#This Row],[Cap Op en SMMLV]]&lt;=2000,4,IF(Proponentes[[#This Row],[Cap Op en SMMLV]]&lt;=2500,5,6)))))</f>
        <v>1</v>
      </c>
      <c r="AH130" s="10">
        <f>MIN(Proponentes[[#This Row],[a]:[d]])</f>
        <v>1</v>
      </c>
      <c r="AI130" s="87">
        <f>IF(Proponentes[[#This Row],[e]]=Proponentes[[#This Row],[d]],Proponentes[[#This Row],[Cap Op en SMMLV]],VLOOKUP(Proponentes[[#This Row],[e]],Base!$D$1:$E$6,2,FALSE))</f>
        <v>34.610966974036572</v>
      </c>
      <c r="AJ130" s="101" t="str">
        <f>VLOOKUP(Proponentes[[#This Row],[Propuesta]],Hoja2!$A$2:$D$329,4,FALSE)</f>
        <v>CUMPLE</v>
      </c>
      <c r="AK130" s="101"/>
    </row>
    <row r="131" spans="1:37" ht="16" x14ac:dyDescent="0.2">
      <c r="A131" s="10">
        <v>130</v>
      </c>
      <c r="B131" s="11">
        <v>900390785</v>
      </c>
      <c r="C131" s="12" t="s">
        <v>195</v>
      </c>
      <c r="D131" s="13">
        <v>459537820</v>
      </c>
      <c r="E131" s="13">
        <v>300090000</v>
      </c>
      <c r="F131" s="25">
        <f>Proponentes[[#This Row],[Activo Corriente]]+Proponentes[[#This Row],[Activo NO Corriente]]</f>
        <v>759627820</v>
      </c>
      <c r="G131" s="13">
        <v>13735820</v>
      </c>
      <c r="H131" s="13">
        <v>0</v>
      </c>
      <c r="I131" s="25">
        <f>Proponentes[[#This Row],[Pasivo Corriente]]+Proponentes[[#This Row],[Pasivo NO Corriente]]</f>
        <v>13735820</v>
      </c>
      <c r="J131" s="14">
        <f>Proponentes[[#This Row],[Total ACTIVO]]-Proponentes[[#This Row],[Total Pasivo]]</f>
        <v>745892000</v>
      </c>
      <c r="K131" s="48">
        <f>VLOOKUP(Proponentes[[#This Row],[Propuesta]],Hoja2!$A$2:$G$239,7,FALSE)</f>
        <v>64129491.087912053</v>
      </c>
      <c r="L131" s="15"/>
      <c r="M131" s="15" t="s">
        <v>59</v>
      </c>
      <c r="N131" s="55">
        <f>IFERROR(VLOOKUP(Proponentes[[#This Row],[Cap Op en SMMLV]],Base!$A$15:$F$20,3),0)</f>
        <v>1</v>
      </c>
      <c r="O131" s="16">
        <f>IFERROR(VLOOKUP(Proponentes[[#This Row],[Cap Op en SMMLV]],Base!$A$15:$F$20,4),0)</f>
        <v>0.76</v>
      </c>
      <c r="P131" s="17">
        <f>IFERROR(VLOOKUP(Proponentes[[#This Row],[Cap Op en SMMLV]],Tabla2[],6),0)</f>
        <v>12.5</v>
      </c>
      <c r="Q131" s="18">
        <f>IFERROR(VLOOKUP(Proponentes[[#This Row],[Cap Op en SMMLV]],Base!$A$15:$F$20,5),0)</f>
        <v>10351450</v>
      </c>
      <c r="R131" s="18">
        <f>IFERROR(VLOOKUP(Proponentes[[#This Row],[Cap Op en SMMLV]],Tabla2[[DE]:[HASTA]],2),0)</f>
        <v>500</v>
      </c>
      <c r="S131" s="19">
        <f>IFERROR(Proponentes[[#This Row],[Activo Corriente]]/Proponentes[[#This Row],[Pasivo Corriente]],"INDETERMINADO")</f>
        <v>33.455434040341238</v>
      </c>
      <c r="T131" s="20">
        <f>IFERROR(Proponentes[[#This Row],[Total Pasivo]]/Proponentes[[#This Row],[Total ACTIVO]],0)</f>
        <v>1.8082302462276857E-2</v>
      </c>
      <c r="U131" s="21">
        <f>(Proponentes[[#This Row],[Activo Corriente]]-Proponentes[[#This Row],[Pasivo Corriente]])/Base!$B$3</f>
        <v>538.33279395640227</v>
      </c>
      <c r="V131" s="22">
        <f>Proponentes[[#This Row],[Activo Corriente]]-Proponentes[[#This Row],[Pasivo Corriente]]</f>
        <v>445802000</v>
      </c>
      <c r="W131" s="13">
        <f>IFERROR(VLOOKUP(Proponentes[[#This Row],[Propuesta]],Hoja2!$A$2:$G$329,7,FALSE),0)</f>
        <v>64129491.087912053</v>
      </c>
      <c r="X131" s="83">
        <f>IF(Proponentes[[#This Row],[Cap Op en Pesos]]=0,0,IF(Proponentes[[#This Row],[Cap Op en Pesos]]=0,1,Proponentes[[#This Row],[Cap Op en Pesos]]/Base!B$3))</f>
        <v>77.440227079191871</v>
      </c>
      <c r="Y13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3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3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31" s="23" t="str">
        <f>IF(AND(Proponentes[[#This Row],[Cumple
Liquidez]]="CUMPLE",Proponentes[[#This Row],[Cumple
Endeudamiento]]="CUMPLE",Proponentes[[#This Row],[Cumple
Capital de Trabajo]]="CUMPLE"),"CUMPLE","NO CUMPLE")</f>
        <v>CUMPLE</v>
      </c>
      <c r="AC131" s="24"/>
      <c r="AD131" s="10">
        <f>IF(Proponentes[[#This Row],[Liquidez
Oferente]]&lt;=1,1,IF(Proponentes[[#This Row],[Liquidez
Oferente]]&lt;=1.1,2,IF(Proponentes[[#This Row],[Liquidez
Oferente]]&lt;=1.2,3,IF(Proponentes[[#This Row],[Liquidez
Oferente]]&lt;=1.3,4,IF(Proponentes[[#This Row],[Liquidez
Oferente]]&lt;=1.4,5,6)))))</f>
        <v>6</v>
      </c>
      <c r="AE131" s="10">
        <f>IF(Proponentes[[#This Row],[Endeudamiento
Oferente]]&lt;=66%,6,IF(Proponentes[[#This Row],[Endeudamiento
Oferente]]&lt;=58,5,IF(Proponentes[[#This Row],[Endeudamiento
Oferente]]&lt;=70,4,IF(Proponentes[[#This Row],[Endeudamiento
Oferente]]&lt;=72,3,IF(Proponentes[[#This Row],[Endeudamiento
Oferente]]&lt;=74,2,1)))))</f>
        <v>6</v>
      </c>
      <c r="AF13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31" s="10">
        <f>IF(Proponentes[[#This Row],[Cap Op en SMMLV]]&lt;=500,1,IF(Proponentes[[#This Row],[Cap Op en SMMLV]]&lt;=1000,2,IF(Proponentes[[#This Row],[Cap Op en SMMLV]]&lt;=1500,3,IF(Proponentes[[#This Row],[Cap Op en SMMLV]]&lt;=2000,4,IF(Proponentes[[#This Row],[Cap Op en SMMLV]]&lt;=2500,5,6)))))</f>
        <v>1</v>
      </c>
      <c r="AH131" s="10">
        <f>MIN(Proponentes[[#This Row],[a]:[d]])</f>
        <v>1</v>
      </c>
      <c r="AI131" s="87">
        <f>IF(Proponentes[[#This Row],[e]]=Proponentes[[#This Row],[d]],Proponentes[[#This Row],[Cap Op en SMMLV]],VLOOKUP(Proponentes[[#This Row],[e]],Base!$D$1:$E$6,2,FALSE))</f>
        <v>77.440227079191871</v>
      </c>
      <c r="AJ131" s="101" t="str">
        <f>VLOOKUP(Proponentes[[#This Row],[Propuesta]],Hoja2!$A$2:$D$329,4,FALSE)</f>
        <v>CUMPLE</v>
      </c>
      <c r="AK131" s="101"/>
    </row>
    <row r="132" spans="1:37" ht="16" x14ac:dyDescent="0.2">
      <c r="A132" s="10">
        <v>131</v>
      </c>
      <c r="B132" s="11">
        <v>806006752</v>
      </c>
      <c r="C132" s="12" t="s">
        <v>196</v>
      </c>
      <c r="D132" s="13">
        <v>845812612</v>
      </c>
      <c r="E132" s="13">
        <v>141002893</v>
      </c>
      <c r="F132" s="25">
        <f>Proponentes[[#This Row],[Activo Corriente]]+Proponentes[[#This Row],[Activo NO Corriente]]</f>
        <v>986815505</v>
      </c>
      <c r="G132" s="13">
        <v>235915987</v>
      </c>
      <c r="H132" s="13">
        <v>0</v>
      </c>
      <c r="I132" s="25">
        <f>Proponentes[[#This Row],[Pasivo Corriente]]+Proponentes[[#This Row],[Pasivo NO Corriente]]</f>
        <v>235915987</v>
      </c>
      <c r="J132" s="14">
        <f>Proponentes[[#This Row],[Total ACTIVO]]-Proponentes[[#This Row],[Total Pasivo]]</f>
        <v>750899518</v>
      </c>
      <c r="K132" s="48">
        <f>VLOOKUP(Proponentes[[#This Row],[Propuesta]],Hoja2!$A$2:$G$239,7,FALSE)</f>
        <v>27437223.839661125</v>
      </c>
      <c r="L132" s="15"/>
      <c r="M132" s="15" t="s">
        <v>188</v>
      </c>
      <c r="N132" s="55">
        <f>IFERROR(VLOOKUP(Proponentes[[#This Row],[Cap Op en SMMLV]],Base!$A$15:$F$20,3),0)</f>
        <v>1</v>
      </c>
      <c r="O132" s="16">
        <f>IFERROR(VLOOKUP(Proponentes[[#This Row],[Cap Op en SMMLV]],Base!$A$15:$F$20,4),0)</f>
        <v>0.76</v>
      </c>
      <c r="P132" s="17">
        <f>IFERROR(VLOOKUP(Proponentes[[#This Row],[Cap Op en SMMLV]],Tabla2[],6),0)</f>
        <v>12.5</v>
      </c>
      <c r="Q132" s="18">
        <f>IFERROR(VLOOKUP(Proponentes[[#This Row],[Cap Op en SMMLV]],Base!$A$15:$F$20,5),0)</f>
        <v>10351450</v>
      </c>
      <c r="R132" s="18">
        <f>IFERROR(VLOOKUP(Proponentes[[#This Row],[Cap Op en SMMLV]],Tabla2[[DE]:[HASTA]],2),0)</f>
        <v>500</v>
      </c>
      <c r="S132" s="19">
        <f>IFERROR(Proponentes[[#This Row],[Activo Corriente]]/Proponentes[[#This Row],[Pasivo Corriente]],"INDETERMINADO")</f>
        <v>3.5852280413705069</v>
      </c>
      <c r="T132" s="20">
        <f>IFERROR(Proponentes[[#This Row],[Total Pasivo]]/Proponentes[[#This Row],[Total ACTIVO]],0)</f>
        <v>0.23906797755473044</v>
      </c>
      <c r="U132" s="21">
        <f>(Proponentes[[#This Row],[Activo Corriente]]-Proponentes[[#This Row],[Pasivo Corriente]])/Base!$B$3</f>
        <v>736.48694748078776</v>
      </c>
      <c r="V132" s="22">
        <f>Proponentes[[#This Row],[Activo Corriente]]-Proponentes[[#This Row],[Pasivo Corriente]]</f>
        <v>609896625</v>
      </c>
      <c r="W132" s="13">
        <f>IFERROR(VLOOKUP(Proponentes[[#This Row],[Propuesta]],Hoja2!$A$2:$G$329,7,FALSE),0)</f>
        <v>27437223.839661125</v>
      </c>
      <c r="X132" s="83">
        <f>IF(Proponentes[[#This Row],[Cap Op en Pesos]]=0,0,IF(Proponentes[[#This Row],[Cap Op en Pesos]]=0,1,Proponentes[[#This Row],[Cap Op en Pesos]]/Base!B$3))</f>
        <v>33.132102072247278</v>
      </c>
      <c r="Y13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3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3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32" s="23" t="str">
        <f>IF(AND(Proponentes[[#This Row],[Cumple
Liquidez]]="CUMPLE",Proponentes[[#This Row],[Cumple
Endeudamiento]]="CUMPLE",Proponentes[[#This Row],[Cumple
Capital de Trabajo]]="CUMPLE"),"CUMPLE","NO CUMPLE")</f>
        <v>CUMPLE</v>
      </c>
      <c r="AC132" s="24" t="s">
        <v>798</v>
      </c>
      <c r="AD132" s="10">
        <f>IF(Proponentes[[#This Row],[Liquidez
Oferente]]&lt;=1,1,IF(Proponentes[[#This Row],[Liquidez
Oferente]]&lt;=1.1,2,IF(Proponentes[[#This Row],[Liquidez
Oferente]]&lt;=1.2,3,IF(Proponentes[[#This Row],[Liquidez
Oferente]]&lt;=1.3,4,IF(Proponentes[[#This Row],[Liquidez
Oferente]]&lt;=1.4,5,6)))))</f>
        <v>6</v>
      </c>
      <c r="AE132" s="10">
        <f>IF(Proponentes[[#This Row],[Endeudamiento
Oferente]]&lt;=66%,6,IF(Proponentes[[#This Row],[Endeudamiento
Oferente]]&lt;=58,5,IF(Proponentes[[#This Row],[Endeudamiento
Oferente]]&lt;=70,4,IF(Proponentes[[#This Row],[Endeudamiento
Oferente]]&lt;=72,3,IF(Proponentes[[#This Row],[Endeudamiento
Oferente]]&lt;=74,2,1)))))</f>
        <v>6</v>
      </c>
      <c r="AF13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32" s="10">
        <f>IF(Proponentes[[#This Row],[Cap Op en SMMLV]]&lt;=500,1,IF(Proponentes[[#This Row],[Cap Op en SMMLV]]&lt;=1000,2,IF(Proponentes[[#This Row],[Cap Op en SMMLV]]&lt;=1500,3,IF(Proponentes[[#This Row],[Cap Op en SMMLV]]&lt;=2000,4,IF(Proponentes[[#This Row],[Cap Op en SMMLV]]&lt;=2500,5,6)))))</f>
        <v>1</v>
      </c>
      <c r="AH132" s="10">
        <f>MIN(Proponentes[[#This Row],[a]:[d]])</f>
        <v>1</v>
      </c>
      <c r="AI132" s="87">
        <f>IF(Proponentes[[#This Row],[e]]=Proponentes[[#This Row],[d]],Proponentes[[#This Row],[Cap Op en SMMLV]],VLOOKUP(Proponentes[[#This Row],[e]],Base!$D$1:$E$6,2,FALSE))</f>
        <v>33.132102072247278</v>
      </c>
      <c r="AJ132" s="101" t="str">
        <f>VLOOKUP(Proponentes[[#This Row],[Propuesta]],Hoja2!$A$2:$D$329,4,FALSE)</f>
        <v>CUMPLE</v>
      </c>
      <c r="AK132" s="101"/>
    </row>
    <row r="133" spans="1:37" ht="16" x14ac:dyDescent="0.2">
      <c r="A133" s="10">
        <v>132</v>
      </c>
      <c r="B133" s="11">
        <v>891501542</v>
      </c>
      <c r="C133" s="12" t="s">
        <v>197</v>
      </c>
      <c r="D133" s="13">
        <v>341832525</v>
      </c>
      <c r="E133" s="13"/>
      <c r="F133" s="25">
        <f>Proponentes[[#This Row],[Activo Corriente]]+Proponentes[[#This Row],[Activo NO Corriente]]</f>
        <v>341832525</v>
      </c>
      <c r="G133" s="13">
        <v>5959000</v>
      </c>
      <c r="H133" s="13">
        <v>0</v>
      </c>
      <c r="I133" s="25">
        <f>Proponentes[[#This Row],[Pasivo Corriente]]+Proponentes[[#This Row],[Pasivo NO Corriente]]</f>
        <v>5959000</v>
      </c>
      <c r="J133" s="14">
        <f>Proponentes[[#This Row],[Total ACTIVO]]-Proponentes[[#This Row],[Total Pasivo]]</f>
        <v>335873525</v>
      </c>
      <c r="K133" s="48">
        <f>VLOOKUP(Proponentes[[#This Row],[Propuesta]],Hoja2!$A$2:$G$239,7,FALSE)</f>
        <v>354547624.29254025</v>
      </c>
      <c r="L133" s="15"/>
      <c r="M133" s="15" t="s">
        <v>59</v>
      </c>
      <c r="N133" s="55">
        <f>IFERROR(VLOOKUP(Proponentes[[#This Row],[Cap Op en SMMLV]],Base!$A$15:$F$20,3),0)</f>
        <v>1</v>
      </c>
      <c r="O133" s="16">
        <f>IFERROR(VLOOKUP(Proponentes[[#This Row],[Cap Op en SMMLV]],Base!$A$15:$F$20,4),0)</f>
        <v>0.76</v>
      </c>
      <c r="P133" s="17">
        <f>IFERROR(VLOOKUP(Proponentes[[#This Row],[Cap Op en SMMLV]],Tabla2[],6),0)</f>
        <v>12.5</v>
      </c>
      <c r="Q133" s="18">
        <f>IFERROR(VLOOKUP(Proponentes[[#This Row],[Cap Op en SMMLV]],Base!$A$15:$F$20,5),0)</f>
        <v>10351450</v>
      </c>
      <c r="R133" s="18">
        <f>IFERROR(VLOOKUP(Proponentes[[#This Row],[Cap Op en SMMLV]],Tabla2[[DE]:[HASTA]],2),0)</f>
        <v>500</v>
      </c>
      <c r="S133" s="19">
        <f>IFERROR(Proponentes[[#This Row],[Activo Corriente]]/Proponentes[[#This Row],[Pasivo Corriente]],"INDETERMINADO")</f>
        <v>57.364075348212786</v>
      </c>
      <c r="T133" s="20">
        <f>IFERROR(Proponentes[[#This Row],[Total Pasivo]]/Proponentes[[#This Row],[Total ACTIVO]],0)</f>
        <v>1.7432513187561657E-2</v>
      </c>
      <c r="U133" s="21">
        <f>(Proponentes[[#This Row],[Activo Corriente]]-Proponentes[[#This Row],[Pasivo Corriente]])/Base!$B$3</f>
        <v>405.58753242299389</v>
      </c>
      <c r="V133" s="22">
        <f>Proponentes[[#This Row],[Activo Corriente]]-Proponentes[[#This Row],[Pasivo Corriente]]</f>
        <v>335873525</v>
      </c>
      <c r="W133" s="13">
        <f>IFERROR(VLOOKUP(Proponentes[[#This Row],[Propuesta]],Hoja2!$A$2:$G$329,7,FALSE),0)</f>
        <v>354547624.29254025</v>
      </c>
      <c r="X133" s="83">
        <f>IF(Proponentes[[#This Row],[Cap Op en Pesos]]=0,0,IF(Proponentes[[#This Row],[Cap Op en Pesos]]=0,1,Proponentes[[#This Row],[Cap Op en Pesos]]/Base!B$3))</f>
        <v>428.13763324527031</v>
      </c>
      <c r="Y13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3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3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33" s="23" t="str">
        <f>IF(AND(Proponentes[[#This Row],[Cumple
Liquidez]]="CUMPLE",Proponentes[[#This Row],[Cumple
Endeudamiento]]="CUMPLE",Proponentes[[#This Row],[Cumple
Capital de Trabajo]]="CUMPLE"),"CUMPLE","NO CUMPLE")</f>
        <v>CUMPLE</v>
      </c>
      <c r="AC133" s="24"/>
      <c r="AD133" s="10">
        <f>IF(Proponentes[[#This Row],[Liquidez
Oferente]]&lt;=1,1,IF(Proponentes[[#This Row],[Liquidez
Oferente]]&lt;=1.1,2,IF(Proponentes[[#This Row],[Liquidez
Oferente]]&lt;=1.2,3,IF(Proponentes[[#This Row],[Liquidez
Oferente]]&lt;=1.3,4,IF(Proponentes[[#This Row],[Liquidez
Oferente]]&lt;=1.4,5,6)))))</f>
        <v>6</v>
      </c>
      <c r="AE133" s="10">
        <f>IF(Proponentes[[#This Row],[Endeudamiento
Oferente]]&lt;=66%,6,IF(Proponentes[[#This Row],[Endeudamiento
Oferente]]&lt;=58,5,IF(Proponentes[[#This Row],[Endeudamiento
Oferente]]&lt;=70,4,IF(Proponentes[[#This Row],[Endeudamiento
Oferente]]&lt;=72,3,IF(Proponentes[[#This Row],[Endeudamiento
Oferente]]&lt;=74,2,1)))))</f>
        <v>6</v>
      </c>
      <c r="AF13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33" s="10">
        <f>IF(Proponentes[[#This Row],[Cap Op en SMMLV]]&lt;=500,1,IF(Proponentes[[#This Row],[Cap Op en SMMLV]]&lt;=1000,2,IF(Proponentes[[#This Row],[Cap Op en SMMLV]]&lt;=1500,3,IF(Proponentes[[#This Row],[Cap Op en SMMLV]]&lt;=2000,4,IF(Proponentes[[#This Row],[Cap Op en SMMLV]]&lt;=2500,5,6)))))</f>
        <v>1</v>
      </c>
      <c r="AH133" s="10">
        <f>MIN(Proponentes[[#This Row],[a]:[d]])</f>
        <v>1</v>
      </c>
      <c r="AI133" s="87">
        <f>IF(Proponentes[[#This Row],[e]]=Proponentes[[#This Row],[d]],Proponentes[[#This Row],[Cap Op en SMMLV]],VLOOKUP(Proponentes[[#This Row],[e]],Base!$D$1:$E$6,2,FALSE))</f>
        <v>428.13763324527031</v>
      </c>
      <c r="AJ133" s="101" t="str">
        <f>VLOOKUP(Proponentes[[#This Row],[Propuesta]],Hoja2!$A$2:$D$329,4,FALSE)</f>
        <v>CUMPLE</v>
      </c>
      <c r="AK133" s="101"/>
    </row>
    <row r="134" spans="1:37" ht="16" x14ac:dyDescent="0.2">
      <c r="A134" s="10">
        <v>133</v>
      </c>
      <c r="B134" s="11">
        <v>805020145</v>
      </c>
      <c r="C134" s="12" t="s">
        <v>198</v>
      </c>
      <c r="D134" s="13">
        <v>150797155</v>
      </c>
      <c r="E134" s="13">
        <v>284556207</v>
      </c>
      <c r="F134" s="25">
        <f>Proponentes[[#This Row],[Activo Corriente]]+Proponentes[[#This Row],[Activo NO Corriente]]</f>
        <v>435353362</v>
      </c>
      <c r="G134" s="13">
        <v>15476920</v>
      </c>
      <c r="H134" s="13">
        <v>0</v>
      </c>
      <c r="I134" s="25">
        <f>Proponentes[[#This Row],[Pasivo Corriente]]+Proponentes[[#This Row],[Pasivo NO Corriente]]</f>
        <v>15476920</v>
      </c>
      <c r="J134" s="14">
        <f>Proponentes[[#This Row],[Total ACTIVO]]-Proponentes[[#This Row],[Total Pasivo]]</f>
        <v>419876442</v>
      </c>
      <c r="K134" s="48">
        <f>VLOOKUP(Proponentes[[#This Row],[Propuesta]],Hoja2!$A$2:$G$239,7,FALSE)</f>
        <v>2402233.6483164239</v>
      </c>
      <c r="L134" s="15"/>
      <c r="M134" s="15" t="s">
        <v>27</v>
      </c>
      <c r="N134" s="55">
        <f>IFERROR(VLOOKUP(Proponentes[[#This Row],[Cap Op en SMMLV]],Base!$A$15:$F$20,3),0)</f>
        <v>1</v>
      </c>
      <c r="O134" s="16">
        <f>IFERROR(VLOOKUP(Proponentes[[#This Row],[Cap Op en SMMLV]],Base!$A$15:$F$20,4),0)</f>
        <v>0.76</v>
      </c>
      <c r="P134" s="17">
        <f>IFERROR(VLOOKUP(Proponentes[[#This Row],[Cap Op en SMMLV]],Tabla2[],6),0)</f>
        <v>12.5</v>
      </c>
      <c r="Q134" s="18">
        <f>IFERROR(VLOOKUP(Proponentes[[#This Row],[Cap Op en SMMLV]],Base!$A$15:$F$20,5),0)</f>
        <v>10351450</v>
      </c>
      <c r="R134" s="18">
        <f>IFERROR(VLOOKUP(Proponentes[[#This Row],[Cap Op en SMMLV]],Tabla2[[DE]:[HASTA]],2),0)</f>
        <v>500</v>
      </c>
      <c r="S134" s="19">
        <f>IFERROR(Proponentes[[#This Row],[Activo Corriente]]/Proponentes[[#This Row],[Pasivo Corriente]],"INDETERMINADO")</f>
        <v>9.7433568823771139</v>
      </c>
      <c r="T134" s="20">
        <f>IFERROR(Proponentes[[#This Row],[Total Pasivo]]/Proponentes[[#This Row],[Total ACTIVO]],0)</f>
        <v>3.5550248030472312E-2</v>
      </c>
      <c r="U134" s="21">
        <f>(Proponentes[[#This Row],[Activo Corriente]]-Proponentes[[#This Row],[Pasivo Corriente]])/Base!$B$3</f>
        <v>163.40734269112056</v>
      </c>
      <c r="V134" s="22">
        <f>Proponentes[[#This Row],[Activo Corriente]]-Proponentes[[#This Row],[Pasivo Corriente]]</f>
        <v>135320235</v>
      </c>
      <c r="W134" s="13">
        <f>IFERROR(VLOOKUP(Proponentes[[#This Row],[Propuesta]],Hoja2!$A$2:$G$329,7,FALSE),0)</f>
        <v>2402233.6483164239</v>
      </c>
      <c r="X134" s="83">
        <f>IF(Proponentes[[#This Row],[Cap Op en Pesos]]=0,0,IF(Proponentes[[#This Row],[Cap Op en Pesos]]=0,1,Proponentes[[#This Row],[Cap Op en Pesos]]/Base!B$3))</f>
        <v>2.900841969381613</v>
      </c>
      <c r="Y13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3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3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34" s="23" t="str">
        <f>IF(AND(Proponentes[[#This Row],[Cumple
Liquidez]]="CUMPLE",Proponentes[[#This Row],[Cumple
Endeudamiento]]="CUMPLE",Proponentes[[#This Row],[Cumple
Capital de Trabajo]]="CUMPLE"),"CUMPLE","NO CUMPLE")</f>
        <v>CUMPLE</v>
      </c>
      <c r="AC134" s="24"/>
      <c r="AD134" s="10">
        <f>IF(Proponentes[[#This Row],[Liquidez
Oferente]]&lt;=1,1,IF(Proponentes[[#This Row],[Liquidez
Oferente]]&lt;=1.1,2,IF(Proponentes[[#This Row],[Liquidez
Oferente]]&lt;=1.2,3,IF(Proponentes[[#This Row],[Liquidez
Oferente]]&lt;=1.3,4,IF(Proponentes[[#This Row],[Liquidez
Oferente]]&lt;=1.4,5,6)))))</f>
        <v>6</v>
      </c>
      <c r="AE134" s="10">
        <f>IF(Proponentes[[#This Row],[Endeudamiento
Oferente]]&lt;=66%,6,IF(Proponentes[[#This Row],[Endeudamiento
Oferente]]&lt;=58,5,IF(Proponentes[[#This Row],[Endeudamiento
Oferente]]&lt;=70,4,IF(Proponentes[[#This Row],[Endeudamiento
Oferente]]&lt;=72,3,IF(Proponentes[[#This Row],[Endeudamiento
Oferente]]&lt;=74,2,1)))))</f>
        <v>6</v>
      </c>
      <c r="AF13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34" s="10">
        <f>IF(Proponentes[[#This Row],[Cap Op en SMMLV]]&lt;=500,1,IF(Proponentes[[#This Row],[Cap Op en SMMLV]]&lt;=1000,2,IF(Proponentes[[#This Row],[Cap Op en SMMLV]]&lt;=1500,3,IF(Proponentes[[#This Row],[Cap Op en SMMLV]]&lt;=2000,4,IF(Proponentes[[#This Row],[Cap Op en SMMLV]]&lt;=2500,5,6)))))</f>
        <v>1</v>
      </c>
      <c r="AH134" s="10">
        <f>MIN(Proponentes[[#This Row],[a]:[d]])</f>
        <v>1</v>
      </c>
      <c r="AI134" s="87">
        <f>IF(Proponentes[[#This Row],[e]]=Proponentes[[#This Row],[d]],Proponentes[[#This Row],[Cap Op en SMMLV]],VLOOKUP(Proponentes[[#This Row],[e]],Base!$D$1:$E$6,2,FALSE))</f>
        <v>2.900841969381613</v>
      </c>
      <c r="AJ134" s="101" t="str">
        <f>VLOOKUP(Proponentes[[#This Row],[Propuesta]],Hoja2!$A$2:$D$329,4,FALSE)</f>
        <v>NO CUMPLE</v>
      </c>
      <c r="AK134" s="101"/>
    </row>
    <row r="135" spans="1:37" ht="16" x14ac:dyDescent="0.2">
      <c r="A135" s="10">
        <v>134</v>
      </c>
      <c r="B135" s="11">
        <v>806002258</v>
      </c>
      <c r="C135" s="12" t="s">
        <v>199</v>
      </c>
      <c r="D135" s="13">
        <v>1005415254</v>
      </c>
      <c r="E135" s="13"/>
      <c r="F135" s="25">
        <f>Proponentes[[#This Row],[Activo Corriente]]+Proponentes[[#This Row],[Activo NO Corriente]]</f>
        <v>1005415254</v>
      </c>
      <c r="G135" s="13">
        <v>100000000</v>
      </c>
      <c r="H135" s="13">
        <v>0</v>
      </c>
      <c r="I135" s="25">
        <f>Proponentes[[#This Row],[Pasivo Corriente]]+Proponentes[[#This Row],[Pasivo NO Corriente]]</f>
        <v>100000000</v>
      </c>
      <c r="J135" s="14">
        <f>Proponentes[[#This Row],[Total ACTIVO]]-Proponentes[[#This Row],[Total Pasivo]]</f>
        <v>905415254</v>
      </c>
      <c r="K135" s="48">
        <f>VLOOKUP(Proponentes[[#This Row],[Propuesta]],Hoja2!$A$2:$G$239,7,FALSE)</f>
        <v>337145962.97501588</v>
      </c>
      <c r="L135" s="15"/>
      <c r="M135" s="15" t="s">
        <v>59</v>
      </c>
      <c r="N135" s="55">
        <f>IFERROR(VLOOKUP(Proponentes[[#This Row],[Cap Op en SMMLV]],Base!$A$15:$F$20,3),0)</f>
        <v>1</v>
      </c>
      <c r="O135" s="16">
        <f>IFERROR(VLOOKUP(Proponentes[[#This Row],[Cap Op en SMMLV]],Base!$A$15:$F$20,4),0)</f>
        <v>0.76</v>
      </c>
      <c r="P135" s="17">
        <f>IFERROR(VLOOKUP(Proponentes[[#This Row],[Cap Op en SMMLV]],Tabla2[],6),0)</f>
        <v>12.5</v>
      </c>
      <c r="Q135" s="18">
        <f>IFERROR(VLOOKUP(Proponentes[[#This Row],[Cap Op en SMMLV]],Base!$A$15:$F$20,5),0)</f>
        <v>10351450</v>
      </c>
      <c r="R135" s="18">
        <f>IFERROR(VLOOKUP(Proponentes[[#This Row],[Cap Op en SMMLV]],Tabla2[[DE]:[HASTA]],2),0)</f>
        <v>500</v>
      </c>
      <c r="S135" s="19">
        <f>IFERROR(Proponentes[[#This Row],[Activo Corriente]]/Proponentes[[#This Row],[Pasivo Corriente]],"INDETERMINADO")</f>
        <v>10.05415254</v>
      </c>
      <c r="T135" s="20">
        <f>IFERROR(Proponentes[[#This Row],[Total Pasivo]]/Proponentes[[#This Row],[Total ACTIVO]],0)</f>
        <v>9.9461391302901395E-2</v>
      </c>
      <c r="U135" s="21">
        <f>(Proponentes[[#This Row],[Activo Corriente]]-Proponentes[[#This Row],[Pasivo Corriente]])/Base!$B$3</f>
        <v>1093.3435098464465</v>
      </c>
      <c r="V135" s="22">
        <f>Proponentes[[#This Row],[Activo Corriente]]-Proponentes[[#This Row],[Pasivo Corriente]]</f>
        <v>905415254</v>
      </c>
      <c r="W135" s="13">
        <f>IFERROR(VLOOKUP(Proponentes[[#This Row],[Propuesta]],Hoja2!$A$2:$G$329,7,FALSE),0)</f>
        <v>337145962.97501588</v>
      </c>
      <c r="X135" s="83">
        <f>IF(Proponentes[[#This Row],[Cap Op en Pesos]]=0,0,IF(Proponentes[[#This Row],[Cap Op en Pesos]]=0,1,Proponentes[[#This Row],[Cap Op en Pesos]]/Base!B$3))</f>
        <v>407.12407799754607</v>
      </c>
      <c r="Y13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3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3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35" s="23" t="str">
        <f>IF(AND(Proponentes[[#This Row],[Cumple
Liquidez]]="CUMPLE",Proponentes[[#This Row],[Cumple
Endeudamiento]]="CUMPLE",Proponentes[[#This Row],[Cumple
Capital de Trabajo]]="CUMPLE"),"CUMPLE","NO CUMPLE")</f>
        <v>CUMPLE</v>
      </c>
      <c r="AC135" s="24"/>
      <c r="AD135" s="10">
        <f>IF(Proponentes[[#This Row],[Liquidez
Oferente]]&lt;=1,1,IF(Proponentes[[#This Row],[Liquidez
Oferente]]&lt;=1.1,2,IF(Proponentes[[#This Row],[Liquidez
Oferente]]&lt;=1.2,3,IF(Proponentes[[#This Row],[Liquidez
Oferente]]&lt;=1.3,4,IF(Proponentes[[#This Row],[Liquidez
Oferente]]&lt;=1.4,5,6)))))</f>
        <v>6</v>
      </c>
      <c r="AE135" s="10">
        <f>IF(Proponentes[[#This Row],[Endeudamiento
Oferente]]&lt;=66%,6,IF(Proponentes[[#This Row],[Endeudamiento
Oferente]]&lt;=58,5,IF(Proponentes[[#This Row],[Endeudamiento
Oferente]]&lt;=70,4,IF(Proponentes[[#This Row],[Endeudamiento
Oferente]]&lt;=72,3,IF(Proponentes[[#This Row],[Endeudamiento
Oferente]]&lt;=74,2,1)))))</f>
        <v>6</v>
      </c>
      <c r="AF13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35" s="10">
        <f>IF(Proponentes[[#This Row],[Cap Op en SMMLV]]&lt;=500,1,IF(Proponentes[[#This Row],[Cap Op en SMMLV]]&lt;=1000,2,IF(Proponentes[[#This Row],[Cap Op en SMMLV]]&lt;=1500,3,IF(Proponentes[[#This Row],[Cap Op en SMMLV]]&lt;=2000,4,IF(Proponentes[[#This Row],[Cap Op en SMMLV]]&lt;=2500,5,6)))))</f>
        <v>1</v>
      </c>
      <c r="AH135" s="10">
        <f>MIN(Proponentes[[#This Row],[a]:[d]])</f>
        <v>1</v>
      </c>
      <c r="AI135" s="87">
        <f>IF(Proponentes[[#This Row],[e]]=Proponentes[[#This Row],[d]],Proponentes[[#This Row],[Cap Op en SMMLV]],VLOOKUP(Proponentes[[#This Row],[e]],Base!$D$1:$E$6,2,FALSE))</f>
        <v>407.12407799754607</v>
      </c>
      <c r="AJ135" s="101" t="str">
        <f>VLOOKUP(Proponentes[[#This Row],[Propuesta]],Hoja2!$A$2:$D$329,4,FALSE)</f>
        <v>CUMPLE</v>
      </c>
      <c r="AK135" s="101"/>
    </row>
    <row r="136" spans="1:37" ht="32" x14ac:dyDescent="0.2">
      <c r="A136" s="10">
        <v>135</v>
      </c>
      <c r="B136" s="11">
        <v>817004234</v>
      </c>
      <c r="C136" s="12" t="s">
        <v>200</v>
      </c>
      <c r="D136" s="13">
        <v>144400000</v>
      </c>
      <c r="E136" s="13"/>
      <c r="F136" s="25">
        <f>Proponentes[[#This Row],[Activo Corriente]]+Proponentes[[#This Row],[Activo NO Corriente]]</f>
        <v>144400000</v>
      </c>
      <c r="G136" s="13">
        <v>1700000</v>
      </c>
      <c r="H136" s="13">
        <v>0</v>
      </c>
      <c r="I136" s="25">
        <f>Proponentes[[#This Row],[Pasivo Corriente]]+Proponentes[[#This Row],[Pasivo NO Corriente]]</f>
        <v>1700000</v>
      </c>
      <c r="J136" s="14">
        <f>Proponentes[[#This Row],[Total ACTIVO]]-Proponentes[[#This Row],[Total Pasivo]]</f>
        <v>142700000</v>
      </c>
      <c r="K136" s="48">
        <f>VLOOKUP(Proponentes[[#This Row],[Propuesta]],Hoja2!$A$2:$G$239,7,FALSE)</f>
        <v>0</v>
      </c>
      <c r="L136" s="15"/>
      <c r="M136" s="15" t="s">
        <v>59</v>
      </c>
      <c r="N136" s="55">
        <f>IFERROR(VLOOKUP(Proponentes[[#This Row],[Cap Op en SMMLV]],Base!$A$15:$F$20,3),0)</f>
        <v>0</v>
      </c>
      <c r="O136" s="16">
        <f>IFERROR(VLOOKUP(Proponentes[[#This Row],[Cap Op en SMMLV]],Base!$A$15:$F$20,4),0)</f>
        <v>0</v>
      </c>
      <c r="P136" s="17">
        <f>IFERROR(VLOOKUP(Proponentes[[#This Row],[Cap Op en SMMLV]],Tabla2[],6),0)</f>
        <v>0</v>
      </c>
      <c r="Q136" s="18">
        <f>IFERROR(VLOOKUP(Proponentes[[#This Row],[Cap Op en SMMLV]],Base!$A$15:$F$20,5),0)</f>
        <v>0</v>
      </c>
      <c r="R136" s="18">
        <f>IFERROR(VLOOKUP(Proponentes[[#This Row],[Cap Op en SMMLV]],Tabla2[[DE]:[HASTA]],2),0)</f>
        <v>0</v>
      </c>
      <c r="S136" s="19">
        <f>IFERROR(Proponentes[[#This Row],[Activo Corriente]]/Proponentes[[#This Row],[Pasivo Corriente]],"INDETERMINADO")</f>
        <v>84.941176470588232</v>
      </c>
      <c r="T136" s="20">
        <f>IFERROR(Proponentes[[#This Row],[Total Pasivo]]/Proponentes[[#This Row],[Total ACTIVO]],0)</f>
        <v>1.1772853185595568E-2</v>
      </c>
      <c r="U136" s="21">
        <f>(Proponentes[[#This Row],[Activo Corriente]]-Proponentes[[#This Row],[Pasivo Corriente]])/Base!$B$3</f>
        <v>172.31885388037423</v>
      </c>
      <c r="V136" s="22">
        <f>Proponentes[[#This Row],[Activo Corriente]]-Proponentes[[#This Row],[Pasivo Corriente]]</f>
        <v>142700000</v>
      </c>
      <c r="W136" s="13">
        <f>IFERROR(VLOOKUP(Proponentes[[#This Row],[Propuesta]],Hoja2!$A$2:$G$329,7,FALSE),0)</f>
        <v>0</v>
      </c>
      <c r="X136" s="83">
        <f>IF(Proponentes[[#This Row],[Cap Op en Pesos]]=0,0,IF(Proponentes[[#This Row],[Cap Op en Pesos]]=0,1,Proponentes[[#This Row],[Cap Op en Pesos]]/Base!B$3))</f>
        <v>0</v>
      </c>
      <c r="Y13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3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3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36" s="23" t="str">
        <f>IF(AND(Proponentes[[#This Row],[Cumple
Liquidez]]="CUMPLE",Proponentes[[#This Row],[Cumple
Endeudamiento]]="CUMPLE",Proponentes[[#This Row],[Cumple
Capital de Trabajo]]="CUMPLE"),"CUMPLE","NO CUMPLE")</f>
        <v>NO CUMPLE</v>
      </c>
      <c r="AC136" s="24"/>
      <c r="AD136" s="10">
        <f>IF(Proponentes[[#This Row],[Liquidez
Oferente]]&lt;=1,1,IF(Proponentes[[#This Row],[Liquidez
Oferente]]&lt;=1.1,2,IF(Proponentes[[#This Row],[Liquidez
Oferente]]&lt;=1.2,3,IF(Proponentes[[#This Row],[Liquidez
Oferente]]&lt;=1.3,4,IF(Proponentes[[#This Row],[Liquidez
Oferente]]&lt;=1.4,5,6)))))</f>
        <v>6</v>
      </c>
      <c r="AE136" s="10">
        <f>IF(Proponentes[[#This Row],[Endeudamiento
Oferente]]&lt;=66%,6,IF(Proponentes[[#This Row],[Endeudamiento
Oferente]]&lt;=58,5,IF(Proponentes[[#This Row],[Endeudamiento
Oferente]]&lt;=70,4,IF(Proponentes[[#This Row],[Endeudamiento
Oferente]]&lt;=72,3,IF(Proponentes[[#This Row],[Endeudamiento
Oferente]]&lt;=74,2,1)))))</f>
        <v>6</v>
      </c>
      <c r="AF13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36" s="10">
        <f>IF(Proponentes[[#This Row],[Cap Op en SMMLV]]&lt;=500,1,IF(Proponentes[[#This Row],[Cap Op en SMMLV]]&lt;=1000,2,IF(Proponentes[[#This Row],[Cap Op en SMMLV]]&lt;=1500,3,IF(Proponentes[[#This Row],[Cap Op en SMMLV]]&lt;=2000,4,IF(Proponentes[[#This Row],[Cap Op en SMMLV]]&lt;=2500,5,6)))))</f>
        <v>1</v>
      </c>
      <c r="AH136" s="10">
        <f>MIN(Proponentes[[#This Row],[a]:[d]])</f>
        <v>1</v>
      </c>
      <c r="AI136" s="87">
        <f>IF(Proponentes[[#This Row],[e]]=Proponentes[[#This Row],[d]],Proponentes[[#This Row],[Cap Op en SMMLV]],VLOOKUP(Proponentes[[#This Row],[e]],Base!$D$1:$E$6,2,FALSE))</f>
        <v>0</v>
      </c>
      <c r="AJ136" s="101" t="str">
        <f>VLOOKUP(Proponentes[[#This Row],[Propuesta]],Hoja2!$A$2:$D$329,4,FALSE)</f>
        <v>NO CUMPLE</v>
      </c>
      <c r="AK136" s="101"/>
    </row>
    <row r="137" spans="1:37" ht="48" x14ac:dyDescent="0.2">
      <c r="A137" s="10">
        <v>136</v>
      </c>
      <c r="B137" s="11">
        <v>823005361</v>
      </c>
      <c r="C137" s="12" t="s">
        <v>201</v>
      </c>
      <c r="D137" s="13">
        <v>140207988</v>
      </c>
      <c r="E137" s="13">
        <v>107864902</v>
      </c>
      <c r="F137" s="25">
        <f>Proponentes[[#This Row],[Activo Corriente]]+Proponentes[[#This Row],[Activo NO Corriente]]</f>
        <v>248072890</v>
      </c>
      <c r="G137" s="13">
        <v>13335306</v>
      </c>
      <c r="H137" s="13">
        <v>0</v>
      </c>
      <c r="I137" s="25">
        <f>Proponentes[[#This Row],[Pasivo Corriente]]+Proponentes[[#This Row],[Pasivo NO Corriente]]</f>
        <v>13335306</v>
      </c>
      <c r="J137" s="14">
        <f>Proponentes[[#This Row],[Total ACTIVO]]-Proponentes[[#This Row],[Total Pasivo]]</f>
        <v>234737584</v>
      </c>
      <c r="K137" s="48">
        <f>VLOOKUP(Proponentes[[#This Row],[Propuesta]],Hoja2!$A$2:$G$239,7,FALSE)</f>
        <v>800074576.57959175</v>
      </c>
      <c r="L137" s="15"/>
      <c r="M137" s="15" t="s">
        <v>464</v>
      </c>
      <c r="N137" s="55">
        <f>IFERROR(VLOOKUP(Proponentes[[#This Row],[Cap Op en SMMLV]],Base!$A$15:$F$20,3),0)</f>
        <v>1.1000000000000001</v>
      </c>
      <c r="O137" s="16">
        <f>IFERROR(VLOOKUP(Proponentes[[#This Row],[Cap Op en SMMLV]],Base!$A$15:$F$20,4),0)</f>
        <v>0.74</v>
      </c>
      <c r="P137" s="17">
        <f>IFERROR(VLOOKUP(Proponentes[[#This Row],[Cap Op en SMMLV]],Tabla2[],6),0)</f>
        <v>25</v>
      </c>
      <c r="Q137" s="18">
        <f>IFERROR(VLOOKUP(Proponentes[[#This Row],[Cap Op en SMMLV]],Base!$A$15:$F$20,5),0)</f>
        <v>20702900</v>
      </c>
      <c r="R137" s="18">
        <f>IFERROR(VLOOKUP(Proponentes[[#This Row],[Cap Op en SMMLV]],Tabla2[[DE]:[HASTA]],2),0)</f>
        <v>1000</v>
      </c>
      <c r="S137" s="19">
        <f>IFERROR(Proponentes[[#This Row],[Activo Corriente]]/Proponentes[[#This Row],[Pasivo Corriente]],"INDETERMINADO")</f>
        <v>10.514043547257183</v>
      </c>
      <c r="T137" s="20">
        <f>IFERROR(Proponentes[[#This Row],[Total Pasivo]]/Proponentes[[#This Row],[Total ACTIVO]],0)</f>
        <v>5.3755595784771161E-2</v>
      </c>
      <c r="U137" s="21">
        <f>(Proponentes[[#This Row],[Activo Corriente]]-Proponentes[[#This Row],[Pasivo Corriente]])/Base!$B$3</f>
        <v>153.20641311120664</v>
      </c>
      <c r="V137" s="22">
        <f>Proponentes[[#This Row],[Activo Corriente]]-Proponentes[[#This Row],[Pasivo Corriente]]</f>
        <v>126872682</v>
      </c>
      <c r="W137" s="13">
        <f>IFERROR(VLOOKUP(Proponentes[[#This Row],[Propuesta]],Hoja2!$A$2:$G$329,7,FALSE),0)</f>
        <v>800074576.57959175</v>
      </c>
      <c r="X137" s="83">
        <f>IF(Proponentes[[#This Row],[Cap Op en Pesos]]=0,0,IF(Proponentes[[#This Row],[Cap Op en Pesos]]=0,1,Proponentes[[#This Row],[Cap Op en Pesos]]/Base!B$3))</f>
        <v>966.1382905047019</v>
      </c>
      <c r="Y13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3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3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37" s="23" t="str">
        <f>IF(AND(Proponentes[[#This Row],[Cumple
Liquidez]]="CUMPLE",Proponentes[[#This Row],[Cumple
Endeudamiento]]="CUMPLE",Proponentes[[#This Row],[Cumple
Capital de Trabajo]]="CUMPLE"),"CUMPLE","NO CUMPLE")</f>
        <v>CUMPLE</v>
      </c>
      <c r="AC137" s="24"/>
      <c r="AD137" s="10">
        <f>IF(Proponentes[[#This Row],[Liquidez
Oferente]]&lt;=1,1,IF(Proponentes[[#This Row],[Liquidez
Oferente]]&lt;=1.1,2,IF(Proponentes[[#This Row],[Liquidez
Oferente]]&lt;=1.2,3,IF(Proponentes[[#This Row],[Liquidez
Oferente]]&lt;=1.3,4,IF(Proponentes[[#This Row],[Liquidez
Oferente]]&lt;=1.4,5,6)))))</f>
        <v>6</v>
      </c>
      <c r="AE137" s="10">
        <f>IF(Proponentes[[#This Row],[Endeudamiento
Oferente]]&lt;=66%,6,IF(Proponentes[[#This Row],[Endeudamiento
Oferente]]&lt;=58,5,IF(Proponentes[[#This Row],[Endeudamiento
Oferente]]&lt;=70,4,IF(Proponentes[[#This Row],[Endeudamiento
Oferente]]&lt;=72,3,IF(Proponentes[[#This Row],[Endeudamiento
Oferente]]&lt;=74,2,1)))))</f>
        <v>6</v>
      </c>
      <c r="AF13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37" s="10">
        <f>IF(Proponentes[[#This Row],[Cap Op en SMMLV]]&lt;=500,1,IF(Proponentes[[#This Row],[Cap Op en SMMLV]]&lt;=1000,2,IF(Proponentes[[#This Row],[Cap Op en SMMLV]]&lt;=1500,3,IF(Proponentes[[#This Row],[Cap Op en SMMLV]]&lt;=2000,4,IF(Proponentes[[#This Row],[Cap Op en SMMLV]]&lt;=2500,5,6)))))</f>
        <v>2</v>
      </c>
      <c r="AH137" s="10">
        <f>MIN(Proponentes[[#This Row],[a]:[d]])</f>
        <v>2</v>
      </c>
      <c r="AI137" s="87">
        <f>IF(Proponentes[[#This Row],[e]]=Proponentes[[#This Row],[d]],Proponentes[[#This Row],[Cap Op en SMMLV]],VLOOKUP(Proponentes[[#This Row],[e]],Base!$D$1:$E$6,2,FALSE))</f>
        <v>966.1382905047019</v>
      </c>
      <c r="AJ137" s="101" t="str">
        <f>VLOOKUP(Proponentes[[#This Row],[Propuesta]],Hoja2!$A$2:$D$329,4,FALSE)</f>
        <v>CUMPLE</v>
      </c>
      <c r="AK137" s="101"/>
    </row>
    <row r="138" spans="1:37" ht="16" x14ac:dyDescent="0.2">
      <c r="A138" s="10">
        <v>137</v>
      </c>
      <c r="B138" s="11">
        <v>891780111</v>
      </c>
      <c r="C138" s="12" t="s">
        <v>202</v>
      </c>
      <c r="D138" s="13">
        <v>57045376512</v>
      </c>
      <c r="E138" s="13"/>
      <c r="F138" s="25">
        <f>Proponentes[[#This Row],[Activo Corriente]]+Proponentes[[#This Row],[Activo NO Corriente]]</f>
        <v>57045376512</v>
      </c>
      <c r="G138" s="13">
        <v>3854013371</v>
      </c>
      <c r="H138" s="13">
        <v>0</v>
      </c>
      <c r="I138" s="25">
        <f>Proponentes[[#This Row],[Pasivo Corriente]]+Proponentes[[#This Row],[Pasivo NO Corriente]]</f>
        <v>3854013371</v>
      </c>
      <c r="J138" s="14">
        <f>Proponentes[[#This Row],[Total ACTIVO]]-Proponentes[[#This Row],[Total Pasivo]]</f>
        <v>53191363141</v>
      </c>
      <c r="K138" s="48">
        <f>VLOOKUP(Proponentes[[#This Row],[Propuesta]],Hoja2!$A$2:$G$239,7,FALSE)</f>
        <v>0</v>
      </c>
      <c r="L138" s="15"/>
      <c r="M138" s="15" t="s">
        <v>59</v>
      </c>
      <c r="N138" s="55">
        <f>IFERROR(VLOOKUP(Proponentes[[#This Row],[Cap Op en SMMLV]],Base!$A$15:$F$20,3),0)</f>
        <v>0</v>
      </c>
      <c r="O138" s="16">
        <f>IFERROR(VLOOKUP(Proponentes[[#This Row],[Cap Op en SMMLV]],Base!$A$15:$F$20,4),0)</f>
        <v>0</v>
      </c>
      <c r="P138" s="17">
        <f>IFERROR(VLOOKUP(Proponentes[[#This Row],[Cap Op en SMMLV]],Tabla2[],6),0)</f>
        <v>0</v>
      </c>
      <c r="Q138" s="18">
        <f>IFERROR(VLOOKUP(Proponentes[[#This Row],[Cap Op en SMMLV]],Base!$A$15:$F$20,5),0)</f>
        <v>0</v>
      </c>
      <c r="R138" s="18">
        <f>IFERROR(VLOOKUP(Proponentes[[#This Row],[Cap Op en SMMLV]],Tabla2[[DE]:[HASTA]],2),0)</f>
        <v>0</v>
      </c>
      <c r="S138" s="19">
        <f>IFERROR(Proponentes[[#This Row],[Activo Corriente]]/Proponentes[[#This Row],[Pasivo Corriente]],"INDETERMINADO")</f>
        <v>14.801551271525156</v>
      </c>
      <c r="T138" s="20">
        <f>IFERROR(Proponentes[[#This Row],[Total Pasivo]]/Proponentes[[#This Row],[Total ACTIVO]],0)</f>
        <v>6.7560486171728121E-2</v>
      </c>
      <c r="U138" s="21">
        <f>(Proponentes[[#This Row],[Activo Corriente]]-Proponentes[[#This Row],[Pasivo Corriente]])/Base!$B$3</f>
        <v>64231.778085437305</v>
      </c>
      <c r="V138" s="22">
        <f>Proponentes[[#This Row],[Activo Corriente]]-Proponentes[[#This Row],[Pasivo Corriente]]</f>
        <v>53191363141</v>
      </c>
      <c r="W138" s="13">
        <f>IFERROR(VLOOKUP(Proponentes[[#This Row],[Propuesta]],Hoja2!$A$2:$G$329,7,FALSE),0)</f>
        <v>0</v>
      </c>
      <c r="X138" s="83">
        <f>IF(Proponentes[[#This Row],[Cap Op en Pesos]]=0,0,IF(Proponentes[[#This Row],[Cap Op en Pesos]]=0,1,Proponentes[[#This Row],[Cap Op en Pesos]]/Base!B$3))</f>
        <v>0</v>
      </c>
      <c r="Y13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3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3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38" s="23" t="str">
        <f>IF(AND(Proponentes[[#This Row],[Cumple
Liquidez]]="CUMPLE",Proponentes[[#This Row],[Cumple
Endeudamiento]]="CUMPLE",Proponentes[[#This Row],[Cumple
Capital de Trabajo]]="CUMPLE"),"CUMPLE","NO CUMPLE")</f>
        <v>NO CUMPLE</v>
      </c>
      <c r="AC138" s="24"/>
      <c r="AD138" s="10">
        <f>IF(Proponentes[[#This Row],[Liquidez
Oferente]]&lt;=1,1,IF(Proponentes[[#This Row],[Liquidez
Oferente]]&lt;=1.1,2,IF(Proponentes[[#This Row],[Liquidez
Oferente]]&lt;=1.2,3,IF(Proponentes[[#This Row],[Liquidez
Oferente]]&lt;=1.3,4,IF(Proponentes[[#This Row],[Liquidez
Oferente]]&lt;=1.4,5,6)))))</f>
        <v>6</v>
      </c>
      <c r="AE138" s="10">
        <f>IF(Proponentes[[#This Row],[Endeudamiento
Oferente]]&lt;=66%,6,IF(Proponentes[[#This Row],[Endeudamiento
Oferente]]&lt;=58,5,IF(Proponentes[[#This Row],[Endeudamiento
Oferente]]&lt;=70,4,IF(Proponentes[[#This Row],[Endeudamiento
Oferente]]&lt;=72,3,IF(Proponentes[[#This Row],[Endeudamiento
Oferente]]&lt;=74,2,1)))))</f>
        <v>6</v>
      </c>
      <c r="AF13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38" s="10">
        <f>IF(Proponentes[[#This Row],[Cap Op en SMMLV]]&lt;=500,1,IF(Proponentes[[#This Row],[Cap Op en SMMLV]]&lt;=1000,2,IF(Proponentes[[#This Row],[Cap Op en SMMLV]]&lt;=1500,3,IF(Proponentes[[#This Row],[Cap Op en SMMLV]]&lt;=2000,4,IF(Proponentes[[#This Row],[Cap Op en SMMLV]]&lt;=2500,5,6)))))</f>
        <v>1</v>
      </c>
      <c r="AH138" s="10">
        <f>MIN(Proponentes[[#This Row],[a]:[d]])</f>
        <v>1</v>
      </c>
      <c r="AI138" s="87">
        <f>IF(Proponentes[[#This Row],[e]]=Proponentes[[#This Row],[d]],Proponentes[[#This Row],[Cap Op en SMMLV]],VLOOKUP(Proponentes[[#This Row],[e]],Base!$D$1:$E$6,2,FALSE))</f>
        <v>0</v>
      </c>
      <c r="AJ138" s="101" t="str">
        <f>VLOOKUP(Proponentes[[#This Row],[Propuesta]],Hoja2!$A$2:$D$329,4,FALSE)</f>
        <v>NO CUMPLE</v>
      </c>
      <c r="AK138" s="101"/>
    </row>
    <row r="139" spans="1:37" ht="16" x14ac:dyDescent="0.2">
      <c r="A139" s="10">
        <v>138</v>
      </c>
      <c r="B139" s="11">
        <v>900652473</v>
      </c>
      <c r="C139" s="12" t="s">
        <v>203</v>
      </c>
      <c r="D139" s="13">
        <v>12141476</v>
      </c>
      <c r="E139" s="13">
        <v>25037044</v>
      </c>
      <c r="F139" s="25">
        <f>Proponentes[[#This Row],[Activo Corriente]]+Proponentes[[#This Row],[Activo NO Corriente]]</f>
        <v>37178520</v>
      </c>
      <c r="G139" s="13">
        <v>0</v>
      </c>
      <c r="H139" s="13">
        <v>30000000</v>
      </c>
      <c r="I139" s="25">
        <f>Proponentes[[#This Row],[Pasivo Corriente]]+Proponentes[[#This Row],[Pasivo NO Corriente]]</f>
        <v>30000000</v>
      </c>
      <c r="J139" s="14">
        <f>Proponentes[[#This Row],[Total ACTIVO]]-Proponentes[[#This Row],[Total Pasivo]]</f>
        <v>7178520</v>
      </c>
      <c r="K139" s="48">
        <f>VLOOKUP(Proponentes[[#This Row],[Propuesta]],Hoja2!$A$2:$G$239,7,FALSE)</f>
        <v>0</v>
      </c>
      <c r="L139" s="15"/>
      <c r="M139" s="15" t="s">
        <v>204</v>
      </c>
      <c r="N139" s="55">
        <f>IFERROR(VLOOKUP(Proponentes[[#This Row],[Cap Op en SMMLV]],Base!$A$15:$F$20,3),0)</f>
        <v>0</v>
      </c>
      <c r="O139" s="16">
        <f>IFERROR(VLOOKUP(Proponentes[[#This Row],[Cap Op en SMMLV]],Base!$A$15:$F$20,4),0)</f>
        <v>0</v>
      </c>
      <c r="P139" s="17">
        <f>IFERROR(VLOOKUP(Proponentes[[#This Row],[Cap Op en SMMLV]],Tabla2[],6),0)</f>
        <v>0</v>
      </c>
      <c r="Q139" s="18">
        <f>IFERROR(VLOOKUP(Proponentes[[#This Row],[Cap Op en SMMLV]],Base!$A$15:$F$20,5),0)</f>
        <v>0</v>
      </c>
      <c r="R139" s="18">
        <f>IFERROR(VLOOKUP(Proponentes[[#This Row],[Cap Op en SMMLV]],Tabla2[[DE]:[HASTA]],2),0)</f>
        <v>0</v>
      </c>
      <c r="S139" s="19" t="str">
        <f>IFERROR(Proponentes[[#This Row],[Activo Corriente]]/Proponentes[[#This Row],[Pasivo Corriente]],"INDETERMINADO")</f>
        <v>INDETERMINADO</v>
      </c>
      <c r="T139" s="20">
        <f>IFERROR(Proponentes[[#This Row],[Total Pasivo]]/Proponentes[[#This Row],[Total ACTIVO]],0)</f>
        <v>0.80691754271014549</v>
      </c>
      <c r="U139" s="21">
        <f>(Proponentes[[#This Row],[Activo Corriente]]-Proponentes[[#This Row],[Pasivo Corriente]])/Base!$B$3</f>
        <v>14.661564321906592</v>
      </c>
      <c r="V139" s="22">
        <f>Proponentes[[#This Row],[Activo Corriente]]-Proponentes[[#This Row],[Pasivo Corriente]]</f>
        <v>12141476</v>
      </c>
      <c r="W139" s="13">
        <f>IFERROR(VLOOKUP(Proponentes[[#This Row],[Propuesta]],Hoja2!$A$2:$G$329,7,FALSE),0)</f>
        <v>0</v>
      </c>
      <c r="X139" s="83">
        <f>IF(Proponentes[[#This Row],[Cap Op en Pesos]]=0,0,IF(Proponentes[[#This Row],[Cap Op en Pesos]]=0,1,Proponentes[[#This Row],[Cap Op en Pesos]]/Base!B$3))</f>
        <v>0</v>
      </c>
      <c r="Y13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3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3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39" s="23" t="str">
        <f>IF(AND(Proponentes[[#This Row],[Cumple
Liquidez]]="CUMPLE",Proponentes[[#This Row],[Cumple
Endeudamiento]]="CUMPLE",Proponentes[[#This Row],[Cumple
Capital de Trabajo]]="CUMPLE"),"CUMPLE","NO CUMPLE")</f>
        <v>NO CUMPLE</v>
      </c>
      <c r="AC139" s="24" t="s">
        <v>799</v>
      </c>
      <c r="AD139" s="10">
        <f>IF(Proponentes[[#This Row],[Liquidez
Oferente]]&lt;=1,1,IF(Proponentes[[#This Row],[Liquidez
Oferente]]&lt;=1.1,2,IF(Proponentes[[#This Row],[Liquidez
Oferente]]&lt;=1.2,3,IF(Proponentes[[#This Row],[Liquidez
Oferente]]&lt;=1.3,4,IF(Proponentes[[#This Row],[Liquidez
Oferente]]&lt;=1.4,5,6)))))</f>
        <v>6</v>
      </c>
      <c r="AE139" s="10">
        <f>IF(Proponentes[[#This Row],[Endeudamiento
Oferente]]&lt;=66%,6,IF(Proponentes[[#This Row],[Endeudamiento
Oferente]]&lt;=58,5,IF(Proponentes[[#This Row],[Endeudamiento
Oferente]]&lt;=70,4,IF(Proponentes[[#This Row],[Endeudamiento
Oferente]]&lt;=72,3,IF(Proponentes[[#This Row],[Endeudamiento
Oferente]]&lt;=74,2,1)))))</f>
        <v>5</v>
      </c>
      <c r="AF13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139" s="10">
        <f>IF(Proponentes[[#This Row],[Cap Op en SMMLV]]&lt;=500,1,IF(Proponentes[[#This Row],[Cap Op en SMMLV]]&lt;=1000,2,IF(Proponentes[[#This Row],[Cap Op en SMMLV]]&lt;=1500,3,IF(Proponentes[[#This Row],[Cap Op en SMMLV]]&lt;=2000,4,IF(Proponentes[[#This Row],[Cap Op en SMMLV]]&lt;=2500,5,6)))))</f>
        <v>1</v>
      </c>
      <c r="AH139" s="10">
        <f>MIN(Proponentes[[#This Row],[a]:[d]])</f>
        <v>1</v>
      </c>
      <c r="AI139" s="87">
        <f>IF(Proponentes[[#This Row],[e]]=Proponentes[[#This Row],[d]],Proponentes[[#This Row],[Cap Op en SMMLV]],VLOOKUP(Proponentes[[#This Row],[e]],Base!$D$1:$E$6,2,FALSE))</f>
        <v>0</v>
      </c>
      <c r="AJ139" s="101" t="str">
        <f>VLOOKUP(Proponentes[[#This Row],[Propuesta]],Hoja2!$A$2:$D$329,4,FALSE)</f>
        <v>NO CUMPLE</v>
      </c>
      <c r="AK139" s="101"/>
    </row>
    <row r="140" spans="1:37" ht="16" x14ac:dyDescent="0.2">
      <c r="A140" s="10">
        <v>139</v>
      </c>
      <c r="B140" s="11">
        <v>900210617</v>
      </c>
      <c r="C140" s="12" t="s">
        <v>205</v>
      </c>
      <c r="D140" s="13">
        <v>186871881</v>
      </c>
      <c r="E140" s="13"/>
      <c r="F140" s="25">
        <f>Proponentes[[#This Row],[Activo Corriente]]+Proponentes[[#This Row],[Activo NO Corriente]]</f>
        <v>186871881</v>
      </c>
      <c r="G140" s="13">
        <v>56967098</v>
      </c>
      <c r="H140" s="13">
        <v>0</v>
      </c>
      <c r="I140" s="25">
        <f>Proponentes[[#This Row],[Pasivo Corriente]]+Proponentes[[#This Row],[Pasivo NO Corriente]]</f>
        <v>56967098</v>
      </c>
      <c r="J140" s="14">
        <f>Proponentes[[#This Row],[Total ACTIVO]]-Proponentes[[#This Row],[Total Pasivo]]</f>
        <v>129904783</v>
      </c>
      <c r="K140" s="48">
        <f>VLOOKUP(Proponentes[[#This Row],[Propuesta]],Hoja2!$A$2:$G$239,7,FALSE)</f>
        <v>217912359.80438423</v>
      </c>
      <c r="L140" s="15"/>
      <c r="M140" s="15" t="s">
        <v>59</v>
      </c>
      <c r="N140" s="55">
        <f>IFERROR(VLOOKUP(Proponentes[[#This Row],[Cap Op en SMMLV]],Base!$A$15:$F$20,3),0)</f>
        <v>1</v>
      </c>
      <c r="O140" s="16">
        <f>IFERROR(VLOOKUP(Proponentes[[#This Row],[Cap Op en SMMLV]],Base!$A$15:$F$20,4),0)</f>
        <v>0.76</v>
      </c>
      <c r="P140" s="17">
        <f>IFERROR(VLOOKUP(Proponentes[[#This Row],[Cap Op en SMMLV]],Tabla2[],6),0)</f>
        <v>12.5</v>
      </c>
      <c r="Q140" s="18">
        <f>IFERROR(VLOOKUP(Proponentes[[#This Row],[Cap Op en SMMLV]],Base!$A$15:$F$20,5),0)</f>
        <v>10351450</v>
      </c>
      <c r="R140" s="18">
        <f>IFERROR(VLOOKUP(Proponentes[[#This Row],[Cap Op en SMMLV]],Tabla2[[DE]:[HASTA]],2),0)</f>
        <v>500</v>
      </c>
      <c r="S140" s="19">
        <f>IFERROR(Proponentes[[#This Row],[Activo Corriente]]/Proponentes[[#This Row],[Pasivo Corriente]],"INDETERMINADO")</f>
        <v>3.2803475613239068</v>
      </c>
      <c r="T140" s="20">
        <f>IFERROR(Proponentes[[#This Row],[Total Pasivo]]/Proponentes[[#This Row],[Total ACTIVO]],0)</f>
        <v>0.30484574616124294</v>
      </c>
      <c r="U140" s="21">
        <f>(Proponentes[[#This Row],[Activo Corriente]]-Proponentes[[#This Row],[Pasivo Corriente]])/Base!$B$3</f>
        <v>156.86785788464417</v>
      </c>
      <c r="V140" s="22">
        <f>Proponentes[[#This Row],[Activo Corriente]]-Proponentes[[#This Row],[Pasivo Corriente]]</f>
        <v>129904783</v>
      </c>
      <c r="W140" s="13">
        <f>IFERROR(VLOOKUP(Proponentes[[#This Row],[Propuesta]],Hoja2!$A$2:$G$329,7,FALSE),0)</f>
        <v>217912359.80438423</v>
      </c>
      <c r="X140" s="83">
        <f>IF(Proponentes[[#This Row],[Cap Op en Pesos]]=0,0,IF(Proponentes[[#This Row],[Cap Op en Pesos]]=0,1,Proponentes[[#This Row],[Cap Op en Pesos]]/Base!B$3))</f>
        <v>263.14231315949002</v>
      </c>
      <c r="Y14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4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4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40" s="23" t="str">
        <f>IF(AND(Proponentes[[#This Row],[Cumple
Liquidez]]="CUMPLE",Proponentes[[#This Row],[Cumple
Endeudamiento]]="CUMPLE",Proponentes[[#This Row],[Cumple
Capital de Trabajo]]="CUMPLE"),"CUMPLE","NO CUMPLE")</f>
        <v>CUMPLE</v>
      </c>
      <c r="AC140" s="24"/>
      <c r="AD140" s="10">
        <f>IF(Proponentes[[#This Row],[Liquidez
Oferente]]&lt;=1,1,IF(Proponentes[[#This Row],[Liquidez
Oferente]]&lt;=1.1,2,IF(Proponentes[[#This Row],[Liquidez
Oferente]]&lt;=1.2,3,IF(Proponentes[[#This Row],[Liquidez
Oferente]]&lt;=1.3,4,IF(Proponentes[[#This Row],[Liquidez
Oferente]]&lt;=1.4,5,6)))))</f>
        <v>6</v>
      </c>
      <c r="AE140" s="10">
        <f>IF(Proponentes[[#This Row],[Endeudamiento
Oferente]]&lt;=66%,6,IF(Proponentes[[#This Row],[Endeudamiento
Oferente]]&lt;=58,5,IF(Proponentes[[#This Row],[Endeudamiento
Oferente]]&lt;=70,4,IF(Proponentes[[#This Row],[Endeudamiento
Oferente]]&lt;=72,3,IF(Proponentes[[#This Row],[Endeudamiento
Oferente]]&lt;=74,2,1)))))</f>
        <v>6</v>
      </c>
      <c r="AF14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40" s="10">
        <f>IF(Proponentes[[#This Row],[Cap Op en SMMLV]]&lt;=500,1,IF(Proponentes[[#This Row],[Cap Op en SMMLV]]&lt;=1000,2,IF(Proponentes[[#This Row],[Cap Op en SMMLV]]&lt;=1500,3,IF(Proponentes[[#This Row],[Cap Op en SMMLV]]&lt;=2000,4,IF(Proponentes[[#This Row],[Cap Op en SMMLV]]&lt;=2500,5,6)))))</f>
        <v>1</v>
      </c>
      <c r="AH140" s="10">
        <f>MIN(Proponentes[[#This Row],[a]:[d]])</f>
        <v>1</v>
      </c>
      <c r="AI140" s="87">
        <f>IF(Proponentes[[#This Row],[e]]=Proponentes[[#This Row],[d]],Proponentes[[#This Row],[Cap Op en SMMLV]],VLOOKUP(Proponentes[[#This Row],[e]],Base!$D$1:$E$6,2,FALSE))</f>
        <v>263.14231315949002</v>
      </c>
      <c r="AJ140" s="101" t="str">
        <f>VLOOKUP(Proponentes[[#This Row],[Propuesta]],Hoja2!$A$2:$D$329,4,FALSE)</f>
        <v>NO CUMPLE</v>
      </c>
      <c r="AK140" s="101"/>
    </row>
    <row r="141" spans="1:37" ht="16" x14ac:dyDescent="0.2">
      <c r="A141" s="10">
        <v>140</v>
      </c>
      <c r="B141" s="11">
        <v>900087966</v>
      </c>
      <c r="C141" s="12" t="s">
        <v>206</v>
      </c>
      <c r="D141" s="13">
        <v>910000000</v>
      </c>
      <c r="E141" s="13"/>
      <c r="F141" s="25">
        <f>Proponentes[[#This Row],[Activo Corriente]]+Proponentes[[#This Row],[Activo NO Corriente]]</f>
        <v>910000000</v>
      </c>
      <c r="G141" s="13">
        <v>8000000</v>
      </c>
      <c r="H141" s="13">
        <v>0</v>
      </c>
      <c r="I141" s="25">
        <f>Proponentes[[#This Row],[Pasivo Corriente]]+Proponentes[[#This Row],[Pasivo NO Corriente]]</f>
        <v>8000000</v>
      </c>
      <c r="J141" s="14">
        <f>Proponentes[[#This Row],[Total ACTIVO]]-Proponentes[[#This Row],[Total Pasivo]]</f>
        <v>902000000</v>
      </c>
      <c r="K141" s="48">
        <f>VLOOKUP(Proponentes[[#This Row],[Propuesta]],Hoja2!$A$2:$G$239,7,FALSE)</f>
        <v>0</v>
      </c>
      <c r="L141" s="15"/>
      <c r="M141" s="15" t="s">
        <v>36</v>
      </c>
      <c r="N141" s="55">
        <f>IFERROR(VLOOKUP(Proponentes[[#This Row],[Cap Op en SMMLV]],Base!$A$15:$F$20,3),0)</f>
        <v>0</v>
      </c>
      <c r="O141" s="16">
        <f>IFERROR(VLOOKUP(Proponentes[[#This Row],[Cap Op en SMMLV]],Base!$A$15:$F$20,4),0)</f>
        <v>0</v>
      </c>
      <c r="P141" s="17">
        <f>IFERROR(VLOOKUP(Proponentes[[#This Row],[Cap Op en SMMLV]],Tabla2[],6),0)</f>
        <v>0</v>
      </c>
      <c r="Q141" s="18">
        <f>IFERROR(VLOOKUP(Proponentes[[#This Row],[Cap Op en SMMLV]],Base!$A$15:$F$20,5),0)</f>
        <v>0</v>
      </c>
      <c r="R141" s="18">
        <f>IFERROR(VLOOKUP(Proponentes[[#This Row],[Cap Op en SMMLV]],Tabla2[[DE]:[HASTA]],2),0)</f>
        <v>0</v>
      </c>
      <c r="S141" s="19">
        <f>IFERROR(Proponentes[[#This Row],[Activo Corriente]]/Proponentes[[#This Row],[Pasivo Corriente]],"INDETERMINADO")</f>
        <v>113.75</v>
      </c>
      <c r="T141" s="20">
        <f>IFERROR(Proponentes[[#This Row],[Total Pasivo]]/Proponentes[[#This Row],[Total ACTIVO]],0)</f>
        <v>8.7912087912087912E-3</v>
      </c>
      <c r="U141" s="21">
        <f>(Proponentes[[#This Row],[Activo Corriente]]-Proponentes[[#This Row],[Pasivo Corriente]])/Base!$B$3</f>
        <v>1089.2193847238793</v>
      </c>
      <c r="V141" s="22">
        <f>Proponentes[[#This Row],[Activo Corriente]]-Proponentes[[#This Row],[Pasivo Corriente]]</f>
        <v>902000000</v>
      </c>
      <c r="W141" s="13">
        <f>IFERROR(VLOOKUP(Proponentes[[#This Row],[Propuesta]],Hoja2!$A$2:$G$329,7,FALSE),0)</f>
        <v>0</v>
      </c>
      <c r="X141" s="83">
        <f>IF(Proponentes[[#This Row],[Cap Op en Pesos]]=0,0,IF(Proponentes[[#This Row],[Cap Op en Pesos]]=0,1,Proponentes[[#This Row],[Cap Op en Pesos]]/Base!B$3))</f>
        <v>0</v>
      </c>
      <c r="Y14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4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4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41" s="23" t="str">
        <f>IF(AND(Proponentes[[#This Row],[Cumple
Liquidez]]="CUMPLE",Proponentes[[#This Row],[Cumple
Endeudamiento]]="CUMPLE",Proponentes[[#This Row],[Cumple
Capital de Trabajo]]="CUMPLE"),"CUMPLE","NO CUMPLE")</f>
        <v>NO CUMPLE</v>
      </c>
      <c r="AC141" s="24"/>
      <c r="AD141" s="10">
        <f>IF(Proponentes[[#This Row],[Liquidez
Oferente]]&lt;=1,1,IF(Proponentes[[#This Row],[Liquidez
Oferente]]&lt;=1.1,2,IF(Proponentes[[#This Row],[Liquidez
Oferente]]&lt;=1.2,3,IF(Proponentes[[#This Row],[Liquidez
Oferente]]&lt;=1.3,4,IF(Proponentes[[#This Row],[Liquidez
Oferente]]&lt;=1.4,5,6)))))</f>
        <v>6</v>
      </c>
      <c r="AE141" s="10">
        <f>IF(Proponentes[[#This Row],[Endeudamiento
Oferente]]&lt;=66%,6,IF(Proponentes[[#This Row],[Endeudamiento
Oferente]]&lt;=58,5,IF(Proponentes[[#This Row],[Endeudamiento
Oferente]]&lt;=70,4,IF(Proponentes[[#This Row],[Endeudamiento
Oferente]]&lt;=72,3,IF(Proponentes[[#This Row],[Endeudamiento
Oferente]]&lt;=74,2,1)))))</f>
        <v>6</v>
      </c>
      <c r="AF14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41" s="10">
        <f>IF(Proponentes[[#This Row],[Cap Op en SMMLV]]&lt;=500,1,IF(Proponentes[[#This Row],[Cap Op en SMMLV]]&lt;=1000,2,IF(Proponentes[[#This Row],[Cap Op en SMMLV]]&lt;=1500,3,IF(Proponentes[[#This Row],[Cap Op en SMMLV]]&lt;=2000,4,IF(Proponentes[[#This Row],[Cap Op en SMMLV]]&lt;=2500,5,6)))))</f>
        <v>1</v>
      </c>
      <c r="AH141" s="10">
        <f>MIN(Proponentes[[#This Row],[a]:[d]])</f>
        <v>1</v>
      </c>
      <c r="AI141" s="87">
        <f>IF(Proponentes[[#This Row],[e]]=Proponentes[[#This Row],[d]],Proponentes[[#This Row],[Cap Op en SMMLV]],VLOOKUP(Proponentes[[#This Row],[e]],Base!$D$1:$E$6,2,FALSE))</f>
        <v>0</v>
      </c>
      <c r="AJ141" s="101" t="str">
        <f>VLOOKUP(Proponentes[[#This Row],[Propuesta]],Hoja2!$A$2:$D$329,4,FALSE)</f>
        <v>NO CUMPLE</v>
      </c>
      <c r="AK141" s="101"/>
    </row>
    <row r="142" spans="1:37" ht="16" x14ac:dyDescent="0.2">
      <c r="A142" s="10">
        <v>141</v>
      </c>
      <c r="B142" s="11">
        <v>800180234</v>
      </c>
      <c r="C142" s="12" t="s">
        <v>207</v>
      </c>
      <c r="D142" s="13">
        <v>2100102282</v>
      </c>
      <c r="E142" s="13">
        <v>1263089109</v>
      </c>
      <c r="F142" s="25">
        <f>Proponentes[[#This Row],[Activo Corriente]]+Proponentes[[#This Row],[Activo NO Corriente]]</f>
        <v>3363191391</v>
      </c>
      <c r="G142" s="13">
        <v>164270597</v>
      </c>
      <c r="H142" s="13">
        <v>651174208</v>
      </c>
      <c r="I142" s="25">
        <f>Proponentes[[#This Row],[Pasivo Corriente]]+Proponentes[[#This Row],[Pasivo NO Corriente]]</f>
        <v>815444805</v>
      </c>
      <c r="J142" s="14">
        <f>Proponentes[[#This Row],[Total ACTIVO]]-Proponentes[[#This Row],[Total Pasivo]]</f>
        <v>2547746586</v>
      </c>
      <c r="K142" s="48">
        <f>VLOOKUP(Proponentes[[#This Row],[Propuesta]],Hoja2!$A$2:$G$239,7,FALSE)</f>
        <v>430867661.3707155</v>
      </c>
      <c r="L142" s="15" t="s">
        <v>59</v>
      </c>
      <c r="M142" s="15" t="s">
        <v>28</v>
      </c>
      <c r="N142" s="55">
        <f>IFERROR(VLOOKUP(Proponentes[[#This Row],[Cap Op en SMMLV]],Base!$A$15:$F$20,3),0)</f>
        <v>1.1000000000000001</v>
      </c>
      <c r="O142" s="16">
        <f>IFERROR(VLOOKUP(Proponentes[[#This Row],[Cap Op en SMMLV]],Base!$A$15:$F$20,4),0)</f>
        <v>0.74</v>
      </c>
      <c r="P142" s="17">
        <f>IFERROR(VLOOKUP(Proponentes[[#This Row],[Cap Op en SMMLV]],Tabla2[],6),0)</f>
        <v>25</v>
      </c>
      <c r="Q142" s="18">
        <f>IFERROR(VLOOKUP(Proponentes[[#This Row],[Cap Op en SMMLV]],Base!$A$15:$F$20,5),0)</f>
        <v>20702900</v>
      </c>
      <c r="R142" s="18">
        <f>IFERROR(VLOOKUP(Proponentes[[#This Row],[Cap Op en SMMLV]],Tabla2[[DE]:[HASTA]],2),0)</f>
        <v>1000</v>
      </c>
      <c r="S142" s="19">
        <f>IFERROR(Proponentes[[#This Row],[Activo Corriente]]/Proponentes[[#This Row],[Pasivo Corriente]],"INDETERMINADO")</f>
        <v>12.784407680700156</v>
      </c>
      <c r="T142" s="20">
        <f>IFERROR(Proponentes[[#This Row],[Total Pasivo]]/Proponentes[[#This Row],[Total ACTIVO]],0)</f>
        <v>0.24246161166508529</v>
      </c>
      <c r="U142" s="21">
        <f>(Proponentes[[#This Row],[Activo Corriente]]-Proponentes[[#This Row],[Pasivo Corriente]])/Base!$B$3</f>
        <v>2337.6334776770404</v>
      </c>
      <c r="V142" s="22">
        <f>Proponentes[[#This Row],[Activo Corriente]]-Proponentes[[#This Row],[Pasivo Corriente]]</f>
        <v>1935831685</v>
      </c>
      <c r="W142" s="13">
        <f>IFERROR(VLOOKUP(Proponentes[[#This Row],[Propuesta]],Hoja2!$A$2:$G$329,7,FALSE),0)</f>
        <v>430867661.3707155</v>
      </c>
      <c r="X142" s="83">
        <f>IF(Proponentes[[#This Row],[Cap Op en Pesos]]=0,0,IF(Proponentes[[#This Row],[Cap Op en Pesos]]=0,1,Proponentes[[#This Row],[Cap Op en Pesos]]/Base!B$3))</f>
        <v>520.2986796182123</v>
      </c>
      <c r="Y14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4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4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42" s="23" t="str">
        <f>IF(AND(Proponentes[[#This Row],[Cumple
Liquidez]]="CUMPLE",Proponentes[[#This Row],[Cumple
Endeudamiento]]="CUMPLE",Proponentes[[#This Row],[Cumple
Capital de Trabajo]]="CUMPLE"),"CUMPLE","NO CUMPLE")</f>
        <v>CUMPLE</v>
      </c>
      <c r="AC142" s="24"/>
      <c r="AD142" s="10">
        <f>IF(Proponentes[[#This Row],[Liquidez
Oferente]]&lt;=1,1,IF(Proponentes[[#This Row],[Liquidez
Oferente]]&lt;=1.1,2,IF(Proponentes[[#This Row],[Liquidez
Oferente]]&lt;=1.2,3,IF(Proponentes[[#This Row],[Liquidez
Oferente]]&lt;=1.3,4,IF(Proponentes[[#This Row],[Liquidez
Oferente]]&lt;=1.4,5,6)))))</f>
        <v>6</v>
      </c>
      <c r="AE142" s="10">
        <f>IF(Proponentes[[#This Row],[Endeudamiento
Oferente]]&lt;=66%,6,IF(Proponentes[[#This Row],[Endeudamiento
Oferente]]&lt;=58,5,IF(Proponentes[[#This Row],[Endeudamiento
Oferente]]&lt;=70,4,IF(Proponentes[[#This Row],[Endeudamiento
Oferente]]&lt;=72,3,IF(Proponentes[[#This Row],[Endeudamiento
Oferente]]&lt;=74,2,1)))))</f>
        <v>6</v>
      </c>
      <c r="AF14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42" s="10">
        <f>IF(Proponentes[[#This Row],[Cap Op en SMMLV]]&lt;=500,1,IF(Proponentes[[#This Row],[Cap Op en SMMLV]]&lt;=1000,2,IF(Proponentes[[#This Row],[Cap Op en SMMLV]]&lt;=1500,3,IF(Proponentes[[#This Row],[Cap Op en SMMLV]]&lt;=2000,4,IF(Proponentes[[#This Row],[Cap Op en SMMLV]]&lt;=2500,5,6)))))</f>
        <v>2</v>
      </c>
      <c r="AH142" s="10">
        <f>MIN(Proponentes[[#This Row],[a]:[d]])</f>
        <v>2</v>
      </c>
      <c r="AI142" s="87">
        <f>IF(Proponentes[[#This Row],[e]]=Proponentes[[#This Row],[d]],Proponentes[[#This Row],[Cap Op en SMMLV]],VLOOKUP(Proponentes[[#This Row],[e]],Base!$D$1:$E$6,2,FALSE))</f>
        <v>520.2986796182123</v>
      </c>
      <c r="AJ142" s="101" t="str">
        <f>VLOOKUP(Proponentes[[#This Row],[Propuesta]],Hoja2!$A$2:$D$329,4,FALSE)</f>
        <v>CUMPLE</v>
      </c>
      <c r="AK142" s="101"/>
    </row>
    <row r="143" spans="1:37" ht="32" x14ac:dyDescent="0.2">
      <c r="A143" s="10">
        <v>142</v>
      </c>
      <c r="B143" s="11">
        <v>825001524</v>
      </c>
      <c r="C143" s="12" t="s">
        <v>208</v>
      </c>
      <c r="D143" s="13">
        <v>188094222</v>
      </c>
      <c r="E143" s="13">
        <v>53410800</v>
      </c>
      <c r="F143" s="25">
        <f>Proponentes[[#This Row],[Activo Corriente]]+Proponentes[[#This Row],[Activo NO Corriente]]</f>
        <v>241505022</v>
      </c>
      <c r="G143" s="13">
        <v>0</v>
      </c>
      <c r="H143" s="13">
        <v>0</v>
      </c>
      <c r="I143" s="25">
        <f>Proponentes[[#This Row],[Pasivo Corriente]]+Proponentes[[#This Row],[Pasivo NO Corriente]]</f>
        <v>0</v>
      </c>
      <c r="J143" s="14">
        <f>Proponentes[[#This Row],[Total ACTIVO]]-Proponentes[[#This Row],[Total Pasivo]]</f>
        <v>241505022</v>
      </c>
      <c r="K143" s="48">
        <f>VLOOKUP(Proponentes[[#This Row],[Propuesta]],Hoja2!$A$2:$G$239,7,FALSE)</f>
        <v>0</v>
      </c>
      <c r="L143" s="15" t="s">
        <v>59</v>
      </c>
      <c r="M143" s="15" t="s">
        <v>28</v>
      </c>
      <c r="N143" s="55">
        <f>IFERROR(VLOOKUP(Proponentes[[#This Row],[Cap Op en SMMLV]],Base!$A$15:$F$20,3),0)</f>
        <v>0</v>
      </c>
      <c r="O143" s="16">
        <f>IFERROR(VLOOKUP(Proponentes[[#This Row],[Cap Op en SMMLV]],Base!$A$15:$F$20,4),0)</f>
        <v>0</v>
      </c>
      <c r="P143" s="17">
        <f>IFERROR(VLOOKUP(Proponentes[[#This Row],[Cap Op en SMMLV]],Tabla2[],6),0)</f>
        <v>0</v>
      </c>
      <c r="Q143" s="18">
        <f>IFERROR(VLOOKUP(Proponentes[[#This Row],[Cap Op en SMMLV]],Base!$A$15:$F$20,5),0)</f>
        <v>0</v>
      </c>
      <c r="R143" s="18">
        <f>IFERROR(VLOOKUP(Proponentes[[#This Row],[Cap Op en SMMLV]],Tabla2[[DE]:[HASTA]],2),0)</f>
        <v>0</v>
      </c>
      <c r="S143" s="19" t="str">
        <f>IFERROR(Proponentes[[#This Row],[Activo Corriente]]/Proponentes[[#This Row],[Pasivo Corriente]],"INDETERMINADO")</f>
        <v>INDETERMINADO</v>
      </c>
      <c r="T143" s="20">
        <f>IFERROR(Proponentes[[#This Row],[Total Pasivo]]/Proponentes[[#This Row],[Total ACTIVO]],0)</f>
        <v>0</v>
      </c>
      <c r="U143" s="21">
        <f>(Proponentes[[#This Row],[Activo Corriente]]-Proponentes[[#This Row],[Pasivo Corriente]])/Base!$B$3</f>
        <v>227.13511392123809</v>
      </c>
      <c r="V143" s="22">
        <f>Proponentes[[#This Row],[Activo Corriente]]-Proponentes[[#This Row],[Pasivo Corriente]]</f>
        <v>188094222</v>
      </c>
      <c r="W143" s="13">
        <f>IFERROR(VLOOKUP(Proponentes[[#This Row],[Propuesta]],Hoja2!$A$2:$G$329,7,FALSE),0)</f>
        <v>0</v>
      </c>
      <c r="X143" s="83">
        <f>IF(Proponentes[[#This Row],[Cap Op en Pesos]]=0,0,IF(Proponentes[[#This Row],[Cap Op en Pesos]]=0,1,Proponentes[[#This Row],[Cap Op en Pesos]]/Base!B$3))</f>
        <v>0</v>
      </c>
      <c r="Y14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4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4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43" s="23" t="str">
        <f>IF(AND(Proponentes[[#This Row],[Cumple
Liquidez]]="CUMPLE",Proponentes[[#This Row],[Cumple
Endeudamiento]]="CUMPLE",Proponentes[[#This Row],[Cumple
Capital de Trabajo]]="CUMPLE"),"CUMPLE","NO CUMPLE")</f>
        <v>CUMPLE</v>
      </c>
      <c r="AC143" s="24"/>
      <c r="AD143" s="10">
        <f>IF(Proponentes[[#This Row],[Liquidez
Oferente]]&lt;=1,1,IF(Proponentes[[#This Row],[Liquidez
Oferente]]&lt;=1.1,2,IF(Proponentes[[#This Row],[Liquidez
Oferente]]&lt;=1.2,3,IF(Proponentes[[#This Row],[Liquidez
Oferente]]&lt;=1.3,4,IF(Proponentes[[#This Row],[Liquidez
Oferente]]&lt;=1.4,5,6)))))</f>
        <v>6</v>
      </c>
      <c r="AE143" s="10">
        <f>IF(Proponentes[[#This Row],[Endeudamiento
Oferente]]&lt;=66%,6,IF(Proponentes[[#This Row],[Endeudamiento
Oferente]]&lt;=58,5,IF(Proponentes[[#This Row],[Endeudamiento
Oferente]]&lt;=70,4,IF(Proponentes[[#This Row],[Endeudamiento
Oferente]]&lt;=72,3,IF(Proponentes[[#This Row],[Endeudamiento
Oferente]]&lt;=74,2,1)))))</f>
        <v>6</v>
      </c>
      <c r="AF14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43" s="10">
        <f>IF(Proponentes[[#This Row],[Cap Op en SMMLV]]&lt;=500,1,IF(Proponentes[[#This Row],[Cap Op en SMMLV]]&lt;=1000,2,IF(Proponentes[[#This Row],[Cap Op en SMMLV]]&lt;=1500,3,IF(Proponentes[[#This Row],[Cap Op en SMMLV]]&lt;=2000,4,IF(Proponentes[[#This Row],[Cap Op en SMMLV]]&lt;=2500,5,6)))))</f>
        <v>1</v>
      </c>
      <c r="AH143" s="10">
        <f>MIN(Proponentes[[#This Row],[a]:[d]])</f>
        <v>1</v>
      </c>
      <c r="AI143" s="87">
        <f>IF(Proponentes[[#This Row],[e]]=Proponentes[[#This Row],[d]],Proponentes[[#This Row],[Cap Op en SMMLV]],VLOOKUP(Proponentes[[#This Row],[e]],Base!$D$1:$E$6,2,FALSE))</f>
        <v>0</v>
      </c>
      <c r="AJ143" s="101" t="str">
        <f>VLOOKUP(Proponentes[[#This Row],[Propuesta]],Hoja2!$A$2:$D$329,4,FALSE)</f>
        <v>NO CUMPLE</v>
      </c>
      <c r="AK143" s="101"/>
    </row>
    <row r="144" spans="1:37" ht="16" x14ac:dyDescent="0.2">
      <c r="A144" s="10">
        <v>143</v>
      </c>
      <c r="B144" s="11">
        <v>890310770</v>
      </c>
      <c r="C144" s="12" t="s">
        <v>209</v>
      </c>
      <c r="D144" s="13">
        <v>1479680919</v>
      </c>
      <c r="E144" s="13">
        <v>798925422</v>
      </c>
      <c r="F144" s="25">
        <f>Proponentes[[#This Row],[Activo Corriente]]+Proponentes[[#This Row],[Activo NO Corriente]]</f>
        <v>2278606341</v>
      </c>
      <c r="G144" s="13">
        <v>153094583</v>
      </c>
      <c r="H144" s="13">
        <v>38518280</v>
      </c>
      <c r="I144" s="25">
        <f>Proponentes[[#This Row],[Pasivo Corriente]]+Proponentes[[#This Row],[Pasivo NO Corriente]]</f>
        <v>191612863</v>
      </c>
      <c r="J144" s="14">
        <f>Proponentes[[#This Row],[Total ACTIVO]]-Proponentes[[#This Row],[Total Pasivo]]</f>
        <v>2086993478</v>
      </c>
      <c r="K144" s="48">
        <f>VLOOKUP(Proponentes[[#This Row],[Propuesta]],Hoja2!$A$2:$G$239,7,FALSE)</f>
        <v>826947654.90080106</v>
      </c>
      <c r="L144" s="15" t="s">
        <v>210</v>
      </c>
      <c r="M144" s="15" t="s">
        <v>28</v>
      </c>
      <c r="N144" s="55">
        <f>IFERROR(VLOOKUP(Proponentes[[#This Row],[Cap Op en SMMLV]],Base!$A$15:$F$20,3),0)</f>
        <v>1.1000000000000001</v>
      </c>
      <c r="O144" s="16">
        <f>IFERROR(VLOOKUP(Proponentes[[#This Row],[Cap Op en SMMLV]],Base!$A$15:$F$20,4),0)</f>
        <v>0.74</v>
      </c>
      <c r="P144" s="17">
        <f>IFERROR(VLOOKUP(Proponentes[[#This Row],[Cap Op en SMMLV]],Tabla2[],6),0)</f>
        <v>25</v>
      </c>
      <c r="Q144" s="18">
        <f>IFERROR(VLOOKUP(Proponentes[[#This Row],[Cap Op en SMMLV]],Base!$A$15:$F$20,5),0)</f>
        <v>20702900</v>
      </c>
      <c r="R144" s="18">
        <f>IFERROR(VLOOKUP(Proponentes[[#This Row],[Cap Op en SMMLV]],Tabla2[[DE]:[HASTA]],2),0)</f>
        <v>1000</v>
      </c>
      <c r="S144" s="19">
        <f>IFERROR(Proponentes[[#This Row],[Activo Corriente]]/Proponentes[[#This Row],[Pasivo Corriente]],"INDETERMINADO")</f>
        <v>9.6651422277952186</v>
      </c>
      <c r="T144" s="20">
        <f>IFERROR(Proponentes[[#This Row],[Total Pasivo]]/Proponentes[[#This Row],[Total ACTIVO]],0)</f>
        <v>8.4092131033001463E-2</v>
      </c>
      <c r="U144" s="21">
        <f>(Proponentes[[#This Row],[Activo Corriente]]-Proponentes[[#This Row],[Pasivo Corriente]])/Base!$B$3</f>
        <v>1601.9329852339526</v>
      </c>
      <c r="V144" s="22">
        <f>Proponentes[[#This Row],[Activo Corriente]]-Proponentes[[#This Row],[Pasivo Corriente]]</f>
        <v>1326586336</v>
      </c>
      <c r="W144" s="13">
        <f>IFERROR(VLOOKUP(Proponentes[[#This Row],[Propuesta]],Hoja2!$A$2:$G$329,7,FALSE),0)</f>
        <v>826947654.90080106</v>
      </c>
      <c r="X144" s="83">
        <f>IF(Proponentes[[#This Row],[Cap Op en Pesos]]=0,0,IF(Proponentes[[#This Row],[Cap Op en Pesos]]=0,1,Proponentes[[#This Row],[Cap Op en Pesos]]/Base!B$3))</f>
        <v>998.58915284911905</v>
      </c>
      <c r="Y14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4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4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44" s="23" t="str">
        <f>IF(AND(Proponentes[[#This Row],[Cumple
Liquidez]]="CUMPLE",Proponentes[[#This Row],[Cumple
Endeudamiento]]="CUMPLE",Proponentes[[#This Row],[Cumple
Capital de Trabajo]]="CUMPLE"),"CUMPLE","NO CUMPLE")</f>
        <v>CUMPLE</v>
      </c>
      <c r="AC144" s="24"/>
      <c r="AD144" s="10">
        <f>IF(Proponentes[[#This Row],[Liquidez
Oferente]]&lt;=1,1,IF(Proponentes[[#This Row],[Liquidez
Oferente]]&lt;=1.1,2,IF(Proponentes[[#This Row],[Liquidez
Oferente]]&lt;=1.2,3,IF(Proponentes[[#This Row],[Liquidez
Oferente]]&lt;=1.3,4,IF(Proponentes[[#This Row],[Liquidez
Oferente]]&lt;=1.4,5,6)))))</f>
        <v>6</v>
      </c>
      <c r="AE144" s="10">
        <f>IF(Proponentes[[#This Row],[Endeudamiento
Oferente]]&lt;=66%,6,IF(Proponentes[[#This Row],[Endeudamiento
Oferente]]&lt;=58,5,IF(Proponentes[[#This Row],[Endeudamiento
Oferente]]&lt;=70,4,IF(Proponentes[[#This Row],[Endeudamiento
Oferente]]&lt;=72,3,IF(Proponentes[[#This Row],[Endeudamiento
Oferente]]&lt;=74,2,1)))))</f>
        <v>6</v>
      </c>
      <c r="AF14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44" s="10">
        <f>IF(Proponentes[[#This Row],[Cap Op en SMMLV]]&lt;=500,1,IF(Proponentes[[#This Row],[Cap Op en SMMLV]]&lt;=1000,2,IF(Proponentes[[#This Row],[Cap Op en SMMLV]]&lt;=1500,3,IF(Proponentes[[#This Row],[Cap Op en SMMLV]]&lt;=2000,4,IF(Proponentes[[#This Row],[Cap Op en SMMLV]]&lt;=2500,5,6)))))</f>
        <v>2</v>
      </c>
      <c r="AH144" s="10">
        <f>MIN(Proponentes[[#This Row],[a]:[d]])</f>
        <v>2</v>
      </c>
      <c r="AI144" s="87">
        <f>IF(Proponentes[[#This Row],[e]]=Proponentes[[#This Row],[d]],Proponentes[[#This Row],[Cap Op en SMMLV]],VLOOKUP(Proponentes[[#This Row],[e]],Base!$D$1:$E$6,2,FALSE))</f>
        <v>998.58915284911905</v>
      </c>
      <c r="AJ144" s="101" t="str">
        <f>VLOOKUP(Proponentes[[#This Row],[Propuesta]],Hoja2!$A$2:$D$329,4,FALSE)</f>
        <v>CUMPLE</v>
      </c>
      <c r="AK144" s="101"/>
    </row>
    <row r="145" spans="1:37" ht="16" x14ac:dyDescent="0.2">
      <c r="A145" s="10">
        <v>144</v>
      </c>
      <c r="B145" s="11">
        <v>900696442</v>
      </c>
      <c r="C145" s="12" t="s">
        <v>211</v>
      </c>
      <c r="D145" s="13">
        <v>133133904</v>
      </c>
      <c r="E145" s="13">
        <v>14239702</v>
      </c>
      <c r="F145" s="25">
        <f>Proponentes[[#This Row],[Activo Corriente]]+Proponentes[[#This Row],[Activo NO Corriente]]</f>
        <v>147373606</v>
      </c>
      <c r="G145" s="13">
        <v>13169080</v>
      </c>
      <c r="H145" s="13">
        <v>0</v>
      </c>
      <c r="I145" s="25">
        <f>Proponentes[[#This Row],[Pasivo Corriente]]+Proponentes[[#This Row],[Pasivo NO Corriente]]</f>
        <v>13169080</v>
      </c>
      <c r="J145" s="14">
        <f>Proponentes[[#This Row],[Total ACTIVO]]-Proponentes[[#This Row],[Total Pasivo]]</f>
        <v>134204526</v>
      </c>
      <c r="K145" s="48">
        <f>VLOOKUP(Proponentes[[#This Row],[Propuesta]],Hoja2!$A$2:$G$239,7,FALSE)</f>
        <v>12309290.25154566</v>
      </c>
      <c r="L145" s="15" t="s">
        <v>212</v>
      </c>
      <c r="M145" s="15" t="s">
        <v>28</v>
      </c>
      <c r="N145" s="55">
        <f>IFERROR(VLOOKUP(Proponentes[[#This Row],[Cap Op en SMMLV]],Base!$A$15:$F$20,3),0)</f>
        <v>1</v>
      </c>
      <c r="O145" s="16">
        <f>IFERROR(VLOOKUP(Proponentes[[#This Row],[Cap Op en SMMLV]],Base!$A$15:$F$20,4),0)</f>
        <v>0.76</v>
      </c>
      <c r="P145" s="17">
        <f>IFERROR(VLOOKUP(Proponentes[[#This Row],[Cap Op en SMMLV]],Tabla2[],6),0)</f>
        <v>12.5</v>
      </c>
      <c r="Q145" s="18">
        <f>IFERROR(VLOOKUP(Proponentes[[#This Row],[Cap Op en SMMLV]],Base!$A$15:$F$20,5),0)</f>
        <v>10351450</v>
      </c>
      <c r="R145" s="18">
        <f>IFERROR(VLOOKUP(Proponentes[[#This Row],[Cap Op en SMMLV]],Tabla2[[DE]:[HASTA]],2),0)</f>
        <v>500</v>
      </c>
      <c r="S145" s="19">
        <f>IFERROR(Proponentes[[#This Row],[Activo Corriente]]/Proponentes[[#This Row],[Pasivo Corriente]],"INDETERMINADO")</f>
        <v>10.109582749895969</v>
      </c>
      <c r="T145" s="20">
        <f>IFERROR(Proponentes[[#This Row],[Total Pasivo]]/Proponentes[[#This Row],[Total ACTIVO]],0)</f>
        <v>8.9358470335590481E-2</v>
      </c>
      <c r="U145" s="21">
        <f>(Proponentes[[#This Row],[Activo Corriente]]-Proponentes[[#This Row],[Pasivo Corriente]])/Base!$B$3</f>
        <v>144.86475807737079</v>
      </c>
      <c r="V145" s="22">
        <f>Proponentes[[#This Row],[Activo Corriente]]-Proponentes[[#This Row],[Pasivo Corriente]]</f>
        <v>119964824</v>
      </c>
      <c r="W145" s="13">
        <f>IFERROR(VLOOKUP(Proponentes[[#This Row],[Propuesta]],Hoja2!$A$2:$G$329,7,FALSE),0)</f>
        <v>12309290.25154566</v>
      </c>
      <c r="X145" s="83">
        <f>IF(Proponentes[[#This Row],[Cap Op en Pesos]]=0,0,IF(Proponentes[[#This Row],[Cap Op en Pesos]]=0,1,Proponentes[[#This Row],[Cap Op en Pesos]]/Base!B$3))</f>
        <v>14.864210148754111</v>
      </c>
      <c r="Y14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4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4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45" s="23" t="str">
        <f>IF(AND(Proponentes[[#This Row],[Cumple
Liquidez]]="CUMPLE",Proponentes[[#This Row],[Cumple
Endeudamiento]]="CUMPLE",Proponentes[[#This Row],[Cumple
Capital de Trabajo]]="CUMPLE"),"CUMPLE","NO CUMPLE")</f>
        <v>CUMPLE</v>
      </c>
      <c r="AC145" s="24"/>
      <c r="AD145" s="10">
        <f>IF(Proponentes[[#This Row],[Liquidez
Oferente]]&lt;=1,1,IF(Proponentes[[#This Row],[Liquidez
Oferente]]&lt;=1.1,2,IF(Proponentes[[#This Row],[Liquidez
Oferente]]&lt;=1.2,3,IF(Proponentes[[#This Row],[Liquidez
Oferente]]&lt;=1.3,4,IF(Proponentes[[#This Row],[Liquidez
Oferente]]&lt;=1.4,5,6)))))</f>
        <v>6</v>
      </c>
      <c r="AE145" s="10">
        <f>IF(Proponentes[[#This Row],[Endeudamiento
Oferente]]&lt;=66%,6,IF(Proponentes[[#This Row],[Endeudamiento
Oferente]]&lt;=58,5,IF(Proponentes[[#This Row],[Endeudamiento
Oferente]]&lt;=70,4,IF(Proponentes[[#This Row],[Endeudamiento
Oferente]]&lt;=72,3,IF(Proponentes[[#This Row],[Endeudamiento
Oferente]]&lt;=74,2,1)))))</f>
        <v>6</v>
      </c>
      <c r="AF14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45" s="10">
        <f>IF(Proponentes[[#This Row],[Cap Op en SMMLV]]&lt;=500,1,IF(Proponentes[[#This Row],[Cap Op en SMMLV]]&lt;=1000,2,IF(Proponentes[[#This Row],[Cap Op en SMMLV]]&lt;=1500,3,IF(Proponentes[[#This Row],[Cap Op en SMMLV]]&lt;=2000,4,IF(Proponentes[[#This Row],[Cap Op en SMMLV]]&lt;=2500,5,6)))))</f>
        <v>1</v>
      </c>
      <c r="AH145" s="10">
        <f>MIN(Proponentes[[#This Row],[a]:[d]])</f>
        <v>1</v>
      </c>
      <c r="AI145" s="87">
        <f>IF(Proponentes[[#This Row],[e]]=Proponentes[[#This Row],[d]],Proponentes[[#This Row],[Cap Op en SMMLV]],VLOOKUP(Proponentes[[#This Row],[e]],Base!$D$1:$E$6,2,FALSE))</f>
        <v>14.864210148754111</v>
      </c>
      <c r="AJ145" s="101" t="str">
        <f>VLOOKUP(Proponentes[[#This Row],[Propuesta]],Hoja2!$A$2:$D$329,4,FALSE)</f>
        <v>CUMPLE</v>
      </c>
      <c r="AK145" s="101"/>
    </row>
    <row r="146" spans="1:37" ht="16" x14ac:dyDescent="0.2">
      <c r="A146" s="10">
        <v>145</v>
      </c>
      <c r="B146" s="11">
        <v>809010580</v>
      </c>
      <c r="C146" s="12" t="s">
        <v>213</v>
      </c>
      <c r="D146" s="13">
        <v>489341039</v>
      </c>
      <c r="E146" s="13">
        <v>239571959</v>
      </c>
      <c r="F146" s="25">
        <f>Proponentes[[#This Row],[Activo Corriente]]+Proponentes[[#This Row],[Activo NO Corriente]]</f>
        <v>728912998</v>
      </c>
      <c r="G146" s="13">
        <v>40581434</v>
      </c>
      <c r="H146" s="13">
        <v>228446830</v>
      </c>
      <c r="I146" s="25">
        <f>Proponentes[[#This Row],[Pasivo Corriente]]+Proponentes[[#This Row],[Pasivo NO Corriente]]</f>
        <v>269028264</v>
      </c>
      <c r="J146" s="14">
        <f>Proponentes[[#This Row],[Total ACTIVO]]-Proponentes[[#This Row],[Total Pasivo]]</f>
        <v>459884734</v>
      </c>
      <c r="K146" s="48">
        <f>VLOOKUP(Proponentes[[#This Row],[Propuesta]],Hoja2!$A$2:$G$239,7,FALSE)</f>
        <v>1071195715.8068104</v>
      </c>
      <c r="L146" s="15" t="s">
        <v>59</v>
      </c>
      <c r="M146" s="15" t="s">
        <v>28</v>
      </c>
      <c r="N146" s="55">
        <f>IFERROR(VLOOKUP(Proponentes[[#This Row],[Cap Op en SMMLV]],Base!$A$15:$F$20,3),0)</f>
        <v>1.2</v>
      </c>
      <c r="O146" s="16">
        <f>IFERROR(VLOOKUP(Proponentes[[#This Row],[Cap Op en SMMLV]],Base!$A$15:$F$20,4),0)</f>
        <v>0.72</v>
      </c>
      <c r="P146" s="17">
        <f>IFERROR(VLOOKUP(Proponentes[[#This Row],[Cap Op en SMMLV]],Tabla2[],6),0)</f>
        <v>37.5</v>
      </c>
      <c r="Q146" s="18">
        <f>IFERROR(VLOOKUP(Proponentes[[#This Row],[Cap Op en SMMLV]],Base!$A$15:$F$20,5),0)</f>
        <v>31054350</v>
      </c>
      <c r="R146" s="18">
        <f>IFERROR(VLOOKUP(Proponentes[[#This Row],[Cap Op en SMMLV]],Tabla2[[DE]:[HASTA]],2),0)</f>
        <v>1500</v>
      </c>
      <c r="S146" s="19">
        <f>IFERROR(Proponentes[[#This Row],[Activo Corriente]]/Proponentes[[#This Row],[Pasivo Corriente]],"INDETERMINADO")</f>
        <v>12.058249075180537</v>
      </c>
      <c r="T146" s="20">
        <f>IFERROR(Proponentes[[#This Row],[Total Pasivo]]/Proponentes[[#This Row],[Total ACTIVO]],0)</f>
        <v>0.36908144694656686</v>
      </c>
      <c r="U146" s="21">
        <f>(Proponentes[[#This Row],[Activo Corriente]]-Proponentes[[#This Row],[Pasivo Corriente]])/Base!$B$3</f>
        <v>541.90428031821625</v>
      </c>
      <c r="V146" s="22">
        <f>Proponentes[[#This Row],[Activo Corriente]]-Proponentes[[#This Row],[Pasivo Corriente]]</f>
        <v>448759605</v>
      </c>
      <c r="W146" s="13">
        <f>IFERROR(VLOOKUP(Proponentes[[#This Row],[Propuesta]],Hoja2!$A$2:$G$329,7,FALSE),0)</f>
        <v>1071195715.8068104</v>
      </c>
      <c r="X146" s="83">
        <f>IF(Proponentes[[#This Row],[Cap Op en Pesos]]=0,0,IF(Proponentes[[#This Row],[Cap Op en Pesos]]=0,1,Proponentes[[#This Row],[Cap Op en Pesos]]/Base!B$3))</f>
        <v>1293.5334129600326</v>
      </c>
      <c r="Y14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4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4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46" s="23" t="str">
        <f>IF(AND(Proponentes[[#This Row],[Cumple
Liquidez]]="CUMPLE",Proponentes[[#This Row],[Cumple
Endeudamiento]]="CUMPLE",Proponentes[[#This Row],[Cumple
Capital de Trabajo]]="CUMPLE"),"CUMPLE","NO CUMPLE")</f>
        <v>CUMPLE</v>
      </c>
      <c r="AC146" s="24"/>
      <c r="AD146" s="10">
        <f>IF(Proponentes[[#This Row],[Liquidez
Oferente]]&lt;=1,1,IF(Proponentes[[#This Row],[Liquidez
Oferente]]&lt;=1.1,2,IF(Proponentes[[#This Row],[Liquidez
Oferente]]&lt;=1.2,3,IF(Proponentes[[#This Row],[Liquidez
Oferente]]&lt;=1.3,4,IF(Proponentes[[#This Row],[Liquidez
Oferente]]&lt;=1.4,5,6)))))</f>
        <v>6</v>
      </c>
      <c r="AE146" s="10">
        <f>IF(Proponentes[[#This Row],[Endeudamiento
Oferente]]&lt;=66%,6,IF(Proponentes[[#This Row],[Endeudamiento
Oferente]]&lt;=58,5,IF(Proponentes[[#This Row],[Endeudamiento
Oferente]]&lt;=70,4,IF(Proponentes[[#This Row],[Endeudamiento
Oferente]]&lt;=72,3,IF(Proponentes[[#This Row],[Endeudamiento
Oferente]]&lt;=74,2,1)))))</f>
        <v>6</v>
      </c>
      <c r="AF14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46" s="10">
        <f>IF(Proponentes[[#This Row],[Cap Op en SMMLV]]&lt;=500,1,IF(Proponentes[[#This Row],[Cap Op en SMMLV]]&lt;=1000,2,IF(Proponentes[[#This Row],[Cap Op en SMMLV]]&lt;=1500,3,IF(Proponentes[[#This Row],[Cap Op en SMMLV]]&lt;=2000,4,IF(Proponentes[[#This Row],[Cap Op en SMMLV]]&lt;=2500,5,6)))))</f>
        <v>3</v>
      </c>
      <c r="AH146" s="10">
        <f>MIN(Proponentes[[#This Row],[a]:[d]])</f>
        <v>3</v>
      </c>
      <c r="AI146" s="87">
        <f>IF(Proponentes[[#This Row],[e]]=Proponentes[[#This Row],[d]],Proponentes[[#This Row],[Cap Op en SMMLV]],VLOOKUP(Proponentes[[#This Row],[e]],Base!$D$1:$E$6,2,FALSE))</f>
        <v>1293.5334129600326</v>
      </c>
      <c r="AJ146" s="101" t="str">
        <f>VLOOKUP(Proponentes[[#This Row],[Propuesta]],Hoja2!$A$2:$D$329,4,FALSE)</f>
        <v>CUMPLE</v>
      </c>
      <c r="AK146" s="101"/>
    </row>
    <row r="147" spans="1:37" ht="16" x14ac:dyDescent="0.2">
      <c r="A147" s="10">
        <v>146</v>
      </c>
      <c r="B147" s="11">
        <v>900204540</v>
      </c>
      <c r="C147" s="12" t="s">
        <v>214</v>
      </c>
      <c r="D147" s="13">
        <v>217931093</v>
      </c>
      <c r="E147" s="13">
        <v>251838875</v>
      </c>
      <c r="F147" s="25">
        <f>Proponentes[[#This Row],[Activo Corriente]]+Proponentes[[#This Row],[Activo NO Corriente]]</f>
        <v>469769968</v>
      </c>
      <c r="G147" s="13">
        <v>95333569</v>
      </c>
      <c r="H147" s="13">
        <v>0</v>
      </c>
      <c r="I147" s="25">
        <f>Proponentes[[#This Row],[Pasivo Corriente]]+Proponentes[[#This Row],[Pasivo NO Corriente]]</f>
        <v>95333569</v>
      </c>
      <c r="J147" s="14">
        <f>Proponentes[[#This Row],[Total ACTIVO]]-Proponentes[[#This Row],[Total Pasivo]]</f>
        <v>374436399</v>
      </c>
      <c r="K147" s="48">
        <f>VLOOKUP(Proponentes[[#This Row],[Propuesta]],Hoja2!$A$2:$G$239,7,FALSE)</f>
        <v>53449698.675040431</v>
      </c>
      <c r="L147" s="15" t="s">
        <v>59</v>
      </c>
      <c r="M147" s="15" t="s">
        <v>28</v>
      </c>
      <c r="N147" s="55">
        <f>IFERROR(VLOOKUP(Proponentes[[#This Row],[Cap Op en SMMLV]],Base!$A$15:$F$20,3),0)</f>
        <v>1</v>
      </c>
      <c r="O147" s="16">
        <f>IFERROR(VLOOKUP(Proponentes[[#This Row],[Cap Op en SMMLV]],Base!$A$15:$F$20,4),0)</f>
        <v>0.76</v>
      </c>
      <c r="P147" s="17">
        <f>IFERROR(VLOOKUP(Proponentes[[#This Row],[Cap Op en SMMLV]],Tabla2[],6),0)</f>
        <v>12.5</v>
      </c>
      <c r="Q147" s="18">
        <f>IFERROR(VLOOKUP(Proponentes[[#This Row],[Cap Op en SMMLV]],Base!$A$15:$F$20,5),0)</f>
        <v>10351450</v>
      </c>
      <c r="R147" s="18">
        <f>IFERROR(VLOOKUP(Proponentes[[#This Row],[Cap Op en SMMLV]],Tabla2[[DE]:[HASTA]],2),0)</f>
        <v>500</v>
      </c>
      <c r="S147" s="19">
        <f>IFERROR(Proponentes[[#This Row],[Activo Corriente]]/Proponentes[[#This Row],[Pasivo Corriente]],"INDETERMINADO")</f>
        <v>2.2859848349955301</v>
      </c>
      <c r="T147" s="20">
        <f>IFERROR(Proponentes[[#This Row],[Total Pasivo]]/Proponentes[[#This Row],[Total ACTIVO]],0)</f>
        <v>0.20293670411898276</v>
      </c>
      <c r="U147" s="21">
        <f>(Proponentes[[#This Row],[Activo Corriente]]-Proponentes[[#This Row],[Pasivo Corriente]])/Base!$B$3</f>
        <v>148.04390206202996</v>
      </c>
      <c r="V147" s="22">
        <f>Proponentes[[#This Row],[Activo Corriente]]-Proponentes[[#This Row],[Pasivo Corriente]]</f>
        <v>122597524</v>
      </c>
      <c r="W147" s="13">
        <f>IFERROR(VLOOKUP(Proponentes[[#This Row],[Propuesta]],Hoja2!$A$2:$G$329,7,FALSE),0)</f>
        <v>53449698.675040431</v>
      </c>
      <c r="X147" s="83">
        <f>IF(Proponentes[[#This Row],[Cap Op en Pesos]]=0,0,IF(Proponentes[[#This Row],[Cap Op en Pesos]]=0,1,Proponentes[[#This Row],[Cap Op en Pesos]]/Base!B$3))</f>
        <v>64.54373381874089</v>
      </c>
      <c r="Y14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4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4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47" s="23" t="str">
        <f>IF(AND(Proponentes[[#This Row],[Cumple
Liquidez]]="CUMPLE",Proponentes[[#This Row],[Cumple
Endeudamiento]]="CUMPLE",Proponentes[[#This Row],[Cumple
Capital de Trabajo]]="CUMPLE"),"CUMPLE","NO CUMPLE")</f>
        <v>CUMPLE</v>
      </c>
      <c r="AC147" s="24"/>
      <c r="AD147" s="10">
        <f>IF(Proponentes[[#This Row],[Liquidez
Oferente]]&lt;=1,1,IF(Proponentes[[#This Row],[Liquidez
Oferente]]&lt;=1.1,2,IF(Proponentes[[#This Row],[Liquidez
Oferente]]&lt;=1.2,3,IF(Proponentes[[#This Row],[Liquidez
Oferente]]&lt;=1.3,4,IF(Proponentes[[#This Row],[Liquidez
Oferente]]&lt;=1.4,5,6)))))</f>
        <v>6</v>
      </c>
      <c r="AE147" s="10">
        <f>IF(Proponentes[[#This Row],[Endeudamiento
Oferente]]&lt;=66%,6,IF(Proponentes[[#This Row],[Endeudamiento
Oferente]]&lt;=58,5,IF(Proponentes[[#This Row],[Endeudamiento
Oferente]]&lt;=70,4,IF(Proponentes[[#This Row],[Endeudamiento
Oferente]]&lt;=72,3,IF(Proponentes[[#This Row],[Endeudamiento
Oferente]]&lt;=74,2,1)))))</f>
        <v>6</v>
      </c>
      <c r="AF14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47" s="10">
        <f>IF(Proponentes[[#This Row],[Cap Op en SMMLV]]&lt;=500,1,IF(Proponentes[[#This Row],[Cap Op en SMMLV]]&lt;=1000,2,IF(Proponentes[[#This Row],[Cap Op en SMMLV]]&lt;=1500,3,IF(Proponentes[[#This Row],[Cap Op en SMMLV]]&lt;=2000,4,IF(Proponentes[[#This Row],[Cap Op en SMMLV]]&lt;=2500,5,6)))))</f>
        <v>1</v>
      </c>
      <c r="AH147" s="10">
        <f>MIN(Proponentes[[#This Row],[a]:[d]])</f>
        <v>1</v>
      </c>
      <c r="AI147" s="87">
        <f>IF(Proponentes[[#This Row],[e]]=Proponentes[[#This Row],[d]],Proponentes[[#This Row],[Cap Op en SMMLV]],VLOOKUP(Proponentes[[#This Row],[e]],Base!$D$1:$E$6,2,FALSE))</f>
        <v>64.54373381874089</v>
      </c>
      <c r="AJ147" s="101" t="str">
        <f>VLOOKUP(Proponentes[[#This Row],[Propuesta]],Hoja2!$A$2:$D$329,4,FALSE)</f>
        <v>NO CUMPLE</v>
      </c>
      <c r="AK147" s="101"/>
    </row>
    <row r="148" spans="1:37" ht="16" x14ac:dyDescent="0.2">
      <c r="A148" s="10">
        <v>147</v>
      </c>
      <c r="B148" s="11">
        <v>900503974</v>
      </c>
      <c r="C148" s="12" t="s">
        <v>215</v>
      </c>
      <c r="D148" s="13">
        <v>380725381</v>
      </c>
      <c r="E148" s="13">
        <v>30807909</v>
      </c>
      <c r="F148" s="25">
        <f>Proponentes[[#This Row],[Activo Corriente]]+Proponentes[[#This Row],[Activo NO Corriente]]</f>
        <v>411533290</v>
      </c>
      <c r="G148" s="13">
        <v>18548000</v>
      </c>
      <c r="H148" s="13">
        <v>0</v>
      </c>
      <c r="I148" s="25">
        <f>Proponentes[[#This Row],[Pasivo Corriente]]+Proponentes[[#This Row],[Pasivo NO Corriente]]</f>
        <v>18548000</v>
      </c>
      <c r="J148" s="14">
        <f>Proponentes[[#This Row],[Total ACTIVO]]-Proponentes[[#This Row],[Total Pasivo]]</f>
        <v>392985290</v>
      </c>
      <c r="K148" s="48">
        <f>VLOOKUP(Proponentes[[#This Row],[Propuesta]],Hoja2!$A$2:$G$239,7,FALSE)</f>
        <v>21641244.957397837</v>
      </c>
      <c r="L148" s="15"/>
      <c r="M148" s="15" t="s">
        <v>28</v>
      </c>
      <c r="N148" s="55">
        <f>IFERROR(VLOOKUP(Proponentes[[#This Row],[Cap Op en SMMLV]],Base!$A$15:$F$20,3),0)</f>
        <v>1</v>
      </c>
      <c r="O148" s="16">
        <f>IFERROR(VLOOKUP(Proponentes[[#This Row],[Cap Op en SMMLV]],Base!$A$15:$F$20,4),0)</f>
        <v>0.76</v>
      </c>
      <c r="P148" s="17">
        <f>IFERROR(VLOOKUP(Proponentes[[#This Row],[Cap Op en SMMLV]],Tabla2[],6),0)</f>
        <v>12.5</v>
      </c>
      <c r="Q148" s="18">
        <f>IFERROR(VLOOKUP(Proponentes[[#This Row],[Cap Op en SMMLV]],Base!$A$15:$F$20,5),0)</f>
        <v>10351450</v>
      </c>
      <c r="R148" s="18">
        <f>IFERROR(VLOOKUP(Proponentes[[#This Row],[Cap Op en SMMLV]],Tabla2[[DE]:[HASTA]],2),0)</f>
        <v>500</v>
      </c>
      <c r="S148" s="19">
        <f>IFERROR(Proponentes[[#This Row],[Activo Corriente]]/Proponentes[[#This Row],[Pasivo Corriente]],"INDETERMINADO")</f>
        <v>20.526492398102221</v>
      </c>
      <c r="T148" s="20">
        <f>IFERROR(Proponentes[[#This Row],[Total Pasivo]]/Proponentes[[#This Row],[Total ACTIVO]],0)</f>
        <v>4.5070472913625044E-2</v>
      </c>
      <c r="U148" s="21">
        <f>(Proponentes[[#This Row],[Activo Corriente]]-Proponentes[[#This Row],[Pasivo Corriente]])/Base!$B$3</f>
        <v>437.35102449415297</v>
      </c>
      <c r="V148" s="22">
        <f>Proponentes[[#This Row],[Activo Corriente]]-Proponentes[[#This Row],[Pasivo Corriente]]</f>
        <v>362177381</v>
      </c>
      <c r="W148" s="13">
        <f>IFERROR(VLOOKUP(Proponentes[[#This Row],[Propuesta]],Hoja2!$A$2:$G$329,7,FALSE),0)</f>
        <v>21641244.957397837</v>
      </c>
      <c r="X148" s="83">
        <f>IF(Proponentes[[#This Row],[Cap Op en Pesos]]=0,0,IF(Proponentes[[#This Row],[Cap Op en Pesos]]=0,1,Proponentes[[#This Row],[Cap Op en Pesos]]/Base!B$3))</f>
        <v>26.133108112145926</v>
      </c>
      <c r="Y14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4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4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48" s="23" t="str">
        <f>IF(AND(Proponentes[[#This Row],[Cumple
Liquidez]]="CUMPLE",Proponentes[[#This Row],[Cumple
Endeudamiento]]="CUMPLE",Proponentes[[#This Row],[Cumple
Capital de Trabajo]]="CUMPLE"),"CUMPLE","NO CUMPLE")</f>
        <v>CUMPLE</v>
      </c>
      <c r="AC148" s="24"/>
      <c r="AD148" s="10">
        <f>IF(Proponentes[[#This Row],[Liquidez
Oferente]]&lt;=1,1,IF(Proponentes[[#This Row],[Liquidez
Oferente]]&lt;=1.1,2,IF(Proponentes[[#This Row],[Liquidez
Oferente]]&lt;=1.2,3,IF(Proponentes[[#This Row],[Liquidez
Oferente]]&lt;=1.3,4,IF(Proponentes[[#This Row],[Liquidez
Oferente]]&lt;=1.4,5,6)))))</f>
        <v>6</v>
      </c>
      <c r="AE148" s="10">
        <f>IF(Proponentes[[#This Row],[Endeudamiento
Oferente]]&lt;=66%,6,IF(Proponentes[[#This Row],[Endeudamiento
Oferente]]&lt;=58,5,IF(Proponentes[[#This Row],[Endeudamiento
Oferente]]&lt;=70,4,IF(Proponentes[[#This Row],[Endeudamiento
Oferente]]&lt;=72,3,IF(Proponentes[[#This Row],[Endeudamiento
Oferente]]&lt;=74,2,1)))))</f>
        <v>6</v>
      </c>
      <c r="AF14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48" s="10">
        <f>IF(Proponentes[[#This Row],[Cap Op en SMMLV]]&lt;=500,1,IF(Proponentes[[#This Row],[Cap Op en SMMLV]]&lt;=1000,2,IF(Proponentes[[#This Row],[Cap Op en SMMLV]]&lt;=1500,3,IF(Proponentes[[#This Row],[Cap Op en SMMLV]]&lt;=2000,4,IF(Proponentes[[#This Row],[Cap Op en SMMLV]]&lt;=2500,5,6)))))</f>
        <v>1</v>
      </c>
      <c r="AH148" s="10">
        <f>MIN(Proponentes[[#This Row],[a]:[d]])</f>
        <v>1</v>
      </c>
      <c r="AI148" s="87">
        <f>IF(Proponentes[[#This Row],[e]]=Proponentes[[#This Row],[d]],Proponentes[[#This Row],[Cap Op en SMMLV]],VLOOKUP(Proponentes[[#This Row],[e]],Base!$D$1:$E$6,2,FALSE))</f>
        <v>26.133108112145926</v>
      </c>
      <c r="AJ148" s="101" t="str">
        <f>VLOOKUP(Proponentes[[#This Row],[Propuesta]],Hoja2!$A$2:$D$329,4,FALSE)</f>
        <v>CUMPLE</v>
      </c>
      <c r="AK148" s="101"/>
    </row>
    <row r="149" spans="1:37" ht="16" x14ac:dyDescent="0.2">
      <c r="A149" s="10">
        <v>148</v>
      </c>
      <c r="B149" s="11">
        <v>900422366</v>
      </c>
      <c r="C149" s="12" t="s">
        <v>216</v>
      </c>
      <c r="D149" s="13">
        <v>223734000</v>
      </c>
      <c r="E149" s="13">
        <v>2662200</v>
      </c>
      <c r="F149" s="25">
        <f>Proponentes[[#This Row],[Activo Corriente]]+Proponentes[[#This Row],[Activo NO Corriente]]</f>
        <v>226396200</v>
      </c>
      <c r="G149" s="13">
        <v>117341560</v>
      </c>
      <c r="H149" s="13">
        <v>0</v>
      </c>
      <c r="I149" s="25">
        <f>Proponentes[[#This Row],[Pasivo Corriente]]+Proponentes[[#This Row],[Pasivo NO Corriente]]</f>
        <v>117341560</v>
      </c>
      <c r="J149" s="14">
        <f>Proponentes[[#This Row],[Total ACTIVO]]-Proponentes[[#This Row],[Total Pasivo]]</f>
        <v>109054640</v>
      </c>
      <c r="K149" s="48">
        <f>VLOOKUP(Proponentes[[#This Row],[Propuesta]],Hoja2!$A$2:$G$239,7,FALSE)</f>
        <v>883733576.11372328</v>
      </c>
      <c r="L149" s="15" t="s">
        <v>59</v>
      </c>
      <c r="M149" s="15" t="s">
        <v>28</v>
      </c>
      <c r="N149" s="55">
        <f>IFERROR(VLOOKUP(Proponentes[[#This Row],[Cap Op en SMMLV]],Base!$A$15:$F$20,3),0)</f>
        <v>1.2</v>
      </c>
      <c r="O149" s="16">
        <f>IFERROR(VLOOKUP(Proponentes[[#This Row],[Cap Op en SMMLV]],Base!$A$15:$F$20,4),0)</f>
        <v>0.72</v>
      </c>
      <c r="P149" s="17">
        <f>IFERROR(VLOOKUP(Proponentes[[#This Row],[Cap Op en SMMLV]],Tabla2[],6),0)</f>
        <v>37.5</v>
      </c>
      <c r="Q149" s="18">
        <f>IFERROR(VLOOKUP(Proponentes[[#This Row],[Cap Op en SMMLV]],Base!$A$15:$F$20,5),0)</f>
        <v>31054350</v>
      </c>
      <c r="R149" s="18">
        <f>IFERROR(VLOOKUP(Proponentes[[#This Row],[Cap Op en SMMLV]],Tabla2[[DE]:[HASTA]],2),0)</f>
        <v>1500</v>
      </c>
      <c r="S149" s="19">
        <f>IFERROR(Proponentes[[#This Row],[Activo Corriente]]/Proponentes[[#This Row],[Pasivo Corriente]],"INDETERMINADO")</f>
        <v>1.9066901786545194</v>
      </c>
      <c r="T149" s="20">
        <f>IFERROR(Proponentes[[#This Row],[Total Pasivo]]/Proponentes[[#This Row],[Total ACTIVO]],0)</f>
        <v>0.51830180895262379</v>
      </c>
      <c r="U149" s="21">
        <f>(Proponentes[[#This Row],[Activo Corriente]]-Proponentes[[#This Row],[Pasivo Corriente]])/Base!$B$3</f>
        <v>128.47528607103354</v>
      </c>
      <c r="V149" s="22">
        <f>Proponentes[[#This Row],[Activo Corriente]]-Proponentes[[#This Row],[Pasivo Corriente]]</f>
        <v>106392440</v>
      </c>
      <c r="W149" s="13">
        <f>IFERROR(VLOOKUP(Proponentes[[#This Row],[Propuesta]],Hoja2!$A$2:$G$329,7,FALSE),0)</f>
        <v>883733576.11372328</v>
      </c>
      <c r="X149" s="83">
        <f>IF(Proponentes[[#This Row],[Cap Op en Pesos]]=0,0,IF(Proponentes[[#This Row],[Cap Op en Pesos]]=0,1,Proponentes[[#This Row],[Cap Op en Pesos]]/Base!B$3))</f>
        <v>1067.1615765348372</v>
      </c>
      <c r="Y14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4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4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49" s="23" t="str">
        <f>IF(AND(Proponentes[[#This Row],[Cumple
Liquidez]]="CUMPLE",Proponentes[[#This Row],[Cumple
Endeudamiento]]="CUMPLE",Proponentes[[#This Row],[Cumple
Capital de Trabajo]]="CUMPLE"),"CUMPLE","NO CUMPLE")</f>
        <v>CUMPLE</v>
      </c>
      <c r="AC149" s="24"/>
      <c r="AD149" s="10">
        <f>IF(Proponentes[[#This Row],[Liquidez
Oferente]]&lt;=1,1,IF(Proponentes[[#This Row],[Liquidez
Oferente]]&lt;=1.1,2,IF(Proponentes[[#This Row],[Liquidez
Oferente]]&lt;=1.2,3,IF(Proponentes[[#This Row],[Liquidez
Oferente]]&lt;=1.3,4,IF(Proponentes[[#This Row],[Liquidez
Oferente]]&lt;=1.4,5,6)))))</f>
        <v>6</v>
      </c>
      <c r="AE149" s="10">
        <f>IF(Proponentes[[#This Row],[Endeudamiento
Oferente]]&lt;=66%,6,IF(Proponentes[[#This Row],[Endeudamiento
Oferente]]&lt;=58,5,IF(Proponentes[[#This Row],[Endeudamiento
Oferente]]&lt;=70,4,IF(Proponentes[[#This Row],[Endeudamiento
Oferente]]&lt;=72,3,IF(Proponentes[[#This Row],[Endeudamiento
Oferente]]&lt;=74,2,1)))))</f>
        <v>6</v>
      </c>
      <c r="AF14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49" s="10">
        <f>IF(Proponentes[[#This Row],[Cap Op en SMMLV]]&lt;=500,1,IF(Proponentes[[#This Row],[Cap Op en SMMLV]]&lt;=1000,2,IF(Proponentes[[#This Row],[Cap Op en SMMLV]]&lt;=1500,3,IF(Proponentes[[#This Row],[Cap Op en SMMLV]]&lt;=2000,4,IF(Proponentes[[#This Row],[Cap Op en SMMLV]]&lt;=2500,5,6)))))</f>
        <v>3</v>
      </c>
      <c r="AH149" s="10">
        <f>MIN(Proponentes[[#This Row],[a]:[d]])</f>
        <v>3</v>
      </c>
      <c r="AI149" s="87">
        <f>IF(Proponentes[[#This Row],[e]]=Proponentes[[#This Row],[d]],Proponentes[[#This Row],[Cap Op en SMMLV]],VLOOKUP(Proponentes[[#This Row],[e]],Base!$D$1:$E$6,2,FALSE))</f>
        <v>1067.1615765348372</v>
      </c>
      <c r="AJ149" s="101" t="str">
        <f>VLOOKUP(Proponentes[[#This Row],[Propuesta]],Hoja2!$A$2:$D$329,4,FALSE)</f>
        <v>CUMPLE</v>
      </c>
      <c r="AK149" s="101"/>
    </row>
    <row r="150" spans="1:37" ht="16" x14ac:dyDescent="0.2">
      <c r="A150" s="10">
        <v>149</v>
      </c>
      <c r="B150" s="11">
        <v>900384924</v>
      </c>
      <c r="C150" s="12" t="s">
        <v>217</v>
      </c>
      <c r="D150" s="13">
        <v>6437000</v>
      </c>
      <c r="E150" s="13">
        <v>18420000</v>
      </c>
      <c r="F150" s="25">
        <f>Proponentes[[#This Row],[Activo Corriente]]+Proponentes[[#This Row],[Activo NO Corriente]]</f>
        <v>24857000</v>
      </c>
      <c r="G150" s="13">
        <v>4442000</v>
      </c>
      <c r="H150" s="13">
        <v>0</v>
      </c>
      <c r="I150" s="25">
        <f>Proponentes[[#This Row],[Pasivo Corriente]]+Proponentes[[#This Row],[Pasivo NO Corriente]]</f>
        <v>4442000</v>
      </c>
      <c r="J150" s="14">
        <f>Proponentes[[#This Row],[Total ACTIVO]]-Proponentes[[#This Row],[Total Pasivo]]</f>
        <v>20415000</v>
      </c>
      <c r="K150" s="48">
        <f>VLOOKUP(Proponentes[[#This Row],[Propuesta]],Hoja2!$A$2:$G$239,7,FALSE)</f>
        <v>47813905.152299829</v>
      </c>
      <c r="L150" s="15"/>
      <c r="M150" s="15" t="s">
        <v>28</v>
      </c>
      <c r="N150" s="55">
        <f>IFERROR(VLOOKUP(Proponentes[[#This Row],[Cap Op en SMMLV]],Base!$A$15:$F$20,3),0)</f>
        <v>1</v>
      </c>
      <c r="O150" s="16">
        <f>IFERROR(VLOOKUP(Proponentes[[#This Row],[Cap Op en SMMLV]],Base!$A$15:$F$20,4),0)</f>
        <v>0.76</v>
      </c>
      <c r="P150" s="17">
        <f>IFERROR(VLOOKUP(Proponentes[[#This Row],[Cap Op en SMMLV]],Tabla2[],6),0)</f>
        <v>12.5</v>
      </c>
      <c r="Q150" s="18">
        <f>IFERROR(VLOOKUP(Proponentes[[#This Row],[Cap Op en SMMLV]],Base!$A$15:$F$20,5),0)</f>
        <v>10351450</v>
      </c>
      <c r="R150" s="18">
        <f>IFERROR(VLOOKUP(Proponentes[[#This Row],[Cap Op en SMMLV]],Tabla2[[DE]:[HASTA]],2),0)</f>
        <v>500</v>
      </c>
      <c r="S150" s="19">
        <f>IFERROR(Proponentes[[#This Row],[Activo Corriente]]/Proponentes[[#This Row],[Pasivo Corriente]],"INDETERMINADO")</f>
        <v>1.4491220171094101</v>
      </c>
      <c r="T150" s="20">
        <f>IFERROR(Proponentes[[#This Row],[Total Pasivo]]/Proponentes[[#This Row],[Total ACTIVO]],0)</f>
        <v>0.17870217644928993</v>
      </c>
      <c r="U150" s="21">
        <f>(Proponentes[[#This Row],[Activo Corriente]]-Proponentes[[#This Row],[Pasivo Corriente]])/Base!$B$3</f>
        <v>2.4090827855034802</v>
      </c>
      <c r="V150" s="22">
        <f>Proponentes[[#This Row],[Activo Corriente]]-Proponentes[[#This Row],[Pasivo Corriente]]</f>
        <v>1995000</v>
      </c>
      <c r="W150" s="13">
        <f>IFERROR(VLOOKUP(Proponentes[[#This Row],[Propuesta]],Hoja2!$A$2:$G$329,7,FALSE),0)</f>
        <v>47813905.152299829</v>
      </c>
      <c r="X150" s="83">
        <f>IF(Proponentes[[#This Row],[Cap Op en Pesos]]=0,0,IF(Proponentes[[#This Row],[Cap Op en Pesos]]=0,1,Proponentes[[#This Row],[Cap Op en Pesos]]/Base!B$3))</f>
        <v>57.738173338396827</v>
      </c>
      <c r="Y15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5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5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150" s="23" t="str">
        <f>IF(AND(Proponentes[[#This Row],[Cumple
Liquidez]]="CUMPLE",Proponentes[[#This Row],[Cumple
Endeudamiento]]="CUMPLE",Proponentes[[#This Row],[Cumple
Capital de Trabajo]]="CUMPLE"),"CUMPLE","NO CUMPLE")</f>
        <v>NO CUMPLE</v>
      </c>
      <c r="AC150" s="24" t="s">
        <v>800</v>
      </c>
      <c r="AD150" s="10">
        <f>IF(Proponentes[[#This Row],[Liquidez
Oferente]]&lt;=1,1,IF(Proponentes[[#This Row],[Liquidez
Oferente]]&lt;=1.1,2,IF(Proponentes[[#This Row],[Liquidez
Oferente]]&lt;=1.2,3,IF(Proponentes[[#This Row],[Liquidez
Oferente]]&lt;=1.3,4,IF(Proponentes[[#This Row],[Liquidez
Oferente]]&lt;=1.4,5,6)))))</f>
        <v>6</v>
      </c>
      <c r="AE150" s="10">
        <f>IF(Proponentes[[#This Row],[Endeudamiento
Oferente]]&lt;=66%,6,IF(Proponentes[[#This Row],[Endeudamiento
Oferente]]&lt;=58,5,IF(Proponentes[[#This Row],[Endeudamiento
Oferente]]&lt;=70,4,IF(Proponentes[[#This Row],[Endeudamiento
Oferente]]&lt;=72,3,IF(Proponentes[[#This Row],[Endeudamiento
Oferente]]&lt;=74,2,1)))))</f>
        <v>6</v>
      </c>
      <c r="AF15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150" s="10">
        <f>IF(Proponentes[[#This Row],[Cap Op en SMMLV]]&lt;=500,1,IF(Proponentes[[#This Row],[Cap Op en SMMLV]]&lt;=1000,2,IF(Proponentes[[#This Row],[Cap Op en SMMLV]]&lt;=1500,3,IF(Proponentes[[#This Row],[Cap Op en SMMLV]]&lt;=2000,4,IF(Proponentes[[#This Row],[Cap Op en SMMLV]]&lt;=2500,5,6)))))</f>
        <v>1</v>
      </c>
      <c r="AH150" s="10">
        <f>MIN(Proponentes[[#This Row],[a]:[d]])</f>
        <v>1</v>
      </c>
      <c r="AI150" s="87">
        <f>IF(Proponentes[[#This Row],[e]]=Proponentes[[#This Row],[d]],Proponentes[[#This Row],[Cap Op en SMMLV]],VLOOKUP(Proponentes[[#This Row],[e]],Base!$D$1:$E$6,2,FALSE))</f>
        <v>57.738173338396827</v>
      </c>
      <c r="AJ150" s="101" t="str">
        <f>VLOOKUP(Proponentes[[#This Row],[Propuesta]],Hoja2!$A$2:$D$329,4,FALSE)</f>
        <v>CUMPLE</v>
      </c>
      <c r="AK150" s="101"/>
    </row>
    <row r="151" spans="1:37" ht="32" x14ac:dyDescent="0.2">
      <c r="A151" s="10">
        <v>150</v>
      </c>
      <c r="B151" s="11">
        <v>807004124</v>
      </c>
      <c r="C151" s="12" t="s">
        <v>218</v>
      </c>
      <c r="D151" s="13">
        <v>430916413</v>
      </c>
      <c r="E151" s="13">
        <v>44221084</v>
      </c>
      <c r="F151" s="25">
        <f>Proponentes[[#This Row],[Activo Corriente]]+Proponentes[[#This Row],[Activo NO Corriente]]</f>
        <v>475137497</v>
      </c>
      <c r="G151" s="13">
        <v>262443851</v>
      </c>
      <c r="H151" s="13">
        <v>251460</v>
      </c>
      <c r="I151" s="25">
        <f>Proponentes[[#This Row],[Pasivo Corriente]]+Proponentes[[#This Row],[Pasivo NO Corriente]]</f>
        <v>262695311</v>
      </c>
      <c r="J151" s="14">
        <f>Proponentes[[#This Row],[Total ACTIVO]]-Proponentes[[#This Row],[Total Pasivo]]</f>
        <v>212442186</v>
      </c>
      <c r="K151" s="48">
        <f>VLOOKUP(Proponentes[[#This Row],[Propuesta]],Hoja2!$A$2:$G$239,7,FALSE)</f>
        <v>322434177.23801583</v>
      </c>
      <c r="L151" s="15" t="s">
        <v>59</v>
      </c>
      <c r="M151" s="15" t="s">
        <v>28</v>
      </c>
      <c r="N151" s="55">
        <f>IFERROR(VLOOKUP(Proponentes[[#This Row],[Cap Op en SMMLV]],Base!$A$15:$F$20,3),0)</f>
        <v>1</v>
      </c>
      <c r="O151" s="16">
        <f>IFERROR(VLOOKUP(Proponentes[[#This Row],[Cap Op en SMMLV]],Base!$A$15:$F$20,4),0)</f>
        <v>0.76</v>
      </c>
      <c r="P151" s="17">
        <f>IFERROR(VLOOKUP(Proponentes[[#This Row],[Cap Op en SMMLV]],Tabla2[],6),0)</f>
        <v>12.5</v>
      </c>
      <c r="Q151" s="18">
        <f>IFERROR(VLOOKUP(Proponentes[[#This Row],[Cap Op en SMMLV]],Base!$A$15:$F$20,5),0)</f>
        <v>10351450</v>
      </c>
      <c r="R151" s="18">
        <f>IFERROR(VLOOKUP(Proponentes[[#This Row],[Cap Op en SMMLV]],Tabla2[[DE]:[HASTA]],2),0)</f>
        <v>500</v>
      </c>
      <c r="S151" s="19">
        <f>IFERROR(Proponentes[[#This Row],[Activo Corriente]]/Proponentes[[#This Row],[Pasivo Corriente]],"INDETERMINADO")</f>
        <v>1.6419375472432005</v>
      </c>
      <c r="T151" s="20">
        <f>IFERROR(Proponentes[[#This Row],[Total Pasivo]]/Proponentes[[#This Row],[Total ACTIVO]],0)</f>
        <v>0.55288271849443194</v>
      </c>
      <c r="U151" s="21">
        <f>(Proponentes[[#This Row],[Activo Corriente]]-Proponentes[[#This Row],[Pasivo Corriente]])/Base!$B$3</f>
        <v>203.4407764129663</v>
      </c>
      <c r="V151" s="22">
        <f>Proponentes[[#This Row],[Activo Corriente]]-Proponentes[[#This Row],[Pasivo Corriente]]</f>
        <v>168472562</v>
      </c>
      <c r="W151" s="13">
        <f>IFERROR(VLOOKUP(Proponentes[[#This Row],[Propuesta]],Hoja2!$A$2:$G$329,7,FALSE),0)</f>
        <v>322434177.23801583</v>
      </c>
      <c r="X151" s="83">
        <f>IF(Proponentes[[#This Row],[Cap Op en Pesos]]=0,0,IF(Proponentes[[#This Row],[Cap Op en Pesos]]=0,1,Proponentes[[#This Row],[Cap Op en Pesos]]/Base!B$3))</f>
        <v>389.35870969527917</v>
      </c>
      <c r="Y15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5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5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51" s="23" t="str">
        <f>IF(AND(Proponentes[[#This Row],[Cumple
Liquidez]]="CUMPLE",Proponentes[[#This Row],[Cumple
Endeudamiento]]="CUMPLE",Proponentes[[#This Row],[Cumple
Capital de Trabajo]]="CUMPLE"),"CUMPLE","NO CUMPLE")</f>
        <v>CUMPLE</v>
      </c>
      <c r="AC151" s="24"/>
      <c r="AD151" s="10">
        <f>IF(Proponentes[[#This Row],[Liquidez
Oferente]]&lt;=1,1,IF(Proponentes[[#This Row],[Liquidez
Oferente]]&lt;=1.1,2,IF(Proponentes[[#This Row],[Liquidez
Oferente]]&lt;=1.2,3,IF(Proponentes[[#This Row],[Liquidez
Oferente]]&lt;=1.3,4,IF(Proponentes[[#This Row],[Liquidez
Oferente]]&lt;=1.4,5,6)))))</f>
        <v>6</v>
      </c>
      <c r="AE151" s="10">
        <f>IF(Proponentes[[#This Row],[Endeudamiento
Oferente]]&lt;=66%,6,IF(Proponentes[[#This Row],[Endeudamiento
Oferente]]&lt;=58,5,IF(Proponentes[[#This Row],[Endeudamiento
Oferente]]&lt;=70,4,IF(Proponentes[[#This Row],[Endeudamiento
Oferente]]&lt;=72,3,IF(Proponentes[[#This Row],[Endeudamiento
Oferente]]&lt;=74,2,1)))))</f>
        <v>6</v>
      </c>
      <c r="AF15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51" s="10">
        <f>IF(Proponentes[[#This Row],[Cap Op en SMMLV]]&lt;=500,1,IF(Proponentes[[#This Row],[Cap Op en SMMLV]]&lt;=1000,2,IF(Proponentes[[#This Row],[Cap Op en SMMLV]]&lt;=1500,3,IF(Proponentes[[#This Row],[Cap Op en SMMLV]]&lt;=2000,4,IF(Proponentes[[#This Row],[Cap Op en SMMLV]]&lt;=2500,5,6)))))</f>
        <v>1</v>
      </c>
      <c r="AH151" s="10">
        <f>MIN(Proponentes[[#This Row],[a]:[d]])</f>
        <v>1</v>
      </c>
      <c r="AI151" s="87">
        <f>IF(Proponentes[[#This Row],[e]]=Proponentes[[#This Row],[d]],Proponentes[[#This Row],[Cap Op en SMMLV]],VLOOKUP(Proponentes[[#This Row],[e]],Base!$D$1:$E$6,2,FALSE))</f>
        <v>389.35870969527917</v>
      </c>
      <c r="AJ151" s="101" t="str">
        <f>VLOOKUP(Proponentes[[#This Row],[Propuesta]],Hoja2!$A$2:$D$329,4,FALSE)</f>
        <v>CUMPLE</v>
      </c>
      <c r="AK151" s="101"/>
    </row>
    <row r="152" spans="1:37" ht="16" x14ac:dyDescent="0.2">
      <c r="A152" s="10">
        <v>151</v>
      </c>
      <c r="B152" s="11">
        <v>900550203</v>
      </c>
      <c r="C152" s="12" t="s">
        <v>476</v>
      </c>
      <c r="D152" s="13">
        <v>213035100</v>
      </c>
      <c r="E152" s="13">
        <v>745164000</v>
      </c>
      <c r="F152" s="25">
        <f>Proponentes[[#This Row],[Activo Corriente]]+Proponentes[[#This Row],[Activo NO Corriente]]</f>
        <v>958199100</v>
      </c>
      <c r="G152" s="13">
        <v>3718500</v>
      </c>
      <c r="H152" s="13">
        <v>0</v>
      </c>
      <c r="I152" s="25">
        <f>Proponentes[[#This Row],[Pasivo Corriente]]+Proponentes[[#This Row],[Pasivo NO Corriente]]</f>
        <v>3718500</v>
      </c>
      <c r="J152" s="14">
        <f>Proponentes[[#This Row],[Total ACTIVO]]-Proponentes[[#This Row],[Total Pasivo]]</f>
        <v>954480600</v>
      </c>
      <c r="K152" s="48">
        <f>VLOOKUP(Proponentes[[#This Row],[Propuesta]],Hoja2!$A$2:$G$239,7,FALSE)</f>
        <v>208860132.05081236</v>
      </c>
      <c r="L152" s="15" t="s">
        <v>219</v>
      </c>
      <c r="M152" s="15" t="s">
        <v>28</v>
      </c>
      <c r="N152" s="55">
        <f>IFERROR(VLOOKUP(Proponentes[[#This Row],[Cap Op en SMMLV]],Base!$A$15:$F$20,3),0)</f>
        <v>1</v>
      </c>
      <c r="O152" s="16">
        <f>IFERROR(VLOOKUP(Proponentes[[#This Row],[Cap Op en SMMLV]],Base!$A$15:$F$20,4),0)</f>
        <v>0.76</v>
      </c>
      <c r="P152" s="17">
        <f>IFERROR(VLOOKUP(Proponentes[[#This Row],[Cap Op en SMMLV]],Tabla2[],6),0)</f>
        <v>12.5</v>
      </c>
      <c r="Q152" s="18">
        <f>IFERROR(VLOOKUP(Proponentes[[#This Row],[Cap Op en SMMLV]],Base!$A$15:$F$20,5),0)</f>
        <v>10351450</v>
      </c>
      <c r="R152" s="18">
        <f>IFERROR(VLOOKUP(Proponentes[[#This Row],[Cap Op en SMMLV]],Tabla2[[DE]:[HASTA]],2),0)</f>
        <v>500</v>
      </c>
      <c r="S152" s="19">
        <f>IFERROR(Proponentes[[#This Row],[Activo Corriente]]/Proponentes[[#This Row],[Pasivo Corriente]],"INDETERMINADO")</f>
        <v>57.290601048810004</v>
      </c>
      <c r="T152" s="20">
        <f>IFERROR(Proponentes[[#This Row],[Total Pasivo]]/Proponentes[[#This Row],[Total ACTIVO]],0)</f>
        <v>3.8807174834541171E-3</v>
      </c>
      <c r="U152" s="21">
        <f>(Proponentes[[#This Row],[Activo Corriente]]-Proponentes[[#This Row],[Pasivo Corriente]])/Base!$B$3</f>
        <v>252.76241492737734</v>
      </c>
      <c r="V152" s="22">
        <f>Proponentes[[#This Row],[Activo Corriente]]-Proponentes[[#This Row],[Pasivo Corriente]]</f>
        <v>209316600</v>
      </c>
      <c r="W152" s="13">
        <f>IFERROR(VLOOKUP(Proponentes[[#This Row],[Propuesta]],Hoja2!$A$2:$G$329,7,FALSE),0)</f>
        <v>208860132.05081236</v>
      </c>
      <c r="X152" s="83">
        <f>IF(Proponentes[[#This Row],[Cap Op en Pesos]]=0,0,IF(Proponentes[[#This Row],[Cap Op en Pesos]]=0,1,Proponentes[[#This Row],[Cap Op en Pesos]]/Base!B$3))</f>
        <v>252.2112023566896</v>
      </c>
      <c r="Y15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5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5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52" s="23" t="str">
        <f>IF(AND(Proponentes[[#This Row],[Cumple
Liquidez]]="CUMPLE",Proponentes[[#This Row],[Cumple
Endeudamiento]]="CUMPLE",Proponentes[[#This Row],[Cumple
Capital de Trabajo]]="CUMPLE"),"CUMPLE","NO CUMPLE")</f>
        <v>CUMPLE</v>
      </c>
      <c r="AC152" s="24"/>
      <c r="AD152" s="10">
        <f>IF(Proponentes[[#This Row],[Liquidez
Oferente]]&lt;=1,1,IF(Proponentes[[#This Row],[Liquidez
Oferente]]&lt;=1.1,2,IF(Proponentes[[#This Row],[Liquidez
Oferente]]&lt;=1.2,3,IF(Proponentes[[#This Row],[Liquidez
Oferente]]&lt;=1.3,4,IF(Proponentes[[#This Row],[Liquidez
Oferente]]&lt;=1.4,5,6)))))</f>
        <v>6</v>
      </c>
      <c r="AE152" s="10">
        <f>IF(Proponentes[[#This Row],[Endeudamiento
Oferente]]&lt;=66%,6,IF(Proponentes[[#This Row],[Endeudamiento
Oferente]]&lt;=58,5,IF(Proponentes[[#This Row],[Endeudamiento
Oferente]]&lt;=70,4,IF(Proponentes[[#This Row],[Endeudamiento
Oferente]]&lt;=72,3,IF(Proponentes[[#This Row],[Endeudamiento
Oferente]]&lt;=74,2,1)))))</f>
        <v>6</v>
      </c>
      <c r="AF15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52" s="10">
        <f>IF(Proponentes[[#This Row],[Cap Op en SMMLV]]&lt;=500,1,IF(Proponentes[[#This Row],[Cap Op en SMMLV]]&lt;=1000,2,IF(Proponentes[[#This Row],[Cap Op en SMMLV]]&lt;=1500,3,IF(Proponentes[[#This Row],[Cap Op en SMMLV]]&lt;=2000,4,IF(Proponentes[[#This Row],[Cap Op en SMMLV]]&lt;=2500,5,6)))))</f>
        <v>1</v>
      </c>
      <c r="AH152" s="10">
        <f>MIN(Proponentes[[#This Row],[a]:[d]])</f>
        <v>1</v>
      </c>
      <c r="AI152" s="87">
        <f>IF(Proponentes[[#This Row],[e]]=Proponentes[[#This Row],[d]],Proponentes[[#This Row],[Cap Op en SMMLV]],VLOOKUP(Proponentes[[#This Row],[e]],Base!$D$1:$E$6,2,FALSE))</f>
        <v>252.2112023566896</v>
      </c>
      <c r="AJ152" s="101" t="str">
        <f>VLOOKUP(Proponentes[[#This Row],[Propuesta]],Hoja2!$A$2:$D$329,4,FALSE)</f>
        <v>NO CUMPLE</v>
      </c>
      <c r="AK152" s="101"/>
    </row>
    <row r="153" spans="1:37" ht="32" x14ac:dyDescent="0.2">
      <c r="A153" s="10">
        <v>152</v>
      </c>
      <c r="B153" s="11">
        <v>822005122</v>
      </c>
      <c r="C153" s="12" t="s">
        <v>220</v>
      </c>
      <c r="D153" s="13">
        <v>4112750334</v>
      </c>
      <c r="E153" s="13"/>
      <c r="F153" s="25">
        <f>Proponentes[[#This Row],[Activo Corriente]]+Proponentes[[#This Row],[Activo NO Corriente]]</f>
        <v>4112750334</v>
      </c>
      <c r="G153" s="13">
        <v>246604867</v>
      </c>
      <c r="H153" s="13">
        <v>0</v>
      </c>
      <c r="I153" s="25">
        <f>Proponentes[[#This Row],[Pasivo Corriente]]+Proponentes[[#This Row],[Pasivo NO Corriente]]</f>
        <v>246604867</v>
      </c>
      <c r="J153" s="14">
        <f>Proponentes[[#This Row],[Total ACTIVO]]-Proponentes[[#This Row],[Total Pasivo]]</f>
        <v>3866145467</v>
      </c>
      <c r="K153" s="48">
        <f>VLOOKUP(Proponentes[[#This Row],[Propuesta]],Hoja2!$A$2:$G$239,7,FALSE)</f>
        <v>480531291.25598276</v>
      </c>
      <c r="L153" s="15" t="s">
        <v>59</v>
      </c>
      <c r="M153" s="15" t="s">
        <v>28</v>
      </c>
      <c r="N153" s="55">
        <f>IFERROR(VLOOKUP(Proponentes[[#This Row],[Cap Op en SMMLV]],Base!$A$15:$F$20,3),0)</f>
        <v>1.1000000000000001</v>
      </c>
      <c r="O153" s="16">
        <f>IFERROR(VLOOKUP(Proponentes[[#This Row],[Cap Op en SMMLV]],Base!$A$15:$F$20,4),0)</f>
        <v>0.74</v>
      </c>
      <c r="P153" s="17">
        <f>IFERROR(VLOOKUP(Proponentes[[#This Row],[Cap Op en SMMLV]],Tabla2[],6),0)</f>
        <v>25</v>
      </c>
      <c r="Q153" s="18">
        <f>IFERROR(VLOOKUP(Proponentes[[#This Row],[Cap Op en SMMLV]],Base!$A$15:$F$20,5),0)</f>
        <v>20702900</v>
      </c>
      <c r="R153" s="18">
        <f>IFERROR(VLOOKUP(Proponentes[[#This Row],[Cap Op en SMMLV]],Tabla2[[DE]:[HASTA]],2),0)</f>
        <v>1000</v>
      </c>
      <c r="S153" s="19">
        <f>IFERROR(Proponentes[[#This Row],[Activo Corriente]]/Proponentes[[#This Row],[Pasivo Corriente]],"INDETERMINADO")</f>
        <v>16.677490529819917</v>
      </c>
      <c r="T153" s="20">
        <f>IFERROR(Proponentes[[#This Row],[Total Pasivo]]/Proponentes[[#This Row],[Total ACTIVO]],0)</f>
        <v>5.9961059381923573E-2</v>
      </c>
      <c r="U153" s="21">
        <f>(Proponentes[[#This Row],[Activo Corriente]]-Proponentes[[#This Row],[Pasivo Corriente]])/Base!$B$3</f>
        <v>4668.6037547879769</v>
      </c>
      <c r="V153" s="22">
        <f>Proponentes[[#This Row],[Activo Corriente]]-Proponentes[[#This Row],[Pasivo Corriente]]</f>
        <v>3866145467</v>
      </c>
      <c r="W153" s="13">
        <f>IFERROR(VLOOKUP(Proponentes[[#This Row],[Propuesta]],Hoja2!$A$2:$G$329,7,FALSE),0)</f>
        <v>480531291.25598276</v>
      </c>
      <c r="X153" s="83">
        <f>IF(Proponentes[[#This Row],[Cap Op en Pesos]]=0,0,IF(Proponentes[[#This Row],[Cap Op en Pesos]]=0,1,Proponentes[[#This Row],[Cap Op en Pesos]]/Base!B$3))</f>
        <v>580.27050709801858</v>
      </c>
      <c r="Y15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5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5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53" s="23" t="str">
        <f>IF(AND(Proponentes[[#This Row],[Cumple
Liquidez]]="CUMPLE",Proponentes[[#This Row],[Cumple
Endeudamiento]]="CUMPLE",Proponentes[[#This Row],[Cumple
Capital de Trabajo]]="CUMPLE"),"CUMPLE","NO CUMPLE")</f>
        <v>CUMPLE</v>
      </c>
      <c r="AC153" s="24"/>
      <c r="AD153" s="10">
        <f>IF(Proponentes[[#This Row],[Liquidez
Oferente]]&lt;=1,1,IF(Proponentes[[#This Row],[Liquidez
Oferente]]&lt;=1.1,2,IF(Proponentes[[#This Row],[Liquidez
Oferente]]&lt;=1.2,3,IF(Proponentes[[#This Row],[Liquidez
Oferente]]&lt;=1.3,4,IF(Proponentes[[#This Row],[Liquidez
Oferente]]&lt;=1.4,5,6)))))</f>
        <v>6</v>
      </c>
      <c r="AE153" s="10">
        <f>IF(Proponentes[[#This Row],[Endeudamiento
Oferente]]&lt;=66%,6,IF(Proponentes[[#This Row],[Endeudamiento
Oferente]]&lt;=58,5,IF(Proponentes[[#This Row],[Endeudamiento
Oferente]]&lt;=70,4,IF(Proponentes[[#This Row],[Endeudamiento
Oferente]]&lt;=72,3,IF(Proponentes[[#This Row],[Endeudamiento
Oferente]]&lt;=74,2,1)))))</f>
        <v>6</v>
      </c>
      <c r="AF15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53" s="10">
        <f>IF(Proponentes[[#This Row],[Cap Op en SMMLV]]&lt;=500,1,IF(Proponentes[[#This Row],[Cap Op en SMMLV]]&lt;=1000,2,IF(Proponentes[[#This Row],[Cap Op en SMMLV]]&lt;=1500,3,IF(Proponentes[[#This Row],[Cap Op en SMMLV]]&lt;=2000,4,IF(Proponentes[[#This Row],[Cap Op en SMMLV]]&lt;=2500,5,6)))))</f>
        <v>2</v>
      </c>
      <c r="AH153" s="10">
        <f>MIN(Proponentes[[#This Row],[a]:[d]])</f>
        <v>2</v>
      </c>
      <c r="AI153" s="87">
        <f>IF(Proponentes[[#This Row],[e]]=Proponentes[[#This Row],[d]],Proponentes[[#This Row],[Cap Op en SMMLV]],VLOOKUP(Proponentes[[#This Row],[e]],Base!$D$1:$E$6,2,FALSE))</f>
        <v>580.27050709801858</v>
      </c>
      <c r="AJ153" s="101" t="str">
        <f>VLOOKUP(Proponentes[[#This Row],[Propuesta]],Hoja2!$A$2:$D$329,4,FALSE)</f>
        <v>NO CUMPLE</v>
      </c>
      <c r="AK153" s="101"/>
    </row>
    <row r="154" spans="1:37" ht="16" x14ac:dyDescent="0.2">
      <c r="A154" s="10">
        <v>153</v>
      </c>
      <c r="B154" s="11" t="s">
        <v>221</v>
      </c>
      <c r="C154" s="12" t="s">
        <v>222</v>
      </c>
      <c r="D154" s="13">
        <v>0</v>
      </c>
      <c r="E154" s="13">
        <v>0</v>
      </c>
      <c r="F154" s="25">
        <f>Proponentes[[#This Row],[Activo Corriente]]+Proponentes[[#This Row],[Activo NO Corriente]]</f>
        <v>0</v>
      </c>
      <c r="G154" s="13">
        <v>0</v>
      </c>
      <c r="H154" s="13">
        <v>0</v>
      </c>
      <c r="I154" s="25">
        <f>Proponentes[[#This Row],[Pasivo Corriente]]+Proponentes[[#This Row],[Pasivo NO Corriente]]</f>
        <v>0</v>
      </c>
      <c r="J154" s="14">
        <f>Proponentes[[#This Row],[Total ACTIVO]]-Proponentes[[#This Row],[Total Pasivo]]</f>
        <v>0</v>
      </c>
      <c r="K154" s="48">
        <f>VLOOKUP(Proponentes[[#This Row],[Propuesta]],Hoja2!$A$2:$G$239,7,FALSE)</f>
        <v>0</v>
      </c>
      <c r="L154" s="15" t="s">
        <v>223</v>
      </c>
      <c r="M154" s="15"/>
      <c r="N154" s="55">
        <f>IFERROR(VLOOKUP(Proponentes[[#This Row],[Cap Op en SMMLV]],Base!$A$15:$F$20,3),0)</f>
        <v>0</v>
      </c>
      <c r="O154" s="16">
        <f>IFERROR(VLOOKUP(Proponentes[[#This Row],[Cap Op en SMMLV]],Base!$A$15:$F$20,4),0)</f>
        <v>0</v>
      </c>
      <c r="P154" s="17">
        <f>IFERROR(VLOOKUP(Proponentes[[#This Row],[Cap Op en SMMLV]],Tabla2[],6),0)</f>
        <v>0</v>
      </c>
      <c r="Q154" s="18">
        <f>IFERROR(VLOOKUP(Proponentes[[#This Row],[Cap Op en SMMLV]],Base!$A$15:$F$20,5),0)</f>
        <v>0</v>
      </c>
      <c r="R154" s="18">
        <f>IFERROR(VLOOKUP(Proponentes[[#This Row],[Cap Op en SMMLV]],Tabla2[[DE]:[HASTA]],2),0)</f>
        <v>0</v>
      </c>
      <c r="S154" s="19" t="str">
        <f>IFERROR(Proponentes[[#This Row],[Activo Corriente]]/Proponentes[[#This Row],[Pasivo Corriente]],"INDETERMINADO")</f>
        <v>INDETERMINADO</v>
      </c>
      <c r="T154" s="20">
        <f>IFERROR(Proponentes[[#This Row],[Total Pasivo]]/Proponentes[[#This Row],[Total ACTIVO]],0)</f>
        <v>0</v>
      </c>
      <c r="U154" s="21">
        <f>(Proponentes[[#This Row],[Activo Corriente]]-Proponentes[[#This Row],[Pasivo Corriente]])/Base!$B$3</f>
        <v>0</v>
      </c>
      <c r="V154" s="22">
        <f>Proponentes[[#This Row],[Activo Corriente]]-Proponentes[[#This Row],[Pasivo Corriente]]</f>
        <v>0</v>
      </c>
      <c r="W154" s="13">
        <f>IFERROR(VLOOKUP(Proponentes[[#This Row],[Propuesta]],Hoja2!$A$2:$G$329,7,FALSE),0)</f>
        <v>0</v>
      </c>
      <c r="X154" s="83">
        <f>IF(Proponentes[[#This Row],[Cap Op en Pesos]]=0,0,IF(Proponentes[[#This Row],[Cap Op en Pesos]]=0,1,Proponentes[[#This Row],[Cap Op en Pesos]]/Base!B$3))</f>
        <v>0</v>
      </c>
      <c r="Y15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15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5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154" s="23" t="str">
        <f>IF(AND(Proponentes[[#This Row],[Cumple
Liquidez]]="CUMPLE",Proponentes[[#This Row],[Cumple
Endeudamiento]]="CUMPLE",Proponentes[[#This Row],[Cumple
Capital de Trabajo]]="CUMPLE"),"CUMPLE","NO CUMPLE")</f>
        <v>NO CUMPLE</v>
      </c>
      <c r="AC154" s="24" t="s">
        <v>801</v>
      </c>
      <c r="AD154" s="10">
        <f>IF(Proponentes[[#This Row],[Liquidez
Oferente]]&lt;=1,1,IF(Proponentes[[#This Row],[Liquidez
Oferente]]&lt;=1.1,2,IF(Proponentes[[#This Row],[Liquidez
Oferente]]&lt;=1.2,3,IF(Proponentes[[#This Row],[Liquidez
Oferente]]&lt;=1.3,4,IF(Proponentes[[#This Row],[Liquidez
Oferente]]&lt;=1.4,5,6)))))</f>
        <v>6</v>
      </c>
      <c r="AE154" s="10">
        <f>IF(Proponentes[[#This Row],[Endeudamiento
Oferente]]&lt;=66%,6,IF(Proponentes[[#This Row],[Endeudamiento
Oferente]]&lt;=58,5,IF(Proponentes[[#This Row],[Endeudamiento
Oferente]]&lt;=70,4,IF(Proponentes[[#This Row],[Endeudamiento
Oferente]]&lt;=72,3,IF(Proponentes[[#This Row],[Endeudamiento
Oferente]]&lt;=74,2,1)))))</f>
        <v>6</v>
      </c>
      <c r="AF15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154" s="10">
        <f>IF(Proponentes[[#This Row],[Cap Op en SMMLV]]&lt;=500,1,IF(Proponentes[[#This Row],[Cap Op en SMMLV]]&lt;=1000,2,IF(Proponentes[[#This Row],[Cap Op en SMMLV]]&lt;=1500,3,IF(Proponentes[[#This Row],[Cap Op en SMMLV]]&lt;=2000,4,IF(Proponentes[[#This Row],[Cap Op en SMMLV]]&lt;=2500,5,6)))))</f>
        <v>1</v>
      </c>
      <c r="AH154" s="10">
        <f>MIN(Proponentes[[#This Row],[a]:[d]])</f>
        <v>1</v>
      </c>
      <c r="AI154" s="87">
        <f>IF(Proponentes[[#This Row],[e]]=Proponentes[[#This Row],[d]],Proponentes[[#This Row],[Cap Op en SMMLV]],VLOOKUP(Proponentes[[#This Row],[e]],Base!$D$1:$E$6,2,FALSE))</f>
        <v>0</v>
      </c>
      <c r="AJ154" s="101" t="str">
        <f>VLOOKUP(Proponentes[[#This Row],[Propuesta]],Hoja2!$A$2:$D$329,4,FALSE)</f>
        <v>NO CUMPLE</v>
      </c>
      <c r="AK154" s="101"/>
    </row>
    <row r="155" spans="1:37" ht="16" x14ac:dyDescent="0.2">
      <c r="A155" s="10">
        <v>154</v>
      </c>
      <c r="B155" s="11">
        <v>900018453</v>
      </c>
      <c r="C155" s="12" t="s">
        <v>224</v>
      </c>
      <c r="D155" s="13">
        <v>0</v>
      </c>
      <c r="E155" s="13">
        <v>0</v>
      </c>
      <c r="F155" s="25">
        <f>Proponentes[[#This Row],[Activo Corriente]]+Proponentes[[#This Row],[Activo NO Corriente]]</f>
        <v>0</v>
      </c>
      <c r="G155" s="13">
        <v>0</v>
      </c>
      <c r="H155" s="13">
        <v>0</v>
      </c>
      <c r="I155" s="25">
        <f>Proponentes[[#This Row],[Pasivo Corriente]]+Proponentes[[#This Row],[Pasivo NO Corriente]]</f>
        <v>0</v>
      </c>
      <c r="J155" s="14">
        <f>Proponentes[[#This Row],[Total ACTIVO]]-Proponentes[[#This Row],[Total Pasivo]]</f>
        <v>0</v>
      </c>
      <c r="K155" s="48">
        <f>VLOOKUP(Proponentes[[#This Row],[Propuesta]],Hoja2!$A$2:$G$239,7,FALSE)</f>
        <v>549047150.51965857</v>
      </c>
      <c r="L155" s="15" t="s">
        <v>225</v>
      </c>
      <c r="M155" s="15" t="s">
        <v>28</v>
      </c>
      <c r="N155" s="55">
        <f>IFERROR(VLOOKUP(Proponentes[[#This Row],[Cap Op en SMMLV]],Base!$A$15:$F$20,3),0)</f>
        <v>1.1000000000000001</v>
      </c>
      <c r="O155" s="16">
        <f>IFERROR(VLOOKUP(Proponentes[[#This Row],[Cap Op en SMMLV]],Base!$A$15:$F$20,4),0)</f>
        <v>0.74</v>
      </c>
      <c r="P155" s="17">
        <f>IFERROR(VLOOKUP(Proponentes[[#This Row],[Cap Op en SMMLV]],Tabla2[],6),0)</f>
        <v>25</v>
      </c>
      <c r="Q155" s="18">
        <f>IFERROR(VLOOKUP(Proponentes[[#This Row],[Cap Op en SMMLV]],Base!$A$15:$F$20,5),0)</f>
        <v>20702900</v>
      </c>
      <c r="R155" s="18">
        <f>IFERROR(VLOOKUP(Proponentes[[#This Row],[Cap Op en SMMLV]],Tabla2[[DE]:[HASTA]],2),0)</f>
        <v>1000</v>
      </c>
      <c r="S155" s="19" t="str">
        <f>IFERROR(Proponentes[[#This Row],[Activo Corriente]]/Proponentes[[#This Row],[Pasivo Corriente]],"INDETERMINADO")</f>
        <v>INDETERMINADO</v>
      </c>
      <c r="T155" s="20">
        <f>IFERROR(Proponentes[[#This Row],[Total Pasivo]]/Proponentes[[#This Row],[Total ACTIVO]],0)</f>
        <v>0</v>
      </c>
      <c r="U155" s="21">
        <f>(Proponentes[[#This Row],[Activo Corriente]]-Proponentes[[#This Row],[Pasivo Corriente]])/Base!$B$3</f>
        <v>0</v>
      </c>
      <c r="V155" s="22">
        <f>Proponentes[[#This Row],[Activo Corriente]]-Proponentes[[#This Row],[Pasivo Corriente]]</f>
        <v>0</v>
      </c>
      <c r="W155" s="13">
        <f>IFERROR(VLOOKUP(Proponentes[[#This Row],[Propuesta]],Hoja2!$A$2:$G$329,7,FALSE),0)</f>
        <v>549047150.51965857</v>
      </c>
      <c r="X155" s="83">
        <f>IF(Proponentes[[#This Row],[Cap Op en Pesos]]=0,0,IF(Proponentes[[#This Row],[Cap Op en Pesos]]=0,1,Proponentes[[#This Row],[Cap Op en Pesos]]/Base!B$3))</f>
        <v>663.00753821887099</v>
      </c>
      <c r="Y15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15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5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155" s="23" t="str">
        <f>IF(AND(Proponentes[[#This Row],[Cumple
Liquidez]]="CUMPLE",Proponentes[[#This Row],[Cumple
Endeudamiento]]="CUMPLE",Proponentes[[#This Row],[Cumple
Capital de Trabajo]]="CUMPLE"),"CUMPLE","NO CUMPLE")</f>
        <v>NO CUMPLE</v>
      </c>
      <c r="AC155" s="24"/>
      <c r="AD155" s="10">
        <f>IF(Proponentes[[#This Row],[Liquidez
Oferente]]&lt;=1,1,IF(Proponentes[[#This Row],[Liquidez
Oferente]]&lt;=1.1,2,IF(Proponentes[[#This Row],[Liquidez
Oferente]]&lt;=1.2,3,IF(Proponentes[[#This Row],[Liquidez
Oferente]]&lt;=1.3,4,IF(Proponentes[[#This Row],[Liquidez
Oferente]]&lt;=1.4,5,6)))))</f>
        <v>6</v>
      </c>
      <c r="AE155" s="10">
        <f>IF(Proponentes[[#This Row],[Endeudamiento
Oferente]]&lt;=66%,6,IF(Proponentes[[#This Row],[Endeudamiento
Oferente]]&lt;=58,5,IF(Proponentes[[#This Row],[Endeudamiento
Oferente]]&lt;=70,4,IF(Proponentes[[#This Row],[Endeudamiento
Oferente]]&lt;=72,3,IF(Proponentes[[#This Row],[Endeudamiento
Oferente]]&lt;=74,2,1)))))</f>
        <v>6</v>
      </c>
      <c r="AF15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155" s="10">
        <f>IF(Proponentes[[#This Row],[Cap Op en SMMLV]]&lt;=500,1,IF(Proponentes[[#This Row],[Cap Op en SMMLV]]&lt;=1000,2,IF(Proponentes[[#This Row],[Cap Op en SMMLV]]&lt;=1500,3,IF(Proponentes[[#This Row],[Cap Op en SMMLV]]&lt;=2000,4,IF(Proponentes[[#This Row],[Cap Op en SMMLV]]&lt;=2500,5,6)))))</f>
        <v>2</v>
      </c>
      <c r="AH155" s="10">
        <f>MIN(Proponentes[[#This Row],[a]:[d]])</f>
        <v>1</v>
      </c>
      <c r="AI155" s="87">
        <f>IF(Proponentes[[#This Row],[e]]=Proponentes[[#This Row],[d]],Proponentes[[#This Row],[Cap Op en SMMLV]],VLOOKUP(Proponentes[[#This Row],[e]],Base!$D$1:$E$6,2,FALSE))</f>
        <v>500</v>
      </c>
      <c r="AJ155" s="101" t="str">
        <f>VLOOKUP(Proponentes[[#This Row],[Propuesta]],Hoja2!$A$2:$D$329,4,FALSE)</f>
        <v>NO CUMPLE</v>
      </c>
      <c r="AK155" s="101"/>
    </row>
    <row r="156" spans="1:37" ht="48" x14ac:dyDescent="0.2">
      <c r="A156" s="10">
        <v>155</v>
      </c>
      <c r="B156" s="11">
        <v>824002390</v>
      </c>
      <c r="C156" s="12" t="s">
        <v>226</v>
      </c>
      <c r="D156" s="13">
        <v>601156197</v>
      </c>
      <c r="E156" s="13">
        <v>241218871</v>
      </c>
      <c r="F156" s="25">
        <f>Proponentes[[#This Row],[Activo Corriente]]+Proponentes[[#This Row],[Activo NO Corriente]]</f>
        <v>842375068</v>
      </c>
      <c r="G156" s="13">
        <v>167293184</v>
      </c>
      <c r="H156" s="13">
        <v>0</v>
      </c>
      <c r="I156" s="25">
        <f>Proponentes[[#This Row],[Pasivo Corriente]]+Proponentes[[#This Row],[Pasivo NO Corriente]]</f>
        <v>167293184</v>
      </c>
      <c r="J156" s="14">
        <f>Proponentes[[#This Row],[Total ACTIVO]]-Proponentes[[#This Row],[Total Pasivo]]</f>
        <v>675081884</v>
      </c>
      <c r="K156" s="48">
        <f>VLOOKUP(Proponentes[[#This Row],[Propuesta]],Hoja2!$A$2:$G$239,7,FALSE)</f>
        <v>1004377387.0944257</v>
      </c>
      <c r="L156" s="15" t="s">
        <v>59</v>
      </c>
      <c r="M156" s="15" t="s">
        <v>28</v>
      </c>
      <c r="N156" s="55">
        <f>IFERROR(VLOOKUP(Proponentes[[#This Row],[Cap Op en SMMLV]],Base!$A$15:$F$20,3),0)</f>
        <v>1.2</v>
      </c>
      <c r="O156" s="16">
        <f>IFERROR(VLOOKUP(Proponentes[[#This Row],[Cap Op en SMMLV]],Base!$A$15:$F$20,4),0)</f>
        <v>0.72</v>
      </c>
      <c r="P156" s="17">
        <f>IFERROR(VLOOKUP(Proponentes[[#This Row],[Cap Op en SMMLV]],Tabla2[],6),0)</f>
        <v>37.5</v>
      </c>
      <c r="Q156" s="18">
        <f>IFERROR(VLOOKUP(Proponentes[[#This Row],[Cap Op en SMMLV]],Base!$A$15:$F$20,5),0)</f>
        <v>31054350</v>
      </c>
      <c r="R156" s="18">
        <f>IFERROR(VLOOKUP(Proponentes[[#This Row],[Cap Op en SMMLV]],Tabla2[[DE]:[HASTA]],2),0)</f>
        <v>1500</v>
      </c>
      <c r="S156" s="19">
        <f>IFERROR(Proponentes[[#This Row],[Activo Corriente]]/Proponentes[[#This Row],[Pasivo Corriente]],"INDETERMINADO")</f>
        <v>3.5934291082654033</v>
      </c>
      <c r="T156" s="20">
        <f>IFERROR(Proponentes[[#This Row],[Total Pasivo]]/Proponentes[[#This Row],[Total ACTIVO]],0)</f>
        <v>0.19859702685312619</v>
      </c>
      <c r="U156" s="21">
        <f>(Proponentes[[#This Row],[Activo Corriente]]-Proponentes[[#This Row],[Pasivo Corriente]])/Base!$B$3</f>
        <v>523.91574731076321</v>
      </c>
      <c r="V156" s="22">
        <f>Proponentes[[#This Row],[Activo Corriente]]-Proponentes[[#This Row],[Pasivo Corriente]]</f>
        <v>433863013</v>
      </c>
      <c r="W156" s="13">
        <f>IFERROR(VLOOKUP(Proponentes[[#This Row],[Propuesta]],Hoja2!$A$2:$G$329,7,FALSE),0)</f>
        <v>1004377387.0944257</v>
      </c>
      <c r="X156" s="83">
        <f>IF(Proponentes[[#This Row],[Cap Op en Pesos]]=0,0,IF(Proponentes[[#This Row],[Cap Op en Pesos]]=0,1,Proponentes[[#This Row],[Cap Op en Pesos]]/Base!B$3))</f>
        <v>1212.8462523298979</v>
      </c>
      <c r="Y15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5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5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56" s="23" t="str">
        <f>IF(AND(Proponentes[[#This Row],[Cumple
Liquidez]]="CUMPLE",Proponentes[[#This Row],[Cumple
Endeudamiento]]="CUMPLE",Proponentes[[#This Row],[Cumple
Capital de Trabajo]]="CUMPLE"),"CUMPLE","NO CUMPLE")</f>
        <v>CUMPLE</v>
      </c>
      <c r="AC156" s="24"/>
      <c r="AD156" s="10">
        <f>IF(Proponentes[[#This Row],[Liquidez
Oferente]]&lt;=1,1,IF(Proponentes[[#This Row],[Liquidez
Oferente]]&lt;=1.1,2,IF(Proponentes[[#This Row],[Liquidez
Oferente]]&lt;=1.2,3,IF(Proponentes[[#This Row],[Liquidez
Oferente]]&lt;=1.3,4,IF(Proponentes[[#This Row],[Liquidez
Oferente]]&lt;=1.4,5,6)))))</f>
        <v>6</v>
      </c>
      <c r="AE156" s="10">
        <f>IF(Proponentes[[#This Row],[Endeudamiento
Oferente]]&lt;=66%,6,IF(Proponentes[[#This Row],[Endeudamiento
Oferente]]&lt;=58,5,IF(Proponentes[[#This Row],[Endeudamiento
Oferente]]&lt;=70,4,IF(Proponentes[[#This Row],[Endeudamiento
Oferente]]&lt;=72,3,IF(Proponentes[[#This Row],[Endeudamiento
Oferente]]&lt;=74,2,1)))))</f>
        <v>6</v>
      </c>
      <c r="AF15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56" s="10">
        <f>IF(Proponentes[[#This Row],[Cap Op en SMMLV]]&lt;=500,1,IF(Proponentes[[#This Row],[Cap Op en SMMLV]]&lt;=1000,2,IF(Proponentes[[#This Row],[Cap Op en SMMLV]]&lt;=1500,3,IF(Proponentes[[#This Row],[Cap Op en SMMLV]]&lt;=2000,4,IF(Proponentes[[#This Row],[Cap Op en SMMLV]]&lt;=2500,5,6)))))</f>
        <v>3</v>
      </c>
      <c r="AH156" s="10">
        <f>MIN(Proponentes[[#This Row],[a]:[d]])</f>
        <v>3</v>
      </c>
      <c r="AI156" s="87">
        <f>IF(Proponentes[[#This Row],[e]]=Proponentes[[#This Row],[d]],Proponentes[[#This Row],[Cap Op en SMMLV]],VLOOKUP(Proponentes[[#This Row],[e]],Base!$D$1:$E$6,2,FALSE))</f>
        <v>1212.8462523298979</v>
      </c>
      <c r="AJ156" s="101" t="str">
        <f>VLOOKUP(Proponentes[[#This Row],[Propuesta]],Hoja2!$A$2:$D$329,4,FALSE)</f>
        <v>CUMPLE</v>
      </c>
      <c r="AK156" s="101"/>
    </row>
    <row r="157" spans="1:37" ht="32" x14ac:dyDescent="0.2">
      <c r="A157" s="10">
        <v>156</v>
      </c>
      <c r="B157" s="11">
        <v>900916466</v>
      </c>
      <c r="C157" s="12" t="s">
        <v>227</v>
      </c>
      <c r="D157" s="13">
        <v>50395634</v>
      </c>
      <c r="E157" s="13">
        <v>100000000</v>
      </c>
      <c r="F157" s="25">
        <f>Proponentes[[#This Row],[Activo Corriente]]+Proponentes[[#This Row],[Activo NO Corriente]]</f>
        <v>150395634</v>
      </c>
      <c r="G157" s="13">
        <v>0</v>
      </c>
      <c r="H157" s="13">
        <v>0</v>
      </c>
      <c r="I157" s="25">
        <f>Proponentes[[#This Row],[Pasivo Corriente]]+Proponentes[[#This Row],[Pasivo NO Corriente]]</f>
        <v>0</v>
      </c>
      <c r="J157" s="14">
        <f>Proponentes[[#This Row],[Total ACTIVO]]-Proponentes[[#This Row],[Total Pasivo]]</f>
        <v>150395634</v>
      </c>
      <c r="K157" s="48">
        <f>VLOOKUP(Proponentes[[#This Row],[Propuesta]],Hoja2!$A$2:$G$239,7,FALSE)</f>
        <v>18517406.074477468</v>
      </c>
      <c r="L157" s="15" t="s">
        <v>228</v>
      </c>
      <c r="M157" s="15" t="s">
        <v>28</v>
      </c>
      <c r="N157" s="55">
        <f>IFERROR(VLOOKUP(Proponentes[[#This Row],[Cap Op en SMMLV]],Base!$A$15:$F$20,3),0)</f>
        <v>1</v>
      </c>
      <c r="O157" s="16">
        <f>IFERROR(VLOOKUP(Proponentes[[#This Row],[Cap Op en SMMLV]],Base!$A$15:$F$20,4),0)</f>
        <v>0.76</v>
      </c>
      <c r="P157" s="17">
        <f>IFERROR(VLOOKUP(Proponentes[[#This Row],[Cap Op en SMMLV]],Tabla2[],6),0)</f>
        <v>12.5</v>
      </c>
      <c r="Q157" s="18">
        <f>IFERROR(VLOOKUP(Proponentes[[#This Row],[Cap Op en SMMLV]],Base!$A$15:$F$20,5),0)</f>
        <v>10351450</v>
      </c>
      <c r="R157" s="18">
        <f>IFERROR(VLOOKUP(Proponentes[[#This Row],[Cap Op en SMMLV]],Tabla2[[DE]:[HASTA]],2),0)</f>
        <v>500</v>
      </c>
      <c r="S157" s="19" t="str">
        <f>IFERROR(Proponentes[[#This Row],[Activo Corriente]]/Proponentes[[#This Row],[Pasivo Corriente]],"INDETERMINADO")</f>
        <v>INDETERMINADO</v>
      </c>
      <c r="T157" s="20">
        <f>IFERROR(Proponentes[[#This Row],[Total Pasivo]]/Proponentes[[#This Row],[Total ACTIVO]],0)</f>
        <v>0</v>
      </c>
      <c r="U157" s="21">
        <f>(Proponentes[[#This Row],[Activo Corriente]]-Proponentes[[#This Row],[Pasivo Corriente]])/Base!$B$3</f>
        <v>60.855766583425513</v>
      </c>
      <c r="V157" s="22">
        <f>Proponentes[[#This Row],[Activo Corriente]]-Proponentes[[#This Row],[Pasivo Corriente]]</f>
        <v>50395634</v>
      </c>
      <c r="W157" s="13">
        <f>IFERROR(VLOOKUP(Proponentes[[#This Row],[Propuesta]],Hoja2!$A$2:$G$329,7,FALSE),0)</f>
        <v>18517406.074477468</v>
      </c>
      <c r="X157" s="83">
        <f>IF(Proponentes[[#This Row],[Cap Op en Pesos]]=0,0,IF(Proponentes[[#This Row],[Cap Op en Pesos]]=0,1,Proponentes[[#This Row],[Cap Op en Pesos]]/Base!B$3))</f>
        <v>22.360884313885336</v>
      </c>
      <c r="Y15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5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5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57" s="23" t="str">
        <f>IF(AND(Proponentes[[#This Row],[Cumple
Liquidez]]="CUMPLE",Proponentes[[#This Row],[Cumple
Endeudamiento]]="CUMPLE",Proponentes[[#This Row],[Cumple
Capital de Trabajo]]="CUMPLE"),"CUMPLE","NO CUMPLE")</f>
        <v>CUMPLE</v>
      </c>
      <c r="AC157" s="24" t="s">
        <v>802</v>
      </c>
      <c r="AD157" s="10">
        <f>IF(Proponentes[[#This Row],[Liquidez
Oferente]]&lt;=1,1,IF(Proponentes[[#This Row],[Liquidez
Oferente]]&lt;=1.1,2,IF(Proponentes[[#This Row],[Liquidez
Oferente]]&lt;=1.2,3,IF(Proponentes[[#This Row],[Liquidez
Oferente]]&lt;=1.3,4,IF(Proponentes[[#This Row],[Liquidez
Oferente]]&lt;=1.4,5,6)))))</f>
        <v>6</v>
      </c>
      <c r="AE157" s="10">
        <f>IF(Proponentes[[#This Row],[Endeudamiento
Oferente]]&lt;=66%,6,IF(Proponentes[[#This Row],[Endeudamiento
Oferente]]&lt;=58,5,IF(Proponentes[[#This Row],[Endeudamiento
Oferente]]&lt;=70,4,IF(Proponentes[[#This Row],[Endeudamiento
Oferente]]&lt;=72,3,IF(Proponentes[[#This Row],[Endeudamiento
Oferente]]&lt;=74,2,1)))))</f>
        <v>6</v>
      </c>
      <c r="AF15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5</v>
      </c>
      <c r="AG157" s="10">
        <f>IF(Proponentes[[#This Row],[Cap Op en SMMLV]]&lt;=500,1,IF(Proponentes[[#This Row],[Cap Op en SMMLV]]&lt;=1000,2,IF(Proponentes[[#This Row],[Cap Op en SMMLV]]&lt;=1500,3,IF(Proponentes[[#This Row],[Cap Op en SMMLV]]&lt;=2000,4,IF(Proponentes[[#This Row],[Cap Op en SMMLV]]&lt;=2500,5,6)))))</f>
        <v>1</v>
      </c>
      <c r="AH157" s="10">
        <f>MIN(Proponentes[[#This Row],[a]:[d]])</f>
        <v>1</v>
      </c>
      <c r="AI157" s="87">
        <f>IF(Proponentes[[#This Row],[e]]=Proponentes[[#This Row],[d]],Proponentes[[#This Row],[Cap Op en SMMLV]],VLOOKUP(Proponentes[[#This Row],[e]],Base!$D$1:$E$6,2,FALSE))</f>
        <v>22.360884313885336</v>
      </c>
      <c r="AJ157" s="101" t="str">
        <f>VLOOKUP(Proponentes[[#This Row],[Propuesta]],Hoja2!$A$2:$D$329,4,FALSE)</f>
        <v>NO CUMPLE</v>
      </c>
      <c r="AK157" s="101"/>
    </row>
    <row r="158" spans="1:37" ht="16" x14ac:dyDescent="0.2">
      <c r="A158" s="10">
        <v>157</v>
      </c>
      <c r="B158" s="11">
        <v>811026258</v>
      </c>
      <c r="C158" s="12" t="s">
        <v>229</v>
      </c>
      <c r="D158" s="13">
        <v>2610550410</v>
      </c>
      <c r="E158" s="13">
        <v>5111953797</v>
      </c>
      <c r="F158" s="25">
        <f>Proponentes[[#This Row],[Activo Corriente]]+Proponentes[[#This Row],[Activo NO Corriente]]</f>
        <v>7722504207</v>
      </c>
      <c r="G158" s="13">
        <v>1840313781</v>
      </c>
      <c r="H158" s="13">
        <v>3042462510</v>
      </c>
      <c r="I158" s="25">
        <f>Proponentes[[#This Row],[Pasivo Corriente]]+Proponentes[[#This Row],[Pasivo NO Corriente]]</f>
        <v>4882776291</v>
      </c>
      <c r="J158" s="14">
        <f>Proponentes[[#This Row],[Total ACTIVO]]-Proponentes[[#This Row],[Total Pasivo]]</f>
        <v>2839727916</v>
      </c>
      <c r="K158" s="48">
        <f>VLOOKUP(Proponentes[[#This Row],[Propuesta]],Hoja2!$A$2:$G$239,7,FALSE)</f>
        <v>375840274.72568041</v>
      </c>
      <c r="L158" s="15" t="s">
        <v>228</v>
      </c>
      <c r="M158" s="15" t="s">
        <v>28</v>
      </c>
      <c r="N158" s="55">
        <f>IFERROR(VLOOKUP(Proponentes[[#This Row],[Cap Op en SMMLV]],Base!$A$15:$F$20,3),0)</f>
        <v>1</v>
      </c>
      <c r="O158" s="16">
        <f>IFERROR(VLOOKUP(Proponentes[[#This Row],[Cap Op en SMMLV]],Base!$A$15:$F$20,4),0)</f>
        <v>0.76</v>
      </c>
      <c r="P158" s="17">
        <f>IFERROR(VLOOKUP(Proponentes[[#This Row],[Cap Op en SMMLV]],Tabla2[],6),0)</f>
        <v>12.5</v>
      </c>
      <c r="Q158" s="18">
        <f>IFERROR(VLOOKUP(Proponentes[[#This Row],[Cap Op en SMMLV]],Base!$A$15:$F$20,5),0)</f>
        <v>10351450</v>
      </c>
      <c r="R158" s="18">
        <f>IFERROR(VLOOKUP(Proponentes[[#This Row],[Cap Op en SMMLV]],Tabla2[[DE]:[HASTA]],2),0)</f>
        <v>500</v>
      </c>
      <c r="S158" s="19">
        <f>IFERROR(Proponentes[[#This Row],[Activo Corriente]]/Proponentes[[#This Row],[Pasivo Corriente]],"INDETERMINADO")</f>
        <v>1.4185354894106508</v>
      </c>
      <c r="T158" s="20">
        <f>IFERROR(Proponentes[[#This Row],[Total Pasivo]]/Proponentes[[#This Row],[Total ACTIVO]],0)</f>
        <v>0.63227887743642119</v>
      </c>
      <c r="U158" s="21">
        <f>(Proponentes[[#This Row],[Activo Corriente]]-Proponentes[[#This Row],[Pasivo Corriente]])/Base!$B$3</f>
        <v>930.10716976848653</v>
      </c>
      <c r="V158" s="22">
        <f>Proponentes[[#This Row],[Activo Corriente]]-Proponentes[[#This Row],[Pasivo Corriente]]</f>
        <v>770236629</v>
      </c>
      <c r="W158" s="13">
        <f>IFERROR(VLOOKUP(Proponentes[[#This Row],[Propuesta]],Hoja2!$A$2:$G$329,7,FALSE),0)</f>
        <v>375840274.72568041</v>
      </c>
      <c r="X158" s="83">
        <f>IF(Proponentes[[#This Row],[Cap Op en Pesos]]=0,0,IF(Proponentes[[#This Row],[Cap Op en Pesos]]=0,1,Proponentes[[#This Row],[Cap Op en Pesos]]/Base!B$3))</f>
        <v>453.84979245139618</v>
      </c>
      <c r="Y15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5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5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58" s="23" t="str">
        <f>IF(AND(Proponentes[[#This Row],[Cumple
Liquidez]]="CUMPLE",Proponentes[[#This Row],[Cumple
Endeudamiento]]="CUMPLE",Proponentes[[#This Row],[Cumple
Capital de Trabajo]]="CUMPLE"),"CUMPLE","NO CUMPLE")</f>
        <v>CUMPLE</v>
      </c>
      <c r="AC158" s="24"/>
      <c r="AD158" s="10">
        <f>IF(Proponentes[[#This Row],[Liquidez
Oferente]]&lt;=1,1,IF(Proponentes[[#This Row],[Liquidez
Oferente]]&lt;=1.1,2,IF(Proponentes[[#This Row],[Liquidez
Oferente]]&lt;=1.2,3,IF(Proponentes[[#This Row],[Liquidez
Oferente]]&lt;=1.3,4,IF(Proponentes[[#This Row],[Liquidez
Oferente]]&lt;=1.4,5,6)))))</f>
        <v>6</v>
      </c>
      <c r="AE158" s="10">
        <f>IF(Proponentes[[#This Row],[Endeudamiento
Oferente]]&lt;=66%,6,IF(Proponentes[[#This Row],[Endeudamiento
Oferente]]&lt;=58,5,IF(Proponentes[[#This Row],[Endeudamiento
Oferente]]&lt;=70,4,IF(Proponentes[[#This Row],[Endeudamiento
Oferente]]&lt;=72,3,IF(Proponentes[[#This Row],[Endeudamiento
Oferente]]&lt;=74,2,1)))))</f>
        <v>6</v>
      </c>
      <c r="AF15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58" s="10">
        <f>IF(Proponentes[[#This Row],[Cap Op en SMMLV]]&lt;=500,1,IF(Proponentes[[#This Row],[Cap Op en SMMLV]]&lt;=1000,2,IF(Proponentes[[#This Row],[Cap Op en SMMLV]]&lt;=1500,3,IF(Proponentes[[#This Row],[Cap Op en SMMLV]]&lt;=2000,4,IF(Proponentes[[#This Row],[Cap Op en SMMLV]]&lt;=2500,5,6)))))</f>
        <v>1</v>
      </c>
      <c r="AH158" s="10">
        <f>MIN(Proponentes[[#This Row],[a]:[d]])</f>
        <v>1</v>
      </c>
      <c r="AI158" s="87">
        <f>IF(Proponentes[[#This Row],[e]]=Proponentes[[#This Row],[d]],Proponentes[[#This Row],[Cap Op en SMMLV]],VLOOKUP(Proponentes[[#This Row],[e]],Base!$D$1:$E$6,2,FALSE))</f>
        <v>453.84979245139618</v>
      </c>
      <c r="AJ158" s="101" t="str">
        <f>VLOOKUP(Proponentes[[#This Row],[Propuesta]],Hoja2!$A$2:$D$329,4,FALSE)</f>
        <v>CUMPLE</v>
      </c>
      <c r="AK158" s="101"/>
    </row>
    <row r="159" spans="1:37" ht="32" x14ac:dyDescent="0.2">
      <c r="A159" s="10">
        <v>158</v>
      </c>
      <c r="B159" s="11">
        <v>900043314</v>
      </c>
      <c r="C159" s="12" t="s">
        <v>230</v>
      </c>
      <c r="D159" s="13">
        <v>4273530</v>
      </c>
      <c r="E159" s="13">
        <v>6330482</v>
      </c>
      <c r="F159" s="25">
        <f>Proponentes[[#This Row],[Activo Corriente]]+Proponentes[[#This Row],[Activo NO Corriente]]</f>
        <v>10604012</v>
      </c>
      <c r="G159" s="13">
        <v>604012</v>
      </c>
      <c r="H159" s="13">
        <v>0</v>
      </c>
      <c r="I159" s="25">
        <f>Proponentes[[#This Row],[Pasivo Corriente]]+Proponentes[[#This Row],[Pasivo NO Corriente]]</f>
        <v>604012</v>
      </c>
      <c r="J159" s="14">
        <f>Proponentes[[#This Row],[Total ACTIVO]]-Proponentes[[#This Row],[Total Pasivo]]</f>
        <v>10000000</v>
      </c>
      <c r="K159" s="48">
        <f>VLOOKUP(Proponentes[[#This Row],[Propuesta]],Hoja2!$A$2:$G$239,7,FALSE)</f>
        <v>0</v>
      </c>
      <c r="L159" s="15" t="s">
        <v>219</v>
      </c>
      <c r="M159" s="15" t="s">
        <v>28</v>
      </c>
      <c r="N159" s="55">
        <f>IFERROR(VLOOKUP(Proponentes[[#This Row],[Cap Op en SMMLV]],Base!$A$15:$F$20,3),0)</f>
        <v>0</v>
      </c>
      <c r="O159" s="16">
        <f>IFERROR(VLOOKUP(Proponentes[[#This Row],[Cap Op en SMMLV]],Base!$A$15:$F$20,4),0)</f>
        <v>0</v>
      </c>
      <c r="P159" s="17">
        <f>IFERROR(VLOOKUP(Proponentes[[#This Row],[Cap Op en SMMLV]],Tabla2[],6),0)</f>
        <v>0</v>
      </c>
      <c r="Q159" s="18">
        <f>IFERROR(VLOOKUP(Proponentes[[#This Row],[Cap Op en SMMLV]],Base!$A$15:$F$20,5),0)</f>
        <v>0</v>
      </c>
      <c r="R159" s="18">
        <f>IFERROR(VLOOKUP(Proponentes[[#This Row],[Cap Op en SMMLV]],Tabla2[[DE]:[HASTA]],2),0)</f>
        <v>0</v>
      </c>
      <c r="S159" s="19">
        <f>IFERROR(Proponentes[[#This Row],[Activo Corriente]]/Proponentes[[#This Row],[Pasivo Corriente]],"INDETERMINADO")</f>
        <v>7.0752402270153576</v>
      </c>
      <c r="T159" s="20">
        <f>IFERROR(Proponentes[[#This Row],[Total Pasivo]]/Proponentes[[#This Row],[Total ACTIVO]],0)</f>
        <v>5.6960705061442782E-2</v>
      </c>
      <c r="U159" s="21">
        <f>(Proponentes[[#This Row],[Activo Corriente]]-Proponentes[[#This Row],[Pasivo Corriente]])/Base!$B$3</f>
        <v>4.4311642330301551</v>
      </c>
      <c r="V159" s="22">
        <f>Proponentes[[#This Row],[Activo Corriente]]-Proponentes[[#This Row],[Pasivo Corriente]]</f>
        <v>3669518</v>
      </c>
      <c r="W159" s="13">
        <f>IFERROR(VLOOKUP(Proponentes[[#This Row],[Propuesta]],Hoja2!$A$2:$G$329,7,FALSE),0)</f>
        <v>0</v>
      </c>
      <c r="X159" s="83">
        <f>IF(Proponentes[[#This Row],[Cap Op en Pesos]]=0,0,IF(Proponentes[[#This Row],[Cap Op en Pesos]]=0,1,Proponentes[[#This Row],[Cap Op en Pesos]]/Base!B$3))</f>
        <v>0</v>
      </c>
      <c r="Y15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5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5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159" s="23" t="str">
        <f>IF(AND(Proponentes[[#This Row],[Cumple
Liquidez]]="CUMPLE",Proponentes[[#This Row],[Cumple
Endeudamiento]]="CUMPLE",Proponentes[[#This Row],[Cumple
Capital de Trabajo]]="CUMPLE"),"CUMPLE","NO CUMPLE")</f>
        <v>NO CUMPLE</v>
      </c>
      <c r="AC159" s="24"/>
      <c r="AD159" s="10">
        <f>IF(Proponentes[[#This Row],[Liquidez
Oferente]]&lt;=1,1,IF(Proponentes[[#This Row],[Liquidez
Oferente]]&lt;=1.1,2,IF(Proponentes[[#This Row],[Liquidez
Oferente]]&lt;=1.2,3,IF(Proponentes[[#This Row],[Liquidez
Oferente]]&lt;=1.3,4,IF(Proponentes[[#This Row],[Liquidez
Oferente]]&lt;=1.4,5,6)))))</f>
        <v>6</v>
      </c>
      <c r="AE159" s="10">
        <f>IF(Proponentes[[#This Row],[Endeudamiento
Oferente]]&lt;=66%,6,IF(Proponentes[[#This Row],[Endeudamiento
Oferente]]&lt;=58,5,IF(Proponentes[[#This Row],[Endeudamiento
Oferente]]&lt;=70,4,IF(Proponentes[[#This Row],[Endeudamiento
Oferente]]&lt;=72,3,IF(Proponentes[[#This Row],[Endeudamiento
Oferente]]&lt;=74,2,1)))))</f>
        <v>6</v>
      </c>
      <c r="AF15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159" s="10">
        <f>IF(Proponentes[[#This Row],[Cap Op en SMMLV]]&lt;=500,1,IF(Proponentes[[#This Row],[Cap Op en SMMLV]]&lt;=1000,2,IF(Proponentes[[#This Row],[Cap Op en SMMLV]]&lt;=1500,3,IF(Proponentes[[#This Row],[Cap Op en SMMLV]]&lt;=2000,4,IF(Proponentes[[#This Row],[Cap Op en SMMLV]]&lt;=2500,5,6)))))</f>
        <v>1</v>
      </c>
      <c r="AH159" s="10">
        <f>MIN(Proponentes[[#This Row],[a]:[d]])</f>
        <v>1</v>
      </c>
      <c r="AI159" s="87">
        <f>IF(Proponentes[[#This Row],[e]]=Proponentes[[#This Row],[d]],Proponentes[[#This Row],[Cap Op en SMMLV]],VLOOKUP(Proponentes[[#This Row],[e]],Base!$D$1:$E$6,2,FALSE))</f>
        <v>0</v>
      </c>
      <c r="AJ159" s="101" t="str">
        <f>VLOOKUP(Proponentes[[#This Row],[Propuesta]],Hoja2!$A$2:$D$329,4,FALSE)</f>
        <v>NO CUMPLE</v>
      </c>
      <c r="AK159" s="101"/>
    </row>
    <row r="160" spans="1:37" ht="16" x14ac:dyDescent="0.2">
      <c r="A160" s="10">
        <v>159</v>
      </c>
      <c r="B160" s="11">
        <v>822002132</v>
      </c>
      <c r="C160" s="12" t="s">
        <v>231</v>
      </c>
      <c r="D160" s="13">
        <v>505631253</v>
      </c>
      <c r="E160" s="13">
        <v>84282865</v>
      </c>
      <c r="F160" s="25">
        <f>Proponentes[[#This Row],[Activo Corriente]]+Proponentes[[#This Row],[Activo NO Corriente]]</f>
        <v>589914118</v>
      </c>
      <c r="G160" s="13">
        <v>5102544</v>
      </c>
      <c r="H160" s="13">
        <v>0</v>
      </c>
      <c r="I160" s="25">
        <f>Proponentes[[#This Row],[Pasivo Corriente]]+Proponentes[[#This Row],[Pasivo NO Corriente]]</f>
        <v>5102544</v>
      </c>
      <c r="J160" s="14">
        <f>Proponentes[[#This Row],[Total ACTIVO]]-Proponentes[[#This Row],[Total Pasivo]]</f>
        <v>584811574</v>
      </c>
      <c r="K160" s="48">
        <f>VLOOKUP(Proponentes[[#This Row],[Propuesta]],Hoja2!$A$2:$G$239,7,FALSE)</f>
        <v>1533195877.3721762</v>
      </c>
      <c r="L160" s="15" t="s">
        <v>59</v>
      </c>
      <c r="M160" s="15" t="s">
        <v>28</v>
      </c>
      <c r="N160" s="55">
        <f>IFERROR(VLOOKUP(Proponentes[[#This Row],[Cap Op en SMMLV]],Base!$A$15:$F$20,3),0)</f>
        <v>1.3</v>
      </c>
      <c r="O160" s="16">
        <f>IFERROR(VLOOKUP(Proponentes[[#This Row],[Cap Op en SMMLV]],Base!$A$15:$F$20,4),0)</f>
        <v>0.7</v>
      </c>
      <c r="P160" s="17">
        <f>IFERROR(VLOOKUP(Proponentes[[#This Row],[Cap Op en SMMLV]],Tabla2[],6),0)</f>
        <v>50</v>
      </c>
      <c r="Q160" s="18">
        <f>IFERROR(VLOOKUP(Proponentes[[#This Row],[Cap Op en SMMLV]],Base!$A$15:$F$20,5),0)</f>
        <v>41405800</v>
      </c>
      <c r="R160" s="18">
        <f>IFERROR(VLOOKUP(Proponentes[[#This Row],[Cap Op en SMMLV]],Tabla2[[DE]:[HASTA]],2),0)</f>
        <v>2000</v>
      </c>
      <c r="S160" s="19">
        <f>IFERROR(Proponentes[[#This Row],[Activo Corriente]]/Proponentes[[#This Row],[Pasivo Corriente]],"INDETERMINADO")</f>
        <v>99.093952546024099</v>
      </c>
      <c r="T160" s="20">
        <f>IFERROR(Proponentes[[#This Row],[Total Pasivo]]/Proponentes[[#This Row],[Total ACTIVO]],0)</f>
        <v>8.6496387258865361E-3</v>
      </c>
      <c r="U160" s="21">
        <f>(Proponentes[[#This Row],[Activo Corriente]]-Proponentes[[#This Row],[Pasivo Corriente]])/Base!$B$3</f>
        <v>604.41859473793522</v>
      </c>
      <c r="V160" s="22">
        <f>Proponentes[[#This Row],[Activo Corriente]]-Proponentes[[#This Row],[Pasivo Corriente]]</f>
        <v>500528709</v>
      </c>
      <c r="W160" s="13">
        <f>IFERROR(VLOOKUP(Proponentes[[#This Row],[Propuesta]],Hoja2!$A$2:$G$329,7,FALSE),0)</f>
        <v>1533195877.3721762</v>
      </c>
      <c r="X160" s="83">
        <f>IF(Proponentes[[#This Row],[Cap Op en Pesos]]=0,0,IF(Proponentes[[#This Row],[Cap Op en Pesos]]=0,1,Proponentes[[#This Row],[Cap Op en Pesos]]/Base!B$3))</f>
        <v>1851.4264636502328</v>
      </c>
      <c r="Y16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6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6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60" s="23" t="str">
        <f>IF(AND(Proponentes[[#This Row],[Cumple
Liquidez]]="CUMPLE",Proponentes[[#This Row],[Cumple
Endeudamiento]]="CUMPLE",Proponentes[[#This Row],[Cumple
Capital de Trabajo]]="CUMPLE"),"CUMPLE","NO CUMPLE")</f>
        <v>CUMPLE</v>
      </c>
      <c r="AC160" s="24"/>
      <c r="AD160" s="10">
        <f>IF(Proponentes[[#This Row],[Liquidez
Oferente]]&lt;=1,1,IF(Proponentes[[#This Row],[Liquidez
Oferente]]&lt;=1.1,2,IF(Proponentes[[#This Row],[Liquidez
Oferente]]&lt;=1.2,3,IF(Proponentes[[#This Row],[Liquidez
Oferente]]&lt;=1.3,4,IF(Proponentes[[#This Row],[Liquidez
Oferente]]&lt;=1.4,5,6)))))</f>
        <v>6</v>
      </c>
      <c r="AE160" s="10">
        <f>IF(Proponentes[[#This Row],[Endeudamiento
Oferente]]&lt;=66%,6,IF(Proponentes[[#This Row],[Endeudamiento
Oferente]]&lt;=58,5,IF(Proponentes[[#This Row],[Endeudamiento
Oferente]]&lt;=70,4,IF(Proponentes[[#This Row],[Endeudamiento
Oferente]]&lt;=72,3,IF(Proponentes[[#This Row],[Endeudamiento
Oferente]]&lt;=74,2,1)))))</f>
        <v>6</v>
      </c>
      <c r="AF16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60" s="10">
        <f>IF(Proponentes[[#This Row],[Cap Op en SMMLV]]&lt;=500,1,IF(Proponentes[[#This Row],[Cap Op en SMMLV]]&lt;=1000,2,IF(Proponentes[[#This Row],[Cap Op en SMMLV]]&lt;=1500,3,IF(Proponentes[[#This Row],[Cap Op en SMMLV]]&lt;=2000,4,IF(Proponentes[[#This Row],[Cap Op en SMMLV]]&lt;=2500,5,6)))))</f>
        <v>4</v>
      </c>
      <c r="AH160" s="10">
        <f>MIN(Proponentes[[#This Row],[a]:[d]])</f>
        <v>4</v>
      </c>
      <c r="AI160" s="87">
        <f>IF(Proponentes[[#This Row],[e]]=Proponentes[[#This Row],[d]],Proponentes[[#This Row],[Cap Op en SMMLV]],VLOOKUP(Proponentes[[#This Row],[e]],Base!$D$1:$E$6,2,FALSE))</f>
        <v>1851.4264636502328</v>
      </c>
      <c r="AJ160" s="101" t="str">
        <f>VLOOKUP(Proponentes[[#This Row],[Propuesta]],Hoja2!$A$2:$D$329,4,FALSE)</f>
        <v>CUMPLE</v>
      </c>
      <c r="AK160" s="101"/>
    </row>
    <row r="161" spans="1:37" ht="16" x14ac:dyDescent="0.2">
      <c r="A161" s="10">
        <v>160</v>
      </c>
      <c r="B161" s="11">
        <v>891680186</v>
      </c>
      <c r="C161" s="12" t="s">
        <v>232</v>
      </c>
      <c r="D161" s="13">
        <v>2754742289</v>
      </c>
      <c r="E161" s="13">
        <v>7171869600</v>
      </c>
      <c r="F161" s="25">
        <f>Proponentes[[#This Row],[Activo Corriente]]+Proponentes[[#This Row],[Activo NO Corriente]]</f>
        <v>9926611889</v>
      </c>
      <c r="G161" s="13">
        <v>845510409</v>
      </c>
      <c r="H161" s="13">
        <v>62184000</v>
      </c>
      <c r="I161" s="25">
        <f>Proponentes[[#This Row],[Pasivo Corriente]]+Proponentes[[#This Row],[Pasivo NO Corriente]]</f>
        <v>907694409</v>
      </c>
      <c r="J161" s="14">
        <f>Proponentes[[#This Row],[Total ACTIVO]]-Proponentes[[#This Row],[Total Pasivo]]</f>
        <v>9018917480</v>
      </c>
      <c r="K161" s="48">
        <f>VLOOKUP(Proponentes[[#This Row],[Propuesta]],Hoja2!$A$2:$G$239,7,FALSE)</f>
        <v>269344763.51683772</v>
      </c>
      <c r="L161" s="15" t="s">
        <v>233</v>
      </c>
      <c r="M161" s="15" t="s">
        <v>28</v>
      </c>
      <c r="N161" s="55">
        <f>IFERROR(VLOOKUP(Proponentes[[#This Row],[Cap Op en SMMLV]],Base!$A$15:$F$20,3),0)</f>
        <v>1</v>
      </c>
      <c r="O161" s="16">
        <f>IFERROR(VLOOKUP(Proponentes[[#This Row],[Cap Op en SMMLV]],Base!$A$15:$F$20,4),0)</f>
        <v>0.76</v>
      </c>
      <c r="P161" s="17">
        <f>IFERROR(VLOOKUP(Proponentes[[#This Row],[Cap Op en SMMLV]],Tabla2[],6),0)</f>
        <v>12.5</v>
      </c>
      <c r="Q161" s="18">
        <f>IFERROR(VLOOKUP(Proponentes[[#This Row],[Cap Op en SMMLV]],Base!$A$15:$F$20,5),0)</f>
        <v>10351450</v>
      </c>
      <c r="R161" s="18">
        <f>IFERROR(VLOOKUP(Proponentes[[#This Row],[Cap Op en SMMLV]],Tabla2[[DE]:[HASTA]],2),0)</f>
        <v>500</v>
      </c>
      <c r="S161" s="19">
        <f>IFERROR(Proponentes[[#This Row],[Activo Corriente]]/Proponentes[[#This Row],[Pasivo Corriente]],"INDETERMINADO")</f>
        <v>3.2580820527781342</v>
      </c>
      <c r="T161" s="20">
        <f>IFERROR(Proponentes[[#This Row],[Total Pasivo]]/Proponentes[[#This Row],[Total ACTIVO]],0)</f>
        <v>9.144050549672901E-2</v>
      </c>
      <c r="U161" s="21">
        <f>(Proponentes[[#This Row],[Activo Corriente]]-Proponentes[[#This Row],[Pasivo Corriente]])/Base!$B$3</f>
        <v>2305.5126093445847</v>
      </c>
      <c r="V161" s="22">
        <f>Proponentes[[#This Row],[Activo Corriente]]-Proponentes[[#This Row],[Pasivo Corriente]]</f>
        <v>1909231880</v>
      </c>
      <c r="W161" s="13">
        <f>IFERROR(VLOOKUP(Proponentes[[#This Row],[Propuesta]],Hoja2!$A$2:$G$329,7,FALSE),0)</f>
        <v>269344763.51683772</v>
      </c>
      <c r="X161" s="83">
        <f>IF(Proponentes[[#This Row],[Cap Op en Pesos]]=0,0,IF(Proponentes[[#This Row],[Cap Op en Pesos]]=0,1,Proponentes[[#This Row],[Cap Op en Pesos]]/Base!B$3))</f>
        <v>325.25004168116266</v>
      </c>
      <c r="Y16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6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6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61" s="23" t="str">
        <f>IF(AND(Proponentes[[#This Row],[Cumple
Liquidez]]="CUMPLE",Proponentes[[#This Row],[Cumple
Endeudamiento]]="CUMPLE",Proponentes[[#This Row],[Cumple
Capital de Trabajo]]="CUMPLE"),"CUMPLE","NO CUMPLE")</f>
        <v>CUMPLE</v>
      </c>
      <c r="AC161" s="24"/>
      <c r="AD161" s="10">
        <f>IF(Proponentes[[#This Row],[Liquidez
Oferente]]&lt;=1,1,IF(Proponentes[[#This Row],[Liquidez
Oferente]]&lt;=1.1,2,IF(Proponentes[[#This Row],[Liquidez
Oferente]]&lt;=1.2,3,IF(Proponentes[[#This Row],[Liquidez
Oferente]]&lt;=1.3,4,IF(Proponentes[[#This Row],[Liquidez
Oferente]]&lt;=1.4,5,6)))))</f>
        <v>6</v>
      </c>
      <c r="AE161" s="10">
        <f>IF(Proponentes[[#This Row],[Endeudamiento
Oferente]]&lt;=66%,6,IF(Proponentes[[#This Row],[Endeudamiento
Oferente]]&lt;=58,5,IF(Proponentes[[#This Row],[Endeudamiento
Oferente]]&lt;=70,4,IF(Proponentes[[#This Row],[Endeudamiento
Oferente]]&lt;=72,3,IF(Proponentes[[#This Row],[Endeudamiento
Oferente]]&lt;=74,2,1)))))</f>
        <v>6</v>
      </c>
      <c r="AF16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61" s="10">
        <f>IF(Proponentes[[#This Row],[Cap Op en SMMLV]]&lt;=500,1,IF(Proponentes[[#This Row],[Cap Op en SMMLV]]&lt;=1000,2,IF(Proponentes[[#This Row],[Cap Op en SMMLV]]&lt;=1500,3,IF(Proponentes[[#This Row],[Cap Op en SMMLV]]&lt;=2000,4,IF(Proponentes[[#This Row],[Cap Op en SMMLV]]&lt;=2500,5,6)))))</f>
        <v>1</v>
      </c>
      <c r="AH161" s="10">
        <f>MIN(Proponentes[[#This Row],[a]:[d]])</f>
        <v>1</v>
      </c>
      <c r="AI161" s="87">
        <f>IF(Proponentes[[#This Row],[e]]=Proponentes[[#This Row],[d]],Proponentes[[#This Row],[Cap Op en SMMLV]],VLOOKUP(Proponentes[[#This Row],[e]],Base!$D$1:$E$6,2,FALSE))</f>
        <v>325.25004168116266</v>
      </c>
      <c r="AJ161" s="101" t="str">
        <f>VLOOKUP(Proponentes[[#This Row],[Propuesta]],Hoja2!$A$2:$D$329,4,FALSE)</f>
        <v>NO CUMPLE</v>
      </c>
      <c r="AK161" s="101"/>
    </row>
    <row r="162" spans="1:37" ht="16" x14ac:dyDescent="0.2">
      <c r="A162" s="10">
        <v>161</v>
      </c>
      <c r="B162" s="11">
        <v>825001808</v>
      </c>
      <c r="C162" s="12" t="s">
        <v>234</v>
      </c>
      <c r="D162" s="13">
        <v>184586280</v>
      </c>
      <c r="E162" s="13">
        <v>143965420</v>
      </c>
      <c r="F162" s="25">
        <f>Proponentes[[#This Row],[Activo Corriente]]+Proponentes[[#This Row],[Activo NO Corriente]]</f>
        <v>328551700</v>
      </c>
      <c r="G162" s="13">
        <v>2458700</v>
      </c>
      <c r="H162" s="13">
        <v>0</v>
      </c>
      <c r="I162" s="25">
        <f>Proponentes[[#This Row],[Pasivo Corriente]]+Proponentes[[#This Row],[Pasivo NO Corriente]]</f>
        <v>2458700</v>
      </c>
      <c r="J162" s="14">
        <f>Proponentes[[#This Row],[Total ACTIVO]]-Proponentes[[#This Row],[Total Pasivo]]</f>
        <v>326093000</v>
      </c>
      <c r="K162" s="48">
        <f>VLOOKUP(Proponentes[[#This Row],[Propuesta]],Hoja2!$A$2:$G$239,7,FALSE)</f>
        <v>0</v>
      </c>
      <c r="L162" s="15"/>
      <c r="M162" s="15" t="s">
        <v>28</v>
      </c>
      <c r="N162" s="55">
        <f>IFERROR(VLOOKUP(Proponentes[[#This Row],[Cap Op en SMMLV]],Base!$A$15:$F$20,3),0)</f>
        <v>0</v>
      </c>
      <c r="O162" s="16">
        <f>IFERROR(VLOOKUP(Proponentes[[#This Row],[Cap Op en SMMLV]],Base!$A$15:$F$20,4),0)</f>
        <v>0</v>
      </c>
      <c r="P162" s="17">
        <f>IFERROR(VLOOKUP(Proponentes[[#This Row],[Cap Op en SMMLV]],Tabla2[],6),0)</f>
        <v>0</v>
      </c>
      <c r="Q162" s="18">
        <f>IFERROR(VLOOKUP(Proponentes[[#This Row],[Cap Op en SMMLV]],Base!$A$15:$F$20,5),0)</f>
        <v>0</v>
      </c>
      <c r="R162" s="18">
        <f>IFERROR(VLOOKUP(Proponentes[[#This Row],[Cap Op en SMMLV]],Tabla2[[DE]:[HASTA]],2),0)</f>
        <v>0</v>
      </c>
      <c r="S162" s="19">
        <f>IFERROR(Proponentes[[#This Row],[Activo Corriente]]/Proponentes[[#This Row],[Pasivo Corriente]],"INDETERMINADO")</f>
        <v>75.074746817423843</v>
      </c>
      <c r="T162" s="20">
        <f>IFERROR(Proponentes[[#This Row],[Total Pasivo]]/Proponentes[[#This Row],[Total ACTIVO]],0)</f>
        <v>7.4834493323273016E-3</v>
      </c>
      <c r="U162" s="21">
        <f>(Proponentes[[#This Row],[Activo Corriente]]-Proponentes[[#This Row],[Pasivo Corriente]])/Base!$B$3</f>
        <v>219.93003395659545</v>
      </c>
      <c r="V162" s="22">
        <f>Proponentes[[#This Row],[Activo Corriente]]-Proponentes[[#This Row],[Pasivo Corriente]]</f>
        <v>182127580</v>
      </c>
      <c r="W162" s="13">
        <f>IFERROR(VLOOKUP(Proponentes[[#This Row],[Propuesta]],Hoja2!$A$2:$G$329,7,FALSE),0)</f>
        <v>0</v>
      </c>
      <c r="X162" s="83">
        <f>IF(Proponentes[[#This Row],[Cap Op en Pesos]]=0,0,IF(Proponentes[[#This Row],[Cap Op en Pesos]]=0,1,Proponentes[[#This Row],[Cap Op en Pesos]]/Base!B$3))</f>
        <v>0</v>
      </c>
      <c r="Y16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6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6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62" s="23" t="str">
        <f>IF(AND(Proponentes[[#This Row],[Cumple
Liquidez]]="CUMPLE",Proponentes[[#This Row],[Cumple
Endeudamiento]]="CUMPLE",Proponentes[[#This Row],[Cumple
Capital de Trabajo]]="CUMPLE"),"CUMPLE","NO CUMPLE")</f>
        <v>NO CUMPLE</v>
      </c>
      <c r="AC162" s="24"/>
      <c r="AD162" s="10">
        <f>IF(Proponentes[[#This Row],[Liquidez
Oferente]]&lt;=1,1,IF(Proponentes[[#This Row],[Liquidez
Oferente]]&lt;=1.1,2,IF(Proponentes[[#This Row],[Liquidez
Oferente]]&lt;=1.2,3,IF(Proponentes[[#This Row],[Liquidez
Oferente]]&lt;=1.3,4,IF(Proponentes[[#This Row],[Liquidez
Oferente]]&lt;=1.4,5,6)))))</f>
        <v>6</v>
      </c>
      <c r="AE162" s="10">
        <f>IF(Proponentes[[#This Row],[Endeudamiento
Oferente]]&lt;=66%,6,IF(Proponentes[[#This Row],[Endeudamiento
Oferente]]&lt;=58,5,IF(Proponentes[[#This Row],[Endeudamiento
Oferente]]&lt;=70,4,IF(Proponentes[[#This Row],[Endeudamiento
Oferente]]&lt;=72,3,IF(Proponentes[[#This Row],[Endeudamiento
Oferente]]&lt;=74,2,1)))))</f>
        <v>6</v>
      </c>
      <c r="AF16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62" s="10">
        <f>IF(Proponentes[[#This Row],[Cap Op en SMMLV]]&lt;=500,1,IF(Proponentes[[#This Row],[Cap Op en SMMLV]]&lt;=1000,2,IF(Proponentes[[#This Row],[Cap Op en SMMLV]]&lt;=1500,3,IF(Proponentes[[#This Row],[Cap Op en SMMLV]]&lt;=2000,4,IF(Proponentes[[#This Row],[Cap Op en SMMLV]]&lt;=2500,5,6)))))</f>
        <v>1</v>
      </c>
      <c r="AH162" s="10">
        <f>MIN(Proponentes[[#This Row],[a]:[d]])</f>
        <v>1</v>
      </c>
      <c r="AI162" s="87">
        <f>IF(Proponentes[[#This Row],[e]]=Proponentes[[#This Row],[d]],Proponentes[[#This Row],[Cap Op en SMMLV]],VLOOKUP(Proponentes[[#This Row],[e]],Base!$D$1:$E$6,2,FALSE))</f>
        <v>0</v>
      </c>
      <c r="AJ162" s="101" t="str">
        <f>VLOOKUP(Proponentes[[#This Row],[Propuesta]],Hoja2!$A$2:$D$329,4,FALSE)</f>
        <v>NO CUMPLE</v>
      </c>
      <c r="AK162" s="101"/>
    </row>
    <row r="163" spans="1:37" ht="16" x14ac:dyDescent="0.2">
      <c r="A163" s="10">
        <v>162</v>
      </c>
      <c r="B163" s="11">
        <v>807000358</v>
      </c>
      <c r="C163" s="12" t="s">
        <v>235</v>
      </c>
      <c r="D163" s="13">
        <v>1241609000</v>
      </c>
      <c r="E163" s="13">
        <v>471582000</v>
      </c>
      <c r="F163" s="25">
        <f>Proponentes[[#This Row],[Activo Corriente]]+Proponentes[[#This Row],[Activo NO Corriente]]</f>
        <v>1713191000</v>
      </c>
      <c r="G163" s="13">
        <v>111176000</v>
      </c>
      <c r="H163" s="13">
        <v>352437000</v>
      </c>
      <c r="I163" s="25">
        <f>Proponentes[[#This Row],[Pasivo Corriente]]+Proponentes[[#This Row],[Pasivo NO Corriente]]</f>
        <v>463613000</v>
      </c>
      <c r="J163" s="14">
        <f>Proponentes[[#This Row],[Total ACTIVO]]-Proponentes[[#This Row],[Total Pasivo]]</f>
        <v>1249578000</v>
      </c>
      <c r="K163" s="48">
        <f>VLOOKUP(Proponentes[[#This Row],[Propuesta]],Hoja2!$A$2:$G$239,7,FALSE)</f>
        <v>6544006766.8012753</v>
      </c>
      <c r="L163" s="15"/>
      <c r="M163" s="15" t="s">
        <v>28</v>
      </c>
      <c r="N163" s="55">
        <f>IFERROR(VLOOKUP(Proponentes[[#This Row],[Cap Op en SMMLV]],Base!$A$15:$F$20,3),0)</f>
        <v>1.5</v>
      </c>
      <c r="O163" s="16">
        <f>IFERROR(VLOOKUP(Proponentes[[#This Row],[Cap Op en SMMLV]],Base!$A$15:$F$20,4),0)</f>
        <v>0.66</v>
      </c>
      <c r="P163" s="17">
        <f>IFERROR(VLOOKUP(Proponentes[[#This Row],[Cap Op en SMMLV]],Tabla2[],6),0)</f>
        <v>90.075000362268085</v>
      </c>
      <c r="Q163" s="18">
        <f>IFERROR(VLOOKUP(Proponentes[[#This Row],[Cap Op en SMMLV]],Base!$A$15:$F$20,5),0)</f>
        <v>74592549</v>
      </c>
      <c r="R163" s="18">
        <f>IFERROR(VLOOKUP(Proponentes[[#This Row],[Cap Op en SMMLV]],Tabla2[[DE]:[HASTA]],2),0)</f>
        <v>1000000</v>
      </c>
      <c r="S163" s="19">
        <f>IFERROR(Proponentes[[#This Row],[Activo Corriente]]/Proponentes[[#This Row],[Pasivo Corriente]],"INDETERMINADO")</f>
        <v>11.167958911995395</v>
      </c>
      <c r="T163" s="20">
        <f>IFERROR(Proponentes[[#This Row],[Total Pasivo]]/Proponentes[[#This Row],[Total ACTIVO]],0)</f>
        <v>0.27061372608191381</v>
      </c>
      <c r="U163" s="21">
        <f>(Proponentes[[#This Row],[Activo Corriente]]-Proponentes[[#This Row],[Pasivo Corriente]])/Base!$B$3</f>
        <v>1365.0660052456419</v>
      </c>
      <c r="V163" s="22">
        <f>Proponentes[[#This Row],[Activo Corriente]]-Proponentes[[#This Row],[Pasivo Corriente]]</f>
        <v>1130433000</v>
      </c>
      <c r="W163" s="13">
        <f>IFERROR(VLOOKUP(Proponentes[[#This Row],[Propuesta]],Hoja2!$A$2:$G$329,7,FALSE),0)</f>
        <v>6544006766.8012753</v>
      </c>
      <c r="X163" s="83">
        <f>IF(Proponentes[[#This Row],[Cap Op en Pesos]]=0,0,IF(Proponentes[[#This Row],[Cap Op en Pesos]]=0,1,Proponentes[[#This Row],[Cap Op en Pesos]]/Base!B$3))</f>
        <v>7902.2827318893433</v>
      </c>
      <c r="Y16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6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6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63" s="23" t="str">
        <f>IF(AND(Proponentes[[#This Row],[Cumple
Liquidez]]="CUMPLE",Proponentes[[#This Row],[Cumple
Endeudamiento]]="CUMPLE",Proponentes[[#This Row],[Cumple
Capital de Trabajo]]="CUMPLE"),"CUMPLE","NO CUMPLE")</f>
        <v>CUMPLE</v>
      </c>
      <c r="AC163" s="24"/>
      <c r="AD163" s="10">
        <f>IF(Proponentes[[#This Row],[Liquidez
Oferente]]&lt;=1,1,IF(Proponentes[[#This Row],[Liquidez
Oferente]]&lt;=1.1,2,IF(Proponentes[[#This Row],[Liquidez
Oferente]]&lt;=1.2,3,IF(Proponentes[[#This Row],[Liquidez
Oferente]]&lt;=1.3,4,IF(Proponentes[[#This Row],[Liquidez
Oferente]]&lt;=1.4,5,6)))))</f>
        <v>6</v>
      </c>
      <c r="AE163" s="10">
        <f>IF(Proponentes[[#This Row],[Endeudamiento
Oferente]]&lt;=66%,6,IF(Proponentes[[#This Row],[Endeudamiento
Oferente]]&lt;=58,5,IF(Proponentes[[#This Row],[Endeudamiento
Oferente]]&lt;=70,4,IF(Proponentes[[#This Row],[Endeudamiento
Oferente]]&lt;=72,3,IF(Proponentes[[#This Row],[Endeudamiento
Oferente]]&lt;=74,2,1)))))</f>
        <v>6</v>
      </c>
      <c r="AF16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63" s="10">
        <f>IF(Proponentes[[#This Row],[Cap Op en SMMLV]]&lt;=500,1,IF(Proponentes[[#This Row],[Cap Op en SMMLV]]&lt;=1000,2,IF(Proponentes[[#This Row],[Cap Op en SMMLV]]&lt;=1500,3,IF(Proponentes[[#This Row],[Cap Op en SMMLV]]&lt;=2000,4,IF(Proponentes[[#This Row],[Cap Op en SMMLV]]&lt;=2500,5,6)))))</f>
        <v>6</v>
      </c>
      <c r="AH163" s="10">
        <f>MIN(Proponentes[[#This Row],[a]:[d]])</f>
        <v>6</v>
      </c>
      <c r="AI163" s="87">
        <f>IF(Proponentes[[#This Row],[e]]=Proponentes[[#This Row],[d]],Proponentes[[#This Row],[Cap Op en SMMLV]],VLOOKUP(Proponentes[[#This Row],[e]],Base!$D$1:$E$6,2,FALSE))</f>
        <v>7902.2827318893433</v>
      </c>
      <c r="AJ163" s="101" t="str">
        <f>VLOOKUP(Proponentes[[#This Row],[Propuesta]],Hoja2!$A$2:$D$329,4,FALSE)</f>
        <v>NO CUMPLE</v>
      </c>
      <c r="AK163" s="101"/>
    </row>
    <row r="164" spans="1:37" ht="16" x14ac:dyDescent="0.2">
      <c r="A164" s="10">
        <v>163</v>
      </c>
      <c r="B164" s="11" t="s">
        <v>221</v>
      </c>
      <c r="C164" s="12" t="s">
        <v>236</v>
      </c>
      <c r="D164" s="13">
        <v>286994166</v>
      </c>
      <c r="E164" s="13">
        <v>28515468</v>
      </c>
      <c r="F164" s="25">
        <f>Proponentes[[#This Row],[Activo Corriente]]+Proponentes[[#This Row],[Activo NO Corriente]]</f>
        <v>315509634</v>
      </c>
      <c r="G164" s="13">
        <v>19640000</v>
      </c>
      <c r="H164" s="13">
        <v>0</v>
      </c>
      <c r="I164" s="25">
        <f>Proponentes[[#This Row],[Pasivo Corriente]]+Proponentes[[#This Row],[Pasivo NO Corriente]]</f>
        <v>19640000</v>
      </c>
      <c r="J164" s="14">
        <f>Proponentes[[#This Row],[Total ACTIVO]]-Proponentes[[#This Row],[Total Pasivo]]</f>
        <v>295869634</v>
      </c>
      <c r="K164" s="48">
        <f>VLOOKUP(Proponentes[[#This Row],[Propuesta]],Hoja2!$A$2:$G$239,7,FALSE)</f>
        <v>0</v>
      </c>
      <c r="L164" s="15" t="s">
        <v>237</v>
      </c>
      <c r="M164" s="15" t="s">
        <v>28</v>
      </c>
      <c r="N164" s="55">
        <f>IFERROR(VLOOKUP(Proponentes[[#This Row],[Cap Op en SMMLV]],Base!$A$15:$F$20,3),0)</f>
        <v>0</v>
      </c>
      <c r="O164" s="16">
        <f>IFERROR(VLOOKUP(Proponentes[[#This Row],[Cap Op en SMMLV]],Base!$A$15:$F$20,4),0)</f>
        <v>0</v>
      </c>
      <c r="P164" s="17">
        <f>IFERROR(VLOOKUP(Proponentes[[#This Row],[Cap Op en SMMLV]],Tabla2[],6),0)</f>
        <v>0</v>
      </c>
      <c r="Q164" s="18">
        <f>IFERROR(VLOOKUP(Proponentes[[#This Row],[Cap Op en SMMLV]],Base!$A$15:$F$20,5),0)</f>
        <v>0</v>
      </c>
      <c r="R164" s="18">
        <f>IFERROR(VLOOKUP(Proponentes[[#This Row],[Cap Op en SMMLV]],Tabla2[[DE]:[HASTA]],2),0)</f>
        <v>0</v>
      </c>
      <c r="S164" s="19">
        <f>IFERROR(Proponentes[[#This Row],[Activo Corriente]]/Proponentes[[#This Row],[Pasivo Corriente]],"INDETERMINADO")</f>
        <v>14.612737576374746</v>
      </c>
      <c r="T164" s="20">
        <f>IFERROR(Proponentes[[#This Row],[Total Pasivo]]/Proponentes[[#This Row],[Total ACTIVO]],0)</f>
        <v>6.2248495397766522E-2</v>
      </c>
      <c r="U164" s="21">
        <f>(Proponentes[[#This Row],[Activo Corriente]]-Proponentes[[#This Row],[Pasivo Corriente]])/Base!$B$3</f>
        <v>322.84627515951871</v>
      </c>
      <c r="V164" s="22">
        <f>Proponentes[[#This Row],[Activo Corriente]]-Proponentes[[#This Row],[Pasivo Corriente]]</f>
        <v>267354166</v>
      </c>
      <c r="W164" s="13">
        <f>IFERROR(VLOOKUP(Proponentes[[#This Row],[Propuesta]],Hoja2!$A$2:$G$329,7,FALSE),0)</f>
        <v>0</v>
      </c>
      <c r="X164" s="83">
        <f>IF(Proponentes[[#This Row],[Cap Op en Pesos]]=0,0,IF(Proponentes[[#This Row],[Cap Op en Pesos]]=0,1,Proponentes[[#This Row],[Cap Op en Pesos]]/Base!B$3))</f>
        <v>0</v>
      </c>
      <c r="Y16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6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6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64" s="23" t="str">
        <f>IF(AND(Proponentes[[#This Row],[Cumple
Liquidez]]="CUMPLE",Proponentes[[#This Row],[Cumple
Endeudamiento]]="CUMPLE",Proponentes[[#This Row],[Cumple
Capital de Trabajo]]="CUMPLE"),"CUMPLE","NO CUMPLE")</f>
        <v>NO CUMPLE</v>
      </c>
      <c r="AC164" s="24"/>
      <c r="AD164" s="10">
        <f>IF(Proponentes[[#This Row],[Liquidez
Oferente]]&lt;=1,1,IF(Proponentes[[#This Row],[Liquidez
Oferente]]&lt;=1.1,2,IF(Proponentes[[#This Row],[Liquidez
Oferente]]&lt;=1.2,3,IF(Proponentes[[#This Row],[Liquidez
Oferente]]&lt;=1.3,4,IF(Proponentes[[#This Row],[Liquidez
Oferente]]&lt;=1.4,5,6)))))</f>
        <v>6</v>
      </c>
      <c r="AE164" s="10">
        <f>IF(Proponentes[[#This Row],[Endeudamiento
Oferente]]&lt;=66%,6,IF(Proponentes[[#This Row],[Endeudamiento
Oferente]]&lt;=58,5,IF(Proponentes[[#This Row],[Endeudamiento
Oferente]]&lt;=70,4,IF(Proponentes[[#This Row],[Endeudamiento
Oferente]]&lt;=72,3,IF(Proponentes[[#This Row],[Endeudamiento
Oferente]]&lt;=74,2,1)))))</f>
        <v>6</v>
      </c>
      <c r="AF16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64" s="10">
        <f>IF(Proponentes[[#This Row],[Cap Op en SMMLV]]&lt;=500,1,IF(Proponentes[[#This Row],[Cap Op en SMMLV]]&lt;=1000,2,IF(Proponentes[[#This Row],[Cap Op en SMMLV]]&lt;=1500,3,IF(Proponentes[[#This Row],[Cap Op en SMMLV]]&lt;=2000,4,IF(Proponentes[[#This Row],[Cap Op en SMMLV]]&lt;=2500,5,6)))))</f>
        <v>1</v>
      </c>
      <c r="AH164" s="10">
        <f>MIN(Proponentes[[#This Row],[a]:[d]])</f>
        <v>1</v>
      </c>
      <c r="AI164" s="87">
        <f>IF(Proponentes[[#This Row],[e]]=Proponentes[[#This Row],[d]],Proponentes[[#This Row],[Cap Op en SMMLV]],VLOOKUP(Proponentes[[#This Row],[e]],Base!$D$1:$E$6,2,FALSE))</f>
        <v>0</v>
      </c>
      <c r="AJ164" s="101" t="str">
        <f>VLOOKUP(Proponentes[[#This Row],[Propuesta]],Hoja2!$A$2:$D$329,4,FALSE)</f>
        <v>NO CUMPLE</v>
      </c>
      <c r="AK164" s="101"/>
    </row>
    <row r="165" spans="1:37" ht="16" x14ac:dyDescent="0.2">
      <c r="A165" s="10">
        <v>164</v>
      </c>
      <c r="B165" s="11">
        <v>900126291</v>
      </c>
      <c r="C165" s="12" t="s">
        <v>238</v>
      </c>
      <c r="D165" s="13">
        <v>6441000175</v>
      </c>
      <c r="E165" s="13">
        <v>398450000</v>
      </c>
      <c r="F165" s="25">
        <f>Proponentes[[#This Row],[Activo Corriente]]+Proponentes[[#This Row],[Activo NO Corriente]]</f>
        <v>6839450175</v>
      </c>
      <c r="G165" s="13">
        <v>598720985</v>
      </c>
      <c r="H165" s="13">
        <v>2017260809</v>
      </c>
      <c r="I165" s="25">
        <f>Proponentes[[#This Row],[Pasivo Corriente]]+Proponentes[[#This Row],[Pasivo NO Corriente]]</f>
        <v>2615981794</v>
      </c>
      <c r="J165" s="14">
        <f>Proponentes[[#This Row],[Total ACTIVO]]-Proponentes[[#This Row],[Total Pasivo]]</f>
        <v>4223468381</v>
      </c>
      <c r="K165" s="48">
        <f>VLOOKUP(Proponentes[[#This Row],[Propuesta]],Hoja2!$A$2:$G$239,7,FALSE)</f>
        <v>0</v>
      </c>
      <c r="L165" s="15"/>
      <c r="M165" s="15" t="s">
        <v>28</v>
      </c>
      <c r="N165" s="55">
        <f>IFERROR(VLOOKUP(Proponentes[[#This Row],[Cap Op en SMMLV]],Base!$A$15:$F$20,3),0)</f>
        <v>0</v>
      </c>
      <c r="O165" s="16">
        <f>IFERROR(VLOOKUP(Proponentes[[#This Row],[Cap Op en SMMLV]],Base!$A$15:$F$20,4),0)</f>
        <v>0</v>
      </c>
      <c r="P165" s="17">
        <f>IFERROR(VLOOKUP(Proponentes[[#This Row],[Cap Op en SMMLV]],Tabla2[],6),0)</f>
        <v>0</v>
      </c>
      <c r="Q165" s="18">
        <f>IFERROR(VLOOKUP(Proponentes[[#This Row],[Cap Op en SMMLV]],Base!$A$15:$F$20,5),0)</f>
        <v>0</v>
      </c>
      <c r="R165" s="18">
        <f>IFERROR(VLOOKUP(Proponentes[[#This Row],[Cap Op en SMMLV]],Tabla2[[DE]:[HASTA]],2),0)</f>
        <v>0</v>
      </c>
      <c r="S165" s="19">
        <f>IFERROR(Proponentes[[#This Row],[Activo Corriente]]/Proponentes[[#This Row],[Pasivo Corriente]],"INDETERMINADO")</f>
        <v>10.757932887553624</v>
      </c>
      <c r="T165" s="20">
        <f>IFERROR(Proponentes[[#This Row],[Total Pasivo]]/Proponentes[[#This Row],[Total ACTIVO]],0)</f>
        <v>0.38248422417961397</v>
      </c>
      <c r="U165" s="21">
        <f>(Proponentes[[#This Row],[Activo Corriente]]-Proponentes[[#This Row],[Pasivo Corriente]])/Base!$B$3</f>
        <v>7054.9043733003591</v>
      </c>
      <c r="V165" s="22">
        <f>Proponentes[[#This Row],[Activo Corriente]]-Proponentes[[#This Row],[Pasivo Corriente]]</f>
        <v>5842279190</v>
      </c>
      <c r="W165" s="13">
        <f>IFERROR(VLOOKUP(Proponentes[[#This Row],[Propuesta]],Hoja2!$A$2:$G$329,7,FALSE),0)</f>
        <v>0</v>
      </c>
      <c r="X165" s="83">
        <f>IF(Proponentes[[#This Row],[Cap Op en Pesos]]=0,0,IF(Proponentes[[#This Row],[Cap Op en Pesos]]=0,1,Proponentes[[#This Row],[Cap Op en Pesos]]/Base!B$3))</f>
        <v>0</v>
      </c>
      <c r="Y16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6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6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65" s="23" t="str">
        <f>IF(AND(Proponentes[[#This Row],[Cumple
Liquidez]]="CUMPLE",Proponentes[[#This Row],[Cumple
Endeudamiento]]="CUMPLE",Proponentes[[#This Row],[Cumple
Capital de Trabajo]]="CUMPLE"),"CUMPLE","NO CUMPLE")</f>
        <v>NO CUMPLE</v>
      </c>
      <c r="AC165" s="24"/>
      <c r="AD165" s="10">
        <f>IF(Proponentes[[#This Row],[Liquidez
Oferente]]&lt;=1,1,IF(Proponentes[[#This Row],[Liquidez
Oferente]]&lt;=1.1,2,IF(Proponentes[[#This Row],[Liquidez
Oferente]]&lt;=1.2,3,IF(Proponentes[[#This Row],[Liquidez
Oferente]]&lt;=1.3,4,IF(Proponentes[[#This Row],[Liquidez
Oferente]]&lt;=1.4,5,6)))))</f>
        <v>6</v>
      </c>
      <c r="AE165" s="10">
        <f>IF(Proponentes[[#This Row],[Endeudamiento
Oferente]]&lt;=66%,6,IF(Proponentes[[#This Row],[Endeudamiento
Oferente]]&lt;=58,5,IF(Proponentes[[#This Row],[Endeudamiento
Oferente]]&lt;=70,4,IF(Proponentes[[#This Row],[Endeudamiento
Oferente]]&lt;=72,3,IF(Proponentes[[#This Row],[Endeudamiento
Oferente]]&lt;=74,2,1)))))</f>
        <v>6</v>
      </c>
      <c r="AF16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65" s="10">
        <f>IF(Proponentes[[#This Row],[Cap Op en SMMLV]]&lt;=500,1,IF(Proponentes[[#This Row],[Cap Op en SMMLV]]&lt;=1000,2,IF(Proponentes[[#This Row],[Cap Op en SMMLV]]&lt;=1500,3,IF(Proponentes[[#This Row],[Cap Op en SMMLV]]&lt;=2000,4,IF(Proponentes[[#This Row],[Cap Op en SMMLV]]&lt;=2500,5,6)))))</f>
        <v>1</v>
      </c>
      <c r="AH165" s="10">
        <f>MIN(Proponentes[[#This Row],[a]:[d]])</f>
        <v>1</v>
      </c>
      <c r="AI165" s="87">
        <f>IF(Proponentes[[#This Row],[e]]=Proponentes[[#This Row],[d]],Proponentes[[#This Row],[Cap Op en SMMLV]],VLOOKUP(Proponentes[[#This Row],[e]],Base!$D$1:$E$6,2,FALSE))</f>
        <v>0</v>
      </c>
      <c r="AJ165" s="101" t="str">
        <f>VLOOKUP(Proponentes[[#This Row],[Propuesta]],Hoja2!$A$2:$D$329,4,FALSE)</f>
        <v>NO CUMPLE</v>
      </c>
      <c r="AK165" s="101"/>
    </row>
    <row r="166" spans="1:37" ht="16" x14ac:dyDescent="0.2">
      <c r="A166" s="10">
        <v>165</v>
      </c>
      <c r="B166" s="11">
        <v>890500516</v>
      </c>
      <c r="C166" s="12" t="s">
        <v>239</v>
      </c>
      <c r="D166" s="13">
        <v>22240973567</v>
      </c>
      <c r="E166" s="13">
        <v>60734493623</v>
      </c>
      <c r="F166" s="25">
        <f>Proponentes[[#This Row],[Activo Corriente]]+Proponentes[[#This Row],[Activo NO Corriente]]</f>
        <v>82975467190</v>
      </c>
      <c r="G166" s="13">
        <v>11113090884</v>
      </c>
      <c r="H166" s="13">
        <v>17506968122</v>
      </c>
      <c r="I166" s="25">
        <f>Proponentes[[#This Row],[Pasivo Corriente]]+Proponentes[[#This Row],[Pasivo NO Corriente]]</f>
        <v>28620059006</v>
      </c>
      <c r="J166" s="14">
        <f>Proponentes[[#This Row],[Total ACTIVO]]-Proponentes[[#This Row],[Total Pasivo]]</f>
        <v>54355408184</v>
      </c>
      <c r="K166" s="48">
        <f>VLOOKUP(Proponentes[[#This Row],[Propuesta]],Hoja2!$A$2:$G$239,7,FALSE)</f>
        <v>985969996.2977674</v>
      </c>
      <c r="L166" s="15"/>
      <c r="M166" s="15" t="s">
        <v>28</v>
      </c>
      <c r="N166" s="55">
        <f>IFERROR(VLOOKUP(Proponentes[[#This Row],[Cap Op en SMMLV]],Base!$A$15:$F$20,3),0)</f>
        <v>1.2</v>
      </c>
      <c r="O166" s="16">
        <f>IFERROR(VLOOKUP(Proponentes[[#This Row],[Cap Op en SMMLV]],Base!$A$15:$F$20,4),0)</f>
        <v>0.72</v>
      </c>
      <c r="P166" s="17">
        <f>IFERROR(VLOOKUP(Proponentes[[#This Row],[Cap Op en SMMLV]],Tabla2[],6),0)</f>
        <v>37.5</v>
      </c>
      <c r="Q166" s="18">
        <f>IFERROR(VLOOKUP(Proponentes[[#This Row],[Cap Op en SMMLV]],Base!$A$15:$F$20,5),0)</f>
        <v>31054350</v>
      </c>
      <c r="R166" s="18">
        <f>IFERROR(VLOOKUP(Proponentes[[#This Row],[Cap Op en SMMLV]],Tabla2[[DE]:[HASTA]],2),0)</f>
        <v>1500</v>
      </c>
      <c r="S166" s="19">
        <f>IFERROR(Proponentes[[#This Row],[Activo Corriente]]/Proponentes[[#This Row],[Pasivo Corriente]],"INDETERMINADO")</f>
        <v>2.001331024748596</v>
      </c>
      <c r="T166" s="20">
        <f>IFERROR(Proponentes[[#This Row],[Total Pasivo]]/Proponentes[[#This Row],[Total ACTIVO]],0)</f>
        <v>0.34492193867935483</v>
      </c>
      <c r="U166" s="21">
        <f>(Proponentes[[#This Row],[Activo Corriente]]-Proponentes[[#This Row],[Pasivo Corriente]])/Base!$B$3</f>
        <v>13437.589278555179</v>
      </c>
      <c r="V166" s="22">
        <f>Proponentes[[#This Row],[Activo Corriente]]-Proponentes[[#This Row],[Pasivo Corriente]]</f>
        <v>11127882683</v>
      </c>
      <c r="W166" s="13">
        <f>IFERROR(VLOOKUP(Proponentes[[#This Row],[Propuesta]],Hoja2!$A$2:$G$329,7,FALSE),0)</f>
        <v>985969996.2977674</v>
      </c>
      <c r="X166" s="83">
        <f>IF(Proponentes[[#This Row],[Cap Op en Pesos]]=0,0,IF(Proponentes[[#This Row],[Cap Op en Pesos]]=0,1,Proponentes[[#This Row],[Cap Op en Pesos]]/Base!B$3))</f>
        <v>1190.6182180971837</v>
      </c>
      <c r="Y16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6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6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66" s="23" t="str">
        <f>IF(AND(Proponentes[[#This Row],[Cumple
Liquidez]]="CUMPLE",Proponentes[[#This Row],[Cumple
Endeudamiento]]="CUMPLE",Proponentes[[#This Row],[Cumple
Capital de Trabajo]]="CUMPLE"),"CUMPLE","NO CUMPLE")</f>
        <v>CUMPLE</v>
      </c>
      <c r="AC166" s="24"/>
      <c r="AD166" s="10">
        <f>IF(Proponentes[[#This Row],[Liquidez
Oferente]]&lt;=1,1,IF(Proponentes[[#This Row],[Liquidez
Oferente]]&lt;=1.1,2,IF(Proponentes[[#This Row],[Liquidez
Oferente]]&lt;=1.2,3,IF(Proponentes[[#This Row],[Liquidez
Oferente]]&lt;=1.3,4,IF(Proponentes[[#This Row],[Liquidez
Oferente]]&lt;=1.4,5,6)))))</f>
        <v>6</v>
      </c>
      <c r="AE166" s="10">
        <f>IF(Proponentes[[#This Row],[Endeudamiento
Oferente]]&lt;=66%,6,IF(Proponentes[[#This Row],[Endeudamiento
Oferente]]&lt;=58,5,IF(Proponentes[[#This Row],[Endeudamiento
Oferente]]&lt;=70,4,IF(Proponentes[[#This Row],[Endeudamiento
Oferente]]&lt;=72,3,IF(Proponentes[[#This Row],[Endeudamiento
Oferente]]&lt;=74,2,1)))))</f>
        <v>6</v>
      </c>
      <c r="AF16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66" s="10">
        <f>IF(Proponentes[[#This Row],[Cap Op en SMMLV]]&lt;=500,1,IF(Proponentes[[#This Row],[Cap Op en SMMLV]]&lt;=1000,2,IF(Proponentes[[#This Row],[Cap Op en SMMLV]]&lt;=1500,3,IF(Proponentes[[#This Row],[Cap Op en SMMLV]]&lt;=2000,4,IF(Proponentes[[#This Row],[Cap Op en SMMLV]]&lt;=2500,5,6)))))</f>
        <v>3</v>
      </c>
      <c r="AH166" s="10">
        <f>MIN(Proponentes[[#This Row],[a]:[d]])</f>
        <v>3</v>
      </c>
      <c r="AI166" s="87">
        <f>IF(Proponentes[[#This Row],[e]]=Proponentes[[#This Row],[d]],Proponentes[[#This Row],[Cap Op en SMMLV]],VLOOKUP(Proponentes[[#This Row],[e]],Base!$D$1:$E$6,2,FALSE))</f>
        <v>1190.6182180971837</v>
      </c>
      <c r="AJ166" s="101" t="str">
        <f>VLOOKUP(Proponentes[[#This Row],[Propuesta]],Hoja2!$A$2:$D$329,4,FALSE)</f>
        <v>NO CUMPLE</v>
      </c>
      <c r="AK166" s="101"/>
    </row>
    <row r="167" spans="1:37" ht="48" x14ac:dyDescent="0.2">
      <c r="A167" s="10">
        <v>166</v>
      </c>
      <c r="B167" s="11">
        <v>819004113</v>
      </c>
      <c r="C167" s="12" t="s">
        <v>240</v>
      </c>
      <c r="D167" s="13">
        <v>291500000</v>
      </c>
      <c r="E167" s="13">
        <v>33300000</v>
      </c>
      <c r="F167" s="25">
        <f>Proponentes[[#This Row],[Activo Corriente]]+Proponentes[[#This Row],[Activo NO Corriente]]</f>
        <v>324800000</v>
      </c>
      <c r="G167" s="13">
        <v>5200000</v>
      </c>
      <c r="H167" s="13">
        <v>0</v>
      </c>
      <c r="I167" s="25">
        <f>Proponentes[[#This Row],[Pasivo Corriente]]+Proponentes[[#This Row],[Pasivo NO Corriente]]</f>
        <v>5200000</v>
      </c>
      <c r="J167" s="14">
        <f>Proponentes[[#This Row],[Total ACTIVO]]-Proponentes[[#This Row],[Total Pasivo]]</f>
        <v>319600000</v>
      </c>
      <c r="K167" s="48">
        <f>VLOOKUP(Proponentes[[#This Row],[Propuesta]],Hoja2!$A$2:$G$239,7,FALSE)</f>
        <v>0</v>
      </c>
      <c r="L167" s="15"/>
      <c r="M167" s="15" t="s">
        <v>28</v>
      </c>
      <c r="N167" s="55">
        <f>IFERROR(VLOOKUP(Proponentes[[#This Row],[Cap Op en SMMLV]],Base!$A$15:$F$20,3),0)</f>
        <v>0</v>
      </c>
      <c r="O167" s="16">
        <f>IFERROR(VLOOKUP(Proponentes[[#This Row],[Cap Op en SMMLV]],Base!$A$15:$F$20,4),0)</f>
        <v>0</v>
      </c>
      <c r="P167" s="17">
        <f>IFERROR(VLOOKUP(Proponentes[[#This Row],[Cap Op en SMMLV]],Tabla2[],6),0)</f>
        <v>0</v>
      </c>
      <c r="Q167" s="18">
        <f>IFERROR(VLOOKUP(Proponentes[[#This Row],[Cap Op en SMMLV]],Base!$A$15:$F$20,5),0)</f>
        <v>0</v>
      </c>
      <c r="R167" s="18">
        <f>IFERROR(VLOOKUP(Proponentes[[#This Row],[Cap Op en SMMLV]],Tabla2[[DE]:[HASTA]],2),0)</f>
        <v>0</v>
      </c>
      <c r="S167" s="19">
        <f>IFERROR(Proponentes[[#This Row],[Activo Corriente]]/Proponentes[[#This Row],[Pasivo Corriente]],"INDETERMINADO")</f>
        <v>56.057692307692307</v>
      </c>
      <c r="T167" s="20">
        <f>IFERROR(Proponentes[[#This Row],[Total Pasivo]]/Proponentes[[#This Row],[Total ACTIVO]],0)</f>
        <v>1.600985221674877E-2</v>
      </c>
      <c r="U167" s="21">
        <f>(Proponentes[[#This Row],[Activo Corriente]]-Proponentes[[#This Row],[Pasivo Corriente]])/Base!$B$3</f>
        <v>345.72451202488543</v>
      </c>
      <c r="V167" s="22">
        <f>Proponentes[[#This Row],[Activo Corriente]]-Proponentes[[#This Row],[Pasivo Corriente]]</f>
        <v>286300000</v>
      </c>
      <c r="W167" s="13">
        <f>IFERROR(VLOOKUP(Proponentes[[#This Row],[Propuesta]],Hoja2!$A$2:$G$329,7,FALSE),0)</f>
        <v>0</v>
      </c>
      <c r="X167" s="83">
        <f>IF(Proponentes[[#This Row],[Cap Op en Pesos]]=0,0,IF(Proponentes[[#This Row],[Cap Op en Pesos]]=0,1,Proponentes[[#This Row],[Cap Op en Pesos]]/Base!B$3))</f>
        <v>0</v>
      </c>
      <c r="Y16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6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6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67" s="23" t="str">
        <f>IF(AND(Proponentes[[#This Row],[Cumple
Liquidez]]="CUMPLE",Proponentes[[#This Row],[Cumple
Endeudamiento]]="CUMPLE",Proponentes[[#This Row],[Cumple
Capital de Trabajo]]="CUMPLE"),"CUMPLE","NO CUMPLE")</f>
        <v>NO CUMPLE</v>
      </c>
      <c r="AC167" s="24"/>
      <c r="AD167" s="10">
        <f>IF(Proponentes[[#This Row],[Liquidez
Oferente]]&lt;=1,1,IF(Proponentes[[#This Row],[Liquidez
Oferente]]&lt;=1.1,2,IF(Proponentes[[#This Row],[Liquidez
Oferente]]&lt;=1.2,3,IF(Proponentes[[#This Row],[Liquidez
Oferente]]&lt;=1.3,4,IF(Proponentes[[#This Row],[Liquidez
Oferente]]&lt;=1.4,5,6)))))</f>
        <v>6</v>
      </c>
      <c r="AE167" s="10">
        <f>IF(Proponentes[[#This Row],[Endeudamiento
Oferente]]&lt;=66%,6,IF(Proponentes[[#This Row],[Endeudamiento
Oferente]]&lt;=58,5,IF(Proponentes[[#This Row],[Endeudamiento
Oferente]]&lt;=70,4,IF(Proponentes[[#This Row],[Endeudamiento
Oferente]]&lt;=72,3,IF(Proponentes[[#This Row],[Endeudamiento
Oferente]]&lt;=74,2,1)))))</f>
        <v>6</v>
      </c>
      <c r="AF16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67" s="10">
        <f>IF(Proponentes[[#This Row],[Cap Op en SMMLV]]&lt;=500,1,IF(Proponentes[[#This Row],[Cap Op en SMMLV]]&lt;=1000,2,IF(Proponentes[[#This Row],[Cap Op en SMMLV]]&lt;=1500,3,IF(Proponentes[[#This Row],[Cap Op en SMMLV]]&lt;=2000,4,IF(Proponentes[[#This Row],[Cap Op en SMMLV]]&lt;=2500,5,6)))))</f>
        <v>1</v>
      </c>
      <c r="AH167" s="10">
        <f>MIN(Proponentes[[#This Row],[a]:[d]])</f>
        <v>1</v>
      </c>
      <c r="AI167" s="87">
        <f>IF(Proponentes[[#This Row],[e]]=Proponentes[[#This Row],[d]],Proponentes[[#This Row],[Cap Op en SMMLV]],VLOOKUP(Proponentes[[#This Row],[e]],Base!$D$1:$E$6,2,FALSE))</f>
        <v>0</v>
      </c>
      <c r="AJ167" s="101" t="str">
        <f>VLOOKUP(Proponentes[[#This Row],[Propuesta]],Hoja2!$A$2:$D$329,4,FALSE)</f>
        <v>NO CUMPLE</v>
      </c>
      <c r="AK167" s="101"/>
    </row>
    <row r="168" spans="1:37" ht="32" x14ac:dyDescent="0.2">
      <c r="A168" s="10">
        <v>167</v>
      </c>
      <c r="B168" s="11">
        <v>900655545</v>
      </c>
      <c r="C168" s="12" t="s">
        <v>241</v>
      </c>
      <c r="D168" s="13">
        <v>31796535</v>
      </c>
      <c r="E168" s="13">
        <v>44200000</v>
      </c>
      <c r="F168" s="25">
        <f>Proponentes[[#This Row],[Activo Corriente]]+Proponentes[[#This Row],[Activo NO Corriente]]</f>
        <v>75996535</v>
      </c>
      <c r="G168" s="13">
        <v>71000</v>
      </c>
      <c r="H168" s="13">
        <v>0</v>
      </c>
      <c r="I168" s="25">
        <f>Proponentes[[#This Row],[Pasivo Corriente]]+Proponentes[[#This Row],[Pasivo NO Corriente]]</f>
        <v>71000</v>
      </c>
      <c r="J168" s="14">
        <f>Proponentes[[#This Row],[Total ACTIVO]]-Proponentes[[#This Row],[Total Pasivo]]</f>
        <v>75925535</v>
      </c>
      <c r="K168" s="48">
        <f>VLOOKUP(Proponentes[[#This Row],[Propuesta]],Hoja2!$A$2:$G$239,7,FALSE)</f>
        <v>0</v>
      </c>
      <c r="L168" s="15" t="s">
        <v>135</v>
      </c>
      <c r="M168" s="15" t="s">
        <v>28</v>
      </c>
      <c r="N168" s="55">
        <f>IFERROR(VLOOKUP(Proponentes[[#This Row],[Cap Op en SMMLV]],Base!$A$15:$F$20,3),0)</f>
        <v>0</v>
      </c>
      <c r="O168" s="16">
        <f>IFERROR(VLOOKUP(Proponentes[[#This Row],[Cap Op en SMMLV]],Base!$A$15:$F$20,4),0)</f>
        <v>0</v>
      </c>
      <c r="P168" s="17">
        <f>IFERROR(VLOOKUP(Proponentes[[#This Row],[Cap Op en SMMLV]],Tabla2[],6),0)</f>
        <v>0</v>
      </c>
      <c r="Q168" s="18">
        <f>IFERROR(VLOOKUP(Proponentes[[#This Row],[Cap Op en SMMLV]],Base!$A$15:$F$20,5),0)</f>
        <v>0</v>
      </c>
      <c r="R168" s="18">
        <f>IFERROR(VLOOKUP(Proponentes[[#This Row],[Cap Op en SMMLV]],Tabla2[[DE]:[HASTA]],2),0)</f>
        <v>0</v>
      </c>
      <c r="S168" s="19">
        <f>IFERROR(Proponentes[[#This Row],[Activo Corriente]]/Proponentes[[#This Row],[Pasivo Corriente]],"INDETERMINADO")</f>
        <v>447.83852112676055</v>
      </c>
      <c r="T168" s="20">
        <f>IFERROR(Proponentes[[#This Row],[Total Pasivo]]/Proponentes[[#This Row],[Total ACTIVO]],0)</f>
        <v>9.3425312088241922E-4</v>
      </c>
      <c r="U168" s="21">
        <f>(Proponentes[[#This Row],[Activo Corriente]]-Proponentes[[#This Row],[Pasivo Corriente]])/Base!$B$3</f>
        <v>38.310496355583034</v>
      </c>
      <c r="V168" s="22">
        <f>Proponentes[[#This Row],[Activo Corriente]]-Proponentes[[#This Row],[Pasivo Corriente]]</f>
        <v>31725535</v>
      </c>
      <c r="W168" s="13">
        <f>IFERROR(VLOOKUP(Proponentes[[#This Row],[Propuesta]],Hoja2!$A$2:$G$329,7,FALSE),0)</f>
        <v>0</v>
      </c>
      <c r="X168" s="83">
        <f>IF(Proponentes[[#This Row],[Cap Op en Pesos]]=0,0,IF(Proponentes[[#This Row],[Cap Op en Pesos]]=0,1,Proponentes[[#This Row],[Cap Op en Pesos]]/Base!B$3))</f>
        <v>0</v>
      </c>
      <c r="Y16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6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6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68" s="23" t="str">
        <f>IF(AND(Proponentes[[#This Row],[Cumple
Liquidez]]="CUMPLE",Proponentes[[#This Row],[Cumple
Endeudamiento]]="CUMPLE",Proponentes[[#This Row],[Cumple
Capital de Trabajo]]="CUMPLE"),"CUMPLE","NO CUMPLE")</f>
        <v>NO CUMPLE</v>
      </c>
      <c r="AC168" s="24"/>
      <c r="AD168" s="10">
        <f>IF(Proponentes[[#This Row],[Liquidez
Oferente]]&lt;=1,1,IF(Proponentes[[#This Row],[Liquidez
Oferente]]&lt;=1.1,2,IF(Proponentes[[#This Row],[Liquidez
Oferente]]&lt;=1.2,3,IF(Proponentes[[#This Row],[Liquidez
Oferente]]&lt;=1.3,4,IF(Proponentes[[#This Row],[Liquidez
Oferente]]&lt;=1.4,5,6)))))</f>
        <v>6</v>
      </c>
      <c r="AE168" s="10">
        <f>IF(Proponentes[[#This Row],[Endeudamiento
Oferente]]&lt;=66%,6,IF(Proponentes[[#This Row],[Endeudamiento
Oferente]]&lt;=58,5,IF(Proponentes[[#This Row],[Endeudamiento
Oferente]]&lt;=70,4,IF(Proponentes[[#This Row],[Endeudamiento
Oferente]]&lt;=72,3,IF(Proponentes[[#This Row],[Endeudamiento
Oferente]]&lt;=74,2,1)))))</f>
        <v>6</v>
      </c>
      <c r="AF16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4</v>
      </c>
      <c r="AG168" s="10">
        <f>IF(Proponentes[[#This Row],[Cap Op en SMMLV]]&lt;=500,1,IF(Proponentes[[#This Row],[Cap Op en SMMLV]]&lt;=1000,2,IF(Proponentes[[#This Row],[Cap Op en SMMLV]]&lt;=1500,3,IF(Proponentes[[#This Row],[Cap Op en SMMLV]]&lt;=2000,4,IF(Proponentes[[#This Row],[Cap Op en SMMLV]]&lt;=2500,5,6)))))</f>
        <v>1</v>
      </c>
      <c r="AH168" s="10">
        <f>MIN(Proponentes[[#This Row],[a]:[d]])</f>
        <v>1</v>
      </c>
      <c r="AI168" s="87">
        <f>IF(Proponentes[[#This Row],[e]]=Proponentes[[#This Row],[d]],Proponentes[[#This Row],[Cap Op en SMMLV]],VLOOKUP(Proponentes[[#This Row],[e]],Base!$D$1:$E$6,2,FALSE))</f>
        <v>0</v>
      </c>
      <c r="AJ168" s="101" t="str">
        <f>VLOOKUP(Proponentes[[#This Row],[Propuesta]],Hoja2!$A$2:$D$329,4,FALSE)</f>
        <v>NO CUMPLE</v>
      </c>
      <c r="AK168" s="101"/>
    </row>
    <row r="169" spans="1:37" ht="16" x14ac:dyDescent="0.2">
      <c r="A169" s="10">
        <v>168</v>
      </c>
      <c r="B169" s="11">
        <v>830510399</v>
      </c>
      <c r="C169" s="12" t="s">
        <v>242</v>
      </c>
      <c r="D169" s="13">
        <v>16900951</v>
      </c>
      <c r="E169" s="13">
        <v>195924625</v>
      </c>
      <c r="F169" s="25">
        <f>Proponentes[[#This Row],[Activo Corriente]]+Proponentes[[#This Row],[Activo NO Corriente]]</f>
        <v>212825576</v>
      </c>
      <c r="G169" s="13">
        <v>1100000</v>
      </c>
      <c r="H169" s="13">
        <v>0</v>
      </c>
      <c r="I169" s="25">
        <f>Proponentes[[#This Row],[Pasivo Corriente]]+Proponentes[[#This Row],[Pasivo NO Corriente]]</f>
        <v>1100000</v>
      </c>
      <c r="J169" s="14">
        <f>Proponentes[[#This Row],[Total ACTIVO]]-Proponentes[[#This Row],[Total Pasivo]]</f>
        <v>211725576</v>
      </c>
      <c r="K169" s="48">
        <f>VLOOKUP(Proponentes[[#This Row],[Propuesta]],Hoja2!$A$2:$G$239,7,FALSE)</f>
        <v>0</v>
      </c>
      <c r="L169" s="15"/>
      <c r="M169" s="15" t="s">
        <v>28</v>
      </c>
      <c r="N169" s="55">
        <f>IFERROR(VLOOKUP(Proponentes[[#This Row],[Cap Op en SMMLV]],Base!$A$15:$F$20,3),0)</f>
        <v>0</v>
      </c>
      <c r="O169" s="16">
        <f>IFERROR(VLOOKUP(Proponentes[[#This Row],[Cap Op en SMMLV]],Base!$A$15:$F$20,4),0)</f>
        <v>0</v>
      </c>
      <c r="P169" s="17">
        <f>IFERROR(VLOOKUP(Proponentes[[#This Row],[Cap Op en SMMLV]],Tabla2[],6),0)</f>
        <v>0</v>
      </c>
      <c r="Q169" s="18">
        <f>IFERROR(VLOOKUP(Proponentes[[#This Row],[Cap Op en SMMLV]],Base!$A$15:$F$20,5),0)</f>
        <v>0</v>
      </c>
      <c r="R169" s="18">
        <f>IFERROR(VLOOKUP(Proponentes[[#This Row],[Cap Op en SMMLV]],Tabla2[[DE]:[HASTA]],2),0)</f>
        <v>0</v>
      </c>
      <c r="S169" s="19">
        <f>IFERROR(Proponentes[[#This Row],[Activo Corriente]]/Proponentes[[#This Row],[Pasivo Corriente]],"INDETERMINADO")</f>
        <v>15.364500909090909</v>
      </c>
      <c r="T169" s="20">
        <f>IFERROR(Proponentes[[#This Row],[Total Pasivo]]/Proponentes[[#This Row],[Total ACTIVO]],0)</f>
        <v>5.168551734590395E-3</v>
      </c>
      <c r="U169" s="21">
        <f>(Proponentes[[#This Row],[Activo Corriente]]-Proponentes[[#This Row],[Pasivo Corriente]])/Base!$B$3</f>
        <v>19.080601026909275</v>
      </c>
      <c r="V169" s="22">
        <f>Proponentes[[#This Row],[Activo Corriente]]-Proponentes[[#This Row],[Pasivo Corriente]]</f>
        <v>15800951</v>
      </c>
      <c r="W169" s="13">
        <f>IFERROR(VLOOKUP(Proponentes[[#This Row],[Propuesta]],Hoja2!$A$2:$G$329,7,FALSE),0)</f>
        <v>0</v>
      </c>
      <c r="X169" s="83">
        <f>IF(Proponentes[[#This Row],[Cap Op en Pesos]]=0,0,IF(Proponentes[[#This Row],[Cap Op en Pesos]]=0,1,Proponentes[[#This Row],[Cap Op en Pesos]]/Base!B$3))</f>
        <v>0</v>
      </c>
      <c r="Y16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6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6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69" s="23" t="str">
        <f>IF(AND(Proponentes[[#This Row],[Cumple
Liquidez]]="CUMPLE",Proponentes[[#This Row],[Cumple
Endeudamiento]]="CUMPLE",Proponentes[[#This Row],[Cumple
Capital de Trabajo]]="CUMPLE"),"CUMPLE","NO CUMPLE")</f>
        <v>NO CUMPLE</v>
      </c>
      <c r="AC169" s="24"/>
      <c r="AD169" s="10">
        <f>IF(Proponentes[[#This Row],[Liquidez
Oferente]]&lt;=1,1,IF(Proponentes[[#This Row],[Liquidez
Oferente]]&lt;=1.1,2,IF(Proponentes[[#This Row],[Liquidez
Oferente]]&lt;=1.2,3,IF(Proponentes[[#This Row],[Liquidez
Oferente]]&lt;=1.3,4,IF(Proponentes[[#This Row],[Liquidez
Oferente]]&lt;=1.4,5,6)))))</f>
        <v>6</v>
      </c>
      <c r="AE169" s="10">
        <f>IF(Proponentes[[#This Row],[Endeudamiento
Oferente]]&lt;=66%,6,IF(Proponentes[[#This Row],[Endeudamiento
Oferente]]&lt;=58,5,IF(Proponentes[[#This Row],[Endeudamiento
Oferente]]&lt;=70,4,IF(Proponentes[[#This Row],[Endeudamiento
Oferente]]&lt;=72,3,IF(Proponentes[[#This Row],[Endeudamiento
Oferente]]&lt;=74,2,1)))))</f>
        <v>6</v>
      </c>
      <c r="AF16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169" s="10">
        <f>IF(Proponentes[[#This Row],[Cap Op en SMMLV]]&lt;=500,1,IF(Proponentes[[#This Row],[Cap Op en SMMLV]]&lt;=1000,2,IF(Proponentes[[#This Row],[Cap Op en SMMLV]]&lt;=1500,3,IF(Proponentes[[#This Row],[Cap Op en SMMLV]]&lt;=2000,4,IF(Proponentes[[#This Row],[Cap Op en SMMLV]]&lt;=2500,5,6)))))</f>
        <v>1</v>
      </c>
      <c r="AH169" s="10">
        <f>MIN(Proponentes[[#This Row],[a]:[d]])</f>
        <v>1</v>
      </c>
      <c r="AI169" s="87">
        <f>IF(Proponentes[[#This Row],[e]]=Proponentes[[#This Row],[d]],Proponentes[[#This Row],[Cap Op en SMMLV]],VLOOKUP(Proponentes[[#This Row],[e]],Base!$D$1:$E$6,2,FALSE))</f>
        <v>0</v>
      </c>
      <c r="AJ169" s="101" t="str">
        <f>VLOOKUP(Proponentes[[#This Row],[Propuesta]],Hoja2!$A$2:$D$329,4,FALSE)</f>
        <v>NO CUMPLE</v>
      </c>
      <c r="AK169" s="101"/>
    </row>
    <row r="170" spans="1:37" ht="32" x14ac:dyDescent="0.2">
      <c r="A170" s="10">
        <v>169</v>
      </c>
      <c r="B170" s="11">
        <v>900656694</v>
      </c>
      <c r="C170" s="12" t="s">
        <v>243</v>
      </c>
      <c r="D170" s="13">
        <v>129510896</v>
      </c>
      <c r="E170" s="13">
        <v>62405000</v>
      </c>
      <c r="F170" s="25">
        <f>Proponentes[[#This Row],[Activo Corriente]]+Proponentes[[#This Row],[Activo NO Corriente]]</f>
        <v>191915896</v>
      </c>
      <c r="G170" s="13">
        <v>124802310</v>
      </c>
      <c r="H170" s="13">
        <v>0</v>
      </c>
      <c r="I170" s="25">
        <f>Proponentes[[#This Row],[Pasivo Corriente]]+Proponentes[[#This Row],[Pasivo NO Corriente]]</f>
        <v>124802310</v>
      </c>
      <c r="J170" s="14">
        <f>Proponentes[[#This Row],[Total ACTIVO]]-Proponentes[[#This Row],[Total Pasivo]]</f>
        <v>67113586</v>
      </c>
      <c r="K170" s="48">
        <f>VLOOKUP(Proponentes[[#This Row],[Propuesta]],Hoja2!$A$2:$G$239,7,FALSE)</f>
        <v>0</v>
      </c>
      <c r="L170" s="15" t="s">
        <v>135</v>
      </c>
      <c r="M170" s="15" t="s">
        <v>28</v>
      </c>
      <c r="N170" s="55">
        <f>IFERROR(VLOOKUP(Proponentes[[#This Row],[Cap Op en SMMLV]],Base!$A$15:$F$20,3),0)</f>
        <v>0</v>
      </c>
      <c r="O170" s="16">
        <f>IFERROR(VLOOKUP(Proponentes[[#This Row],[Cap Op en SMMLV]],Base!$A$15:$F$20,4),0)</f>
        <v>0</v>
      </c>
      <c r="P170" s="17">
        <f>IFERROR(VLOOKUP(Proponentes[[#This Row],[Cap Op en SMMLV]],Tabla2[],6),0)</f>
        <v>0</v>
      </c>
      <c r="Q170" s="18">
        <f>IFERROR(VLOOKUP(Proponentes[[#This Row],[Cap Op en SMMLV]],Base!$A$15:$F$20,5),0)</f>
        <v>0</v>
      </c>
      <c r="R170" s="18">
        <f>IFERROR(VLOOKUP(Proponentes[[#This Row],[Cap Op en SMMLV]],Tabla2[[DE]:[HASTA]],2),0)</f>
        <v>0</v>
      </c>
      <c r="S170" s="19">
        <f>IFERROR(Proponentes[[#This Row],[Activo Corriente]]/Proponentes[[#This Row],[Pasivo Corriente]],"INDETERMINADO")</f>
        <v>1.0377283561498181</v>
      </c>
      <c r="T170" s="20">
        <f>IFERROR(Proponentes[[#This Row],[Total Pasivo]]/Proponentes[[#This Row],[Total ACTIVO]],0)</f>
        <v>0.65029688838281541</v>
      </c>
      <c r="U170" s="21">
        <f>(Proponentes[[#This Row],[Activo Corriente]]-Proponentes[[#This Row],[Pasivo Corriente]])/Base!$B$3</f>
        <v>5.6859014920614985</v>
      </c>
      <c r="V170" s="22">
        <f>Proponentes[[#This Row],[Activo Corriente]]-Proponentes[[#This Row],[Pasivo Corriente]]</f>
        <v>4708586</v>
      </c>
      <c r="W170" s="13">
        <f>IFERROR(VLOOKUP(Proponentes[[#This Row],[Propuesta]],Hoja2!$A$2:$G$329,7,FALSE),0)</f>
        <v>0</v>
      </c>
      <c r="X170" s="83">
        <f>IF(Proponentes[[#This Row],[Cap Op en Pesos]]=0,0,IF(Proponentes[[#This Row],[Cap Op en Pesos]]=0,1,Proponentes[[#This Row],[Cap Op en Pesos]]/Base!B$3))</f>
        <v>0</v>
      </c>
      <c r="Y17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7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7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170" s="23" t="str">
        <f>IF(AND(Proponentes[[#This Row],[Cumple
Liquidez]]="CUMPLE",Proponentes[[#This Row],[Cumple
Endeudamiento]]="CUMPLE",Proponentes[[#This Row],[Cumple
Capital de Trabajo]]="CUMPLE"),"CUMPLE","NO CUMPLE")</f>
        <v>NO CUMPLE</v>
      </c>
      <c r="AC170" s="24"/>
      <c r="AD170" s="10">
        <f>IF(Proponentes[[#This Row],[Liquidez
Oferente]]&lt;=1,1,IF(Proponentes[[#This Row],[Liquidez
Oferente]]&lt;=1.1,2,IF(Proponentes[[#This Row],[Liquidez
Oferente]]&lt;=1.2,3,IF(Proponentes[[#This Row],[Liquidez
Oferente]]&lt;=1.3,4,IF(Proponentes[[#This Row],[Liquidez
Oferente]]&lt;=1.4,5,6)))))</f>
        <v>2</v>
      </c>
      <c r="AE170" s="10">
        <f>IF(Proponentes[[#This Row],[Endeudamiento
Oferente]]&lt;=66%,6,IF(Proponentes[[#This Row],[Endeudamiento
Oferente]]&lt;=58,5,IF(Proponentes[[#This Row],[Endeudamiento
Oferente]]&lt;=70,4,IF(Proponentes[[#This Row],[Endeudamiento
Oferente]]&lt;=72,3,IF(Proponentes[[#This Row],[Endeudamiento
Oferente]]&lt;=74,2,1)))))</f>
        <v>6</v>
      </c>
      <c r="AF17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170" s="10">
        <f>IF(Proponentes[[#This Row],[Cap Op en SMMLV]]&lt;=500,1,IF(Proponentes[[#This Row],[Cap Op en SMMLV]]&lt;=1000,2,IF(Proponentes[[#This Row],[Cap Op en SMMLV]]&lt;=1500,3,IF(Proponentes[[#This Row],[Cap Op en SMMLV]]&lt;=2000,4,IF(Proponentes[[#This Row],[Cap Op en SMMLV]]&lt;=2500,5,6)))))</f>
        <v>1</v>
      </c>
      <c r="AH170" s="10">
        <f>MIN(Proponentes[[#This Row],[a]:[d]])</f>
        <v>1</v>
      </c>
      <c r="AI170" s="87">
        <f>IF(Proponentes[[#This Row],[e]]=Proponentes[[#This Row],[d]],Proponentes[[#This Row],[Cap Op en SMMLV]],VLOOKUP(Proponentes[[#This Row],[e]],Base!$D$1:$E$6,2,FALSE))</f>
        <v>0</v>
      </c>
      <c r="AJ170" s="101" t="str">
        <f>VLOOKUP(Proponentes[[#This Row],[Propuesta]],Hoja2!$A$2:$D$329,4,FALSE)</f>
        <v>NO CUMPLE</v>
      </c>
      <c r="AK170" s="101"/>
    </row>
    <row r="171" spans="1:37" ht="16" x14ac:dyDescent="0.2">
      <c r="A171" s="10">
        <v>170</v>
      </c>
      <c r="B171" s="11">
        <v>900020330</v>
      </c>
      <c r="C171" s="12" t="s">
        <v>244</v>
      </c>
      <c r="D171" s="13">
        <v>20973272</v>
      </c>
      <c r="E171" s="13">
        <v>113465227</v>
      </c>
      <c r="F171" s="25">
        <f>Proponentes[[#This Row],[Activo Corriente]]+Proponentes[[#This Row],[Activo NO Corriente]]</f>
        <v>134438499</v>
      </c>
      <c r="G171" s="13">
        <v>1257000</v>
      </c>
      <c r="H171" s="13">
        <v>0</v>
      </c>
      <c r="I171" s="25">
        <f>Proponentes[[#This Row],[Pasivo Corriente]]+Proponentes[[#This Row],[Pasivo NO Corriente]]</f>
        <v>1257000</v>
      </c>
      <c r="J171" s="14">
        <f>Proponentes[[#This Row],[Total ACTIVO]]-Proponentes[[#This Row],[Total Pasivo]]</f>
        <v>133181499</v>
      </c>
      <c r="K171" s="48">
        <f>VLOOKUP(Proponentes[[#This Row],[Propuesta]],Hoja2!$A$2:$G$239,7,FALSE)</f>
        <v>527550643.39531559</v>
      </c>
      <c r="L171" s="15" t="s">
        <v>135</v>
      </c>
      <c r="M171" s="15" t="s">
        <v>28</v>
      </c>
      <c r="N171" s="55">
        <f>IFERROR(VLOOKUP(Proponentes[[#This Row],[Cap Op en SMMLV]],Base!$A$15:$F$20,3),0)</f>
        <v>1.1000000000000001</v>
      </c>
      <c r="O171" s="16">
        <f>IFERROR(VLOOKUP(Proponentes[[#This Row],[Cap Op en SMMLV]],Base!$A$15:$F$20,4),0)</f>
        <v>0.74</v>
      </c>
      <c r="P171" s="17">
        <f>IFERROR(VLOOKUP(Proponentes[[#This Row],[Cap Op en SMMLV]],Tabla2[],6),0)</f>
        <v>25</v>
      </c>
      <c r="Q171" s="18">
        <f>IFERROR(VLOOKUP(Proponentes[[#This Row],[Cap Op en SMMLV]],Base!$A$15:$F$20,5),0)</f>
        <v>20702900</v>
      </c>
      <c r="R171" s="18">
        <f>IFERROR(VLOOKUP(Proponentes[[#This Row],[Cap Op en SMMLV]],Tabla2[[DE]:[HASTA]],2),0)</f>
        <v>1000</v>
      </c>
      <c r="S171" s="19">
        <f>IFERROR(Proponentes[[#This Row],[Activo Corriente]]/Proponentes[[#This Row],[Pasivo Corriente]],"INDETERMINADO")</f>
        <v>16.685180588703261</v>
      </c>
      <c r="T171" s="20">
        <f>IFERROR(Proponentes[[#This Row],[Total Pasivo]]/Proponentes[[#This Row],[Total ACTIVO]],0)</f>
        <v>9.3500002555071664E-3</v>
      </c>
      <c r="U171" s="21">
        <f>(Proponentes[[#This Row],[Activo Corriente]]-Proponentes[[#This Row],[Pasivo Corriente]])/Base!$B$3</f>
        <v>23.808587202759036</v>
      </c>
      <c r="V171" s="22">
        <f>Proponentes[[#This Row],[Activo Corriente]]-Proponentes[[#This Row],[Pasivo Corriente]]</f>
        <v>19716272</v>
      </c>
      <c r="W171" s="13">
        <f>IFERROR(VLOOKUP(Proponentes[[#This Row],[Propuesta]],Hoja2!$A$2:$G$329,7,FALSE),0)</f>
        <v>527550643.39531559</v>
      </c>
      <c r="X171" s="83">
        <f>IF(Proponentes[[#This Row],[Cap Op en Pesos]]=0,0,IF(Proponentes[[#This Row],[Cap Op en Pesos]]=0,1,Proponentes[[#This Row],[Cap Op en Pesos]]/Base!B$3))</f>
        <v>637.0492097668872</v>
      </c>
      <c r="Y17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7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7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171" s="23" t="str">
        <f>IF(AND(Proponentes[[#This Row],[Cumple
Liquidez]]="CUMPLE",Proponentes[[#This Row],[Cumple
Endeudamiento]]="CUMPLE",Proponentes[[#This Row],[Cumple
Capital de Trabajo]]="CUMPLE"),"CUMPLE","NO CUMPLE")</f>
        <v>NO CUMPLE</v>
      </c>
      <c r="AC171" s="24"/>
      <c r="AD171" s="10">
        <f>IF(Proponentes[[#This Row],[Liquidez
Oferente]]&lt;=1,1,IF(Proponentes[[#This Row],[Liquidez
Oferente]]&lt;=1.1,2,IF(Proponentes[[#This Row],[Liquidez
Oferente]]&lt;=1.2,3,IF(Proponentes[[#This Row],[Liquidez
Oferente]]&lt;=1.3,4,IF(Proponentes[[#This Row],[Liquidez
Oferente]]&lt;=1.4,5,6)))))</f>
        <v>6</v>
      </c>
      <c r="AE171" s="10">
        <f>IF(Proponentes[[#This Row],[Endeudamiento
Oferente]]&lt;=66%,6,IF(Proponentes[[#This Row],[Endeudamiento
Oferente]]&lt;=58,5,IF(Proponentes[[#This Row],[Endeudamiento
Oferente]]&lt;=70,4,IF(Proponentes[[#This Row],[Endeudamiento
Oferente]]&lt;=72,3,IF(Proponentes[[#This Row],[Endeudamiento
Oferente]]&lt;=74,2,1)))))</f>
        <v>6</v>
      </c>
      <c r="AF17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171" s="10">
        <f>IF(Proponentes[[#This Row],[Cap Op en SMMLV]]&lt;=500,1,IF(Proponentes[[#This Row],[Cap Op en SMMLV]]&lt;=1000,2,IF(Proponentes[[#This Row],[Cap Op en SMMLV]]&lt;=1500,3,IF(Proponentes[[#This Row],[Cap Op en SMMLV]]&lt;=2000,4,IF(Proponentes[[#This Row],[Cap Op en SMMLV]]&lt;=2500,5,6)))))</f>
        <v>2</v>
      </c>
      <c r="AH171" s="10">
        <f>MIN(Proponentes[[#This Row],[a]:[d]])</f>
        <v>2</v>
      </c>
      <c r="AI171" s="87">
        <f>IF(Proponentes[[#This Row],[e]]=Proponentes[[#This Row],[d]],Proponentes[[#This Row],[Cap Op en SMMLV]],VLOOKUP(Proponentes[[#This Row],[e]],Base!$D$1:$E$6,2,FALSE))</f>
        <v>637.0492097668872</v>
      </c>
      <c r="AJ171" s="101" t="str">
        <f>VLOOKUP(Proponentes[[#This Row],[Propuesta]],Hoja2!$A$2:$D$329,4,FALSE)</f>
        <v>NO CUMPLE</v>
      </c>
      <c r="AK171" s="101"/>
    </row>
    <row r="172" spans="1:37" ht="16" x14ac:dyDescent="0.2">
      <c r="A172" s="10">
        <v>171</v>
      </c>
      <c r="B172" s="11">
        <v>900273706</v>
      </c>
      <c r="C172" s="12" t="s">
        <v>245</v>
      </c>
      <c r="D172" s="13">
        <v>285142510</v>
      </c>
      <c r="E172" s="13">
        <v>14842339</v>
      </c>
      <c r="F172" s="25">
        <f>Proponentes[[#This Row],[Activo Corriente]]+Proponentes[[#This Row],[Activo NO Corriente]]</f>
        <v>299984849</v>
      </c>
      <c r="G172" s="13">
        <v>6006000</v>
      </c>
      <c r="H172" s="13">
        <v>0</v>
      </c>
      <c r="I172" s="25">
        <f>Proponentes[[#This Row],[Pasivo Corriente]]+Proponentes[[#This Row],[Pasivo NO Corriente]]</f>
        <v>6006000</v>
      </c>
      <c r="J172" s="14">
        <f>Proponentes[[#This Row],[Total ACTIVO]]-Proponentes[[#This Row],[Total Pasivo]]</f>
        <v>293978849</v>
      </c>
      <c r="K172" s="48">
        <f>VLOOKUP(Proponentes[[#This Row],[Propuesta]],Hoja2!$A$2:$G$239,7,FALSE)</f>
        <v>178614232.85718128</v>
      </c>
      <c r="L172" s="15"/>
      <c r="M172" s="15" t="s">
        <v>28</v>
      </c>
      <c r="N172" s="55">
        <f>IFERROR(VLOOKUP(Proponentes[[#This Row],[Cap Op en SMMLV]],Base!$A$15:$F$20,3),0)</f>
        <v>1</v>
      </c>
      <c r="O172" s="16">
        <f>IFERROR(VLOOKUP(Proponentes[[#This Row],[Cap Op en SMMLV]],Base!$A$15:$F$20,4),0)</f>
        <v>0.76</v>
      </c>
      <c r="P172" s="17">
        <f>IFERROR(VLOOKUP(Proponentes[[#This Row],[Cap Op en SMMLV]],Tabla2[],6),0)</f>
        <v>12.5</v>
      </c>
      <c r="Q172" s="18">
        <f>IFERROR(VLOOKUP(Proponentes[[#This Row],[Cap Op en SMMLV]],Base!$A$15:$F$20,5),0)</f>
        <v>10351450</v>
      </c>
      <c r="R172" s="18">
        <f>IFERROR(VLOOKUP(Proponentes[[#This Row],[Cap Op en SMMLV]],Tabla2[[DE]:[HASTA]],2),0)</f>
        <v>500</v>
      </c>
      <c r="S172" s="19">
        <f>IFERROR(Proponentes[[#This Row],[Activo Corriente]]/Proponentes[[#This Row],[Pasivo Corriente]],"INDETERMINADO")</f>
        <v>47.476275391275394</v>
      </c>
      <c r="T172" s="20">
        <f>IFERROR(Proponentes[[#This Row],[Total Pasivo]]/Proponentes[[#This Row],[Total ACTIVO]],0)</f>
        <v>2.0021011127798659E-2</v>
      </c>
      <c r="U172" s="21">
        <f>(Proponentes[[#This Row],[Activo Corriente]]-Proponentes[[#This Row],[Pasivo Corriente]])/Base!$B$3</f>
        <v>337.0741659381053</v>
      </c>
      <c r="V172" s="22">
        <f>Proponentes[[#This Row],[Activo Corriente]]-Proponentes[[#This Row],[Pasivo Corriente]]</f>
        <v>279136510</v>
      </c>
      <c r="W172" s="13">
        <f>IFERROR(VLOOKUP(Proponentes[[#This Row],[Propuesta]],Hoja2!$A$2:$G$329,7,FALSE),0)</f>
        <v>178614232.85718128</v>
      </c>
      <c r="X172" s="83">
        <f>IF(Proponentes[[#This Row],[Cap Op en Pesos]]=0,0,IF(Proponentes[[#This Row],[Cap Op en Pesos]]=0,1,Proponentes[[#This Row],[Cap Op en Pesos]]/Base!B$3))</f>
        <v>215.68745544969701</v>
      </c>
      <c r="Y17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7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7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72" s="23" t="str">
        <f>IF(AND(Proponentes[[#This Row],[Cumple
Liquidez]]="CUMPLE",Proponentes[[#This Row],[Cumple
Endeudamiento]]="CUMPLE",Proponentes[[#This Row],[Cumple
Capital de Trabajo]]="CUMPLE"),"CUMPLE","NO CUMPLE")</f>
        <v>CUMPLE</v>
      </c>
      <c r="AC172" s="24"/>
      <c r="AD172" s="10">
        <f>IF(Proponentes[[#This Row],[Liquidez
Oferente]]&lt;=1,1,IF(Proponentes[[#This Row],[Liquidez
Oferente]]&lt;=1.1,2,IF(Proponentes[[#This Row],[Liquidez
Oferente]]&lt;=1.2,3,IF(Proponentes[[#This Row],[Liquidez
Oferente]]&lt;=1.3,4,IF(Proponentes[[#This Row],[Liquidez
Oferente]]&lt;=1.4,5,6)))))</f>
        <v>6</v>
      </c>
      <c r="AE172" s="10">
        <f>IF(Proponentes[[#This Row],[Endeudamiento
Oferente]]&lt;=66%,6,IF(Proponentes[[#This Row],[Endeudamiento
Oferente]]&lt;=58,5,IF(Proponentes[[#This Row],[Endeudamiento
Oferente]]&lt;=70,4,IF(Proponentes[[#This Row],[Endeudamiento
Oferente]]&lt;=72,3,IF(Proponentes[[#This Row],[Endeudamiento
Oferente]]&lt;=74,2,1)))))</f>
        <v>6</v>
      </c>
      <c r="AF17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72" s="10">
        <f>IF(Proponentes[[#This Row],[Cap Op en SMMLV]]&lt;=500,1,IF(Proponentes[[#This Row],[Cap Op en SMMLV]]&lt;=1000,2,IF(Proponentes[[#This Row],[Cap Op en SMMLV]]&lt;=1500,3,IF(Proponentes[[#This Row],[Cap Op en SMMLV]]&lt;=2000,4,IF(Proponentes[[#This Row],[Cap Op en SMMLV]]&lt;=2500,5,6)))))</f>
        <v>1</v>
      </c>
      <c r="AH172" s="10">
        <f>MIN(Proponentes[[#This Row],[a]:[d]])</f>
        <v>1</v>
      </c>
      <c r="AI172" s="87">
        <f>IF(Proponentes[[#This Row],[e]]=Proponentes[[#This Row],[d]],Proponentes[[#This Row],[Cap Op en SMMLV]],VLOOKUP(Proponentes[[#This Row],[e]],Base!$D$1:$E$6,2,FALSE))</f>
        <v>215.68745544969701</v>
      </c>
      <c r="AJ172" s="101" t="str">
        <f>VLOOKUP(Proponentes[[#This Row],[Propuesta]],Hoja2!$A$2:$D$329,4,FALSE)</f>
        <v>CUMPLE</v>
      </c>
      <c r="AK172" s="101"/>
    </row>
    <row r="173" spans="1:37" ht="16" x14ac:dyDescent="0.2">
      <c r="A173" s="10">
        <v>172</v>
      </c>
      <c r="B173" s="11">
        <v>800009090</v>
      </c>
      <c r="C173" s="12" t="s">
        <v>246</v>
      </c>
      <c r="D173" s="13">
        <v>5929916000</v>
      </c>
      <c r="E173" s="13">
        <v>11598266000</v>
      </c>
      <c r="F173" s="25">
        <f>Proponentes[[#This Row],[Activo Corriente]]+Proponentes[[#This Row],[Activo NO Corriente]]</f>
        <v>17528182000</v>
      </c>
      <c r="G173" s="13">
        <v>542215000</v>
      </c>
      <c r="H173" s="13">
        <v>4070037000</v>
      </c>
      <c r="I173" s="25">
        <f>Proponentes[[#This Row],[Pasivo Corriente]]+Proponentes[[#This Row],[Pasivo NO Corriente]]</f>
        <v>4612252000</v>
      </c>
      <c r="J173" s="14">
        <f>Proponentes[[#This Row],[Total ACTIVO]]-Proponentes[[#This Row],[Total Pasivo]]</f>
        <v>12915930000</v>
      </c>
      <c r="K173" s="48">
        <f>VLOOKUP(Proponentes[[#This Row],[Propuesta]],Hoja2!$A$2:$G$239,7,FALSE)</f>
        <v>0</v>
      </c>
      <c r="L173" s="15"/>
      <c r="M173" s="15" t="s">
        <v>28</v>
      </c>
      <c r="N173" s="55">
        <f>IFERROR(VLOOKUP(Proponentes[[#This Row],[Cap Op en SMMLV]],Base!$A$15:$F$20,3),0)</f>
        <v>0</v>
      </c>
      <c r="O173" s="16">
        <f>IFERROR(VLOOKUP(Proponentes[[#This Row],[Cap Op en SMMLV]],Base!$A$15:$F$20,4),0)</f>
        <v>0</v>
      </c>
      <c r="P173" s="17">
        <f>IFERROR(VLOOKUP(Proponentes[[#This Row],[Cap Op en SMMLV]],Tabla2[],6),0)</f>
        <v>0</v>
      </c>
      <c r="Q173" s="18">
        <f>IFERROR(VLOOKUP(Proponentes[[#This Row],[Cap Op en SMMLV]],Base!$A$15:$F$20,5),0)</f>
        <v>0</v>
      </c>
      <c r="R173" s="18">
        <f>IFERROR(VLOOKUP(Proponentes[[#This Row],[Cap Op en SMMLV]],Tabla2[[DE]:[HASTA]],2),0)</f>
        <v>0</v>
      </c>
      <c r="S173" s="19">
        <f>IFERROR(Proponentes[[#This Row],[Activo Corriente]]/Proponentes[[#This Row],[Pasivo Corriente]],"INDETERMINADO")</f>
        <v>10.936466161946829</v>
      </c>
      <c r="T173" s="20">
        <f>IFERROR(Proponentes[[#This Row],[Total Pasivo]]/Proponentes[[#This Row],[Total ACTIVO]],0)</f>
        <v>0.2631335069432757</v>
      </c>
      <c r="U173" s="21">
        <f>(Proponentes[[#This Row],[Activo Corriente]]-Proponentes[[#This Row],[Pasivo Corriente]])/Base!$B$3</f>
        <v>6505.9738007718724</v>
      </c>
      <c r="V173" s="22">
        <f>Proponentes[[#This Row],[Activo Corriente]]-Proponentes[[#This Row],[Pasivo Corriente]]</f>
        <v>5387701000</v>
      </c>
      <c r="W173" s="13">
        <f>IFERROR(VLOOKUP(Proponentes[[#This Row],[Propuesta]],Hoja2!$A$2:$G$329,7,FALSE),0)</f>
        <v>0</v>
      </c>
      <c r="X173" s="83">
        <f>IF(Proponentes[[#This Row],[Cap Op en Pesos]]=0,0,IF(Proponentes[[#This Row],[Cap Op en Pesos]]=0,1,Proponentes[[#This Row],[Cap Op en Pesos]]/Base!B$3))</f>
        <v>0</v>
      </c>
      <c r="Y17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7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7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73" s="23" t="str">
        <f>IF(AND(Proponentes[[#This Row],[Cumple
Liquidez]]="CUMPLE",Proponentes[[#This Row],[Cumple
Endeudamiento]]="CUMPLE",Proponentes[[#This Row],[Cumple
Capital de Trabajo]]="CUMPLE"),"CUMPLE","NO CUMPLE")</f>
        <v>NO CUMPLE</v>
      </c>
      <c r="AC173" s="24"/>
      <c r="AD173" s="10">
        <f>IF(Proponentes[[#This Row],[Liquidez
Oferente]]&lt;=1,1,IF(Proponentes[[#This Row],[Liquidez
Oferente]]&lt;=1.1,2,IF(Proponentes[[#This Row],[Liquidez
Oferente]]&lt;=1.2,3,IF(Proponentes[[#This Row],[Liquidez
Oferente]]&lt;=1.3,4,IF(Proponentes[[#This Row],[Liquidez
Oferente]]&lt;=1.4,5,6)))))</f>
        <v>6</v>
      </c>
      <c r="AE173" s="10">
        <f>IF(Proponentes[[#This Row],[Endeudamiento
Oferente]]&lt;=66%,6,IF(Proponentes[[#This Row],[Endeudamiento
Oferente]]&lt;=58,5,IF(Proponentes[[#This Row],[Endeudamiento
Oferente]]&lt;=70,4,IF(Proponentes[[#This Row],[Endeudamiento
Oferente]]&lt;=72,3,IF(Proponentes[[#This Row],[Endeudamiento
Oferente]]&lt;=74,2,1)))))</f>
        <v>6</v>
      </c>
      <c r="AF17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73" s="10">
        <f>IF(Proponentes[[#This Row],[Cap Op en SMMLV]]&lt;=500,1,IF(Proponentes[[#This Row],[Cap Op en SMMLV]]&lt;=1000,2,IF(Proponentes[[#This Row],[Cap Op en SMMLV]]&lt;=1500,3,IF(Proponentes[[#This Row],[Cap Op en SMMLV]]&lt;=2000,4,IF(Proponentes[[#This Row],[Cap Op en SMMLV]]&lt;=2500,5,6)))))</f>
        <v>1</v>
      </c>
      <c r="AH173" s="10">
        <f>MIN(Proponentes[[#This Row],[a]:[d]])</f>
        <v>1</v>
      </c>
      <c r="AI173" s="87">
        <f>IF(Proponentes[[#This Row],[e]]=Proponentes[[#This Row],[d]],Proponentes[[#This Row],[Cap Op en SMMLV]],VLOOKUP(Proponentes[[#This Row],[e]],Base!$D$1:$E$6,2,FALSE))</f>
        <v>0</v>
      </c>
      <c r="AJ173" s="101" t="str">
        <f>VLOOKUP(Proponentes[[#This Row],[Propuesta]],Hoja2!$A$2:$D$329,4,FALSE)</f>
        <v>NO CUMPLE</v>
      </c>
      <c r="AK173" s="101"/>
    </row>
    <row r="174" spans="1:37" ht="32" x14ac:dyDescent="0.2">
      <c r="A174" s="10">
        <v>173</v>
      </c>
      <c r="B174" s="11">
        <v>819006201</v>
      </c>
      <c r="C174" s="12" t="s">
        <v>247</v>
      </c>
      <c r="D174" s="13">
        <v>49444461</v>
      </c>
      <c r="E174" s="13">
        <v>88812178</v>
      </c>
      <c r="F174" s="25">
        <f>Proponentes[[#This Row],[Activo Corriente]]+Proponentes[[#This Row],[Activo NO Corriente]]</f>
        <v>138256639</v>
      </c>
      <c r="G174" s="13">
        <v>31866868</v>
      </c>
      <c r="H174" s="13">
        <v>17837099</v>
      </c>
      <c r="I174" s="25">
        <f>Proponentes[[#This Row],[Pasivo Corriente]]+Proponentes[[#This Row],[Pasivo NO Corriente]]</f>
        <v>49703967</v>
      </c>
      <c r="J174" s="14">
        <f>Proponentes[[#This Row],[Total ACTIVO]]-Proponentes[[#This Row],[Total Pasivo]]</f>
        <v>88552672</v>
      </c>
      <c r="K174" s="48">
        <f>VLOOKUP(Proponentes[[#This Row],[Propuesta]],Hoja2!$A$2:$G$239,7,FALSE)</f>
        <v>0</v>
      </c>
      <c r="L174" s="15"/>
      <c r="M174" s="15" t="s">
        <v>28</v>
      </c>
      <c r="N174" s="55">
        <f>IFERROR(VLOOKUP(Proponentes[[#This Row],[Cap Op en SMMLV]],Base!$A$15:$F$20,3),0)</f>
        <v>0</v>
      </c>
      <c r="O174" s="16">
        <f>IFERROR(VLOOKUP(Proponentes[[#This Row],[Cap Op en SMMLV]],Base!$A$15:$F$20,4),0)</f>
        <v>0</v>
      </c>
      <c r="P174" s="17">
        <f>IFERROR(VLOOKUP(Proponentes[[#This Row],[Cap Op en SMMLV]],Tabla2[],6),0)</f>
        <v>0</v>
      </c>
      <c r="Q174" s="18">
        <f>IFERROR(VLOOKUP(Proponentes[[#This Row],[Cap Op en SMMLV]],Base!$A$15:$F$20,5),0)</f>
        <v>0</v>
      </c>
      <c r="R174" s="18">
        <f>IFERROR(VLOOKUP(Proponentes[[#This Row],[Cap Op en SMMLV]],Tabla2[[DE]:[HASTA]],2),0)</f>
        <v>0</v>
      </c>
      <c r="S174" s="19">
        <f>IFERROR(Proponentes[[#This Row],[Activo Corriente]]/Proponentes[[#This Row],[Pasivo Corriente]],"INDETERMINADO")</f>
        <v>1.5515946217243564</v>
      </c>
      <c r="T174" s="20">
        <f>IFERROR(Proponentes[[#This Row],[Total Pasivo]]/Proponentes[[#This Row],[Total ACTIVO]],0)</f>
        <v>0.3595051012342344</v>
      </c>
      <c r="U174" s="21">
        <f>(Proponentes[[#This Row],[Activo Corriente]]-Proponentes[[#This Row],[Pasivo Corriente]])/Base!$B$3</f>
        <v>21.226003361847859</v>
      </c>
      <c r="V174" s="22">
        <f>Proponentes[[#This Row],[Activo Corriente]]-Proponentes[[#This Row],[Pasivo Corriente]]</f>
        <v>17577593</v>
      </c>
      <c r="W174" s="13">
        <f>IFERROR(VLOOKUP(Proponentes[[#This Row],[Propuesta]],Hoja2!$A$2:$G$329,7,FALSE),0)</f>
        <v>0</v>
      </c>
      <c r="X174" s="83">
        <f>IF(Proponentes[[#This Row],[Cap Op en Pesos]]=0,0,IF(Proponentes[[#This Row],[Cap Op en Pesos]]=0,1,Proponentes[[#This Row],[Cap Op en Pesos]]/Base!B$3))</f>
        <v>0</v>
      </c>
      <c r="Y17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7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7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74" s="23" t="str">
        <f>IF(AND(Proponentes[[#This Row],[Cumple
Liquidez]]="CUMPLE",Proponentes[[#This Row],[Cumple
Endeudamiento]]="CUMPLE",Proponentes[[#This Row],[Cumple
Capital de Trabajo]]="CUMPLE"),"CUMPLE","NO CUMPLE")</f>
        <v>NO CUMPLE</v>
      </c>
      <c r="AC174" s="24"/>
      <c r="AD174" s="10">
        <f>IF(Proponentes[[#This Row],[Liquidez
Oferente]]&lt;=1,1,IF(Proponentes[[#This Row],[Liquidez
Oferente]]&lt;=1.1,2,IF(Proponentes[[#This Row],[Liquidez
Oferente]]&lt;=1.2,3,IF(Proponentes[[#This Row],[Liquidez
Oferente]]&lt;=1.3,4,IF(Proponentes[[#This Row],[Liquidez
Oferente]]&lt;=1.4,5,6)))))</f>
        <v>6</v>
      </c>
      <c r="AE174" s="10">
        <f>IF(Proponentes[[#This Row],[Endeudamiento
Oferente]]&lt;=66%,6,IF(Proponentes[[#This Row],[Endeudamiento
Oferente]]&lt;=58,5,IF(Proponentes[[#This Row],[Endeudamiento
Oferente]]&lt;=70,4,IF(Proponentes[[#This Row],[Endeudamiento
Oferente]]&lt;=72,3,IF(Proponentes[[#This Row],[Endeudamiento
Oferente]]&lt;=74,2,1)))))</f>
        <v>6</v>
      </c>
      <c r="AF17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174" s="10">
        <f>IF(Proponentes[[#This Row],[Cap Op en SMMLV]]&lt;=500,1,IF(Proponentes[[#This Row],[Cap Op en SMMLV]]&lt;=1000,2,IF(Proponentes[[#This Row],[Cap Op en SMMLV]]&lt;=1500,3,IF(Proponentes[[#This Row],[Cap Op en SMMLV]]&lt;=2000,4,IF(Proponentes[[#This Row],[Cap Op en SMMLV]]&lt;=2500,5,6)))))</f>
        <v>1</v>
      </c>
      <c r="AH174" s="10">
        <f>MIN(Proponentes[[#This Row],[a]:[d]])</f>
        <v>1</v>
      </c>
      <c r="AI174" s="87">
        <f>IF(Proponentes[[#This Row],[e]]=Proponentes[[#This Row],[d]],Proponentes[[#This Row],[Cap Op en SMMLV]],VLOOKUP(Proponentes[[#This Row],[e]],Base!$D$1:$E$6,2,FALSE))</f>
        <v>0</v>
      </c>
      <c r="AJ174" s="101" t="str">
        <f>VLOOKUP(Proponentes[[#This Row],[Propuesta]],Hoja2!$A$2:$D$329,4,FALSE)</f>
        <v>NO CUMPLE</v>
      </c>
      <c r="AK174" s="101"/>
    </row>
    <row r="175" spans="1:37" ht="16" x14ac:dyDescent="0.2">
      <c r="A175" s="10">
        <v>174</v>
      </c>
      <c r="B175" s="11">
        <v>900573093</v>
      </c>
      <c r="C175" s="12" t="s">
        <v>248</v>
      </c>
      <c r="D175" s="13">
        <v>411545431</v>
      </c>
      <c r="E175" s="13">
        <v>35174196</v>
      </c>
      <c r="F175" s="25">
        <f>Proponentes[[#This Row],[Activo Corriente]]+Proponentes[[#This Row],[Activo NO Corriente]]</f>
        <v>446719627</v>
      </c>
      <c r="G175" s="13">
        <v>9555143</v>
      </c>
      <c r="H175" s="13">
        <v>0</v>
      </c>
      <c r="I175" s="25">
        <f>Proponentes[[#This Row],[Pasivo Corriente]]+Proponentes[[#This Row],[Pasivo NO Corriente]]</f>
        <v>9555143</v>
      </c>
      <c r="J175" s="14">
        <f>Proponentes[[#This Row],[Total ACTIVO]]-Proponentes[[#This Row],[Total Pasivo]]</f>
        <v>437164484</v>
      </c>
      <c r="K175" s="48">
        <f>VLOOKUP(Proponentes[[#This Row],[Propuesta]],Hoja2!$A$2:$G$239,7,FALSE)</f>
        <v>0</v>
      </c>
      <c r="L175" s="15"/>
      <c r="M175" s="15" t="s">
        <v>28</v>
      </c>
      <c r="N175" s="55">
        <f>IFERROR(VLOOKUP(Proponentes[[#This Row],[Cap Op en SMMLV]],Base!$A$15:$F$20,3),0)</f>
        <v>0</v>
      </c>
      <c r="O175" s="16">
        <f>IFERROR(VLOOKUP(Proponentes[[#This Row],[Cap Op en SMMLV]],Base!$A$15:$F$20,4),0)</f>
        <v>0</v>
      </c>
      <c r="P175" s="17">
        <f>IFERROR(VLOOKUP(Proponentes[[#This Row],[Cap Op en SMMLV]],Tabla2[],6),0)</f>
        <v>0</v>
      </c>
      <c r="Q175" s="18">
        <f>IFERROR(VLOOKUP(Proponentes[[#This Row],[Cap Op en SMMLV]],Base!$A$15:$F$20,5),0)</f>
        <v>0</v>
      </c>
      <c r="R175" s="18">
        <f>IFERROR(VLOOKUP(Proponentes[[#This Row],[Cap Op en SMMLV]],Tabla2[[DE]:[HASTA]],2),0)</f>
        <v>0</v>
      </c>
      <c r="S175" s="19">
        <f>IFERROR(Proponentes[[#This Row],[Activo Corriente]]/Proponentes[[#This Row],[Pasivo Corriente]],"INDETERMINADO")</f>
        <v>43.070567442057119</v>
      </c>
      <c r="T175" s="20">
        <f>IFERROR(Proponentes[[#This Row],[Total Pasivo]]/Proponentes[[#This Row],[Total ACTIVO]],0)</f>
        <v>2.1389575076807627E-2</v>
      </c>
      <c r="U175" s="21">
        <f>(Proponentes[[#This Row],[Activo Corriente]]-Proponentes[[#This Row],[Pasivo Corriente]])/Base!$B$3</f>
        <v>485.42751015558207</v>
      </c>
      <c r="V175" s="22">
        <f>Proponentes[[#This Row],[Activo Corriente]]-Proponentes[[#This Row],[Pasivo Corriente]]</f>
        <v>401990288</v>
      </c>
      <c r="W175" s="13">
        <f>IFERROR(VLOOKUP(Proponentes[[#This Row],[Propuesta]],Hoja2!$A$2:$G$329,7,FALSE),0)</f>
        <v>0</v>
      </c>
      <c r="X175" s="83">
        <f>IF(Proponentes[[#This Row],[Cap Op en Pesos]]=0,0,IF(Proponentes[[#This Row],[Cap Op en Pesos]]=0,1,Proponentes[[#This Row],[Cap Op en Pesos]]/Base!B$3))</f>
        <v>0</v>
      </c>
      <c r="Y17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7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7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75" s="23" t="str">
        <f>IF(AND(Proponentes[[#This Row],[Cumple
Liquidez]]="CUMPLE",Proponentes[[#This Row],[Cumple
Endeudamiento]]="CUMPLE",Proponentes[[#This Row],[Cumple
Capital de Trabajo]]="CUMPLE"),"CUMPLE","NO CUMPLE")</f>
        <v>NO CUMPLE</v>
      </c>
      <c r="AC175" s="24"/>
      <c r="AD175" s="10">
        <f>IF(Proponentes[[#This Row],[Liquidez
Oferente]]&lt;=1,1,IF(Proponentes[[#This Row],[Liquidez
Oferente]]&lt;=1.1,2,IF(Proponentes[[#This Row],[Liquidez
Oferente]]&lt;=1.2,3,IF(Proponentes[[#This Row],[Liquidez
Oferente]]&lt;=1.3,4,IF(Proponentes[[#This Row],[Liquidez
Oferente]]&lt;=1.4,5,6)))))</f>
        <v>6</v>
      </c>
      <c r="AE175" s="10">
        <f>IF(Proponentes[[#This Row],[Endeudamiento
Oferente]]&lt;=66%,6,IF(Proponentes[[#This Row],[Endeudamiento
Oferente]]&lt;=58,5,IF(Proponentes[[#This Row],[Endeudamiento
Oferente]]&lt;=70,4,IF(Proponentes[[#This Row],[Endeudamiento
Oferente]]&lt;=72,3,IF(Proponentes[[#This Row],[Endeudamiento
Oferente]]&lt;=74,2,1)))))</f>
        <v>6</v>
      </c>
      <c r="AF17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75" s="10">
        <f>IF(Proponentes[[#This Row],[Cap Op en SMMLV]]&lt;=500,1,IF(Proponentes[[#This Row],[Cap Op en SMMLV]]&lt;=1000,2,IF(Proponentes[[#This Row],[Cap Op en SMMLV]]&lt;=1500,3,IF(Proponentes[[#This Row],[Cap Op en SMMLV]]&lt;=2000,4,IF(Proponentes[[#This Row],[Cap Op en SMMLV]]&lt;=2500,5,6)))))</f>
        <v>1</v>
      </c>
      <c r="AH175" s="10">
        <f>MIN(Proponentes[[#This Row],[a]:[d]])</f>
        <v>1</v>
      </c>
      <c r="AI175" s="87">
        <f>IF(Proponentes[[#This Row],[e]]=Proponentes[[#This Row],[d]],Proponentes[[#This Row],[Cap Op en SMMLV]],VLOOKUP(Proponentes[[#This Row],[e]],Base!$D$1:$E$6,2,FALSE))</f>
        <v>0</v>
      </c>
      <c r="AJ175" s="101" t="str">
        <f>VLOOKUP(Proponentes[[#This Row],[Propuesta]],Hoja2!$A$2:$D$329,4,FALSE)</f>
        <v>NO CUMPLE</v>
      </c>
      <c r="AK175" s="101"/>
    </row>
    <row r="176" spans="1:37" ht="32" x14ac:dyDescent="0.2">
      <c r="A176" s="10">
        <v>175</v>
      </c>
      <c r="B176" s="11">
        <v>900179840</v>
      </c>
      <c r="C176" s="12" t="s">
        <v>249</v>
      </c>
      <c r="D176" s="13">
        <v>7793000</v>
      </c>
      <c r="E176" s="13">
        <v>20467000</v>
      </c>
      <c r="F176" s="25">
        <f>Proponentes[[#This Row],[Activo Corriente]]+Proponentes[[#This Row],[Activo NO Corriente]]</f>
        <v>28260000</v>
      </c>
      <c r="G176" s="13">
        <v>1524000</v>
      </c>
      <c r="H176" s="13">
        <v>0</v>
      </c>
      <c r="I176" s="25">
        <f>Proponentes[[#This Row],[Pasivo Corriente]]+Proponentes[[#This Row],[Pasivo NO Corriente]]</f>
        <v>1524000</v>
      </c>
      <c r="J176" s="14">
        <f>Proponentes[[#This Row],[Total ACTIVO]]-Proponentes[[#This Row],[Total Pasivo]]</f>
        <v>26736000</v>
      </c>
      <c r="K176" s="48">
        <f>VLOOKUP(Proponentes[[#This Row],[Propuesta]],Hoja2!$A$2:$G$239,7,FALSE)</f>
        <v>59862675.250934772</v>
      </c>
      <c r="L176" s="15" t="s">
        <v>135</v>
      </c>
      <c r="M176" s="15" t="s">
        <v>28</v>
      </c>
      <c r="N176" s="55">
        <f>IFERROR(VLOOKUP(Proponentes[[#This Row],[Cap Op en SMMLV]],Base!$A$15:$F$20,3),0)</f>
        <v>1</v>
      </c>
      <c r="O176" s="16">
        <f>IFERROR(VLOOKUP(Proponentes[[#This Row],[Cap Op en SMMLV]],Base!$A$15:$F$20,4),0)</f>
        <v>0.76</v>
      </c>
      <c r="P176" s="17">
        <f>IFERROR(VLOOKUP(Proponentes[[#This Row],[Cap Op en SMMLV]],Tabla2[],6),0)</f>
        <v>12.5</v>
      </c>
      <c r="Q176" s="18">
        <f>IFERROR(VLOOKUP(Proponentes[[#This Row],[Cap Op en SMMLV]],Base!$A$15:$F$20,5),0)</f>
        <v>10351450</v>
      </c>
      <c r="R176" s="18">
        <f>IFERROR(VLOOKUP(Proponentes[[#This Row],[Cap Op en SMMLV]],Tabla2[[DE]:[HASTA]],2),0)</f>
        <v>500</v>
      </c>
      <c r="S176" s="19">
        <f>IFERROR(Proponentes[[#This Row],[Activo Corriente]]/Proponentes[[#This Row],[Pasivo Corriente]],"INDETERMINADO")</f>
        <v>5.113517060367454</v>
      </c>
      <c r="T176" s="20">
        <f>IFERROR(Proponentes[[#This Row],[Total Pasivo]]/Proponentes[[#This Row],[Total ACTIVO]],0)</f>
        <v>5.3927813163481955E-2</v>
      </c>
      <c r="U176" s="21">
        <f>(Proponentes[[#This Row],[Activo Corriente]]-Proponentes[[#This Row],[Pasivo Corriente]])/Base!$B$3</f>
        <v>7.5701954798603097</v>
      </c>
      <c r="V176" s="22">
        <f>Proponentes[[#This Row],[Activo Corriente]]-Proponentes[[#This Row],[Pasivo Corriente]]</f>
        <v>6269000</v>
      </c>
      <c r="W176" s="13">
        <f>IFERROR(VLOOKUP(Proponentes[[#This Row],[Propuesta]],Hoja2!$A$2:$G$329,7,FALSE),0)</f>
        <v>59862675.250934772</v>
      </c>
      <c r="X176" s="83">
        <f>IF(Proponentes[[#This Row],[Cap Op en Pesos]]=0,0,IF(Proponentes[[#This Row],[Cap Op en Pesos]]=0,1,Proponentes[[#This Row],[Cap Op en Pesos]]/Base!B$3))</f>
        <v>72.287789694843198</v>
      </c>
      <c r="Y17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7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7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176" s="23" t="str">
        <f>IF(AND(Proponentes[[#This Row],[Cumple
Liquidez]]="CUMPLE",Proponentes[[#This Row],[Cumple
Endeudamiento]]="CUMPLE",Proponentes[[#This Row],[Cumple
Capital de Trabajo]]="CUMPLE"),"CUMPLE","NO CUMPLE")</f>
        <v>NO CUMPLE</v>
      </c>
      <c r="AC176" s="24" t="s">
        <v>803</v>
      </c>
      <c r="AD176" s="10">
        <f>IF(Proponentes[[#This Row],[Liquidez
Oferente]]&lt;=1,1,IF(Proponentes[[#This Row],[Liquidez
Oferente]]&lt;=1.1,2,IF(Proponentes[[#This Row],[Liquidez
Oferente]]&lt;=1.2,3,IF(Proponentes[[#This Row],[Liquidez
Oferente]]&lt;=1.3,4,IF(Proponentes[[#This Row],[Liquidez
Oferente]]&lt;=1.4,5,6)))))</f>
        <v>6</v>
      </c>
      <c r="AE176" s="10">
        <f>IF(Proponentes[[#This Row],[Endeudamiento
Oferente]]&lt;=66%,6,IF(Proponentes[[#This Row],[Endeudamiento
Oferente]]&lt;=58,5,IF(Proponentes[[#This Row],[Endeudamiento
Oferente]]&lt;=70,4,IF(Proponentes[[#This Row],[Endeudamiento
Oferente]]&lt;=72,3,IF(Proponentes[[#This Row],[Endeudamiento
Oferente]]&lt;=74,2,1)))))</f>
        <v>6</v>
      </c>
      <c r="AF17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176" s="10">
        <f>IF(Proponentes[[#This Row],[Cap Op en SMMLV]]&lt;=500,1,IF(Proponentes[[#This Row],[Cap Op en SMMLV]]&lt;=1000,2,IF(Proponentes[[#This Row],[Cap Op en SMMLV]]&lt;=1500,3,IF(Proponentes[[#This Row],[Cap Op en SMMLV]]&lt;=2000,4,IF(Proponentes[[#This Row],[Cap Op en SMMLV]]&lt;=2500,5,6)))))</f>
        <v>1</v>
      </c>
      <c r="AH176" s="10">
        <f>MIN(Proponentes[[#This Row],[a]:[d]])</f>
        <v>1</v>
      </c>
      <c r="AI176" s="87">
        <f>IF(Proponentes[[#This Row],[e]]=Proponentes[[#This Row],[d]],Proponentes[[#This Row],[Cap Op en SMMLV]],VLOOKUP(Proponentes[[#This Row],[e]],Base!$D$1:$E$6,2,FALSE))</f>
        <v>72.287789694843198</v>
      </c>
      <c r="AJ176" s="101" t="str">
        <f>VLOOKUP(Proponentes[[#This Row],[Propuesta]],Hoja2!$A$2:$D$329,4,FALSE)</f>
        <v>CUMPLE</v>
      </c>
      <c r="AK176" s="101"/>
    </row>
    <row r="177" spans="1:37" ht="16" x14ac:dyDescent="0.2">
      <c r="A177" s="10">
        <v>176</v>
      </c>
      <c r="B177" s="11">
        <v>891501766</v>
      </c>
      <c r="C177" s="12" t="s">
        <v>250</v>
      </c>
      <c r="D177" s="13">
        <v>14647249382</v>
      </c>
      <c r="E177" s="13">
        <v>24223942629</v>
      </c>
      <c r="F177" s="25">
        <f>Proponentes[[#This Row],[Activo Corriente]]+Proponentes[[#This Row],[Activo NO Corriente]]</f>
        <v>38871192011</v>
      </c>
      <c r="G177" s="13">
        <v>4731226766</v>
      </c>
      <c r="H177" s="13">
        <v>216255687</v>
      </c>
      <c r="I177" s="25">
        <f>Proponentes[[#This Row],[Pasivo Corriente]]+Proponentes[[#This Row],[Pasivo NO Corriente]]</f>
        <v>4947482453</v>
      </c>
      <c r="J177" s="14">
        <f>Proponentes[[#This Row],[Total ACTIVO]]-Proponentes[[#This Row],[Total Pasivo]]</f>
        <v>33923709558</v>
      </c>
      <c r="K177" s="48">
        <f>VLOOKUP(Proponentes[[#This Row],[Propuesta]],Hoja2!$A$2:$G$239,7,FALSE)</f>
        <v>962331411.37658477</v>
      </c>
      <c r="L177" s="15"/>
      <c r="M177" s="15" t="s">
        <v>28</v>
      </c>
      <c r="N177" s="55">
        <f>IFERROR(VLOOKUP(Proponentes[[#This Row],[Cap Op en SMMLV]],Base!$A$15:$F$20,3),0)</f>
        <v>1.2</v>
      </c>
      <c r="O177" s="16">
        <f>IFERROR(VLOOKUP(Proponentes[[#This Row],[Cap Op en SMMLV]],Base!$A$15:$F$20,4),0)</f>
        <v>0.72</v>
      </c>
      <c r="P177" s="17">
        <f>IFERROR(VLOOKUP(Proponentes[[#This Row],[Cap Op en SMMLV]],Tabla2[],6),0)</f>
        <v>37.5</v>
      </c>
      <c r="Q177" s="18">
        <f>IFERROR(VLOOKUP(Proponentes[[#This Row],[Cap Op en SMMLV]],Base!$A$15:$F$20,5),0)</f>
        <v>31054350</v>
      </c>
      <c r="R177" s="18">
        <f>IFERROR(VLOOKUP(Proponentes[[#This Row],[Cap Op en SMMLV]],Tabla2[[DE]:[HASTA]],2),0)</f>
        <v>1500</v>
      </c>
      <c r="S177" s="19">
        <f>IFERROR(Proponentes[[#This Row],[Activo Corriente]]/Proponentes[[#This Row],[Pasivo Corriente]],"INDETERMINADO")</f>
        <v>3.0958671199739318</v>
      </c>
      <c r="T177" s="20">
        <f>IFERROR(Proponentes[[#This Row],[Total Pasivo]]/Proponentes[[#This Row],[Total ACTIVO]],0)</f>
        <v>0.12727889722548083</v>
      </c>
      <c r="U177" s="21">
        <f>(Proponentes[[#This Row],[Activo Corriente]]-Proponentes[[#This Row],[Pasivo Corriente]])/Base!$B$3</f>
        <v>11974.195180385357</v>
      </c>
      <c r="V177" s="22">
        <f>Proponentes[[#This Row],[Activo Corriente]]-Proponentes[[#This Row],[Pasivo Corriente]]</f>
        <v>9916022616</v>
      </c>
      <c r="W177" s="13">
        <f>IFERROR(VLOOKUP(Proponentes[[#This Row],[Propuesta]],Hoja2!$A$2:$G$329,7,FALSE),0)</f>
        <v>962331411.37658477</v>
      </c>
      <c r="X177" s="83">
        <f>IF(Proponentes[[#This Row],[Cap Op en Pesos]]=0,0,IF(Proponentes[[#This Row],[Cap Op en Pesos]]=0,1,Proponentes[[#This Row],[Cap Op en Pesos]]/Base!B$3))</f>
        <v>1162.0732015521796</v>
      </c>
      <c r="Y17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7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7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77" s="23" t="str">
        <f>IF(AND(Proponentes[[#This Row],[Cumple
Liquidez]]="CUMPLE",Proponentes[[#This Row],[Cumple
Endeudamiento]]="CUMPLE",Proponentes[[#This Row],[Cumple
Capital de Trabajo]]="CUMPLE"),"CUMPLE","NO CUMPLE")</f>
        <v>CUMPLE</v>
      </c>
      <c r="AC177" s="24"/>
      <c r="AD177" s="10">
        <f>IF(Proponentes[[#This Row],[Liquidez
Oferente]]&lt;=1,1,IF(Proponentes[[#This Row],[Liquidez
Oferente]]&lt;=1.1,2,IF(Proponentes[[#This Row],[Liquidez
Oferente]]&lt;=1.2,3,IF(Proponentes[[#This Row],[Liquidez
Oferente]]&lt;=1.3,4,IF(Proponentes[[#This Row],[Liquidez
Oferente]]&lt;=1.4,5,6)))))</f>
        <v>6</v>
      </c>
      <c r="AE177" s="10">
        <f>IF(Proponentes[[#This Row],[Endeudamiento
Oferente]]&lt;=66%,6,IF(Proponentes[[#This Row],[Endeudamiento
Oferente]]&lt;=58,5,IF(Proponentes[[#This Row],[Endeudamiento
Oferente]]&lt;=70,4,IF(Proponentes[[#This Row],[Endeudamiento
Oferente]]&lt;=72,3,IF(Proponentes[[#This Row],[Endeudamiento
Oferente]]&lt;=74,2,1)))))</f>
        <v>6</v>
      </c>
      <c r="AF17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77" s="10">
        <f>IF(Proponentes[[#This Row],[Cap Op en SMMLV]]&lt;=500,1,IF(Proponentes[[#This Row],[Cap Op en SMMLV]]&lt;=1000,2,IF(Proponentes[[#This Row],[Cap Op en SMMLV]]&lt;=1500,3,IF(Proponentes[[#This Row],[Cap Op en SMMLV]]&lt;=2000,4,IF(Proponentes[[#This Row],[Cap Op en SMMLV]]&lt;=2500,5,6)))))</f>
        <v>3</v>
      </c>
      <c r="AH177" s="10">
        <f>MIN(Proponentes[[#This Row],[a]:[d]])</f>
        <v>3</v>
      </c>
      <c r="AI177" s="87">
        <f>IF(Proponentes[[#This Row],[e]]=Proponentes[[#This Row],[d]],Proponentes[[#This Row],[Cap Op en SMMLV]],VLOOKUP(Proponentes[[#This Row],[e]],Base!$D$1:$E$6,2,FALSE))</f>
        <v>1162.0732015521796</v>
      </c>
      <c r="AJ177" s="101" t="str">
        <f>VLOOKUP(Proponentes[[#This Row],[Propuesta]],Hoja2!$A$2:$D$329,4,FALSE)</f>
        <v>NO CUMPLE</v>
      </c>
      <c r="AK177" s="101"/>
    </row>
    <row r="178" spans="1:37" ht="16" x14ac:dyDescent="0.2">
      <c r="A178" s="10">
        <v>177</v>
      </c>
      <c r="B178" s="11">
        <v>806008896</v>
      </c>
      <c r="C178" s="12" t="s">
        <v>251</v>
      </c>
      <c r="D178" s="13">
        <v>1391505000</v>
      </c>
      <c r="E178" s="13">
        <v>252719000</v>
      </c>
      <c r="F178" s="25">
        <f>Proponentes[[#This Row],[Activo Corriente]]+Proponentes[[#This Row],[Activo NO Corriente]]</f>
        <v>1644224000</v>
      </c>
      <c r="G178" s="13">
        <v>14974000</v>
      </c>
      <c r="H178" s="13">
        <v>53696000</v>
      </c>
      <c r="I178" s="25">
        <f>Proponentes[[#This Row],[Pasivo Corriente]]+Proponentes[[#This Row],[Pasivo NO Corriente]]</f>
        <v>68670000</v>
      </c>
      <c r="J178" s="14">
        <f>Proponentes[[#This Row],[Total ACTIVO]]-Proponentes[[#This Row],[Total Pasivo]]</f>
        <v>1575554000</v>
      </c>
      <c r="K178" s="48">
        <f>VLOOKUP(Proponentes[[#This Row],[Propuesta]],Hoja2!$A$2:$G$239,7,FALSE)</f>
        <v>132820899.16635291</v>
      </c>
      <c r="L178" s="15"/>
      <c r="M178" s="15" t="s">
        <v>28</v>
      </c>
      <c r="N178" s="55">
        <f>IFERROR(VLOOKUP(Proponentes[[#This Row],[Cap Op en SMMLV]],Base!$A$15:$F$20,3),0)</f>
        <v>1</v>
      </c>
      <c r="O178" s="16">
        <f>IFERROR(VLOOKUP(Proponentes[[#This Row],[Cap Op en SMMLV]],Base!$A$15:$F$20,4),0)</f>
        <v>0.76</v>
      </c>
      <c r="P178" s="17">
        <f>IFERROR(VLOOKUP(Proponentes[[#This Row],[Cap Op en SMMLV]],Tabla2[],6),0)</f>
        <v>12.5</v>
      </c>
      <c r="Q178" s="18">
        <f>IFERROR(VLOOKUP(Proponentes[[#This Row],[Cap Op en SMMLV]],Base!$A$15:$F$20,5),0)</f>
        <v>10351450</v>
      </c>
      <c r="R178" s="18">
        <f>IFERROR(VLOOKUP(Proponentes[[#This Row],[Cap Op en SMMLV]],Tabla2[[DE]:[HASTA]],2),0)</f>
        <v>500</v>
      </c>
      <c r="S178" s="19">
        <f>IFERROR(Proponentes[[#This Row],[Activo Corriente]]/Proponentes[[#This Row],[Pasivo Corriente]],"INDETERMINADO")</f>
        <v>92.928075330572995</v>
      </c>
      <c r="T178" s="20">
        <f>IFERROR(Proponentes[[#This Row],[Total Pasivo]]/Proponentes[[#This Row],[Total ACTIVO]],0)</f>
        <v>4.1764382468568763E-2</v>
      </c>
      <c r="U178" s="21">
        <f>(Proponentes[[#This Row],[Activo Corriente]]-Proponentes[[#This Row],[Pasivo Corriente]])/Base!$B$3</f>
        <v>1662.2441783518252</v>
      </c>
      <c r="V178" s="22">
        <f>Proponentes[[#This Row],[Activo Corriente]]-Proponentes[[#This Row],[Pasivo Corriente]]</f>
        <v>1376531000</v>
      </c>
      <c r="W178" s="13">
        <f>IFERROR(VLOOKUP(Proponentes[[#This Row],[Propuesta]],Hoja2!$A$2:$G$329,7,FALSE),0)</f>
        <v>132820899.16635291</v>
      </c>
      <c r="X178" s="83">
        <f>IF(Proponentes[[#This Row],[Cap Op en Pesos]]=0,0,IF(Proponentes[[#This Row],[Cap Op en Pesos]]=0,1,Proponentes[[#This Row],[Cap Op en Pesos]]/Base!B$3))</f>
        <v>160.38924397832298</v>
      </c>
      <c r="Y17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7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7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78" s="23" t="str">
        <f>IF(AND(Proponentes[[#This Row],[Cumple
Liquidez]]="CUMPLE",Proponentes[[#This Row],[Cumple
Endeudamiento]]="CUMPLE",Proponentes[[#This Row],[Cumple
Capital de Trabajo]]="CUMPLE"),"CUMPLE","NO CUMPLE")</f>
        <v>CUMPLE</v>
      </c>
      <c r="AC178" s="24"/>
      <c r="AD178" s="10">
        <f>IF(Proponentes[[#This Row],[Liquidez
Oferente]]&lt;=1,1,IF(Proponentes[[#This Row],[Liquidez
Oferente]]&lt;=1.1,2,IF(Proponentes[[#This Row],[Liquidez
Oferente]]&lt;=1.2,3,IF(Proponentes[[#This Row],[Liquidez
Oferente]]&lt;=1.3,4,IF(Proponentes[[#This Row],[Liquidez
Oferente]]&lt;=1.4,5,6)))))</f>
        <v>6</v>
      </c>
      <c r="AE178" s="10">
        <f>IF(Proponentes[[#This Row],[Endeudamiento
Oferente]]&lt;=66%,6,IF(Proponentes[[#This Row],[Endeudamiento
Oferente]]&lt;=58,5,IF(Proponentes[[#This Row],[Endeudamiento
Oferente]]&lt;=70,4,IF(Proponentes[[#This Row],[Endeudamiento
Oferente]]&lt;=72,3,IF(Proponentes[[#This Row],[Endeudamiento
Oferente]]&lt;=74,2,1)))))</f>
        <v>6</v>
      </c>
      <c r="AF17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78" s="10">
        <f>IF(Proponentes[[#This Row],[Cap Op en SMMLV]]&lt;=500,1,IF(Proponentes[[#This Row],[Cap Op en SMMLV]]&lt;=1000,2,IF(Proponentes[[#This Row],[Cap Op en SMMLV]]&lt;=1500,3,IF(Proponentes[[#This Row],[Cap Op en SMMLV]]&lt;=2000,4,IF(Proponentes[[#This Row],[Cap Op en SMMLV]]&lt;=2500,5,6)))))</f>
        <v>1</v>
      </c>
      <c r="AH178" s="10">
        <f>MIN(Proponentes[[#This Row],[a]:[d]])</f>
        <v>1</v>
      </c>
      <c r="AI178" s="87">
        <f>IF(Proponentes[[#This Row],[e]]=Proponentes[[#This Row],[d]],Proponentes[[#This Row],[Cap Op en SMMLV]],VLOOKUP(Proponentes[[#This Row],[e]],Base!$D$1:$E$6,2,FALSE))</f>
        <v>160.38924397832298</v>
      </c>
      <c r="AJ178" s="101" t="str">
        <f>VLOOKUP(Proponentes[[#This Row],[Propuesta]],Hoja2!$A$2:$D$329,4,FALSE)</f>
        <v>CUMPLE</v>
      </c>
      <c r="AK178" s="101"/>
    </row>
    <row r="179" spans="1:37" ht="16" x14ac:dyDescent="0.2">
      <c r="A179" s="10">
        <v>178</v>
      </c>
      <c r="B179" s="11">
        <v>900937890</v>
      </c>
      <c r="C179" s="12" t="s">
        <v>252</v>
      </c>
      <c r="D179" s="13">
        <v>450651000</v>
      </c>
      <c r="E179" s="13">
        <v>74355041</v>
      </c>
      <c r="F179" s="25">
        <f>Proponentes[[#This Row],[Activo Corriente]]+Proponentes[[#This Row],[Activo NO Corriente]]</f>
        <v>525006041</v>
      </c>
      <c r="G179" s="13">
        <v>3032400</v>
      </c>
      <c r="H179" s="13">
        <v>9164000</v>
      </c>
      <c r="I179" s="25">
        <f>Proponentes[[#This Row],[Pasivo Corriente]]+Proponentes[[#This Row],[Pasivo NO Corriente]]</f>
        <v>12196400</v>
      </c>
      <c r="J179" s="14">
        <f>Proponentes[[#This Row],[Total ACTIVO]]-Proponentes[[#This Row],[Total Pasivo]]</f>
        <v>512809641</v>
      </c>
      <c r="K179" s="48">
        <f>VLOOKUP(Proponentes[[#This Row],[Propuesta]],Hoja2!$A$2:$G$239,7,FALSE)</f>
        <v>273229145.17154324</v>
      </c>
      <c r="L179" s="15"/>
      <c r="M179" s="15" t="s">
        <v>28</v>
      </c>
      <c r="N179" s="55">
        <f>IFERROR(VLOOKUP(Proponentes[[#This Row],[Cap Op en SMMLV]],Base!$A$15:$F$20,3),0)</f>
        <v>1</v>
      </c>
      <c r="O179" s="16">
        <f>IFERROR(VLOOKUP(Proponentes[[#This Row],[Cap Op en SMMLV]],Base!$A$15:$F$20,4),0)</f>
        <v>0.76</v>
      </c>
      <c r="P179" s="17">
        <f>IFERROR(VLOOKUP(Proponentes[[#This Row],[Cap Op en SMMLV]],Tabla2[],6),0)</f>
        <v>12.5</v>
      </c>
      <c r="Q179" s="18">
        <f>IFERROR(VLOOKUP(Proponentes[[#This Row],[Cap Op en SMMLV]],Base!$A$15:$F$20,5),0)</f>
        <v>10351450</v>
      </c>
      <c r="R179" s="18">
        <f>IFERROR(VLOOKUP(Proponentes[[#This Row],[Cap Op en SMMLV]],Tabla2[[DE]:[HASTA]],2),0)</f>
        <v>500</v>
      </c>
      <c r="S179" s="19">
        <f>IFERROR(Proponentes[[#This Row],[Activo Corriente]]/Proponentes[[#This Row],[Pasivo Corriente]],"INDETERMINADO")</f>
        <v>148.61199050257221</v>
      </c>
      <c r="T179" s="20">
        <f>IFERROR(Proponentes[[#This Row],[Total Pasivo]]/Proponentes[[#This Row],[Total ACTIVO]],0)</f>
        <v>2.3230970784200937E-2</v>
      </c>
      <c r="U179" s="21">
        <f>(Proponentes[[#This Row],[Activo Corriente]]-Proponentes[[#This Row],[Pasivo Corriente]])/Base!$B$3</f>
        <v>540.52644798554797</v>
      </c>
      <c r="V179" s="22">
        <f>Proponentes[[#This Row],[Activo Corriente]]-Proponentes[[#This Row],[Pasivo Corriente]]</f>
        <v>447618600</v>
      </c>
      <c r="W179" s="13">
        <f>IFERROR(VLOOKUP(Proponentes[[#This Row],[Propuesta]],Hoja2!$A$2:$G$329,7,FALSE),0)</f>
        <v>273229145.17154324</v>
      </c>
      <c r="X179" s="83">
        <f>IF(Proponentes[[#This Row],[Cap Op en Pesos]]=0,0,IF(Proponentes[[#This Row],[Cap Op en Pesos]]=0,1,Proponentes[[#This Row],[Cap Op en Pesos]]/Base!B$3))</f>
        <v>329.94066673212842</v>
      </c>
      <c r="Y17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7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7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79" s="23" t="str">
        <f>IF(AND(Proponentes[[#This Row],[Cumple
Liquidez]]="CUMPLE",Proponentes[[#This Row],[Cumple
Endeudamiento]]="CUMPLE",Proponentes[[#This Row],[Cumple
Capital de Trabajo]]="CUMPLE"),"CUMPLE","NO CUMPLE")</f>
        <v>CUMPLE</v>
      </c>
      <c r="AC179" s="24"/>
      <c r="AD179" s="10">
        <f>IF(Proponentes[[#This Row],[Liquidez
Oferente]]&lt;=1,1,IF(Proponentes[[#This Row],[Liquidez
Oferente]]&lt;=1.1,2,IF(Proponentes[[#This Row],[Liquidez
Oferente]]&lt;=1.2,3,IF(Proponentes[[#This Row],[Liquidez
Oferente]]&lt;=1.3,4,IF(Proponentes[[#This Row],[Liquidez
Oferente]]&lt;=1.4,5,6)))))</f>
        <v>6</v>
      </c>
      <c r="AE179" s="10">
        <f>IF(Proponentes[[#This Row],[Endeudamiento
Oferente]]&lt;=66%,6,IF(Proponentes[[#This Row],[Endeudamiento
Oferente]]&lt;=58,5,IF(Proponentes[[#This Row],[Endeudamiento
Oferente]]&lt;=70,4,IF(Proponentes[[#This Row],[Endeudamiento
Oferente]]&lt;=72,3,IF(Proponentes[[#This Row],[Endeudamiento
Oferente]]&lt;=74,2,1)))))</f>
        <v>6</v>
      </c>
      <c r="AF17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79" s="10">
        <f>IF(Proponentes[[#This Row],[Cap Op en SMMLV]]&lt;=500,1,IF(Proponentes[[#This Row],[Cap Op en SMMLV]]&lt;=1000,2,IF(Proponentes[[#This Row],[Cap Op en SMMLV]]&lt;=1500,3,IF(Proponentes[[#This Row],[Cap Op en SMMLV]]&lt;=2000,4,IF(Proponentes[[#This Row],[Cap Op en SMMLV]]&lt;=2500,5,6)))))</f>
        <v>1</v>
      </c>
      <c r="AH179" s="10">
        <f>MIN(Proponentes[[#This Row],[a]:[d]])</f>
        <v>1</v>
      </c>
      <c r="AI179" s="87">
        <f>IF(Proponentes[[#This Row],[e]]=Proponentes[[#This Row],[d]],Proponentes[[#This Row],[Cap Op en SMMLV]],VLOOKUP(Proponentes[[#This Row],[e]],Base!$D$1:$E$6,2,FALSE))</f>
        <v>329.94066673212842</v>
      </c>
      <c r="AJ179" s="101" t="str">
        <f>VLOOKUP(Proponentes[[#This Row],[Propuesta]],Hoja2!$A$2:$D$329,4,FALSE)</f>
        <v>CUMPLE</v>
      </c>
      <c r="AK179" s="101"/>
    </row>
    <row r="180" spans="1:37" ht="16" x14ac:dyDescent="0.2">
      <c r="A180" s="10">
        <v>179</v>
      </c>
      <c r="B180" s="11">
        <v>806016595</v>
      </c>
      <c r="C180" s="12" t="s">
        <v>253</v>
      </c>
      <c r="D180" s="13">
        <v>1352226089</v>
      </c>
      <c r="E180" s="13">
        <v>99662761</v>
      </c>
      <c r="F180" s="25">
        <f>Proponentes[[#This Row],[Activo Corriente]]+Proponentes[[#This Row],[Activo NO Corriente]]</f>
        <v>1451888850</v>
      </c>
      <c r="G180" s="13">
        <v>8082054</v>
      </c>
      <c r="H180" s="13">
        <v>0</v>
      </c>
      <c r="I180" s="25">
        <f>Proponentes[[#This Row],[Pasivo Corriente]]+Proponentes[[#This Row],[Pasivo NO Corriente]]</f>
        <v>8082054</v>
      </c>
      <c r="J180" s="14">
        <f>Proponentes[[#This Row],[Total ACTIVO]]-Proponentes[[#This Row],[Total Pasivo]]</f>
        <v>1443806796</v>
      </c>
      <c r="K180" s="48">
        <f>VLOOKUP(Proponentes[[#This Row],[Propuesta]],Hoja2!$A$2:$G$239,7,FALSE)</f>
        <v>725502709.0115658</v>
      </c>
      <c r="L180" s="15"/>
      <c r="M180" s="15" t="s">
        <v>28</v>
      </c>
      <c r="N180" s="55">
        <f>IFERROR(VLOOKUP(Proponentes[[#This Row],[Cap Op en SMMLV]],Base!$A$15:$F$20,3),0)</f>
        <v>1.1000000000000001</v>
      </c>
      <c r="O180" s="16">
        <f>IFERROR(VLOOKUP(Proponentes[[#This Row],[Cap Op en SMMLV]],Base!$A$15:$F$20,4),0)</f>
        <v>0.74</v>
      </c>
      <c r="P180" s="17">
        <f>IFERROR(VLOOKUP(Proponentes[[#This Row],[Cap Op en SMMLV]],Tabla2[],6),0)</f>
        <v>25</v>
      </c>
      <c r="Q180" s="18">
        <f>IFERROR(VLOOKUP(Proponentes[[#This Row],[Cap Op en SMMLV]],Base!$A$15:$F$20,5),0)</f>
        <v>20702900</v>
      </c>
      <c r="R180" s="18">
        <f>IFERROR(VLOOKUP(Proponentes[[#This Row],[Cap Op en SMMLV]],Tabla2[[DE]:[HASTA]],2),0)</f>
        <v>1000</v>
      </c>
      <c r="S180" s="19">
        <f>IFERROR(Proponentes[[#This Row],[Activo Corriente]]/Proponentes[[#This Row],[Pasivo Corriente]],"INDETERMINADO")</f>
        <v>167.31218190326371</v>
      </c>
      <c r="T180" s="20">
        <f>IFERROR(Proponentes[[#This Row],[Total Pasivo]]/Proponentes[[#This Row],[Total ACTIVO]],0)</f>
        <v>5.5665790118851043E-3</v>
      </c>
      <c r="U180" s="21">
        <f>(Proponentes[[#This Row],[Activo Corriente]]-Proponentes[[#This Row],[Pasivo Corriente]])/Base!$B$3</f>
        <v>1623.1349653913219</v>
      </c>
      <c r="V180" s="22">
        <f>Proponentes[[#This Row],[Activo Corriente]]-Proponentes[[#This Row],[Pasivo Corriente]]</f>
        <v>1344144035</v>
      </c>
      <c r="W180" s="13">
        <f>IFERROR(VLOOKUP(Proponentes[[#This Row],[Propuesta]],Hoja2!$A$2:$G$329,7,FALSE),0)</f>
        <v>725502709.0115658</v>
      </c>
      <c r="X180" s="83">
        <f>IF(Proponentes[[#This Row],[Cap Op en Pesos]]=0,0,IF(Proponentes[[#This Row],[Cap Op en Pesos]]=0,1,Proponentes[[#This Row],[Cap Op en Pesos]]/Base!B$3))</f>
        <v>876.08826421849813</v>
      </c>
      <c r="Y18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8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8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80" s="23" t="str">
        <f>IF(AND(Proponentes[[#This Row],[Cumple
Liquidez]]="CUMPLE",Proponentes[[#This Row],[Cumple
Endeudamiento]]="CUMPLE",Proponentes[[#This Row],[Cumple
Capital de Trabajo]]="CUMPLE"),"CUMPLE","NO CUMPLE")</f>
        <v>CUMPLE</v>
      </c>
      <c r="AC180" s="24"/>
      <c r="AD180" s="10">
        <f>IF(Proponentes[[#This Row],[Liquidez
Oferente]]&lt;=1,1,IF(Proponentes[[#This Row],[Liquidez
Oferente]]&lt;=1.1,2,IF(Proponentes[[#This Row],[Liquidez
Oferente]]&lt;=1.2,3,IF(Proponentes[[#This Row],[Liquidez
Oferente]]&lt;=1.3,4,IF(Proponentes[[#This Row],[Liquidez
Oferente]]&lt;=1.4,5,6)))))</f>
        <v>6</v>
      </c>
      <c r="AE180" s="10">
        <f>IF(Proponentes[[#This Row],[Endeudamiento
Oferente]]&lt;=66%,6,IF(Proponentes[[#This Row],[Endeudamiento
Oferente]]&lt;=58,5,IF(Proponentes[[#This Row],[Endeudamiento
Oferente]]&lt;=70,4,IF(Proponentes[[#This Row],[Endeudamiento
Oferente]]&lt;=72,3,IF(Proponentes[[#This Row],[Endeudamiento
Oferente]]&lt;=74,2,1)))))</f>
        <v>6</v>
      </c>
      <c r="AF18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80" s="10">
        <f>IF(Proponentes[[#This Row],[Cap Op en SMMLV]]&lt;=500,1,IF(Proponentes[[#This Row],[Cap Op en SMMLV]]&lt;=1000,2,IF(Proponentes[[#This Row],[Cap Op en SMMLV]]&lt;=1500,3,IF(Proponentes[[#This Row],[Cap Op en SMMLV]]&lt;=2000,4,IF(Proponentes[[#This Row],[Cap Op en SMMLV]]&lt;=2500,5,6)))))</f>
        <v>2</v>
      </c>
      <c r="AH180" s="10">
        <f>MIN(Proponentes[[#This Row],[a]:[d]])</f>
        <v>2</v>
      </c>
      <c r="AI180" s="87">
        <f>IF(Proponentes[[#This Row],[e]]=Proponentes[[#This Row],[d]],Proponentes[[#This Row],[Cap Op en SMMLV]],VLOOKUP(Proponentes[[#This Row],[e]],Base!$D$1:$E$6,2,FALSE))</f>
        <v>876.08826421849813</v>
      </c>
      <c r="AJ180" s="101" t="str">
        <f>VLOOKUP(Proponentes[[#This Row],[Propuesta]],Hoja2!$A$2:$D$329,4,FALSE)</f>
        <v>NO CUMPLE</v>
      </c>
      <c r="AK180" s="101"/>
    </row>
    <row r="181" spans="1:37" ht="16" x14ac:dyDescent="0.2">
      <c r="A181" s="10">
        <v>180</v>
      </c>
      <c r="B181" s="11">
        <v>900237305</v>
      </c>
      <c r="C181" s="12" t="s">
        <v>254</v>
      </c>
      <c r="D181" s="13">
        <v>126143012</v>
      </c>
      <c r="E181" s="13">
        <v>79064337</v>
      </c>
      <c r="F181" s="25">
        <f>Proponentes[[#This Row],[Activo Corriente]]+Proponentes[[#This Row],[Activo NO Corriente]]</f>
        <v>205207349</v>
      </c>
      <c r="G181" s="13">
        <v>44000000</v>
      </c>
      <c r="H181" s="13">
        <v>0</v>
      </c>
      <c r="I181" s="25">
        <f>Proponentes[[#This Row],[Pasivo Corriente]]+Proponentes[[#This Row],[Pasivo NO Corriente]]</f>
        <v>44000000</v>
      </c>
      <c r="J181" s="14">
        <f>Proponentes[[#This Row],[Total ACTIVO]]-Proponentes[[#This Row],[Total Pasivo]]</f>
        <v>161207349</v>
      </c>
      <c r="K181" s="48">
        <f>VLOOKUP(Proponentes[[#This Row],[Propuesta]],Hoja2!$A$2:$G$239,7,FALSE)</f>
        <v>0</v>
      </c>
      <c r="L181" s="15"/>
      <c r="M181" s="15" t="s">
        <v>28</v>
      </c>
      <c r="N181" s="55">
        <f>IFERROR(VLOOKUP(Proponentes[[#This Row],[Cap Op en SMMLV]],Base!$A$15:$F$20,3),0)</f>
        <v>0</v>
      </c>
      <c r="O181" s="16">
        <f>IFERROR(VLOOKUP(Proponentes[[#This Row],[Cap Op en SMMLV]],Base!$A$15:$F$20,4),0)</f>
        <v>0</v>
      </c>
      <c r="P181" s="17">
        <f>IFERROR(VLOOKUP(Proponentes[[#This Row],[Cap Op en SMMLV]],Tabla2[],6),0)</f>
        <v>0</v>
      </c>
      <c r="Q181" s="18">
        <f>IFERROR(VLOOKUP(Proponentes[[#This Row],[Cap Op en SMMLV]],Base!$A$15:$F$20,5),0)</f>
        <v>0</v>
      </c>
      <c r="R181" s="18">
        <f>IFERROR(VLOOKUP(Proponentes[[#This Row],[Cap Op en SMMLV]],Tabla2[[DE]:[HASTA]],2),0)</f>
        <v>0</v>
      </c>
      <c r="S181" s="19">
        <f>IFERROR(Proponentes[[#This Row],[Activo Corriente]]/Proponentes[[#This Row],[Pasivo Corriente]],"INDETERMINADO")</f>
        <v>2.8668866363636365</v>
      </c>
      <c r="T181" s="20">
        <f>IFERROR(Proponentes[[#This Row],[Total Pasivo]]/Proponentes[[#This Row],[Total ACTIVO]],0)</f>
        <v>0.21441727216114467</v>
      </c>
      <c r="U181" s="21">
        <f>(Proponentes[[#This Row],[Activo Corriente]]-Proponentes[[#This Row],[Pasivo Corriente]])/Base!$B$3</f>
        <v>99.192639678499148</v>
      </c>
      <c r="V181" s="22">
        <f>Proponentes[[#This Row],[Activo Corriente]]-Proponentes[[#This Row],[Pasivo Corriente]]</f>
        <v>82143012</v>
      </c>
      <c r="W181" s="13">
        <f>IFERROR(VLOOKUP(Proponentes[[#This Row],[Propuesta]],Hoja2!$A$2:$G$329,7,FALSE),0)</f>
        <v>0</v>
      </c>
      <c r="X181" s="83">
        <f>IF(Proponentes[[#This Row],[Cap Op en Pesos]]=0,0,IF(Proponentes[[#This Row],[Cap Op en Pesos]]=0,1,Proponentes[[#This Row],[Cap Op en Pesos]]/Base!B$3))</f>
        <v>0</v>
      </c>
      <c r="Y18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8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8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81" s="23" t="str">
        <f>IF(AND(Proponentes[[#This Row],[Cumple
Liquidez]]="CUMPLE",Proponentes[[#This Row],[Cumple
Endeudamiento]]="CUMPLE",Proponentes[[#This Row],[Cumple
Capital de Trabajo]]="CUMPLE"),"CUMPLE","NO CUMPLE")</f>
        <v>NO CUMPLE</v>
      </c>
      <c r="AC181" s="24"/>
      <c r="AD181" s="10">
        <f>IF(Proponentes[[#This Row],[Liquidez
Oferente]]&lt;=1,1,IF(Proponentes[[#This Row],[Liquidez
Oferente]]&lt;=1.1,2,IF(Proponentes[[#This Row],[Liquidez
Oferente]]&lt;=1.2,3,IF(Proponentes[[#This Row],[Liquidez
Oferente]]&lt;=1.3,4,IF(Proponentes[[#This Row],[Liquidez
Oferente]]&lt;=1.4,5,6)))))</f>
        <v>6</v>
      </c>
      <c r="AE181" s="10">
        <f>IF(Proponentes[[#This Row],[Endeudamiento
Oferente]]&lt;=66%,6,IF(Proponentes[[#This Row],[Endeudamiento
Oferente]]&lt;=58,5,IF(Proponentes[[#This Row],[Endeudamiento
Oferente]]&lt;=70,4,IF(Proponentes[[#This Row],[Endeudamiento
Oferente]]&lt;=72,3,IF(Proponentes[[#This Row],[Endeudamiento
Oferente]]&lt;=74,2,1)))))</f>
        <v>6</v>
      </c>
      <c r="AF18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81" s="10">
        <f>IF(Proponentes[[#This Row],[Cap Op en SMMLV]]&lt;=500,1,IF(Proponentes[[#This Row],[Cap Op en SMMLV]]&lt;=1000,2,IF(Proponentes[[#This Row],[Cap Op en SMMLV]]&lt;=1500,3,IF(Proponentes[[#This Row],[Cap Op en SMMLV]]&lt;=2000,4,IF(Proponentes[[#This Row],[Cap Op en SMMLV]]&lt;=2500,5,6)))))</f>
        <v>1</v>
      </c>
      <c r="AH181" s="10">
        <f>MIN(Proponentes[[#This Row],[a]:[d]])</f>
        <v>1</v>
      </c>
      <c r="AI181" s="87">
        <f>IF(Proponentes[[#This Row],[e]]=Proponentes[[#This Row],[d]],Proponentes[[#This Row],[Cap Op en SMMLV]],VLOOKUP(Proponentes[[#This Row],[e]],Base!$D$1:$E$6,2,FALSE))</f>
        <v>0</v>
      </c>
      <c r="AJ181" s="101" t="str">
        <f>VLOOKUP(Proponentes[[#This Row],[Propuesta]],Hoja2!$A$2:$D$329,4,FALSE)</f>
        <v>NO CUMPLE</v>
      </c>
      <c r="AK181" s="101"/>
    </row>
    <row r="182" spans="1:37" ht="16" x14ac:dyDescent="0.2">
      <c r="A182" s="10">
        <v>181</v>
      </c>
      <c r="B182" s="11">
        <v>900509527</v>
      </c>
      <c r="C182" s="12" t="s">
        <v>255</v>
      </c>
      <c r="D182" s="13">
        <v>287748461</v>
      </c>
      <c r="E182" s="13">
        <v>275858754</v>
      </c>
      <c r="F182" s="25">
        <f>Proponentes[[#This Row],[Activo Corriente]]+Proponentes[[#This Row],[Activo NO Corriente]]</f>
        <v>563607215</v>
      </c>
      <c r="G182" s="13">
        <v>9375500</v>
      </c>
      <c r="H182" s="13">
        <v>0</v>
      </c>
      <c r="I182" s="25">
        <f>Proponentes[[#This Row],[Pasivo Corriente]]+Proponentes[[#This Row],[Pasivo NO Corriente]]</f>
        <v>9375500</v>
      </c>
      <c r="J182" s="14">
        <f>Proponentes[[#This Row],[Total ACTIVO]]-Proponentes[[#This Row],[Total Pasivo]]</f>
        <v>554231715</v>
      </c>
      <c r="K182" s="48">
        <f>VLOOKUP(Proponentes[[#This Row],[Propuesta]],Hoja2!$A$2:$G$239,7,FALSE)</f>
        <v>159866848.99596912</v>
      </c>
      <c r="L182" s="15"/>
      <c r="M182" s="15" t="s">
        <v>59</v>
      </c>
      <c r="N182" s="55">
        <f>IFERROR(VLOOKUP(Proponentes[[#This Row],[Cap Op en SMMLV]],Base!$A$15:$F$20,3),0)</f>
        <v>1</v>
      </c>
      <c r="O182" s="16">
        <f>IFERROR(VLOOKUP(Proponentes[[#This Row],[Cap Op en SMMLV]],Base!$A$15:$F$20,4),0)</f>
        <v>0.76</v>
      </c>
      <c r="P182" s="17">
        <f>IFERROR(VLOOKUP(Proponentes[[#This Row],[Cap Op en SMMLV]],Tabla2[],6),0)</f>
        <v>12.5</v>
      </c>
      <c r="Q182" s="18">
        <f>IFERROR(VLOOKUP(Proponentes[[#This Row],[Cap Op en SMMLV]],Base!$A$15:$F$20,5),0)</f>
        <v>10351450</v>
      </c>
      <c r="R182" s="18">
        <f>IFERROR(VLOOKUP(Proponentes[[#This Row],[Cap Op en SMMLV]],Tabla2[[DE]:[HASTA]],2),0)</f>
        <v>500</v>
      </c>
      <c r="S182" s="19">
        <f>IFERROR(Proponentes[[#This Row],[Activo Corriente]]/Proponentes[[#This Row],[Pasivo Corriente]],"INDETERMINADO")</f>
        <v>30.691532291611114</v>
      </c>
      <c r="T182" s="20">
        <f>IFERROR(Proponentes[[#This Row],[Total Pasivo]]/Proponentes[[#This Row],[Total ACTIVO]],0)</f>
        <v>1.6634811887566058E-2</v>
      </c>
      <c r="U182" s="21">
        <f>(Proponentes[[#This Row],[Activo Corriente]]-Proponentes[[#This Row],[Pasivo Corriente]])/Base!$B$3</f>
        <v>336.15213448357474</v>
      </c>
      <c r="V182" s="22">
        <f>Proponentes[[#This Row],[Activo Corriente]]-Proponentes[[#This Row],[Pasivo Corriente]]</f>
        <v>278372961</v>
      </c>
      <c r="W182" s="13">
        <f>IFERROR(VLOOKUP(Proponentes[[#This Row],[Propuesta]],Hoja2!$A$2:$G$329,7,FALSE),0)</f>
        <v>159866848.99596912</v>
      </c>
      <c r="X182" s="83">
        <f>IF(Proponentes[[#This Row],[Cap Op en Pesos]]=0,0,IF(Proponentes[[#This Row],[Cap Op en Pesos]]=0,1,Proponentes[[#This Row],[Cap Op en Pesos]]/Base!B$3))</f>
        <v>193.04885909216719</v>
      </c>
      <c r="Y18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8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8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82" s="23" t="str">
        <f>IF(AND(Proponentes[[#This Row],[Cumple
Liquidez]]="CUMPLE",Proponentes[[#This Row],[Cumple
Endeudamiento]]="CUMPLE",Proponentes[[#This Row],[Cumple
Capital de Trabajo]]="CUMPLE"),"CUMPLE","NO CUMPLE")</f>
        <v>CUMPLE</v>
      </c>
      <c r="AC182" s="24"/>
      <c r="AD182" s="10">
        <f>IF(Proponentes[[#This Row],[Liquidez
Oferente]]&lt;=1,1,IF(Proponentes[[#This Row],[Liquidez
Oferente]]&lt;=1.1,2,IF(Proponentes[[#This Row],[Liquidez
Oferente]]&lt;=1.2,3,IF(Proponentes[[#This Row],[Liquidez
Oferente]]&lt;=1.3,4,IF(Proponentes[[#This Row],[Liquidez
Oferente]]&lt;=1.4,5,6)))))</f>
        <v>6</v>
      </c>
      <c r="AE182" s="10">
        <f>IF(Proponentes[[#This Row],[Endeudamiento
Oferente]]&lt;=66%,6,IF(Proponentes[[#This Row],[Endeudamiento
Oferente]]&lt;=58,5,IF(Proponentes[[#This Row],[Endeudamiento
Oferente]]&lt;=70,4,IF(Proponentes[[#This Row],[Endeudamiento
Oferente]]&lt;=72,3,IF(Proponentes[[#This Row],[Endeudamiento
Oferente]]&lt;=74,2,1)))))</f>
        <v>6</v>
      </c>
      <c r="AF18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82" s="10">
        <f>IF(Proponentes[[#This Row],[Cap Op en SMMLV]]&lt;=500,1,IF(Proponentes[[#This Row],[Cap Op en SMMLV]]&lt;=1000,2,IF(Proponentes[[#This Row],[Cap Op en SMMLV]]&lt;=1500,3,IF(Proponentes[[#This Row],[Cap Op en SMMLV]]&lt;=2000,4,IF(Proponentes[[#This Row],[Cap Op en SMMLV]]&lt;=2500,5,6)))))</f>
        <v>1</v>
      </c>
      <c r="AH182" s="10">
        <f>MIN(Proponentes[[#This Row],[a]:[d]])</f>
        <v>1</v>
      </c>
      <c r="AI182" s="87">
        <f>IF(Proponentes[[#This Row],[e]]=Proponentes[[#This Row],[d]],Proponentes[[#This Row],[Cap Op en SMMLV]],VLOOKUP(Proponentes[[#This Row],[e]],Base!$D$1:$E$6,2,FALSE))</f>
        <v>193.04885909216719</v>
      </c>
      <c r="AJ182" s="101" t="str">
        <f>VLOOKUP(Proponentes[[#This Row],[Propuesta]],Hoja2!$A$2:$D$329,4,FALSE)</f>
        <v>CUMPLE</v>
      </c>
      <c r="AK182" s="101"/>
    </row>
    <row r="183" spans="1:37" ht="16" x14ac:dyDescent="0.2">
      <c r="A183" s="10">
        <v>182</v>
      </c>
      <c r="B183" s="11">
        <v>802003290</v>
      </c>
      <c r="C183" s="12" t="s">
        <v>256</v>
      </c>
      <c r="D183" s="13">
        <v>359819320</v>
      </c>
      <c r="E183" s="13">
        <v>0</v>
      </c>
      <c r="F183" s="25">
        <f>Proponentes[[#This Row],[Activo Corriente]]+Proponentes[[#This Row],[Activo NO Corriente]]</f>
        <v>359819320</v>
      </c>
      <c r="G183" s="13">
        <v>41073680</v>
      </c>
      <c r="H183" s="13">
        <v>94581930</v>
      </c>
      <c r="I183" s="25">
        <f>Proponentes[[#This Row],[Pasivo Corriente]]+Proponentes[[#This Row],[Pasivo NO Corriente]]</f>
        <v>135655610</v>
      </c>
      <c r="J183" s="14">
        <f>Proponentes[[#This Row],[Total ACTIVO]]-Proponentes[[#This Row],[Total Pasivo]]</f>
        <v>224163710</v>
      </c>
      <c r="K183" s="48">
        <f>VLOOKUP(Proponentes[[#This Row],[Propuesta]],Hoja2!$A$2:$G$239,7,FALSE)</f>
        <v>694431996.54928029</v>
      </c>
      <c r="L183" s="15"/>
      <c r="M183" s="15" t="s">
        <v>59</v>
      </c>
      <c r="N183" s="55">
        <f>IFERROR(VLOOKUP(Proponentes[[#This Row],[Cap Op en SMMLV]],Base!$A$15:$F$20,3),0)</f>
        <v>1.1000000000000001</v>
      </c>
      <c r="O183" s="16">
        <f>IFERROR(VLOOKUP(Proponentes[[#This Row],[Cap Op en SMMLV]],Base!$A$15:$F$20,4),0)</f>
        <v>0.74</v>
      </c>
      <c r="P183" s="17">
        <f>IFERROR(VLOOKUP(Proponentes[[#This Row],[Cap Op en SMMLV]],Tabla2[],6),0)</f>
        <v>25</v>
      </c>
      <c r="Q183" s="18">
        <f>IFERROR(VLOOKUP(Proponentes[[#This Row],[Cap Op en SMMLV]],Base!$A$15:$F$20,5),0)</f>
        <v>20702900</v>
      </c>
      <c r="R183" s="18">
        <f>IFERROR(VLOOKUP(Proponentes[[#This Row],[Cap Op en SMMLV]],Tabla2[[DE]:[HASTA]],2),0)</f>
        <v>1000</v>
      </c>
      <c r="S183" s="19">
        <f>IFERROR(Proponentes[[#This Row],[Activo Corriente]]/Proponentes[[#This Row],[Pasivo Corriente]],"INDETERMINADO")</f>
        <v>8.7603380072104571</v>
      </c>
      <c r="T183" s="20">
        <f>IFERROR(Proponentes[[#This Row],[Total Pasivo]]/Proponentes[[#This Row],[Total ACTIVO]],0)</f>
        <v>0.37701035619766055</v>
      </c>
      <c r="U183" s="21">
        <f>(Proponentes[[#This Row],[Activo Corriente]]-Proponentes[[#This Row],[Pasivo Corriente]])/Base!$B$3</f>
        <v>384.90457858560876</v>
      </c>
      <c r="V183" s="22">
        <f>Proponentes[[#This Row],[Activo Corriente]]-Proponentes[[#This Row],[Pasivo Corriente]]</f>
        <v>318745640</v>
      </c>
      <c r="W183" s="13">
        <f>IFERROR(VLOOKUP(Proponentes[[#This Row],[Propuesta]],Hoja2!$A$2:$G$329,7,FALSE),0)</f>
        <v>694431996.54928029</v>
      </c>
      <c r="X183" s="83">
        <f>IF(Proponentes[[#This Row],[Cap Op en Pesos]]=0,0,IF(Proponentes[[#This Row],[Cap Op en Pesos]]=0,1,Proponentes[[#This Row],[Cap Op en Pesos]]/Base!B$3))</f>
        <v>838.56850555873848</v>
      </c>
      <c r="Y18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8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8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83" s="23" t="str">
        <f>IF(AND(Proponentes[[#This Row],[Cumple
Liquidez]]="CUMPLE",Proponentes[[#This Row],[Cumple
Endeudamiento]]="CUMPLE",Proponentes[[#This Row],[Cumple
Capital de Trabajo]]="CUMPLE"),"CUMPLE","NO CUMPLE")</f>
        <v>CUMPLE</v>
      </c>
      <c r="AC183" s="24"/>
      <c r="AD183" s="10">
        <f>IF(Proponentes[[#This Row],[Liquidez
Oferente]]&lt;=1,1,IF(Proponentes[[#This Row],[Liquidez
Oferente]]&lt;=1.1,2,IF(Proponentes[[#This Row],[Liquidez
Oferente]]&lt;=1.2,3,IF(Proponentes[[#This Row],[Liquidez
Oferente]]&lt;=1.3,4,IF(Proponentes[[#This Row],[Liquidez
Oferente]]&lt;=1.4,5,6)))))</f>
        <v>6</v>
      </c>
      <c r="AE183" s="10">
        <f>IF(Proponentes[[#This Row],[Endeudamiento
Oferente]]&lt;=66%,6,IF(Proponentes[[#This Row],[Endeudamiento
Oferente]]&lt;=58,5,IF(Proponentes[[#This Row],[Endeudamiento
Oferente]]&lt;=70,4,IF(Proponentes[[#This Row],[Endeudamiento
Oferente]]&lt;=72,3,IF(Proponentes[[#This Row],[Endeudamiento
Oferente]]&lt;=74,2,1)))))</f>
        <v>6</v>
      </c>
      <c r="AF18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83" s="10">
        <f>IF(Proponentes[[#This Row],[Cap Op en SMMLV]]&lt;=500,1,IF(Proponentes[[#This Row],[Cap Op en SMMLV]]&lt;=1000,2,IF(Proponentes[[#This Row],[Cap Op en SMMLV]]&lt;=1500,3,IF(Proponentes[[#This Row],[Cap Op en SMMLV]]&lt;=2000,4,IF(Proponentes[[#This Row],[Cap Op en SMMLV]]&lt;=2500,5,6)))))</f>
        <v>2</v>
      </c>
      <c r="AH183" s="10">
        <f>MIN(Proponentes[[#This Row],[a]:[d]])</f>
        <v>2</v>
      </c>
      <c r="AI183" s="87">
        <f>IF(Proponentes[[#This Row],[e]]=Proponentes[[#This Row],[d]],Proponentes[[#This Row],[Cap Op en SMMLV]],VLOOKUP(Proponentes[[#This Row],[e]],Base!$D$1:$E$6,2,FALSE))</f>
        <v>838.56850555873848</v>
      </c>
      <c r="AJ183" s="101" t="str">
        <f>VLOOKUP(Proponentes[[#This Row],[Propuesta]],Hoja2!$A$2:$D$329,4,FALSE)</f>
        <v>NO CUMPLE</v>
      </c>
      <c r="AK183" s="101"/>
    </row>
    <row r="184" spans="1:37" ht="16" x14ac:dyDescent="0.2">
      <c r="A184" s="10">
        <v>183</v>
      </c>
      <c r="B184" s="11">
        <v>806013417</v>
      </c>
      <c r="C184" s="12" t="s">
        <v>257</v>
      </c>
      <c r="D184" s="13">
        <v>506681750</v>
      </c>
      <c r="E184" s="13">
        <v>65490000</v>
      </c>
      <c r="F184" s="25">
        <f>Proponentes[[#This Row],[Activo Corriente]]+Proponentes[[#This Row],[Activo NO Corriente]]</f>
        <v>572171750</v>
      </c>
      <c r="G184" s="13">
        <v>92306250</v>
      </c>
      <c r="H184" s="13">
        <v>0</v>
      </c>
      <c r="I184" s="25">
        <f>Proponentes[[#This Row],[Pasivo Corriente]]+Proponentes[[#This Row],[Pasivo NO Corriente]]</f>
        <v>92306250</v>
      </c>
      <c r="J184" s="14">
        <f>Proponentes[[#This Row],[Total ACTIVO]]-Proponentes[[#This Row],[Total Pasivo]]</f>
        <v>479865500</v>
      </c>
      <c r="K184" s="48">
        <f>VLOOKUP(Proponentes[[#This Row],[Propuesta]],Hoja2!$A$2:$G$239,7,FALSE)</f>
        <v>308452059.04412621</v>
      </c>
      <c r="L184" s="15"/>
      <c r="M184" s="15" t="s">
        <v>59</v>
      </c>
      <c r="N184" s="55">
        <f>IFERROR(VLOOKUP(Proponentes[[#This Row],[Cap Op en SMMLV]],Base!$A$15:$F$20,3),0)</f>
        <v>1</v>
      </c>
      <c r="O184" s="16">
        <f>IFERROR(VLOOKUP(Proponentes[[#This Row],[Cap Op en SMMLV]],Base!$A$15:$F$20,4),0)</f>
        <v>0.76</v>
      </c>
      <c r="P184" s="17">
        <f>IFERROR(VLOOKUP(Proponentes[[#This Row],[Cap Op en SMMLV]],Tabla2[],6),0)</f>
        <v>12.5</v>
      </c>
      <c r="Q184" s="18">
        <f>IFERROR(VLOOKUP(Proponentes[[#This Row],[Cap Op en SMMLV]],Base!$A$15:$F$20,5),0)</f>
        <v>10351450</v>
      </c>
      <c r="R184" s="18">
        <f>IFERROR(VLOOKUP(Proponentes[[#This Row],[Cap Op en SMMLV]],Tabla2[[DE]:[HASTA]],2),0)</f>
        <v>500</v>
      </c>
      <c r="S184" s="19">
        <f>IFERROR(Proponentes[[#This Row],[Activo Corriente]]/Proponentes[[#This Row],[Pasivo Corriente]],"INDETERMINADO")</f>
        <v>5.4891380594488455</v>
      </c>
      <c r="T184" s="20">
        <f>IFERROR(Proponentes[[#This Row],[Total Pasivo]]/Proponentes[[#This Row],[Total ACTIVO]],0)</f>
        <v>0.16132612279442318</v>
      </c>
      <c r="U184" s="21">
        <f>(Proponentes[[#This Row],[Activo Corriente]]-Proponentes[[#This Row],[Pasivo Corriente]])/Base!$B$3</f>
        <v>500.38340039318166</v>
      </c>
      <c r="V184" s="22">
        <f>Proponentes[[#This Row],[Activo Corriente]]-Proponentes[[#This Row],[Pasivo Corriente]]</f>
        <v>414375500</v>
      </c>
      <c r="W184" s="13">
        <f>IFERROR(VLOOKUP(Proponentes[[#This Row],[Propuesta]],Hoja2!$A$2:$G$329,7,FALSE),0)</f>
        <v>308452059.04412621</v>
      </c>
      <c r="X184" s="83">
        <f>IF(Proponentes[[#This Row],[Cap Op en Pesos]]=0,0,IF(Proponentes[[#This Row],[Cap Op en Pesos]]=0,1,Proponentes[[#This Row],[Cap Op en Pesos]]/Base!B$3))</f>
        <v>372.47445894551754</v>
      </c>
      <c r="Y18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8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8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84" s="23" t="str">
        <f>IF(AND(Proponentes[[#This Row],[Cumple
Liquidez]]="CUMPLE",Proponentes[[#This Row],[Cumple
Endeudamiento]]="CUMPLE",Proponentes[[#This Row],[Cumple
Capital de Trabajo]]="CUMPLE"),"CUMPLE","NO CUMPLE")</f>
        <v>CUMPLE</v>
      </c>
      <c r="AC184" s="24"/>
      <c r="AD184" s="10">
        <f>IF(Proponentes[[#This Row],[Liquidez
Oferente]]&lt;=1,1,IF(Proponentes[[#This Row],[Liquidez
Oferente]]&lt;=1.1,2,IF(Proponentes[[#This Row],[Liquidez
Oferente]]&lt;=1.2,3,IF(Proponentes[[#This Row],[Liquidez
Oferente]]&lt;=1.3,4,IF(Proponentes[[#This Row],[Liquidez
Oferente]]&lt;=1.4,5,6)))))</f>
        <v>6</v>
      </c>
      <c r="AE184" s="10">
        <f>IF(Proponentes[[#This Row],[Endeudamiento
Oferente]]&lt;=66%,6,IF(Proponentes[[#This Row],[Endeudamiento
Oferente]]&lt;=58,5,IF(Proponentes[[#This Row],[Endeudamiento
Oferente]]&lt;=70,4,IF(Proponentes[[#This Row],[Endeudamiento
Oferente]]&lt;=72,3,IF(Proponentes[[#This Row],[Endeudamiento
Oferente]]&lt;=74,2,1)))))</f>
        <v>6</v>
      </c>
      <c r="AF18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84" s="10">
        <f>IF(Proponentes[[#This Row],[Cap Op en SMMLV]]&lt;=500,1,IF(Proponentes[[#This Row],[Cap Op en SMMLV]]&lt;=1000,2,IF(Proponentes[[#This Row],[Cap Op en SMMLV]]&lt;=1500,3,IF(Proponentes[[#This Row],[Cap Op en SMMLV]]&lt;=2000,4,IF(Proponentes[[#This Row],[Cap Op en SMMLV]]&lt;=2500,5,6)))))</f>
        <v>1</v>
      </c>
      <c r="AH184" s="10">
        <f>MIN(Proponentes[[#This Row],[a]:[d]])</f>
        <v>1</v>
      </c>
      <c r="AI184" s="87">
        <f>IF(Proponentes[[#This Row],[e]]=Proponentes[[#This Row],[d]],Proponentes[[#This Row],[Cap Op en SMMLV]],VLOOKUP(Proponentes[[#This Row],[e]],Base!$D$1:$E$6,2,FALSE))</f>
        <v>372.47445894551754</v>
      </c>
      <c r="AJ184" s="101" t="str">
        <f>VLOOKUP(Proponentes[[#This Row],[Propuesta]],Hoja2!$A$2:$D$329,4,FALSE)</f>
        <v>CUMPLE</v>
      </c>
      <c r="AK184" s="101"/>
    </row>
    <row r="185" spans="1:37" ht="16" x14ac:dyDescent="0.2">
      <c r="A185" s="10">
        <v>184</v>
      </c>
      <c r="B185" s="11">
        <v>828000312</v>
      </c>
      <c r="C185" s="12" t="s">
        <v>258</v>
      </c>
      <c r="D185" s="13">
        <v>2073550270</v>
      </c>
      <c r="E185" s="13">
        <v>351800630</v>
      </c>
      <c r="F185" s="25">
        <f>Proponentes[[#This Row],[Activo Corriente]]+Proponentes[[#This Row],[Activo NO Corriente]]</f>
        <v>2425350900</v>
      </c>
      <c r="G185" s="13">
        <v>61184867</v>
      </c>
      <c r="H185" s="13">
        <v>701946949</v>
      </c>
      <c r="I185" s="25">
        <f>Proponentes[[#This Row],[Pasivo Corriente]]+Proponentes[[#This Row],[Pasivo NO Corriente]]</f>
        <v>763131816</v>
      </c>
      <c r="J185" s="14">
        <f>Proponentes[[#This Row],[Total ACTIVO]]-Proponentes[[#This Row],[Total Pasivo]]</f>
        <v>1662219084</v>
      </c>
      <c r="K185" s="48">
        <f>VLOOKUP(Proponentes[[#This Row],[Propuesta]],Hoja2!$A$2:$G$239,7,FALSE)</f>
        <v>797867218.3672874</v>
      </c>
      <c r="L185" s="15"/>
      <c r="M185" s="15" t="s">
        <v>59</v>
      </c>
      <c r="N185" s="55">
        <f>IFERROR(VLOOKUP(Proponentes[[#This Row],[Cap Op en SMMLV]],Base!$A$15:$F$20,3),0)</f>
        <v>1.1000000000000001</v>
      </c>
      <c r="O185" s="16">
        <f>IFERROR(VLOOKUP(Proponentes[[#This Row],[Cap Op en SMMLV]],Base!$A$15:$F$20,4),0)</f>
        <v>0.74</v>
      </c>
      <c r="P185" s="17">
        <f>IFERROR(VLOOKUP(Proponentes[[#This Row],[Cap Op en SMMLV]],Tabla2[],6),0)</f>
        <v>25</v>
      </c>
      <c r="Q185" s="18">
        <f>IFERROR(VLOOKUP(Proponentes[[#This Row],[Cap Op en SMMLV]],Base!$A$15:$F$20,5),0)</f>
        <v>20702900</v>
      </c>
      <c r="R185" s="18">
        <f>IFERROR(VLOOKUP(Proponentes[[#This Row],[Cap Op en SMMLV]],Tabla2[[DE]:[HASTA]],2),0)</f>
        <v>1000</v>
      </c>
      <c r="S185" s="19">
        <f>IFERROR(Proponentes[[#This Row],[Activo Corriente]]/Proponentes[[#This Row],[Pasivo Corriente]],"INDETERMINADO")</f>
        <v>33.889920362170599</v>
      </c>
      <c r="T185" s="20">
        <f>IFERROR(Proponentes[[#This Row],[Total Pasivo]]/Proponentes[[#This Row],[Total ACTIVO]],0)</f>
        <v>0.31464800248079566</v>
      </c>
      <c r="U185" s="21">
        <f>(Proponentes[[#This Row],[Activo Corriente]]-Proponentes[[#This Row],[Pasivo Corriente]])/Base!$B$3</f>
        <v>2430.0525566466536</v>
      </c>
      <c r="V185" s="22">
        <f>Proponentes[[#This Row],[Activo Corriente]]-Proponentes[[#This Row],[Pasivo Corriente]]</f>
        <v>2012365403</v>
      </c>
      <c r="W185" s="13">
        <f>IFERROR(VLOOKUP(Proponentes[[#This Row],[Propuesta]],Hoja2!$A$2:$G$329,7,FALSE),0)</f>
        <v>797867218.3672874</v>
      </c>
      <c r="X185" s="83">
        <f>IF(Proponentes[[#This Row],[Cap Op en Pesos]]=0,0,IF(Proponentes[[#This Row],[Cap Op en Pesos]]=0,1,Proponentes[[#This Row],[Cap Op en Pesos]]/Base!B$3))</f>
        <v>963.4727723740242</v>
      </c>
      <c r="Y18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8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8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85" s="23" t="str">
        <f>IF(AND(Proponentes[[#This Row],[Cumple
Liquidez]]="CUMPLE",Proponentes[[#This Row],[Cumple
Endeudamiento]]="CUMPLE",Proponentes[[#This Row],[Cumple
Capital de Trabajo]]="CUMPLE"),"CUMPLE","NO CUMPLE")</f>
        <v>CUMPLE</v>
      </c>
      <c r="AC185" s="24"/>
      <c r="AD185" s="10">
        <f>IF(Proponentes[[#This Row],[Liquidez
Oferente]]&lt;=1,1,IF(Proponentes[[#This Row],[Liquidez
Oferente]]&lt;=1.1,2,IF(Proponentes[[#This Row],[Liquidez
Oferente]]&lt;=1.2,3,IF(Proponentes[[#This Row],[Liquidez
Oferente]]&lt;=1.3,4,IF(Proponentes[[#This Row],[Liquidez
Oferente]]&lt;=1.4,5,6)))))</f>
        <v>6</v>
      </c>
      <c r="AE185" s="10">
        <f>IF(Proponentes[[#This Row],[Endeudamiento
Oferente]]&lt;=66%,6,IF(Proponentes[[#This Row],[Endeudamiento
Oferente]]&lt;=58,5,IF(Proponentes[[#This Row],[Endeudamiento
Oferente]]&lt;=70,4,IF(Proponentes[[#This Row],[Endeudamiento
Oferente]]&lt;=72,3,IF(Proponentes[[#This Row],[Endeudamiento
Oferente]]&lt;=74,2,1)))))</f>
        <v>6</v>
      </c>
      <c r="AF18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85" s="10">
        <f>IF(Proponentes[[#This Row],[Cap Op en SMMLV]]&lt;=500,1,IF(Proponentes[[#This Row],[Cap Op en SMMLV]]&lt;=1000,2,IF(Proponentes[[#This Row],[Cap Op en SMMLV]]&lt;=1500,3,IF(Proponentes[[#This Row],[Cap Op en SMMLV]]&lt;=2000,4,IF(Proponentes[[#This Row],[Cap Op en SMMLV]]&lt;=2500,5,6)))))</f>
        <v>2</v>
      </c>
      <c r="AH185" s="10">
        <f>MIN(Proponentes[[#This Row],[a]:[d]])</f>
        <v>2</v>
      </c>
      <c r="AI185" s="87">
        <f>IF(Proponentes[[#This Row],[e]]=Proponentes[[#This Row],[d]],Proponentes[[#This Row],[Cap Op en SMMLV]],VLOOKUP(Proponentes[[#This Row],[e]],Base!$D$1:$E$6,2,FALSE))</f>
        <v>963.4727723740242</v>
      </c>
      <c r="AJ185" s="101" t="str">
        <f>VLOOKUP(Proponentes[[#This Row],[Propuesta]],Hoja2!$A$2:$D$329,4,FALSE)</f>
        <v>NO CUMPLE</v>
      </c>
      <c r="AK185" s="101"/>
    </row>
    <row r="186" spans="1:37" ht="16" x14ac:dyDescent="0.2">
      <c r="A186" s="10">
        <v>185</v>
      </c>
      <c r="B186" s="11">
        <v>802010646</v>
      </c>
      <c r="C186" s="12" t="s">
        <v>259</v>
      </c>
      <c r="D186" s="13">
        <v>102833774</v>
      </c>
      <c r="E186" s="13">
        <v>541164233</v>
      </c>
      <c r="F186" s="25">
        <f>Proponentes[[#This Row],[Activo Corriente]]+Proponentes[[#This Row],[Activo NO Corriente]]</f>
        <v>643998007</v>
      </c>
      <c r="G186" s="13">
        <v>72160499</v>
      </c>
      <c r="H186" s="13">
        <v>0</v>
      </c>
      <c r="I186" s="25">
        <f>Proponentes[[#This Row],[Pasivo Corriente]]+Proponentes[[#This Row],[Pasivo NO Corriente]]</f>
        <v>72160499</v>
      </c>
      <c r="J186" s="14">
        <f>Proponentes[[#This Row],[Total ACTIVO]]-Proponentes[[#This Row],[Total Pasivo]]</f>
        <v>571837508</v>
      </c>
      <c r="K186" s="48">
        <f>VLOOKUP(Proponentes[[#This Row],[Propuesta]],Hoja2!$A$2:$G$239,7,FALSE)</f>
        <v>402579852.58276761</v>
      </c>
      <c r="L186" s="15"/>
      <c r="M186" s="15" t="s">
        <v>59</v>
      </c>
      <c r="N186" s="55">
        <f>IFERROR(VLOOKUP(Proponentes[[#This Row],[Cap Op en SMMLV]],Base!$A$15:$F$20,3),0)</f>
        <v>1</v>
      </c>
      <c r="O186" s="16">
        <f>IFERROR(VLOOKUP(Proponentes[[#This Row],[Cap Op en SMMLV]],Base!$A$15:$F$20,4),0)</f>
        <v>0.76</v>
      </c>
      <c r="P186" s="17">
        <f>IFERROR(VLOOKUP(Proponentes[[#This Row],[Cap Op en SMMLV]],Tabla2[],6),0)</f>
        <v>12.5</v>
      </c>
      <c r="Q186" s="18">
        <f>IFERROR(VLOOKUP(Proponentes[[#This Row],[Cap Op en SMMLV]],Base!$A$15:$F$20,5),0)</f>
        <v>10351450</v>
      </c>
      <c r="R186" s="18">
        <f>IFERROR(VLOOKUP(Proponentes[[#This Row],[Cap Op en SMMLV]],Tabla2[[DE]:[HASTA]],2),0)</f>
        <v>500</v>
      </c>
      <c r="S186" s="19">
        <f>IFERROR(Proponentes[[#This Row],[Activo Corriente]]/Proponentes[[#This Row],[Pasivo Corriente]],"INDETERMINADO")</f>
        <v>1.4250701620009585</v>
      </c>
      <c r="T186" s="20">
        <f>IFERROR(Proponentes[[#This Row],[Total Pasivo]]/Proponentes[[#This Row],[Total ACTIVO]],0)</f>
        <v>0.11205081105165594</v>
      </c>
      <c r="U186" s="21">
        <f>(Proponentes[[#This Row],[Activo Corriente]]-Proponentes[[#This Row],[Pasivo Corriente]])/Base!$B$3</f>
        <v>37.039828961160033</v>
      </c>
      <c r="V186" s="22">
        <f>Proponentes[[#This Row],[Activo Corriente]]-Proponentes[[#This Row],[Pasivo Corriente]]</f>
        <v>30673275</v>
      </c>
      <c r="W186" s="13">
        <f>IFERROR(VLOOKUP(Proponentes[[#This Row],[Propuesta]],Hoja2!$A$2:$G$329,7,FALSE),0)</f>
        <v>402579852.58276761</v>
      </c>
      <c r="X186" s="83">
        <f>IF(Proponentes[[#This Row],[Cap Op en Pesos]]=0,0,IF(Proponentes[[#This Row],[Cap Op en Pesos]]=0,1,Proponentes[[#This Row],[Cap Op en Pesos]]/Base!B$3))</f>
        <v>486.13944493617754</v>
      </c>
      <c r="Y18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8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8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86" s="23" t="str">
        <f>IF(AND(Proponentes[[#This Row],[Cumple
Liquidez]]="CUMPLE",Proponentes[[#This Row],[Cumple
Endeudamiento]]="CUMPLE",Proponentes[[#This Row],[Cumple
Capital de Trabajo]]="CUMPLE"),"CUMPLE","NO CUMPLE")</f>
        <v>CUMPLE</v>
      </c>
      <c r="AC186" s="24"/>
      <c r="AD186" s="10">
        <f>IF(Proponentes[[#This Row],[Liquidez
Oferente]]&lt;=1,1,IF(Proponentes[[#This Row],[Liquidez
Oferente]]&lt;=1.1,2,IF(Proponentes[[#This Row],[Liquidez
Oferente]]&lt;=1.2,3,IF(Proponentes[[#This Row],[Liquidez
Oferente]]&lt;=1.3,4,IF(Proponentes[[#This Row],[Liquidez
Oferente]]&lt;=1.4,5,6)))))</f>
        <v>6</v>
      </c>
      <c r="AE186" s="10">
        <f>IF(Proponentes[[#This Row],[Endeudamiento
Oferente]]&lt;=66%,6,IF(Proponentes[[#This Row],[Endeudamiento
Oferente]]&lt;=58,5,IF(Proponentes[[#This Row],[Endeudamiento
Oferente]]&lt;=70,4,IF(Proponentes[[#This Row],[Endeudamiento
Oferente]]&lt;=72,3,IF(Proponentes[[#This Row],[Endeudamiento
Oferente]]&lt;=74,2,1)))))</f>
        <v>6</v>
      </c>
      <c r="AF18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186" s="10">
        <f>IF(Proponentes[[#This Row],[Cap Op en SMMLV]]&lt;=500,1,IF(Proponentes[[#This Row],[Cap Op en SMMLV]]&lt;=1000,2,IF(Proponentes[[#This Row],[Cap Op en SMMLV]]&lt;=1500,3,IF(Proponentes[[#This Row],[Cap Op en SMMLV]]&lt;=2000,4,IF(Proponentes[[#This Row],[Cap Op en SMMLV]]&lt;=2500,5,6)))))</f>
        <v>1</v>
      </c>
      <c r="AH186" s="10">
        <f>MIN(Proponentes[[#This Row],[a]:[d]])</f>
        <v>1</v>
      </c>
      <c r="AI186" s="87">
        <f>IF(Proponentes[[#This Row],[e]]=Proponentes[[#This Row],[d]],Proponentes[[#This Row],[Cap Op en SMMLV]],VLOOKUP(Proponentes[[#This Row],[e]],Base!$D$1:$E$6,2,FALSE))</f>
        <v>486.13944493617754</v>
      </c>
      <c r="AJ186" s="101" t="str">
        <f>VLOOKUP(Proponentes[[#This Row],[Propuesta]],Hoja2!$A$2:$D$329,4,FALSE)</f>
        <v>CUMPLE</v>
      </c>
      <c r="AK186" s="101"/>
    </row>
    <row r="187" spans="1:37" ht="16" x14ac:dyDescent="0.2">
      <c r="A187" s="10">
        <v>186</v>
      </c>
      <c r="B187" s="11">
        <v>802012721</v>
      </c>
      <c r="C187" s="12" t="s">
        <v>260</v>
      </c>
      <c r="D187" s="13">
        <v>6400000</v>
      </c>
      <c r="E187" s="13">
        <v>24250000</v>
      </c>
      <c r="F187" s="25">
        <f>Proponentes[[#This Row],[Activo Corriente]]+Proponentes[[#This Row],[Activo NO Corriente]]</f>
        <v>30650000</v>
      </c>
      <c r="G187" s="13">
        <v>0</v>
      </c>
      <c r="H187" s="13">
        <v>0</v>
      </c>
      <c r="I187" s="25">
        <f>Proponentes[[#This Row],[Pasivo Corriente]]+Proponentes[[#This Row],[Pasivo NO Corriente]]</f>
        <v>0</v>
      </c>
      <c r="J187" s="14">
        <f>Proponentes[[#This Row],[Total ACTIVO]]-Proponentes[[#This Row],[Total Pasivo]]</f>
        <v>30650000</v>
      </c>
      <c r="K187" s="48">
        <f>VLOOKUP(Proponentes[[#This Row],[Propuesta]],Hoja2!$A$2:$G$239,7,FALSE)</f>
        <v>4316089.1212769039</v>
      </c>
      <c r="L187" s="15"/>
      <c r="M187" s="15" t="s">
        <v>261</v>
      </c>
      <c r="N187" s="55">
        <f>IFERROR(VLOOKUP(Proponentes[[#This Row],[Cap Op en SMMLV]],Base!$A$15:$F$20,3),0)</f>
        <v>1</v>
      </c>
      <c r="O187" s="16">
        <f>IFERROR(VLOOKUP(Proponentes[[#This Row],[Cap Op en SMMLV]],Base!$A$15:$F$20,4),0)</f>
        <v>0.76</v>
      </c>
      <c r="P187" s="17">
        <f>IFERROR(VLOOKUP(Proponentes[[#This Row],[Cap Op en SMMLV]],Tabla2[],6),0)</f>
        <v>12.5</v>
      </c>
      <c r="Q187" s="18">
        <f>IFERROR(VLOOKUP(Proponentes[[#This Row],[Cap Op en SMMLV]],Base!$A$15:$F$20,5),0)</f>
        <v>10351450</v>
      </c>
      <c r="R187" s="18">
        <f>IFERROR(VLOOKUP(Proponentes[[#This Row],[Cap Op en SMMLV]],Tabla2[[DE]:[HASTA]],2),0)</f>
        <v>500</v>
      </c>
      <c r="S187" s="19" t="str">
        <f>IFERROR(Proponentes[[#This Row],[Activo Corriente]]/Proponentes[[#This Row],[Pasivo Corriente]],"INDETERMINADO")</f>
        <v>INDETERMINADO</v>
      </c>
      <c r="T187" s="20">
        <f>IFERROR(Proponentes[[#This Row],[Total Pasivo]]/Proponentes[[#This Row],[Total ACTIVO]],0)</f>
        <v>0</v>
      </c>
      <c r="U187" s="21">
        <f>(Proponentes[[#This Row],[Activo Corriente]]-Proponentes[[#This Row],[Pasivo Corriente]])/Base!$B$3</f>
        <v>7.7283858783069039</v>
      </c>
      <c r="V187" s="22">
        <f>Proponentes[[#This Row],[Activo Corriente]]-Proponentes[[#This Row],[Pasivo Corriente]]</f>
        <v>6400000</v>
      </c>
      <c r="W187" s="13">
        <f>IFERROR(VLOOKUP(Proponentes[[#This Row],[Propuesta]],Hoja2!$A$2:$G$329,7,FALSE),0)</f>
        <v>4316089.1212769039</v>
      </c>
      <c r="X187" s="83">
        <f>IF(Proponentes[[#This Row],[Cap Op en Pesos]]=0,0,IF(Proponentes[[#This Row],[Cap Op en Pesos]]=0,1,Proponentes[[#This Row],[Cap Op en Pesos]]/Base!B$3))</f>
        <v>5.211937845998512</v>
      </c>
      <c r="Y18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8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8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187" s="23" t="str">
        <f>IF(AND(Proponentes[[#This Row],[Cumple
Liquidez]]="CUMPLE",Proponentes[[#This Row],[Cumple
Endeudamiento]]="CUMPLE",Proponentes[[#This Row],[Cumple
Capital de Trabajo]]="CUMPLE"),"CUMPLE","NO CUMPLE")</f>
        <v>NO CUMPLE</v>
      </c>
      <c r="AC187" s="24" t="s">
        <v>786</v>
      </c>
      <c r="AD187" s="10">
        <f>IF(Proponentes[[#This Row],[Liquidez
Oferente]]&lt;=1,1,IF(Proponentes[[#This Row],[Liquidez
Oferente]]&lt;=1.1,2,IF(Proponentes[[#This Row],[Liquidez
Oferente]]&lt;=1.2,3,IF(Proponentes[[#This Row],[Liquidez
Oferente]]&lt;=1.3,4,IF(Proponentes[[#This Row],[Liquidez
Oferente]]&lt;=1.4,5,6)))))</f>
        <v>6</v>
      </c>
      <c r="AE187" s="10">
        <f>IF(Proponentes[[#This Row],[Endeudamiento
Oferente]]&lt;=66%,6,IF(Proponentes[[#This Row],[Endeudamiento
Oferente]]&lt;=58,5,IF(Proponentes[[#This Row],[Endeudamiento
Oferente]]&lt;=70,4,IF(Proponentes[[#This Row],[Endeudamiento
Oferente]]&lt;=72,3,IF(Proponentes[[#This Row],[Endeudamiento
Oferente]]&lt;=74,2,1)))))</f>
        <v>6</v>
      </c>
      <c r="AF18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187" s="10">
        <f>IF(Proponentes[[#This Row],[Cap Op en SMMLV]]&lt;=500,1,IF(Proponentes[[#This Row],[Cap Op en SMMLV]]&lt;=1000,2,IF(Proponentes[[#This Row],[Cap Op en SMMLV]]&lt;=1500,3,IF(Proponentes[[#This Row],[Cap Op en SMMLV]]&lt;=2000,4,IF(Proponentes[[#This Row],[Cap Op en SMMLV]]&lt;=2500,5,6)))))</f>
        <v>1</v>
      </c>
      <c r="AH187" s="10">
        <f>MIN(Proponentes[[#This Row],[a]:[d]])</f>
        <v>1</v>
      </c>
      <c r="AI187" s="87">
        <f>IF(Proponentes[[#This Row],[e]]=Proponentes[[#This Row],[d]],Proponentes[[#This Row],[Cap Op en SMMLV]],VLOOKUP(Proponentes[[#This Row],[e]],Base!$D$1:$E$6,2,FALSE))</f>
        <v>5.211937845998512</v>
      </c>
      <c r="AJ187" s="101" t="str">
        <f>VLOOKUP(Proponentes[[#This Row],[Propuesta]],Hoja2!$A$2:$D$329,4,FALSE)</f>
        <v>CUMPLE</v>
      </c>
      <c r="AK187" s="101"/>
    </row>
    <row r="188" spans="1:37" ht="16" x14ac:dyDescent="0.2">
      <c r="A188" s="10">
        <v>187</v>
      </c>
      <c r="B188" s="11">
        <v>900980753</v>
      </c>
      <c r="C188" s="12" t="s">
        <v>262</v>
      </c>
      <c r="D188" s="13">
        <v>191514884</v>
      </c>
      <c r="E188" s="13">
        <v>11823333</v>
      </c>
      <c r="F188" s="25">
        <f>Proponentes[[#This Row],[Activo Corriente]]+Proponentes[[#This Row],[Activo NO Corriente]]</f>
        <v>203338217</v>
      </c>
      <c r="G188" s="13">
        <v>2346000</v>
      </c>
      <c r="H188" s="13">
        <v>0</v>
      </c>
      <c r="I188" s="25">
        <f>Proponentes[[#This Row],[Pasivo Corriente]]+Proponentes[[#This Row],[Pasivo NO Corriente]]</f>
        <v>2346000</v>
      </c>
      <c r="J188" s="14">
        <f>Proponentes[[#This Row],[Total ACTIVO]]-Proponentes[[#This Row],[Total Pasivo]]</f>
        <v>200992217</v>
      </c>
      <c r="K188" s="48">
        <f>VLOOKUP(Proponentes[[#This Row],[Propuesta]],Hoja2!$A$2:$G$239,7,FALSE)</f>
        <v>16621401.904971521</v>
      </c>
      <c r="L188" s="15"/>
      <c r="M188" s="15" t="s">
        <v>263</v>
      </c>
      <c r="N188" s="55">
        <f>IFERROR(VLOOKUP(Proponentes[[#This Row],[Cap Op en SMMLV]],Base!$A$15:$F$20,3),0)</f>
        <v>1</v>
      </c>
      <c r="O188" s="16">
        <f>IFERROR(VLOOKUP(Proponentes[[#This Row],[Cap Op en SMMLV]],Base!$A$15:$F$20,4),0)</f>
        <v>0.76</v>
      </c>
      <c r="P188" s="17">
        <f>IFERROR(VLOOKUP(Proponentes[[#This Row],[Cap Op en SMMLV]],Tabla2[],6),0)</f>
        <v>12.5</v>
      </c>
      <c r="Q188" s="18">
        <f>IFERROR(VLOOKUP(Proponentes[[#This Row],[Cap Op en SMMLV]],Base!$A$15:$F$20,5),0)</f>
        <v>10351450</v>
      </c>
      <c r="R188" s="18">
        <f>IFERROR(VLOOKUP(Proponentes[[#This Row],[Cap Op en SMMLV]],Tabla2[[DE]:[HASTA]],2),0)</f>
        <v>500</v>
      </c>
      <c r="S188" s="19">
        <f>IFERROR(Proponentes[[#This Row],[Activo Corriente]]/Proponentes[[#This Row],[Pasivo Corriente]],"INDETERMINADO")</f>
        <v>81.634647911338448</v>
      </c>
      <c r="T188" s="20">
        <f>IFERROR(Proponentes[[#This Row],[Total Pasivo]]/Proponentes[[#This Row],[Total ACTIVO]],0)</f>
        <v>1.153742781171333E-2</v>
      </c>
      <c r="U188" s="21">
        <f>(Proponentes[[#This Row],[Activo Corriente]]-Proponentes[[#This Row],[Pasivo Corriente]])/Base!$B$3</f>
        <v>228.43283308135574</v>
      </c>
      <c r="V188" s="22">
        <f>Proponentes[[#This Row],[Activo Corriente]]-Proponentes[[#This Row],[Pasivo Corriente]]</f>
        <v>189168884</v>
      </c>
      <c r="W188" s="13">
        <f>IFERROR(VLOOKUP(Proponentes[[#This Row],[Propuesta]],Hoja2!$A$2:$G$329,7,FALSE),0)</f>
        <v>16621401.904971521</v>
      </c>
      <c r="X188" s="83">
        <f>IF(Proponentes[[#This Row],[Cap Op en Pesos]]=0,0,IF(Proponentes[[#This Row],[Cap Op en Pesos]]=0,1,Proponentes[[#This Row],[Cap Op en Pesos]]/Base!B$3))</f>
        <v>20.071344962507091</v>
      </c>
      <c r="Y18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8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8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88" s="23" t="str">
        <f>IF(AND(Proponentes[[#This Row],[Cumple
Liquidez]]="CUMPLE",Proponentes[[#This Row],[Cumple
Endeudamiento]]="CUMPLE",Proponentes[[#This Row],[Cumple
Capital de Trabajo]]="CUMPLE"),"CUMPLE","NO CUMPLE")</f>
        <v>CUMPLE</v>
      </c>
      <c r="AC188" s="24"/>
      <c r="AD188" s="10">
        <f>IF(Proponentes[[#This Row],[Liquidez
Oferente]]&lt;=1,1,IF(Proponentes[[#This Row],[Liquidez
Oferente]]&lt;=1.1,2,IF(Proponentes[[#This Row],[Liquidez
Oferente]]&lt;=1.2,3,IF(Proponentes[[#This Row],[Liquidez
Oferente]]&lt;=1.3,4,IF(Proponentes[[#This Row],[Liquidez
Oferente]]&lt;=1.4,5,6)))))</f>
        <v>6</v>
      </c>
      <c r="AE188" s="10">
        <f>IF(Proponentes[[#This Row],[Endeudamiento
Oferente]]&lt;=66%,6,IF(Proponentes[[#This Row],[Endeudamiento
Oferente]]&lt;=58,5,IF(Proponentes[[#This Row],[Endeudamiento
Oferente]]&lt;=70,4,IF(Proponentes[[#This Row],[Endeudamiento
Oferente]]&lt;=72,3,IF(Proponentes[[#This Row],[Endeudamiento
Oferente]]&lt;=74,2,1)))))</f>
        <v>6</v>
      </c>
      <c r="AF18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88" s="10">
        <f>IF(Proponentes[[#This Row],[Cap Op en SMMLV]]&lt;=500,1,IF(Proponentes[[#This Row],[Cap Op en SMMLV]]&lt;=1000,2,IF(Proponentes[[#This Row],[Cap Op en SMMLV]]&lt;=1500,3,IF(Proponentes[[#This Row],[Cap Op en SMMLV]]&lt;=2000,4,IF(Proponentes[[#This Row],[Cap Op en SMMLV]]&lt;=2500,5,6)))))</f>
        <v>1</v>
      </c>
      <c r="AH188" s="10">
        <f>MIN(Proponentes[[#This Row],[a]:[d]])</f>
        <v>1</v>
      </c>
      <c r="AI188" s="87">
        <f>IF(Proponentes[[#This Row],[e]]=Proponentes[[#This Row],[d]],Proponentes[[#This Row],[Cap Op en SMMLV]],VLOOKUP(Proponentes[[#This Row],[e]],Base!$D$1:$E$6,2,FALSE))</f>
        <v>20.071344962507091</v>
      </c>
      <c r="AJ188" s="101" t="str">
        <f>VLOOKUP(Proponentes[[#This Row],[Propuesta]],Hoja2!$A$2:$D$329,4,FALSE)</f>
        <v>NO CUMPLE</v>
      </c>
      <c r="AK188" s="101"/>
    </row>
    <row r="189" spans="1:37" ht="16" x14ac:dyDescent="0.2">
      <c r="A189" s="10">
        <v>188</v>
      </c>
      <c r="B189" s="11">
        <v>805021199</v>
      </c>
      <c r="C189" s="12" t="s">
        <v>264</v>
      </c>
      <c r="D189" s="13">
        <v>499800000</v>
      </c>
      <c r="E189" s="13">
        <v>94476649</v>
      </c>
      <c r="F189" s="25">
        <f>Proponentes[[#This Row],[Activo Corriente]]+Proponentes[[#This Row],[Activo NO Corriente]]</f>
        <v>594276649</v>
      </c>
      <c r="G189" s="13">
        <v>41191291</v>
      </c>
      <c r="H189" s="13">
        <v>38421542</v>
      </c>
      <c r="I189" s="25">
        <f>Proponentes[[#This Row],[Pasivo Corriente]]+Proponentes[[#This Row],[Pasivo NO Corriente]]</f>
        <v>79612833</v>
      </c>
      <c r="J189" s="14">
        <f>Proponentes[[#This Row],[Total ACTIVO]]-Proponentes[[#This Row],[Total Pasivo]]</f>
        <v>514663816</v>
      </c>
      <c r="K189" s="48">
        <f>VLOOKUP(Proponentes[[#This Row],[Propuesta]],Hoja2!$A$2:$G$239,7,FALSE)</f>
        <v>242045531.02962288</v>
      </c>
      <c r="L189" s="15"/>
      <c r="M189" s="15" t="s">
        <v>59</v>
      </c>
      <c r="N189" s="55">
        <f>IFERROR(VLOOKUP(Proponentes[[#This Row],[Cap Op en SMMLV]],Base!$A$15:$F$20,3),0)</f>
        <v>1</v>
      </c>
      <c r="O189" s="16">
        <f>IFERROR(VLOOKUP(Proponentes[[#This Row],[Cap Op en SMMLV]],Base!$A$15:$F$20,4),0)</f>
        <v>0.76</v>
      </c>
      <c r="P189" s="17">
        <f>IFERROR(VLOOKUP(Proponentes[[#This Row],[Cap Op en SMMLV]],Tabla2[],6),0)</f>
        <v>12.5</v>
      </c>
      <c r="Q189" s="18">
        <f>IFERROR(VLOOKUP(Proponentes[[#This Row],[Cap Op en SMMLV]],Base!$A$15:$F$20,5),0)</f>
        <v>10351450</v>
      </c>
      <c r="R189" s="18">
        <f>IFERROR(VLOOKUP(Proponentes[[#This Row],[Cap Op en SMMLV]],Tabla2[[DE]:[HASTA]],2),0)</f>
        <v>500</v>
      </c>
      <c r="S189" s="19">
        <f>IFERROR(Proponentes[[#This Row],[Activo Corriente]]/Proponentes[[#This Row],[Pasivo Corriente]],"INDETERMINADO")</f>
        <v>12.133632810877426</v>
      </c>
      <c r="T189" s="20">
        <f>IFERROR(Proponentes[[#This Row],[Total Pasivo]]/Proponentes[[#This Row],[Total ACTIVO]],0)</f>
        <v>0.13396594521081376</v>
      </c>
      <c r="U189" s="21">
        <f>(Proponentes[[#This Row],[Activo Corriente]]-Proponentes[[#This Row],[Pasivo Corriente]])/Base!$B$3</f>
        <v>553.79766723502507</v>
      </c>
      <c r="V189" s="22">
        <f>Proponentes[[#This Row],[Activo Corriente]]-Proponentes[[#This Row],[Pasivo Corriente]]</f>
        <v>458608709</v>
      </c>
      <c r="W189" s="13">
        <f>IFERROR(VLOOKUP(Proponentes[[#This Row],[Propuesta]],Hoja2!$A$2:$G$329,7,FALSE),0)</f>
        <v>242045531.02962288</v>
      </c>
      <c r="X189" s="83">
        <f>IF(Proponentes[[#This Row],[Cap Op en Pesos]]=0,0,IF(Proponentes[[#This Row],[Cap Op en Pesos]]=0,1,Proponentes[[#This Row],[Cap Op en Pesos]]/Base!B$3))</f>
        <v>292.2845724869739</v>
      </c>
      <c r="Y18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8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8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89" s="23" t="str">
        <f>IF(AND(Proponentes[[#This Row],[Cumple
Liquidez]]="CUMPLE",Proponentes[[#This Row],[Cumple
Endeudamiento]]="CUMPLE",Proponentes[[#This Row],[Cumple
Capital de Trabajo]]="CUMPLE"),"CUMPLE","NO CUMPLE")</f>
        <v>CUMPLE</v>
      </c>
      <c r="AC189" s="24"/>
      <c r="AD189" s="10">
        <f>IF(Proponentes[[#This Row],[Liquidez
Oferente]]&lt;=1,1,IF(Proponentes[[#This Row],[Liquidez
Oferente]]&lt;=1.1,2,IF(Proponentes[[#This Row],[Liquidez
Oferente]]&lt;=1.2,3,IF(Proponentes[[#This Row],[Liquidez
Oferente]]&lt;=1.3,4,IF(Proponentes[[#This Row],[Liquidez
Oferente]]&lt;=1.4,5,6)))))</f>
        <v>6</v>
      </c>
      <c r="AE189" s="10">
        <f>IF(Proponentes[[#This Row],[Endeudamiento
Oferente]]&lt;=66%,6,IF(Proponentes[[#This Row],[Endeudamiento
Oferente]]&lt;=58,5,IF(Proponentes[[#This Row],[Endeudamiento
Oferente]]&lt;=70,4,IF(Proponentes[[#This Row],[Endeudamiento
Oferente]]&lt;=72,3,IF(Proponentes[[#This Row],[Endeudamiento
Oferente]]&lt;=74,2,1)))))</f>
        <v>6</v>
      </c>
      <c r="AF18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89" s="10">
        <f>IF(Proponentes[[#This Row],[Cap Op en SMMLV]]&lt;=500,1,IF(Proponentes[[#This Row],[Cap Op en SMMLV]]&lt;=1000,2,IF(Proponentes[[#This Row],[Cap Op en SMMLV]]&lt;=1500,3,IF(Proponentes[[#This Row],[Cap Op en SMMLV]]&lt;=2000,4,IF(Proponentes[[#This Row],[Cap Op en SMMLV]]&lt;=2500,5,6)))))</f>
        <v>1</v>
      </c>
      <c r="AH189" s="10">
        <f>MIN(Proponentes[[#This Row],[a]:[d]])</f>
        <v>1</v>
      </c>
      <c r="AI189" s="87">
        <f>IF(Proponentes[[#This Row],[e]]=Proponentes[[#This Row],[d]],Proponentes[[#This Row],[Cap Op en SMMLV]],VLOOKUP(Proponentes[[#This Row],[e]],Base!$D$1:$E$6,2,FALSE))</f>
        <v>292.2845724869739</v>
      </c>
      <c r="AJ189" s="101" t="str">
        <f>VLOOKUP(Proponentes[[#This Row],[Propuesta]],Hoja2!$A$2:$D$329,4,FALSE)</f>
        <v>CUMPLE</v>
      </c>
      <c r="AK189" s="101"/>
    </row>
    <row r="190" spans="1:37" ht="16" x14ac:dyDescent="0.2">
      <c r="A190" s="10">
        <v>189</v>
      </c>
      <c r="B190" s="11">
        <v>900959868</v>
      </c>
      <c r="C190" s="12" t="s">
        <v>265</v>
      </c>
      <c r="D190" s="13">
        <v>132011293</v>
      </c>
      <c r="E190" s="13">
        <v>6860000</v>
      </c>
      <c r="F190" s="25">
        <f>Proponentes[[#This Row],[Activo Corriente]]+Proponentes[[#This Row],[Activo NO Corriente]]</f>
        <v>138871293</v>
      </c>
      <c r="G190" s="13">
        <v>53414354</v>
      </c>
      <c r="H190" s="13">
        <v>0</v>
      </c>
      <c r="I190" s="25">
        <f>Proponentes[[#This Row],[Pasivo Corriente]]+Proponentes[[#This Row],[Pasivo NO Corriente]]</f>
        <v>53414354</v>
      </c>
      <c r="J190" s="14">
        <f>Proponentes[[#This Row],[Total ACTIVO]]-Proponentes[[#This Row],[Total Pasivo]]</f>
        <v>85456939</v>
      </c>
      <c r="K190" s="48">
        <f>VLOOKUP(Proponentes[[#This Row],[Propuesta]],Hoja2!$A$2:$G$239,7,FALSE)</f>
        <v>17366774.593247153</v>
      </c>
      <c r="L190" s="15"/>
      <c r="M190" s="15" t="s">
        <v>266</v>
      </c>
      <c r="N190" s="55">
        <f>IFERROR(VLOOKUP(Proponentes[[#This Row],[Cap Op en SMMLV]],Base!$A$15:$F$20,3),0)</f>
        <v>1</v>
      </c>
      <c r="O190" s="16">
        <f>IFERROR(VLOOKUP(Proponentes[[#This Row],[Cap Op en SMMLV]],Base!$A$15:$F$20,4),0)</f>
        <v>0.76</v>
      </c>
      <c r="P190" s="17">
        <f>IFERROR(VLOOKUP(Proponentes[[#This Row],[Cap Op en SMMLV]],Tabla2[],6),0)</f>
        <v>12.5</v>
      </c>
      <c r="Q190" s="18">
        <f>IFERROR(VLOOKUP(Proponentes[[#This Row],[Cap Op en SMMLV]],Base!$A$15:$F$20,5),0)</f>
        <v>10351450</v>
      </c>
      <c r="R190" s="18">
        <f>IFERROR(VLOOKUP(Proponentes[[#This Row],[Cap Op en SMMLV]],Tabla2[[DE]:[HASTA]],2),0)</f>
        <v>500</v>
      </c>
      <c r="S190" s="19">
        <f>IFERROR(Proponentes[[#This Row],[Activo Corriente]]/Proponentes[[#This Row],[Pasivo Corriente]],"INDETERMINADO")</f>
        <v>2.4714572603461611</v>
      </c>
      <c r="T190" s="20">
        <f>IFERROR(Proponentes[[#This Row],[Total Pasivo]]/Proponentes[[#This Row],[Total ACTIVO]],0)</f>
        <v>0.38463207799181359</v>
      </c>
      <c r="U190" s="21">
        <f>(Proponentes[[#This Row],[Activo Corriente]]-Proponentes[[#This Row],[Pasivo Corriente]])/Base!$B$3</f>
        <v>94.91054272589831</v>
      </c>
      <c r="V190" s="22">
        <f>Proponentes[[#This Row],[Activo Corriente]]-Proponentes[[#This Row],[Pasivo Corriente]]</f>
        <v>78596939</v>
      </c>
      <c r="W190" s="13">
        <f>IFERROR(VLOOKUP(Proponentes[[#This Row],[Propuesta]],Hoja2!$A$2:$G$329,7,FALSE),0)</f>
        <v>17366774.593247153</v>
      </c>
      <c r="X190" s="83">
        <f>IF(Proponentes[[#This Row],[Cap Op en Pesos]]=0,0,IF(Proponentes[[#This Row],[Cap Op en Pesos]]=0,1,Proponentes[[#This Row],[Cap Op en Pesos]]/Base!B$3))</f>
        <v>20.971427424717252</v>
      </c>
      <c r="Y19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9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9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90" s="23" t="str">
        <f>IF(AND(Proponentes[[#This Row],[Cumple
Liquidez]]="CUMPLE",Proponentes[[#This Row],[Cumple
Endeudamiento]]="CUMPLE",Proponentes[[#This Row],[Cumple
Capital de Trabajo]]="CUMPLE"),"CUMPLE","NO CUMPLE")</f>
        <v>CUMPLE</v>
      </c>
      <c r="AC190" s="24" t="s">
        <v>804</v>
      </c>
      <c r="AD190" s="10">
        <f>IF(Proponentes[[#This Row],[Liquidez
Oferente]]&lt;=1,1,IF(Proponentes[[#This Row],[Liquidez
Oferente]]&lt;=1.1,2,IF(Proponentes[[#This Row],[Liquidez
Oferente]]&lt;=1.2,3,IF(Proponentes[[#This Row],[Liquidez
Oferente]]&lt;=1.3,4,IF(Proponentes[[#This Row],[Liquidez
Oferente]]&lt;=1.4,5,6)))))</f>
        <v>6</v>
      </c>
      <c r="AE190" s="10">
        <f>IF(Proponentes[[#This Row],[Endeudamiento
Oferente]]&lt;=66%,6,IF(Proponentes[[#This Row],[Endeudamiento
Oferente]]&lt;=58,5,IF(Proponentes[[#This Row],[Endeudamiento
Oferente]]&lt;=70,4,IF(Proponentes[[#This Row],[Endeudamiento
Oferente]]&lt;=72,3,IF(Proponentes[[#This Row],[Endeudamiento
Oferente]]&lt;=74,2,1)))))</f>
        <v>6</v>
      </c>
      <c r="AF19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90" s="10">
        <f>IF(Proponentes[[#This Row],[Cap Op en SMMLV]]&lt;=500,1,IF(Proponentes[[#This Row],[Cap Op en SMMLV]]&lt;=1000,2,IF(Proponentes[[#This Row],[Cap Op en SMMLV]]&lt;=1500,3,IF(Proponentes[[#This Row],[Cap Op en SMMLV]]&lt;=2000,4,IF(Proponentes[[#This Row],[Cap Op en SMMLV]]&lt;=2500,5,6)))))</f>
        <v>1</v>
      </c>
      <c r="AH190" s="10">
        <f>MIN(Proponentes[[#This Row],[a]:[d]])</f>
        <v>1</v>
      </c>
      <c r="AI190" s="87">
        <f>IF(Proponentes[[#This Row],[e]]=Proponentes[[#This Row],[d]],Proponentes[[#This Row],[Cap Op en SMMLV]],VLOOKUP(Proponentes[[#This Row],[e]],Base!$D$1:$E$6,2,FALSE))</f>
        <v>20.971427424717252</v>
      </c>
      <c r="AJ190" s="101" t="str">
        <f>VLOOKUP(Proponentes[[#This Row],[Propuesta]],Hoja2!$A$2:$D$329,4,FALSE)</f>
        <v>CUMPLE</v>
      </c>
      <c r="AK190" s="101"/>
    </row>
    <row r="191" spans="1:37" ht="32" x14ac:dyDescent="0.2">
      <c r="A191" s="10">
        <v>190</v>
      </c>
      <c r="B191" s="11">
        <v>800184332</v>
      </c>
      <c r="C191" s="12" t="s">
        <v>267</v>
      </c>
      <c r="D191" s="13">
        <v>663341286.87</v>
      </c>
      <c r="E191" s="13">
        <v>130127666.23000002</v>
      </c>
      <c r="F191" s="25">
        <f>Proponentes[[#This Row],[Activo Corriente]]+Proponentes[[#This Row],[Activo NO Corriente]]</f>
        <v>793468953.10000002</v>
      </c>
      <c r="G191" s="13">
        <v>33937663.039999999</v>
      </c>
      <c r="H191" s="13">
        <v>79057425.110000014</v>
      </c>
      <c r="I191" s="25">
        <f>Proponentes[[#This Row],[Pasivo Corriente]]+Proponentes[[#This Row],[Pasivo NO Corriente]]</f>
        <v>112995088.15000001</v>
      </c>
      <c r="J191" s="14">
        <f>Proponentes[[#This Row],[Total ACTIVO]]-Proponentes[[#This Row],[Total Pasivo]]</f>
        <v>680473864.95000005</v>
      </c>
      <c r="K191" s="48">
        <f>VLOOKUP(Proponentes[[#This Row],[Propuesta]],Hoja2!$A$2:$G$239,7,FALSE)</f>
        <v>276291003.12703151</v>
      </c>
      <c r="L191" s="15"/>
      <c r="M191" s="15" t="s">
        <v>268</v>
      </c>
      <c r="N191" s="55">
        <f>IFERROR(VLOOKUP(Proponentes[[#This Row],[Cap Op en SMMLV]],Base!$A$15:$F$20,3),0)</f>
        <v>1</v>
      </c>
      <c r="O191" s="16">
        <f>IFERROR(VLOOKUP(Proponentes[[#This Row],[Cap Op en SMMLV]],Base!$A$15:$F$20,4),0)</f>
        <v>0.76</v>
      </c>
      <c r="P191" s="17">
        <f>IFERROR(VLOOKUP(Proponentes[[#This Row],[Cap Op en SMMLV]],Tabla2[],6),0)</f>
        <v>12.5</v>
      </c>
      <c r="Q191" s="18">
        <f>IFERROR(VLOOKUP(Proponentes[[#This Row],[Cap Op en SMMLV]],Base!$A$15:$F$20,5),0)</f>
        <v>10351450</v>
      </c>
      <c r="R191" s="18">
        <f>IFERROR(VLOOKUP(Proponentes[[#This Row],[Cap Op en SMMLV]],Tabla2[[DE]:[HASTA]],2),0)</f>
        <v>500</v>
      </c>
      <c r="S191" s="19">
        <f>IFERROR(Proponentes[[#This Row],[Activo Corriente]]/Proponentes[[#This Row],[Pasivo Corriente]],"INDETERMINADO")</f>
        <v>19.545874036410964</v>
      </c>
      <c r="T191" s="20">
        <f>IFERROR(Proponentes[[#This Row],[Total Pasivo]]/Proponentes[[#This Row],[Total ACTIVO]],0)</f>
        <v>0.14240643910330711</v>
      </c>
      <c r="U191" s="21">
        <f>(Proponentes[[#This Row],[Activo Corriente]]-Proponentes[[#This Row],[Pasivo Corriente]])/Base!$B$3</f>
        <v>760.04282471296301</v>
      </c>
      <c r="V191" s="22">
        <f>Proponentes[[#This Row],[Activo Corriente]]-Proponentes[[#This Row],[Pasivo Corriente]]</f>
        <v>629403623.83000004</v>
      </c>
      <c r="W191" s="13">
        <f>IFERROR(VLOOKUP(Proponentes[[#This Row],[Propuesta]],Hoja2!$A$2:$G$329,7,FALSE),0)</f>
        <v>276291003.12703151</v>
      </c>
      <c r="X191" s="83">
        <f>IF(Proponentes[[#This Row],[Cap Op en Pesos]]=0,0,IF(Proponentes[[#This Row],[Cap Op en Pesos]]=0,1,Proponentes[[#This Row],[Cap Op en Pesos]]/Base!B$3))</f>
        <v>333.63804482346859</v>
      </c>
      <c r="Y19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9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9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91" s="23" t="str">
        <f>IF(AND(Proponentes[[#This Row],[Cumple
Liquidez]]="CUMPLE",Proponentes[[#This Row],[Cumple
Endeudamiento]]="CUMPLE",Proponentes[[#This Row],[Cumple
Capital de Trabajo]]="CUMPLE"),"CUMPLE","NO CUMPLE")</f>
        <v>CUMPLE</v>
      </c>
      <c r="AC191" s="24"/>
      <c r="AD191" s="10">
        <f>IF(Proponentes[[#This Row],[Liquidez
Oferente]]&lt;=1,1,IF(Proponentes[[#This Row],[Liquidez
Oferente]]&lt;=1.1,2,IF(Proponentes[[#This Row],[Liquidez
Oferente]]&lt;=1.2,3,IF(Proponentes[[#This Row],[Liquidez
Oferente]]&lt;=1.3,4,IF(Proponentes[[#This Row],[Liquidez
Oferente]]&lt;=1.4,5,6)))))</f>
        <v>6</v>
      </c>
      <c r="AE191" s="10">
        <f>IF(Proponentes[[#This Row],[Endeudamiento
Oferente]]&lt;=66%,6,IF(Proponentes[[#This Row],[Endeudamiento
Oferente]]&lt;=58,5,IF(Proponentes[[#This Row],[Endeudamiento
Oferente]]&lt;=70,4,IF(Proponentes[[#This Row],[Endeudamiento
Oferente]]&lt;=72,3,IF(Proponentes[[#This Row],[Endeudamiento
Oferente]]&lt;=74,2,1)))))</f>
        <v>6</v>
      </c>
      <c r="AF19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91" s="10">
        <f>IF(Proponentes[[#This Row],[Cap Op en SMMLV]]&lt;=500,1,IF(Proponentes[[#This Row],[Cap Op en SMMLV]]&lt;=1000,2,IF(Proponentes[[#This Row],[Cap Op en SMMLV]]&lt;=1500,3,IF(Proponentes[[#This Row],[Cap Op en SMMLV]]&lt;=2000,4,IF(Proponentes[[#This Row],[Cap Op en SMMLV]]&lt;=2500,5,6)))))</f>
        <v>1</v>
      </c>
      <c r="AH191" s="10">
        <f>MIN(Proponentes[[#This Row],[a]:[d]])</f>
        <v>1</v>
      </c>
      <c r="AI191" s="87">
        <f>IF(Proponentes[[#This Row],[e]]=Proponentes[[#This Row],[d]],Proponentes[[#This Row],[Cap Op en SMMLV]],VLOOKUP(Proponentes[[#This Row],[e]],Base!$D$1:$E$6,2,FALSE))</f>
        <v>333.63804482346859</v>
      </c>
      <c r="AJ191" s="101" t="str">
        <f>VLOOKUP(Proponentes[[#This Row],[Propuesta]],Hoja2!$A$2:$D$329,4,FALSE)</f>
        <v>CUMPLE</v>
      </c>
      <c r="AK191" s="101"/>
    </row>
    <row r="192" spans="1:37" ht="32" x14ac:dyDescent="0.2">
      <c r="A192" s="10">
        <v>191</v>
      </c>
      <c r="B192" s="11">
        <v>900394860</v>
      </c>
      <c r="C192" s="12" t="s">
        <v>269</v>
      </c>
      <c r="D192" s="13">
        <v>950419504</v>
      </c>
      <c r="E192" s="13">
        <v>74541643</v>
      </c>
      <c r="F192" s="25">
        <f>Proponentes[[#This Row],[Activo Corriente]]+Proponentes[[#This Row],[Activo NO Corriente]]</f>
        <v>1024961147</v>
      </c>
      <c r="G192" s="13">
        <v>180022641</v>
      </c>
      <c r="H192" s="13">
        <v>0</v>
      </c>
      <c r="I192" s="25">
        <f>Proponentes[[#This Row],[Pasivo Corriente]]+Proponentes[[#This Row],[Pasivo NO Corriente]]</f>
        <v>180022641</v>
      </c>
      <c r="J192" s="14">
        <f>Proponentes[[#This Row],[Total ACTIVO]]-Proponentes[[#This Row],[Total Pasivo]]</f>
        <v>844938506</v>
      </c>
      <c r="K192" s="48">
        <f>VLOOKUP(Proponentes[[#This Row],[Propuesta]],Hoja2!$A$2:$G$239,7,FALSE)</f>
        <v>637724002.66853642</v>
      </c>
      <c r="L192" s="15"/>
      <c r="M192" s="15" t="s">
        <v>59</v>
      </c>
      <c r="N192" s="55">
        <f>IFERROR(VLOOKUP(Proponentes[[#This Row],[Cap Op en SMMLV]],Base!$A$15:$F$20,3),0)</f>
        <v>1.1000000000000001</v>
      </c>
      <c r="O192" s="16">
        <f>IFERROR(VLOOKUP(Proponentes[[#This Row],[Cap Op en SMMLV]],Base!$A$15:$F$20,4),0)</f>
        <v>0.74</v>
      </c>
      <c r="P192" s="17">
        <f>IFERROR(VLOOKUP(Proponentes[[#This Row],[Cap Op en SMMLV]],Tabla2[],6),0)</f>
        <v>25</v>
      </c>
      <c r="Q192" s="18">
        <f>IFERROR(VLOOKUP(Proponentes[[#This Row],[Cap Op en SMMLV]],Base!$A$15:$F$20,5),0)</f>
        <v>20702900</v>
      </c>
      <c r="R192" s="18">
        <f>IFERROR(VLOOKUP(Proponentes[[#This Row],[Cap Op en SMMLV]],Tabla2[[DE]:[HASTA]],2),0)</f>
        <v>1000</v>
      </c>
      <c r="S192" s="19">
        <f>IFERROR(Proponentes[[#This Row],[Activo Corriente]]/Proponentes[[#This Row],[Pasivo Corriente]],"INDETERMINADO")</f>
        <v>5.2794442894546805</v>
      </c>
      <c r="T192" s="20">
        <f>IFERROR(Proponentes[[#This Row],[Total Pasivo]]/Proponentes[[#This Row],[Total ACTIVO]],0)</f>
        <v>0.17563850251974478</v>
      </c>
      <c r="U192" s="21">
        <f>(Proponentes[[#This Row],[Activo Corriente]]-Proponentes[[#This Row],[Pasivo Corriente]])/Base!$B$3</f>
        <v>930.3006619845529</v>
      </c>
      <c r="V192" s="22">
        <f>Proponentes[[#This Row],[Activo Corriente]]-Proponentes[[#This Row],[Pasivo Corriente]]</f>
        <v>770396863</v>
      </c>
      <c r="W192" s="13">
        <f>IFERROR(VLOOKUP(Proponentes[[#This Row],[Propuesta]],Hoja2!$A$2:$G$329,7,FALSE),0)</f>
        <v>637724002.66853642</v>
      </c>
      <c r="X192" s="83">
        <f>IF(Proponentes[[#This Row],[Cap Op en Pesos]]=0,0,IF(Proponentes[[#This Row],[Cap Op en Pesos]]=0,1,Proponentes[[#This Row],[Cap Op en Pesos]]/Base!B$3))</f>
        <v>770.09018382513614</v>
      </c>
      <c r="Y19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9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9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92" s="23" t="str">
        <f>IF(AND(Proponentes[[#This Row],[Cumple
Liquidez]]="CUMPLE",Proponentes[[#This Row],[Cumple
Endeudamiento]]="CUMPLE",Proponentes[[#This Row],[Cumple
Capital de Trabajo]]="CUMPLE"),"CUMPLE","NO CUMPLE")</f>
        <v>CUMPLE</v>
      </c>
      <c r="AC192" s="24"/>
      <c r="AD192" s="10">
        <f>IF(Proponentes[[#This Row],[Liquidez
Oferente]]&lt;=1,1,IF(Proponentes[[#This Row],[Liquidez
Oferente]]&lt;=1.1,2,IF(Proponentes[[#This Row],[Liquidez
Oferente]]&lt;=1.2,3,IF(Proponentes[[#This Row],[Liquidez
Oferente]]&lt;=1.3,4,IF(Proponentes[[#This Row],[Liquidez
Oferente]]&lt;=1.4,5,6)))))</f>
        <v>6</v>
      </c>
      <c r="AE192" s="10">
        <f>IF(Proponentes[[#This Row],[Endeudamiento
Oferente]]&lt;=66%,6,IF(Proponentes[[#This Row],[Endeudamiento
Oferente]]&lt;=58,5,IF(Proponentes[[#This Row],[Endeudamiento
Oferente]]&lt;=70,4,IF(Proponentes[[#This Row],[Endeudamiento
Oferente]]&lt;=72,3,IF(Proponentes[[#This Row],[Endeudamiento
Oferente]]&lt;=74,2,1)))))</f>
        <v>6</v>
      </c>
      <c r="AF19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92" s="10">
        <f>IF(Proponentes[[#This Row],[Cap Op en SMMLV]]&lt;=500,1,IF(Proponentes[[#This Row],[Cap Op en SMMLV]]&lt;=1000,2,IF(Proponentes[[#This Row],[Cap Op en SMMLV]]&lt;=1500,3,IF(Proponentes[[#This Row],[Cap Op en SMMLV]]&lt;=2000,4,IF(Proponentes[[#This Row],[Cap Op en SMMLV]]&lt;=2500,5,6)))))</f>
        <v>2</v>
      </c>
      <c r="AH192" s="10">
        <f>MIN(Proponentes[[#This Row],[a]:[d]])</f>
        <v>2</v>
      </c>
      <c r="AI192" s="87">
        <f>IF(Proponentes[[#This Row],[e]]=Proponentes[[#This Row],[d]],Proponentes[[#This Row],[Cap Op en SMMLV]],VLOOKUP(Proponentes[[#This Row],[e]],Base!$D$1:$E$6,2,FALSE))</f>
        <v>770.09018382513614</v>
      </c>
      <c r="AJ192" s="101" t="str">
        <f>VLOOKUP(Proponentes[[#This Row],[Propuesta]],Hoja2!$A$2:$D$329,4,FALSE)</f>
        <v>NO CUMPLE</v>
      </c>
      <c r="AK192" s="101"/>
    </row>
    <row r="193" spans="1:37" ht="16" x14ac:dyDescent="0.2">
      <c r="A193" s="10">
        <v>192</v>
      </c>
      <c r="B193" s="11">
        <v>805023177</v>
      </c>
      <c r="C193" s="12" t="s">
        <v>270</v>
      </c>
      <c r="D193" s="13">
        <v>2353289158</v>
      </c>
      <c r="E193" s="13">
        <v>36420960</v>
      </c>
      <c r="F193" s="25">
        <f>Proponentes[[#This Row],[Activo Corriente]]+Proponentes[[#This Row],[Activo NO Corriente]]</f>
        <v>2389710118</v>
      </c>
      <c r="G193" s="13">
        <v>1093561212</v>
      </c>
      <c r="H193" s="13">
        <v>177600000</v>
      </c>
      <c r="I193" s="25">
        <f>Proponentes[[#This Row],[Pasivo Corriente]]+Proponentes[[#This Row],[Pasivo NO Corriente]]</f>
        <v>1271161212</v>
      </c>
      <c r="J193" s="14">
        <f>Proponentes[[#This Row],[Total ACTIVO]]-Proponentes[[#This Row],[Total Pasivo]]</f>
        <v>1118548906</v>
      </c>
      <c r="K193" s="48">
        <f>VLOOKUP(Proponentes[[#This Row],[Propuesta]],Hoja2!$A$2:$G$239,7,FALSE)</f>
        <v>188604666.30373535</v>
      </c>
      <c r="L193" s="15"/>
      <c r="M193" s="15" t="s">
        <v>59</v>
      </c>
      <c r="N193" s="55">
        <f>IFERROR(VLOOKUP(Proponentes[[#This Row],[Cap Op en SMMLV]],Base!$A$15:$F$20,3),0)</f>
        <v>1</v>
      </c>
      <c r="O193" s="16">
        <f>IFERROR(VLOOKUP(Proponentes[[#This Row],[Cap Op en SMMLV]],Base!$A$15:$F$20,4),0)</f>
        <v>0.76</v>
      </c>
      <c r="P193" s="17">
        <f>IFERROR(VLOOKUP(Proponentes[[#This Row],[Cap Op en SMMLV]],Tabla2[],6),0)</f>
        <v>12.5</v>
      </c>
      <c r="Q193" s="18">
        <f>IFERROR(VLOOKUP(Proponentes[[#This Row],[Cap Op en SMMLV]],Base!$A$15:$F$20,5),0)</f>
        <v>10351450</v>
      </c>
      <c r="R193" s="18">
        <f>IFERROR(VLOOKUP(Proponentes[[#This Row],[Cap Op en SMMLV]],Tabla2[[DE]:[HASTA]],2),0)</f>
        <v>500</v>
      </c>
      <c r="S193" s="19">
        <f>IFERROR(Proponentes[[#This Row],[Activo Corriente]]/Proponentes[[#This Row],[Pasivo Corriente]],"INDETERMINADO")</f>
        <v>2.1519500986104836</v>
      </c>
      <c r="T193" s="20">
        <f>IFERROR(Proponentes[[#This Row],[Total Pasivo]]/Proponentes[[#This Row],[Total ACTIVO]],0)</f>
        <v>0.53193113358195188</v>
      </c>
      <c r="U193" s="21">
        <f>(Proponentes[[#This Row],[Activo Corriente]]-Proponentes[[#This Row],[Pasivo Corriente]])/Base!$B$3</f>
        <v>1521.1974481835878</v>
      </c>
      <c r="V193" s="22">
        <f>Proponentes[[#This Row],[Activo Corriente]]-Proponentes[[#This Row],[Pasivo Corriente]]</f>
        <v>1259727946</v>
      </c>
      <c r="W193" s="13">
        <f>IFERROR(VLOOKUP(Proponentes[[#This Row],[Propuesta]],Hoja2!$A$2:$G$329,7,FALSE),0)</f>
        <v>188604666.30373535</v>
      </c>
      <c r="X193" s="83">
        <f>IF(Proponentes[[#This Row],[Cap Op en Pesos]]=0,0,IF(Proponentes[[#This Row],[Cap Op en Pesos]]=0,1,Proponentes[[#This Row],[Cap Op en Pesos]]/Base!B$3))</f>
        <v>227.75150619446472</v>
      </c>
      <c r="Y19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9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9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93" s="23" t="str">
        <f>IF(AND(Proponentes[[#This Row],[Cumple
Liquidez]]="CUMPLE",Proponentes[[#This Row],[Cumple
Endeudamiento]]="CUMPLE",Proponentes[[#This Row],[Cumple
Capital de Trabajo]]="CUMPLE"),"CUMPLE","NO CUMPLE")</f>
        <v>CUMPLE</v>
      </c>
      <c r="AC193" s="24"/>
      <c r="AD193" s="10">
        <f>IF(Proponentes[[#This Row],[Liquidez
Oferente]]&lt;=1,1,IF(Proponentes[[#This Row],[Liquidez
Oferente]]&lt;=1.1,2,IF(Proponentes[[#This Row],[Liquidez
Oferente]]&lt;=1.2,3,IF(Proponentes[[#This Row],[Liquidez
Oferente]]&lt;=1.3,4,IF(Proponentes[[#This Row],[Liquidez
Oferente]]&lt;=1.4,5,6)))))</f>
        <v>6</v>
      </c>
      <c r="AE193" s="10">
        <f>IF(Proponentes[[#This Row],[Endeudamiento
Oferente]]&lt;=66%,6,IF(Proponentes[[#This Row],[Endeudamiento
Oferente]]&lt;=58,5,IF(Proponentes[[#This Row],[Endeudamiento
Oferente]]&lt;=70,4,IF(Proponentes[[#This Row],[Endeudamiento
Oferente]]&lt;=72,3,IF(Proponentes[[#This Row],[Endeudamiento
Oferente]]&lt;=74,2,1)))))</f>
        <v>6</v>
      </c>
      <c r="AF19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93" s="10">
        <f>IF(Proponentes[[#This Row],[Cap Op en SMMLV]]&lt;=500,1,IF(Proponentes[[#This Row],[Cap Op en SMMLV]]&lt;=1000,2,IF(Proponentes[[#This Row],[Cap Op en SMMLV]]&lt;=1500,3,IF(Proponentes[[#This Row],[Cap Op en SMMLV]]&lt;=2000,4,IF(Proponentes[[#This Row],[Cap Op en SMMLV]]&lt;=2500,5,6)))))</f>
        <v>1</v>
      </c>
      <c r="AH193" s="10">
        <f>MIN(Proponentes[[#This Row],[a]:[d]])</f>
        <v>1</v>
      </c>
      <c r="AI193" s="87">
        <f>IF(Proponentes[[#This Row],[e]]=Proponentes[[#This Row],[d]],Proponentes[[#This Row],[Cap Op en SMMLV]],VLOOKUP(Proponentes[[#This Row],[e]],Base!$D$1:$E$6,2,FALSE))</f>
        <v>227.75150619446472</v>
      </c>
      <c r="AJ193" s="101" t="str">
        <f>VLOOKUP(Proponentes[[#This Row],[Propuesta]],Hoja2!$A$2:$D$329,4,FALSE)</f>
        <v>NO CUMPLE</v>
      </c>
      <c r="AK193" s="101"/>
    </row>
    <row r="194" spans="1:37" ht="16" x14ac:dyDescent="0.2">
      <c r="A194" s="10">
        <v>193</v>
      </c>
      <c r="B194" s="11">
        <v>900541439</v>
      </c>
      <c r="C194" s="12" t="s">
        <v>271</v>
      </c>
      <c r="D194" s="13">
        <v>79820000</v>
      </c>
      <c r="E194" s="13">
        <v>70000000</v>
      </c>
      <c r="F194" s="25">
        <f>Proponentes[[#This Row],[Activo Corriente]]+Proponentes[[#This Row],[Activo NO Corriente]]</f>
        <v>149820000</v>
      </c>
      <c r="G194" s="13">
        <v>4820000</v>
      </c>
      <c r="H194" s="13">
        <v>0</v>
      </c>
      <c r="I194" s="25">
        <f>Proponentes[[#This Row],[Pasivo Corriente]]+Proponentes[[#This Row],[Pasivo NO Corriente]]</f>
        <v>4820000</v>
      </c>
      <c r="J194" s="14">
        <f>Proponentes[[#This Row],[Total ACTIVO]]-Proponentes[[#This Row],[Total Pasivo]]</f>
        <v>145000000</v>
      </c>
      <c r="K194" s="48">
        <f>VLOOKUP(Proponentes[[#This Row],[Propuesta]],Hoja2!$A$2:$G$239,7,FALSE)</f>
        <v>105989277.33939801</v>
      </c>
      <c r="L194" s="15"/>
      <c r="M194" s="15" t="s">
        <v>272</v>
      </c>
      <c r="N194" s="55">
        <f>IFERROR(VLOOKUP(Proponentes[[#This Row],[Cap Op en SMMLV]],Base!$A$15:$F$20,3),0)</f>
        <v>1</v>
      </c>
      <c r="O194" s="16">
        <f>IFERROR(VLOOKUP(Proponentes[[#This Row],[Cap Op en SMMLV]],Base!$A$15:$F$20,4),0)</f>
        <v>0.76</v>
      </c>
      <c r="P194" s="17">
        <f>IFERROR(VLOOKUP(Proponentes[[#This Row],[Cap Op en SMMLV]],Tabla2[],6),0)</f>
        <v>12.5</v>
      </c>
      <c r="Q194" s="18">
        <f>IFERROR(VLOOKUP(Proponentes[[#This Row],[Cap Op en SMMLV]],Base!$A$15:$F$20,5),0)</f>
        <v>10351450</v>
      </c>
      <c r="R194" s="18">
        <f>IFERROR(VLOOKUP(Proponentes[[#This Row],[Cap Op en SMMLV]],Tabla2[[DE]:[HASTA]],2),0)</f>
        <v>500</v>
      </c>
      <c r="S194" s="19">
        <f>IFERROR(Proponentes[[#This Row],[Activo Corriente]]/Proponentes[[#This Row],[Pasivo Corriente]],"INDETERMINADO")</f>
        <v>16.560165975103736</v>
      </c>
      <c r="T194" s="20">
        <f>IFERROR(Proponentes[[#This Row],[Total Pasivo]]/Proponentes[[#This Row],[Total ACTIVO]],0)</f>
        <v>3.2171939660926442E-2</v>
      </c>
      <c r="U194" s="21">
        <f>(Proponentes[[#This Row],[Activo Corriente]]-Proponentes[[#This Row],[Pasivo Corriente]])/Base!$B$3</f>
        <v>90.567022011409023</v>
      </c>
      <c r="V194" s="22">
        <f>Proponentes[[#This Row],[Activo Corriente]]-Proponentes[[#This Row],[Pasivo Corriente]]</f>
        <v>75000000</v>
      </c>
      <c r="W194" s="13">
        <f>IFERROR(VLOOKUP(Proponentes[[#This Row],[Propuesta]],Hoja2!$A$2:$G$329,7,FALSE),0)</f>
        <v>105989277.33939801</v>
      </c>
      <c r="X194" s="83">
        <f>IF(Proponentes[[#This Row],[Cap Op en Pesos]]=0,0,IF(Proponentes[[#This Row],[Cap Op en Pesos]]=0,1,Proponentes[[#This Row],[Cap Op en Pesos]]/Base!B$3))</f>
        <v>127.98844285027461</v>
      </c>
      <c r="Y19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9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9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94" s="23" t="str">
        <f>IF(AND(Proponentes[[#This Row],[Cumple
Liquidez]]="CUMPLE",Proponentes[[#This Row],[Cumple
Endeudamiento]]="CUMPLE",Proponentes[[#This Row],[Cumple
Capital de Trabajo]]="CUMPLE"),"CUMPLE","NO CUMPLE")</f>
        <v>CUMPLE</v>
      </c>
      <c r="AC194" s="24"/>
      <c r="AD194" s="10">
        <f>IF(Proponentes[[#This Row],[Liquidez
Oferente]]&lt;=1,1,IF(Proponentes[[#This Row],[Liquidez
Oferente]]&lt;=1.1,2,IF(Proponentes[[#This Row],[Liquidez
Oferente]]&lt;=1.2,3,IF(Proponentes[[#This Row],[Liquidez
Oferente]]&lt;=1.3,4,IF(Proponentes[[#This Row],[Liquidez
Oferente]]&lt;=1.4,5,6)))))</f>
        <v>6</v>
      </c>
      <c r="AE194" s="10">
        <f>IF(Proponentes[[#This Row],[Endeudamiento
Oferente]]&lt;=66%,6,IF(Proponentes[[#This Row],[Endeudamiento
Oferente]]&lt;=58,5,IF(Proponentes[[#This Row],[Endeudamiento
Oferente]]&lt;=70,4,IF(Proponentes[[#This Row],[Endeudamiento
Oferente]]&lt;=72,3,IF(Proponentes[[#This Row],[Endeudamiento
Oferente]]&lt;=74,2,1)))))</f>
        <v>6</v>
      </c>
      <c r="AF19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94" s="10">
        <f>IF(Proponentes[[#This Row],[Cap Op en SMMLV]]&lt;=500,1,IF(Proponentes[[#This Row],[Cap Op en SMMLV]]&lt;=1000,2,IF(Proponentes[[#This Row],[Cap Op en SMMLV]]&lt;=1500,3,IF(Proponentes[[#This Row],[Cap Op en SMMLV]]&lt;=2000,4,IF(Proponentes[[#This Row],[Cap Op en SMMLV]]&lt;=2500,5,6)))))</f>
        <v>1</v>
      </c>
      <c r="AH194" s="10">
        <f>MIN(Proponentes[[#This Row],[a]:[d]])</f>
        <v>1</v>
      </c>
      <c r="AI194" s="87">
        <f>IF(Proponentes[[#This Row],[e]]=Proponentes[[#This Row],[d]],Proponentes[[#This Row],[Cap Op en SMMLV]],VLOOKUP(Proponentes[[#This Row],[e]],Base!$D$1:$E$6,2,FALSE))</f>
        <v>127.98844285027461</v>
      </c>
      <c r="AJ194" s="101" t="str">
        <f>VLOOKUP(Proponentes[[#This Row],[Propuesta]],Hoja2!$A$2:$D$329,4,FALSE)</f>
        <v>NO CUMPLE</v>
      </c>
      <c r="AK194" s="101"/>
    </row>
    <row r="195" spans="1:37" ht="32" x14ac:dyDescent="0.2">
      <c r="A195" s="10">
        <v>194</v>
      </c>
      <c r="B195" s="11">
        <v>900237534</v>
      </c>
      <c r="C195" s="12" t="s">
        <v>273</v>
      </c>
      <c r="D195" s="13">
        <v>285670000</v>
      </c>
      <c r="E195" s="13">
        <v>100717000</v>
      </c>
      <c r="F195" s="25">
        <f>Proponentes[[#This Row],[Activo Corriente]]+Proponentes[[#This Row],[Activo NO Corriente]]</f>
        <v>386387000</v>
      </c>
      <c r="G195" s="13">
        <v>37182000</v>
      </c>
      <c r="H195" s="13">
        <v>0</v>
      </c>
      <c r="I195" s="25">
        <f>Proponentes[[#This Row],[Pasivo Corriente]]+Proponentes[[#This Row],[Pasivo NO Corriente]]</f>
        <v>37182000</v>
      </c>
      <c r="J195" s="14">
        <f>Proponentes[[#This Row],[Total ACTIVO]]-Proponentes[[#This Row],[Total Pasivo]]</f>
        <v>349205000</v>
      </c>
      <c r="K195" s="48">
        <f>VLOOKUP(Proponentes[[#This Row],[Propuesta]],Hoja2!$A$2:$G$239,7,FALSE)</f>
        <v>681663764.03511846</v>
      </c>
      <c r="L195" s="15"/>
      <c r="M195" s="15" t="s">
        <v>274</v>
      </c>
      <c r="N195" s="55">
        <f>IFERROR(VLOOKUP(Proponentes[[#This Row],[Cap Op en SMMLV]],Base!$A$15:$F$20,3),0)</f>
        <v>1.1000000000000001</v>
      </c>
      <c r="O195" s="16">
        <f>IFERROR(VLOOKUP(Proponentes[[#This Row],[Cap Op en SMMLV]],Base!$A$15:$F$20,4),0)</f>
        <v>0.74</v>
      </c>
      <c r="P195" s="17">
        <f>IFERROR(VLOOKUP(Proponentes[[#This Row],[Cap Op en SMMLV]],Tabla2[],6),0)</f>
        <v>25</v>
      </c>
      <c r="Q195" s="18">
        <f>IFERROR(VLOOKUP(Proponentes[[#This Row],[Cap Op en SMMLV]],Base!$A$15:$F$20,5),0)</f>
        <v>20702900</v>
      </c>
      <c r="R195" s="18">
        <f>IFERROR(VLOOKUP(Proponentes[[#This Row],[Cap Op en SMMLV]],Tabla2[[DE]:[HASTA]],2),0)</f>
        <v>1000</v>
      </c>
      <c r="S195" s="19">
        <f>IFERROR(Proponentes[[#This Row],[Activo Corriente]]/Proponentes[[#This Row],[Pasivo Corriente]],"INDETERMINADO")</f>
        <v>7.6830186649454033</v>
      </c>
      <c r="T195" s="20">
        <f>IFERROR(Proponentes[[#This Row],[Total Pasivo]]/Proponentes[[#This Row],[Total ACTIVO]],0)</f>
        <v>9.6229945624464588E-2</v>
      </c>
      <c r="U195" s="21">
        <f>(Proponentes[[#This Row],[Activo Corriente]]-Proponentes[[#This Row],[Pasivo Corriente]])/Base!$B$3</f>
        <v>300.0642422076134</v>
      </c>
      <c r="V195" s="22">
        <f>Proponentes[[#This Row],[Activo Corriente]]-Proponentes[[#This Row],[Pasivo Corriente]]</f>
        <v>248488000</v>
      </c>
      <c r="W195" s="13">
        <f>IFERROR(VLOOKUP(Proponentes[[#This Row],[Propuesta]],Hoja2!$A$2:$G$329,7,FALSE),0)</f>
        <v>681663764.03511846</v>
      </c>
      <c r="X195" s="83">
        <f>IF(Proponentes[[#This Row],[Cap Op en Pesos]]=0,0,IF(Proponentes[[#This Row],[Cap Op en Pesos]]=0,1,Proponentes[[#This Row],[Cap Op en Pesos]]/Base!B$3))</f>
        <v>823.15009495664674</v>
      </c>
      <c r="Y19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9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9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95" s="23" t="str">
        <f>IF(AND(Proponentes[[#This Row],[Cumple
Liquidez]]="CUMPLE",Proponentes[[#This Row],[Cumple
Endeudamiento]]="CUMPLE",Proponentes[[#This Row],[Cumple
Capital de Trabajo]]="CUMPLE"),"CUMPLE","NO CUMPLE")</f>
        <v>CUMPLE</v>
      </c>
      <c r="AC195" s="24"/>
      <c r="AD195" s="10">
        <f>IF(Proponentes[[#This Row],[Liquidez
Oferente]]&lt;=1,1,IF(Proponentes[[#This Row],[Liquidez
Oferente]]&lt;=1.1,2,IF(Proponentes[[#This Row],[Liquidez
Oferente]]&lt;=1.2,3,IF(Proponentes[[#This Row],[Liquidez
Oferente]]&lt;=1.3,4,IF(Proponentes[[#This Row],[Liquidez
Oferente]]&lt;=1.4,5,6)))))</f>
        <v>6</v>
      </c>
      <c r="AE195" s="10">
        <f>IF(Proponentes[[#This Row],[Endeudamiento
Oferente]]&lt;=66%,6,IF(Proponentes[[#This Row],[Endeudamiento
Oferente]]&lt;=58,5,IF(Proponentes[[#This Row],[Endeudamiento
Oferente]]&lt;=70,4,IF(Proponentes[[#This Row],[Endeudamiento
Oferente]]&lt;=72,3,IF(Proponentes[[#This Row],[Endeudamiento
Oferente]]&lt;=74,2,1)))))</f>
        <v>6</v>
      </c>
      <c r="AF19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95" s="10">
        <f>IF(Proponentes[[#This Row],[Cap Op en SMMLV]]&lt;=500,1,IF(Proponentes[[#This Row],[Cap Op en SMMLV]]&lt;=1000,2,IF(Proponentes[[#This Row],[Cap Op en SMMLV]]&lt;=1500,3,IF(Proponentes[[#This Row],[Cap Op en SMMLV]]&lt;=2000,4,IF(Proponentes[[#This Row],[Cap Op en SMMLV]]&lt;=2500,5,6)))))</f>
        <v>2</v>
      </c>
      <c r="AH195" s="10">
        <f>MIN(Proponentes[[#This Row],[a]:[d]])</f>
        <v>2</v>
      </c>
      <c r="AI195" s="87">
        <f>IF(Proponentes[[#This Row],[e]]=Proponentes[[#This Row],[d]],Proponentes[[#This Row],[Cap Op en SMMLV]],VLOOKUP(Proponentes[[#This Row],[e]],Base!$D$1:$E$6,2,FALSE))</f>
        <v>823.15009495664674</v>
      </c>
      <c r="AJ195" s="101" t="str">
        <f>VLOOKUP(Proponentes[[#This Row],[Propuesta]],Hoja2!$A$2:$D$329,4,FALSE)</f>
        <v>CUMPLE</v>
      </c>
      <c r="AK195" s="101"/>
    </row>
    <row r="196" spans="1:37" ht="32" x14ac:dyDescent="0.2">
      <c r="A196" s="10">
        <v>195</v>
      </c>
      <c r="B196" s="11">
        <v>900621294</v>
      </c>
      <c r="C196" s="12" t="s">
        <v>275</v>
      </c>
      <c r="D196" s="13">
        <v>203613849</v>
      </c>
      <c r="E196" s="13">
        <v>64166688</v>
      </c>
      <c r="F196" s="25">
        <f>Proponentes[[#This Row],[Activo Corriente]]+Proponentes[[#This Row],[Activo NO Corriente]]</f>
        <v>267780537</v>
      </c>
      <c r="G196" s="13">
        <v>27046533</v>
      </c>
      <c r="H196" s="13">
        <v>106795578</v>
      </c>
      <c r="I196" s="25">
        <f>Proponentes[[#This Row],[Pasivo Corriente]]+Proponentes[[#This Row],[Pasivo NO Corriente]]</f>
        <v>133842111</v>
      </c>
      <c r="J196" s="14">
        <f>Proponentes[[#This Row],[Total ACTIVO]]-Proponentes[[#This Row],[Total Pasivo]]</f>
        <v>133938426</v>
      </c>
      <c r="K196" s="48">
        <f>VLOOKUP(Proponentes[[#This Row],[Propuesta]],Hoja2!$A$2:$G$239,7,FALSE)</f>
        <v>39015788.066762321</v>
      </c>
      <c r="L196" s="15"/>
      <c r="M196" s="15" t="s">
        <v>272</v>
      </c>
      <c r="N196" s="55">
        <f>IFERROR(VLOOKUP(Proponentes[[#This Row],[Cap Op en SMMLV]],Base!$A$15:$F$20,3),0)</f>
        <v>1</v>
      </c>
      <c r="O196" s="16">
        <f>IFERROR(VLOOKUP(Proponentes[[#This Row],[Cap Op en SMMLV]],Base!$A$15:$F$20,4),0)</f>
        <v>0.76</v>
      </c>
      <c r="P196" s="17">
        <f>IFERROR(VLOOKUP(Proponentes[[#This Row],[Cap Op en SMMLV]],Tabla2[],6),0)</f>
        <v>12.5</v>
      </c>
      <c r="Q196" s="18">
        <f>IFERROR(VLOOKUP(Proponentes[[#This Row],[Cap Op en SMMLV]],Base!$A$15:$F$20,5),0)</f>
        <v>10351450</v>
      </c>
      <c r="R196" s="18">
        <f>IFERROR(VLOOKUP(Proponentes[[#This Row],[Cap Op en SMMLV]],Tabla2[[DE]:[HASTA]],2),0)</f>
        <v>500</v>
      </c>
      <c r="S196" s="19">
        <f>IFERROR(Proponentes[[#This Row],[Activo Corriente]]/Proponentes[[#This Row],[Pasivo Corriente]],"INDETERMINADO")</f>
        <v>7.5282790958826409</v>
      </c>
      <c r="T196" s="20">
        <f>IFERROR(Proponentes[[#This Row],[Total Pasivo]]/Proponentes[[#This Row],[Total ACTIVO]],0)</f>
        <v>0.49982016056678535</v>
      </c>
      <c r="U196" s="21">
        <f>(Proponentes[[#This Row],[Activo Corriente]]-Proponentes[[#This Row],[Pasivo Corriente]])/Base!$B$3</f>
        <v>213.21567992889885</v>
      </c>
      <c r="V196" s="22">
        <f>Proponentes[[#This Row],[Activo Corriente]]-Proponentes[[#This Row],[Pasivo Corriente]]</f>
        <v>176567316</v>
      </c>
      <c r="W196" s="13">
        <f>IFERROR(VLOOKUP(Proponentes[[#This Row],[Propuesta]],Hoja2!$A$2:$G$329,7,FALSE),0)</f>
        <v>39015788.066762321</v>
      </c>
      <c r="X196" s="83">
        <f>IF(Proponentes[[#This Row],[Cap Op en Pesos]]=0,0,IF(Proponentes[[#This Row],[Cap Op en Pesos]]=0,1,Proponentes[[#This Row],[Cap Op en Pesos]]/Base!B$3))</f>
        <v>47.113916488465769</v>
      </c>
      <c r="Y19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9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9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96" s="23" t="str">
        <f>IF(AND(Proponentes[[#This Row],[Cumple
Liquidez]]="CUMPLE",Proponentes[[#This Row],[Cumple
Endeudamiento]]="CUMPLE",Proponentes[[#This Row],[Cumple
Capital de Trabajo]]="CUMPLE"),"CUMPLE","NO CUMPLE")</f>
        <v>CUMPLE</v>
      </c>
      <c r="AC196" s="24"/>
      <c r="AD196" s="10">
        <f>IF(Proponentes[[#This Row],[Liquidez
Oferente]]&lt;=1,1,IF(Proponentes[[#This Row],[Liquidez
Oferente]]&lt;=1.1,2,IF(Proponentes[[#This Row],[Liquidez
Oferente]]&lt;=1.2,3,IF(Proponentes[[#This Row],[Liquidez
Oferente]]&lt;=1.3,4,IF(Proponentes[[#This Row],[Liquidez
Oferente]]&lt;=1.4,5,6)))))</f>
        <v>6</v>
      </c>
      <c r="AE196" s="10">
        <f>IF(Proponentes[[#This Row],[Endeudamiento
Oferente]]&lt;=66%,6,IF(Proponentes[[#This Row],[Endeudamiento
Oferente]]&lt;=58,5,IF(Proponentes[[#This Row],[Endeudamiento
Oferente]]&lt;=70,4,IF(Proponentes[[#This Row],[Endeudamiento
Oferente]]&lt;=72,3,IF(Proponentes[[#This Row],[Endeudamiento
Oferente]]&lt;=74,2,1)))))</f>
        <v>6</v>
      </c>
      <c r="AF19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96" s="10">
        <f>IF(Proponentes[[#This Row],[Cap Op en SMMLV]]&lt;=500,1,IF(Proponentes[[#This Row],[Cap Op en SMMLV]]&lt;=1000,2,IF(Proponentes[[#This Row],[Cap Op en SMMLV]]&lt;=1500,3,IF(Proponentes[[#This Row],[Cap Op en SMMLV]]&lt;=2000,4,IF(Proponentes[[#This Row],[Cap Op en SMMLV]]&lt;=2500,5,6)))))</f>
        <v>1</v>
      </c>
      <c r="AH196" s="10">
        <f>MIN(Proponentes[[#This Row],[a]:[d]])</f>
        <v>1</v>
      </c>
      <c r="AI196" s="87">
        <f>IF(Proponentes[[#This Row],[e]]=Proponentes[[#This Row],[d]],Proponentes[[#This Row],[Cap Op en SMMLV]],VLOOKUP(Proponentes[[#This Row],[e]],Base!$D$1:$E$6,2,FALSE))</f>
        <v>47.113916488465769</v>
      </c>
      <c r="AJ196" s="101" t="str">
        <f>VLOOKUP(Proponentes[[#This Row],[Propuesta]],Hoja2!$A$2:$D$329,4,FALSE)</f>
        <v>CUMPLE</v>
      </c>
      <c r="AK196" s="101"/>
    </row>
    <row r="197" spans="1:37" ht="16" x14ac:dyDescent="0.2">
      <c r="A197" s="10">
        <v>196</v>
      </c>
      <c r="B197" s="11">
        <v>802021105</v>
      </c>
      <c r="C197" s="12" t="s">
        <v>276</v>
      </c>
      <c r="D197" s="13">
        <v>48373600</v>
      </c>
      <c r="E197" s="13">
        <v>10467900</v>
      </c>
      <c r="F197" s="25">
        <f>Proponentes[[#This Row],[Activo Corriente]]+Proponentes[[#This Row],[Activo NO Corriente]]</f>
        <v>58841500</v>
      </c>
      <c r="G197" s="13">
        <v>1910200</v>
      </c>
      <c r="H197" s="13">
        <v>5132293</v>
      </c>
      <c r="I197" s="25">
        <f>Proponentes[[#This Row],[Pasivo Corriente]]+Proponentes[[#This Row],[Pasivo NO Corriente]]</f>
        <v>7042493</v>
      </c>
      <c r="J197" s="14">
        <f>Proponentes[[#This Row],[Total ACTIVO]]-Proponentes[[#This Row],[Total Pasivo]]</f>
        <v>51799007</v>
      </c>
      <c r="K197" s="48">
        <f>VLOOKUP(Proponentes[[#This Row],[Propuesta]],Hoja2!$A$2:$G$239,7,FALSE)</f>
        <v>0</v>
      </c>
      <c r="L197" s="15"/>
      <c r="M197" s="15" t="s">
        <v>277</v>
      </c>
      <c r="N197" s="55">
        <f>IFERROR(VLOOKUP(Proponentes[[#This Row],[Cap Op en SMMLV]],Base!$A$15:$F$20,3),0)</f>
        <v>0</v>
      </c>
      <c r="O197" s="16">
        <f>IFERROR(VLOOKUP(Proponentes[[#This Row],[Cap Op en SMMLV]],Base!$A$15:$F$20,4),0)</f>
        <v>0</v>
      </c>
      <c r="P197" s="17">
        <f>IFERROR(VLOOKUP(Proponentes[[#This Row],[Cap Op en SMMLV]],Tabla2[],6),0)</f>
        <v>0</v>
      </c>
      <c r="Q197" s="18">
        <f>IFERROR(VLOOKUP(Proponentes[[#This Row],[Cap Op en SMMLV]],Base!$A$15:$F$20,5),0)</f>
        <v>0</v>
      </c>
      <c r="R197" s="18">
        <f>IFERROR(VLOOKUP(Proponentes[[#This Row],[Cap Op en SMMLV]],Tabla2[[DE]:[HASTA]],2),0)</f>
        <v>0</v>
      </c>
      <c r="S197" s="19">
        <f>IFERROR(Proponentes[[#This Row],[Activo Corriente]]/Proponentes[[#This Row],[Pasivo Corriente]],"INDETERMINADO")</f>
        <v>25.323840435556487</v>
      </c>
      <c r="T197" s="20">
        <f>IFERROR(Proponentes[[#This Row],[Total Pasivo]]/Proponentes[[#This Row],[Total ACTIVO]],0)</f>
        <v>0.11968581698291172</v>
      </c>
      <c r="U197" s="21">
        <f>(Proponentes[[#This Row],[Activo Corriente]]-Proponentes[[#This Row],[Pasivo Corriente]])/Base!$B$3</f>
        <v>56.107356940332032</v>
      </c>
      <c r="V197" s="22">
        <f>Proponentes[[#This Row],[Activo Corriente]]-Proponentes[[#This Row],[Pasivo Corriente]]</f>
        <v>46463400</v>
      </c>
      <c r="W197" s="13">
        <f>IFERROR(VLOOKUP(Proponentes[[#This Row],[Propuesta]],Hoja2!$A$2:$G$329,7,FALSE),0)</f>
        <v>0</v>
      </c>
      <c r="X197" s="83">
        <f>IF(Proponentes[[#This Row],[Cap Op en Pesos]]=0,0,IF(Proponentes[[#This Row],[Cap Op en Pesos]]=0,1,Proponentes[[#This Row],[Cap Op en Pesos]]/Base!B$3))</f>
        <v>0</v>
      </c>
      <c r="Y19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9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9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97" s="23" t="str">
        <f>IF(AND(Proponentes[[#This Row],[Cumple
Liquidez]]="CUMPLE",Proponentes[[#This Row],[Cumple
Endeudamiento]]="CUMPLE",Proponentes[[#This Row],[Cumple
Capital de Trabajo]]="CUMPLE"),"CUMPLE","NO CUMPLE")</f>
        <v>NO CUMPLE</v>
      </c>
      <c r="AC197" s="24"/>
      <c r="AD197" s="10">
        <f>IF(Proponentes[[#This Row],[Liquidez
Oferente]]&lt;=1,1,IF(Proponentes[[#This Row],[Liquidez
Oferente]]&lt;=1.1,2,IF(Proponentes[[#This Row],[Liquidez
Oferente]]&lt;=1.2,3,IF(Proponentes[[#This Row],[Liquidez
Oferente]]&lt;=1.3,4,IF(Proponentes[[#This Row],[Liquidez
Oferente]]&lt;=1.4,5,6)))))</f>
        <v>6</v>
      </c>
      <c r="AE197" s="10">
        <f>IF(Proponentes[[#This Row],[Endeudamiento
Oferente]]&lt;=66%,6,IF(Proponentes[[#This Row],[Endeudamiento
Oferente]]&lt;=58,5,IF(Proponentes[[#This Row],[Endeudamiento
Oferente]]&lt;=70,4,IF(Proponentes[[#This Row],[Endeudamiento
Oferente]]&lt;=72,3,IF(Proponentes[[#This Row],[Endeudamiento
Oferente]]&lt;=74,2,1)))))</f>
        <v>6</v>
      </c>
      <c r="AF19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5</v>
      </c>
      <c r="AG197" s="10">
        <f>IF(Proponentes[[#This Row],[Cap Op en SMMLV]]&lt;=500,1,IF(Proponentes[[#This Row],[Cap Op en SMMLV]]&lt;=1000,2,IF(Proponentes[[#This Row],[Cap Op en SMMLV]]&lt;=1500,3,IF(Proponentes[[#This Row],[Cap Op en SMMLV]]&lt;=2000,4,IF(Proponentes[[#This Row],[Cap Op en SMMLV]]&lt;=2500,5,6)))))</f>
        <v>1</v>
      </c>
      <c r="AH197" s="10">
        <f>MIN(Proponentes[[#This Row],[a]:[d]])</f>
        <v>1</v>
      </c>
      <c r="AI197" s="87">
        <f>IF(Proponentes[[#This Row],[e]]=Proponentes[[#This Row],[d]],Proponentes[[#This Row],[Cap Op en SMMLV]],VLOOKUP(Proponentes[[#This Row],[e]],Base!$D$1:$E$6,2,FALSE))</f>
        <v>0</v>
      </c>
      <c r="AJ197" s="101" t="str">
        <f>VLOOKUP(Proponentes[[#This Row],[Propuesta]],Hoja2!$A$2:$D$329,4,FALSE)</f>
        <v>NO CUMPLE</v>
      </c>
      <c r="AK197" s="101"/>
    </row>
    <row r="198" spans="1:37" ht="16" x14ac:dyDescent="0.2">
      <c r="A198" s="10">
        <v>197</v>
      </c>
      <c r="B198" s="11">
        <v>823001710</v>
      </c>
      <c r="C198" s="12" t="s">
        <v>278</v>
      </c>
      <c r="D198" s="13">
        <v>415672395</v>
      </c>
      <c r="E198" s="13">
        <v>182931462</v>
      </c>
      <c r="F198" s="25">
        <f>Proponentes[[#This Row],[Activo Corriente]]+Proponentes[[#This Row],[Activo NO Corriente]]</f>
        <v>598603857</v>
      </c>
      <c r="G198" s="13">
        <v>74015087</v>
      </c>
      <c r="H198" s="13">
        <v>232588760</v>
      </c>
      <c r="I198" s="25">
        <f>Proponentes[[#This Row],[Pasivo Corriente]]+Proponentes[[#This Row],[Pasivo NO Corriente]]</f>
        <v>306603847</v>
      </c>
      <c r="J198" s="14">
        <f>Proponentes[[#This Row],[Total ACTIVO]]-Proponentes[[#This Row],[Total Pasivo]]</f>
        <v>292000010</v>
      </c>
      <c r="K198" s="48">
        <f>VLOOKUP(Proponentes[[#This Row],[Propuesta]],Hoja2!$A$2:$G$239,7,FALSE)</f>
        <v>0</v>
      </c>
      <c r="L198" s="15"/>
      <c r="M198" s="15" t="s">
        <v>279</v>
      </c>
      <c r="N198" s="55">
        <f>IFERROR(VLOOKUP(Proponentes[[#This Row],[Cap Op en SMMLV]],Base!$A$15:$F$20,3),0)</f>
        <v>0</v>
      </c>
      <c r="O198" s="16">
        <f>IFERROR(VLOOKUP(Proponentes[[#This Row],[Cap Op en SMMLV]],Base!$A$15:$F$20,4),0)</f>
        <v>0</v>
      </c>
      <c r="P198" s="17">
        <f>IFERROR(VLOOKUP(Proponentes[[#This Row],[Cap Op en SMMLV]],Tabla2[],6),0)</f>
        <v>0</v>
      </c>
      <c r="Q198" s="18">
        <f>IFERROR(VLOOKUP(Proponentes[[#This Row],[Cap Op en SMMLV]],Base!$A$15:$F$20,5),0)</f>
        <v>0</v>
      </c>
      <c r="R198" s="18">
        <f>IFERROR(VLOOKUP(Proponentes[[#This Row],[Cap Op en SMMLV]],Tabla2[[DE]:[HASTA]],2),0)</f>
        <v>0</v>
      </c>
      <c r="S198" s="19">
        <f>IFERROR(Proponentes[[#This Row],[Activo Corriente]]/Proponentes[[#This Row],[Pasivo Corriente]],"INDETERMINADO")</f>
        <v>5.616049535954744</v>
      </c>
      <c r="T198" s="20">
        <f>IFERROR(Proponentes[[#This Row],[Total Pasivo]]/Proponentes[[#This Row],[Total ACTIVO]],0)</f>
        <v>0.51219824833170091</v>
      </c>
      <c r="U198" s="21">
        <f>(Proponentes[[#This Row],[Activo Corriente]]-Proponentes[[#This Row],[Pasivo Corriente]])/Base!$B$3</f>
        <v>412.57179911993006</v>
      </c>
      <c r="V198" s="22">
        <f>Proponentes[[#This Row],[Activo Corriente]]-Proponentes[[#This Row],[Pasivo Corriente]]</f>
        <v>341657308</v>
      </c>
      <c r="W198" s="13">
        <f>IFERROR(VLOOKUP(Proponentes[[#This Row],[Propuesta]],Hoja2!$A$2:$G$329,7,FALSE),0)</f>
        <v>0</v>
      </c>
      <c r="X198" s="83">
        <f>IF(Proponentes[[#This Row],[Cap Op en Pesos]]=0,0,IF(Proponentes[[#This Row],[Cap Op en Pesos]]=0,1,Proponentes[[#This Row],[Cap Op en Pesos]]/Base!B$3))</f>
        <v>0</v>
      </c>
      <c r="Y19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9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19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98" s="23" t="str">
        <f>IF(AND(Proponentes[[#This Row],[Cumple
Liquidez]]="CUMPLE",Proponentes[[#This Row],[Cumple
Endeudamiento]]="CUMPLE",Proponentes[[#This Row],[Cumple
Capital de Trabajo]]="CUMPLE"),"CUMPLE","NO CUMPLE")</f>
        <v>NO CUMPLE</v>
      </c>
      <c r="AC198" s="24"/>
      <c r="AD198" s="10">
        <f>IF(Proponentes[[#This Row],[Liquidez
Oferente]]&lt;=1,1,IF(Proponentes[[#This Row],[Liquidez
Oferente]]&lt;=1.1,2,IF(Proponentes[[#This Row],[Liquidez
Oferente]]&lt;=1.2,3,IF(Proponentes[[#This Row],[Liquidez
Oferente]]&lt;=1.3,4,IF(Proponentes[[#This Row],[Liquidez
Oferente]]&lt;=1.4,5,6)))))</f>
        <v>6</v>
      </c>
      <c r="AE198" s="10">
        <f>IF(Proponentes[[#This Row],[Endeudamiento
Oferente]]&lt;=66%,6,IF(Proponentes[[#This Row],[Endeudamiento
Oferente]]&lt;=58,5,IF(Proponentes[[#This Row],[Endeudamiento
Oferente]]&lt;=70,4,IF(Proponentes[[#This Row],[Endeudamiento
Oferente]]&lt;=72,3,IF(Proponentes[[#This Row],[Endeudamiento
Oferente]]&lt;=74,2,1)))))</f>
        <v>6</v>
      </c>
      <c r="AF19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98" s="10">
        <f>IF(Proponentes[[#This Row],[Cap Op en SMMLV]]&lt;=500,1,IF(Proponentes[[#This Row],[Cap Op en SMMLV]]&lt;=1000,2,IF(Proponentes[[#This Row],[Cap Op en SMMLV]]&lt;=1500,3,IF(Proponentes[[#This Row],[Cap Op en SMMLV]]&lt;=2000,4,IF(Proponentes[[#This Row],[Cap Op en SMMLV]]&lt;=2500,5,6)))))</f>
        <v>1</v>
      </c>
      <c r="AH198" s="10">
        <f>MIN(Proponentes[[#This Row],[a]:[d]])</f>
        <v>1</v>
      </c>
      <c r="AI198" s="87">
        <f>IF(Proponentes[[#This Row],[e]]=Proponentes[[#This Row],[d]],Proponentes[[#This Row],[Cap Op en SMMLV]],VLOOKUP(Proponentes[[#This Row],[e]],Base!$D$1:$E$6,2,FALSE))</f>
        <v>0</v>
      </c>
      <c r="AJ198" s="101" t="str">
        <f>VLOOKUP(Proponentes[[#This Row],[Propuesta]],Hoja2!$A$2:$D$329,4,FALSE)</f>
        <v>NO CUMPLE</v>
      </c>
      <c r="AK198" s="101"/>
    </row>
    <row r="199" spans="1:37" ht="16" x14ac:dyDescent="0.2">
      <c r="A199" s="10">
        <v>198</v>
      </c>
      <c r="B199" s="11">
        <v>900413418</v>
      </c>
      <c r="C199" s="12" t="s">
        <v>280</v>
      </c>
      <c r="D199" s="13">
        <v>734523986</v>
      </c>
      <c r="E199" s="13">
        <v>247290000</v>
      </c>
      <c r="F199" s="25">
        <f>Proponentes[[#This Row],[Activo Corriente]]+Proponentes[[#This Row],[Activo NO Corriente]]</f>
        <v>981813986</v>
      </c>
      <c r="G199" s="13">
        <v>26549159</v>
      </c>
      <c r="H199" s="13">
        <v>0</v>
      </c>
      <c r="I199" s="25">
        <f>Proponentes[[#This Row],[Pasivo Corriente]]+Proponentes[[#This Row],[Pasivo NO Corriente]]</f>
        <v>26549159</v>
      </c>
      <c r="J199" s="14">
        <f>Proponentes[[#This Row],[Total ACTIVO]]-Proponentes[[#This Row],[Total Pasivo]]</f>
        <v>955264827</v>
      </c>
      <c r="K199" s="48">
        <f>VLOOKUP(Proponentes[[#This Row],[Propuesta]],Hoja2!$A$2:$G$239,7,FALSE)</f>
        <v>179020799.88222191</v>
      </c>
      <c r="L199" s="15"/>
      <c r="M199" s="15" t="s">
        <v>279</v>
      </c>
      <c r="N199" s="55">
        <f>IFERROR(VLOOKUP(Proponentes[[#This Row],[Cap Op en SMMLV]],Base!$A$15:$F$20,3),0)</f>
        <v>1</v>
      </c>
      <c r="O199" s="16">
        <f>IFERROR(VLOOKUP(Proponentes[[#This Row],[Cap Op en SMMLV]],Base!$A$15:$F$20,4),0)</f>
        <v>0.76</v>
      </c>
      <c r="P199" s="17">
        <f>IFERROR(VLOOKUP(Proponentes[[#This Row],[Cap Op en SMMLV]],Tabla2[],6),0)</f>
        <v>12.5</v>
      </c>
      <c r="Q199" s="18">
        <f>IFERROR(VLOOKUP(Proponentes[[#This Row],[Cap Op en SMMLV]],Base!$A$15:$F$20,5),0)</f>
        <v>10351450</v>
      </c>
      <c r="R199" s="18">
        <f>IFERROR(VLOOKUP(Proponentes[[#This Row],[Cap Op en SMMLV]],Tabla2[[DE]:[HASTA]],2),0)</f>
        <v>500</v>
      </c>
      <c r="S199" s="19">
        <f>IFERROR(Proponentes[[#This Row],[Activo Corriente]]/Proponentes[[#This Row],[Pasivo Corriente]],"INDETERMINADO")</f>
        <v>27.666563223339768</v>
      </c>
      <c r="T199" s="20">
        <f>IFERROR(Proponentes[[#This Row],[Total Pasivo]]/Proponentes[[#This Row],[Total ACTIVO]],0)</f>
        <v>2.7040925652489126E-2</v>
      </c>
      <c r="U199" s="21">
        <f>(Proponentes[[#This Row],[Activo Corriente]]-Proponentes[[#This Row],[Pasivo Corriente]])/Base!$B$3</f>
        <v>854.92228987243334</v>
      </c>
      <c r="V199" s="22">
        <f>Proponentes[[#This Row],[Activo Corriente]]-Proponentes[[#This Row],[Pasivo Corriente]]</f>
        <v>707974827</v>
      </c>
      <c r="W199" s="13">
        <f>IFERROR(VLOOKUP(Proponentes[[#This Row],[Propuesta]],Hoja2!$A$2:$G$329,7,FALSE),0)</f>
        <v>179020799.88222191</v>
      </c>
      <c r="X199" s="83">
        <f>IF(Proponentes[[#This Row],[Cap Op en Pesos]]=0,0,IF(Proponentes[[#This Row],[Cap Op en Pesos]]=0,1,Proponentes[[#This Row],[Cap Op en Pesos]]/Base!B$3))</f>
        <v>216.17840964577655</v>
      </c>
      <c r="Y19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19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19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199" s="23" t="str">
        <f>IF(AND(Proponentes[[#This Row],[Cumple
Liquidez]]="CUMPLE",Proponentes[[#This Row],[Cumple
Endeudamiento]]="CUMPLE",Proponentes[[#This Row],[Cumple
Capital de Trabajo]]="CUMPLE"),"CUMPLE","NO CUMPLE")</f>
        <v>CUMPLE</v>
      </c>
      <c r="AC199" s="24"/>
      <c r="AD199" s="10">
        <f>IF(Proponentes[[#This Row],[Liquidez
Oferente]]&lt;=1,1,IF(Proponentes[[#This Row],[Liquidez
Oferente]]&lt;=1.1,2,IF(Proponentes[[#This Row],[Liquidez
Oferente]]&lt;=1.2,3,IF(Proponentes[[#This Row],[Liquidez
Oferente]]&lt;=1.3,4,IF(Proponentes[[#This Row],[Liquidez
Oferente]]&lt;=1.4,5,6)))))</f>
        <v>6</v>
      </c>
      <c r="AE199" s="10">
        <f>IF(Proponentes[[#This Row],[Endeudamiento
Oferente]]&lt;=66%,6,IF(Proponentes[[#This Row],[Endeudamiento
Oferente]]&lt;=58,5,IF(Proponentes[[#This Row],[Endeudamiento
Oferente]]&lt;=70,4,IF(Proponentes[[#This Row],[Endeudamiento
Oferente]]&lt;=72,3,IF(Proponentes[[#This Row],[Endeudamiento
Oferente]]&lt;=74,2,1)))))</f>
        <v>6</v>
      </c>
      <c r="AF19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199" s="10">
        <f>IF(Proponentes[[#This Row],[Cap Op en SMMLV]]&lt;=500,1,IF(Proponentes[[#This Row],[Cap Op en SMMLV]]&lt;=1000,2,IF(Proponentes[[#This Row],[Cap Op en SMMLV]]&lt;=1500,3,IF(Proponentes[[#This Row],[Cap Op en SMMLV]]&lt;=2000,4,IF(Proponentes[[#This Row],[Cap Op en SMMLV]]&lt;=2500,5,6)))))</f>
        <v>1</v>
      </c>
      <c r="AH199" s="10">
        <f>MIN(Proponentes[[#This Row],[a]:[d]])</f>
        <v>1</v>
      </c>
      <c r="AI199" s="87">
        <f>IF(Proponentes[[#This Row],[e]]=Proponentes[[#This Row],[d]],Proponentes[[#This Row],[Cap Op en SMMLV]],VLOOKUP(Proponentes[[#This Row],[e]],Base!$D$1:$E$6,2,FALSE))</f>
        <v>216.17840964577655</v>
      </c>
      <c r="AJ199" s="101" t="str">
        <f>VLOOKUP(Proponentes[[#This Row],[Propuesta]],Hoja2!$A$2:$D$329,4,FALSE)</f>
        <v>CUMPLE</v>
      </c>
      <c r="AK199" s="101"/>
    </row>
    <row r="200" spans="1:37" ht="16" x14ac:dyDescent="0.2">
      <c r="A200" s="10">
        <v>199</v>
      </c>
      <c r="B200" s="11">
        <v>800251628</v>
      </c>
      <c r="C200" s="12" t="s">
        <v>281</v>
      </c>
      <c r="D200" s="13">
        <v>1284908772</v>
      </c>
      <c r="E200" s="13">
        <v>2626553489</v>
      </c>
      <c r="F200" s="25">
        <f>Proponentes[[#This Row],[Activo Corriente]]+Proponentes[[#This Row],[Activo NO Corriente]]</f>
        <v>3911462261</v>
      </c>
      <c r="G200" s="13">
        <v>641879837</v>
      </c>
      <c r="H200" s="13">
        <v>759041134</v>
      </c>
      <c r="I200" s="25">
        <f>Proponentes[[#This Row],[Pasivo Corriente]]+Proponentes[[#This Row],[Pasivo NO Corriente]]</f>
        <v>1400920971</v>
      </c>
      <c r="J200" s="14">
        <f>Proponentes[[#This Row],[Total ACTIVO]]-Proponentes[[#This Row],[Total Pasivo]]</f>
        <v>2510541290</v>
      </c>
      <c r="K200" s="48">
        <f>VLOOKUP(Proponentes[[#This Row],[Propuesta]],Hoja2!$A$2:$G$239,7,FALSE)</f>
        <v>595517088.4276787</v>
      </c>
      <c r="L200" s="15"/>
      <c r="M200" s="15" t="s">
        <v>279</v>
      </c>
      <c r="N200" s="55">
        <f>IFERROR(VLOOKUP(Proponentes[[#This Row],[Cap Op en SMMLV]],Base!$A$15:$F$20,3),0)</f>
        <v>1.1000000000000001</v>
      </c>
      <c r="O200" s="16">
        <f>IFERROR(VLOOKUP(Proponentes[[#This Row],[Cap Op en SMMLV]],Base!$A$15:$F$20,4),0)</f>
        <v>0.74</v>
      </c>
      <c r="P200" s="17">
        <f>IFERROR(VLOOKUP(Proponentes[[#This Row],[Cap Op en SMMLV]],Tabla2[],6),0)</f>
        <v>25</v>
      </c>
      <c r="Q200" s="18">
        <f>IFERROR(VLOOKUP(Proponentes[[#This Row],[Cap Op en SMMLV]],Base!$A$15:$F$20,5),0)</f>
        <v>20702900</v>
      </c>
      <c r="R200" s="18">
        <f>IFERROR(VLOOKUP(Proponentes[[#This Row],[Cap Op en SMMLV]],Tabla2[[DE]:[HASTA]],2),0)</f>
        <v>1000</v>
      </c>
      <c r="S200" s="19">
        <f>IFERROR(Proponentes[[#This Row],[Activo Corriente]]/Proponentes[[#This Row],[Pasivo Corriente]],"INDETERMINADO")</f>
        <v>2.0017902073468621</v>
      </c>
      <c r="T200" s="20">
        <f>IFERROR(Proponentes[[#This Row],[Total Pasivo]]/Proponentes[[#This Row],[Total ACTIVO]],0)</f>
        <v>0.35815786463496191</v>
      </c>
      <c r="U200" s="21">
        <f>(Proponentes[[#This Row],[Activo Corriente]]-Proponentes[[#This Row],[Pasivo Corriente]])/Base!$B$3</f>
        <v>776.4962094682387</v>
      </c>
      <c r="V200" s="22">
        <f>Proponentes[[#This Row],[Activo Corriente]]-Proponentes[[#This Row],[Pasivo Corriente]]</f>
        <v>643028935</v>
      </c>
      <c r="W200" s="13">
        <f>IFERROR(VLOOKUP(Proponentes[[#This Row],[Propuesta]],Hoja2!$A$2:$G$329,7,FALSE),0)</f>
        <v>595517088.4276787</v>
      </c>
      <c r="X200" s="83">
        <f>IF(Proponentes[[#This Row],[Cap Op en Pesos]]=0,0,IF(Proponentes[[#This Row],[Cap Op en Pesos]]=0,1,Proponentes[[#This Row],[Cap Op en Pesos]]/Base!B$3))</f>
        <v>719.12279007733059</v>
      </c>
      <c r="Y20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0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0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00" s="23" t="str">
        <f>IF(AND(Proponentes[[#This Row],[Cumple
Liquidez]]="CUMPLE",Proponentes[[#This Row],[Cumple
Endeudamiento]]="CUMPLE",Proponentes[[#This Row],[Cumple
Capital de Trabajo]]="CUMPLE"),"CUMPLE","NO CUMPLE")</f>
        <v>CUMPLE</v>
      </c>
      <c r="AC200" s="24"/>
      <c r="AD200" s="10">
        <f>IF(Proponentes[[#This Row],[Liquidez
Oferente]]&lt;=1,1,IF(Proponentes[[#This Row],[Liquidez
Oferente]]&lt;=1.1,2,IF(Proponentes[[#This Row],[Liquidez
Oferente]]&lt;=1.2,3,IF(Proponentes[[#This Row],[Liquidez
Oferente]]&lt;=1.3,4,IF(Proponentes[[#This Row],[Liquidez
Oferente]]&lt;=1.4,5,6)))))</f>
        <v>6</v>
      </c>
      <c r="AE200" s="10">
        <f>IF(Proponentes[[#This Row],[Endeudamiento
Oferente]]&lt;=66%,6,IF(Proponentes[[#This Row],[Endeudamiento
Oferente]]&lt;=58,5,IF(Proponentes[[#This Row],[Endeudamiento
Oferente]]&lt;=70,4,IF(Proponentes[[#This Row],[Endeudamiento
Oferente]]&lt;=72,3,IF(Proponentes[[#This Row],[Endeudamiento
Oferente]]&lt;=74,2,1)))))</f>
        <v>6</v>
      </c>
      <c r="AF20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00" s="10">
        <f>IF(Proponentes[[#This Row],[Cap Op en SMMLV]]&lt;=500,1,IF(Proponentes[[#This Row],[Cap Op en SMMLV]]&lt;=1000,2,IF(Proponentes[[#This Row],[Cap Op en SMMLV]]&lt;=1500,3,IF(Proponentes[[#This Row],[Cap Op en SMMLV]]&lt;=2000,4,IF(Proponentes[[#This Row],[Cap Op en SMMLV]]&lt;=2500,5,6)))))</f>
        <v>2</v>
      </c>
      <c r="AH200" s="10">
        <f>MIN(Proponentes[[#This Row],[a]:[d]])</f>
        <v>2</v>
      </c>
      <c r="AI200" s="87">
        <f>IF(Proponentes[[#This Row],[e]]=Proponentes[[#This Row],[d]],Proponentes[[#This Row],[Cap Op en SMMLV]],VLOOKUP(Proponentes[[#This Row],[e]],Base!$D$1:$E$6,2,FALSE))</f>
        <v>719.12279007733059</v>
      </c>
      <c r="AJ200" s="101" t="str">
        <f>VLOOKUP(Proponentes[[#This Row],[Propuesta]],Hoja2!$A$2:$D$329,4,FALSE)</f>
        <v>CUMPLE</v>
      </c>
      <c r="AK200" s="101"/>
    </row>
    <row r="201" spans="1:37" ht="16" x14ac:dyDescent="0.2">
      <c r="A201" s="10">
        <v>200</v>
      </c>
      <c r="B201" s="11">
        <v>802011827</v>
      </c>
      <c r="C201" s="12" t="s">
        <v>282</v>
      </c>
      <c r="D201" s="13">
        <v>383266000</v>
      </c>
      <c r="E201" s="13"/>
      <c r="F201" s="25">
        <f>Proponentes[[#This Row],[Activo Corriente]]+Proponentes[[#This Row],[Activo NO Corriente]]</f>
        <v>383266000</v>
      </c>
      <c r="G201" s="13">
        <v>2662000</v>
      </c>
      <c r="H201" s="13">
        <v>0</v>
      </c>
      <c r="I201" s="25">
        <f>Proponentes[[#This Row],[Pasivo Corriente]]+Proponentes[[#This Row],[Pasivo NO Corriente]]</f>
        <v>2662000</v>
      </c>
      <c r="J201" s="14">
        <f>Proponentes[[#This Row],[Total ACTIVO]]-Proponentes[[#This Row],[Total Pasivo]]</f>
        <v>380604000</v>
      </c>
      <c r="K201" s="48">
        <f>VLOOKUP(Proponentes[[#This Row],[Propuesta]],Hoja2!$A$2:$G$239,7,FALSE)</f>
        <v>0</v>
      </c>
      <c r="L201" s="15"/>
      <c r="M201" s="15" t="s">
        <v>31</v>
      </c>
      <c r="N201" s="55">
        <f>IFERROR(VLOOKUP(Proponentes[[#This Row],[Cap Op en SMMLV]],Base!$A$15:$F$20,3),0)</f>
        <v>0</v>
      </c>
      <c r="O201" s="16">
        <f>IFERROR(VLOOKUP(Proponentes[[#This Row],[Cap Op en SMMLV]],Base!$A$15:$F$20,4),0)</f>
        <v>0</v>
      </c>
      <c r="P201" s="17">
        <f>IFERROR(VLOOKUP(Proponentes[[#This Row],[Cap Op en SMMLV]],Tabla2[],6),0)</f>
        <v>0</v>
      </c>
      <c r="Q201" s="18">
        <f>IFERROR(VLOOKUP(Proponentes[[#This Row],[Cap Op en SMMLV]],Base!$A$15:$F$20,5),0)</f>
        <v>0</v>
      </c>
      <c r="R201" s="18">
        <f>IFERROR(VLOOKUP(Proponentes[[#This Row],[Cap Op en SMMLV]],Tabla2[[DE]:[HASTA]],2),0)</f>
        <v>0</v>
      </c>
      <c r="S201" s="19">
        <f>IFERROR(Proponentes[[#This Row],[Activo Corriente]]/Proponentes[[#This Row],[Pasivo Corriente]],"INDETERMINADO")</f>
        <v>143.97670924117205</v>
      </c>
      <c r="T201" s="20">
        <f>IFERROR(Proponentes[[#This Row],[Total Pasivo]]/Proponentes[[#This Row],[Total ACTIVO]],0)</f>
        <v>6.9455678301753873E-3</v>
      </c>
      <c r="U201" s="21">
        <f>(Proponentes[[#This Row],[Activo Corriente]]-Proponentes[[#This Row],[Pasivo Corriente]])/Base!$B$3</f>
        <v>459.60227794173761</v>
      </c>
      <c r="V201" s="22">
        <f>Proponentes[[#This Row],[Activo Corriente]]-Proponentes[[#This Row],[Pasivo Corriente]]</f>
        <v>380604000</v>
      </c>
      <c r="W201" s="13">
        <f>IFERROR(VLOOKUP(Proponentes[[#This Row],[Propuesta]],Hoja2!$A$2:$G$329,7,FALSE),0)</f>
        <v>0</v>
      </c>
      <c r="X201" s="83">
        <f>IF(Proponentes[[#This Row],[Cap Op en Pesos]]=0,0,IF(Proponentes[[#This Row],[Cap Op en Pesos]]=0,1,Proponentes[[#This Row],[Cap Op en Pesos]]/Base!B$3))</f>
        <v>0</v>
      </c>
      <c r="Y20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0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0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01" s="23" t="str">
        <f>IF(AND(Proponentes[[#This Row],[Cumple
Liquidez]]="CUMPLE",Proponentes[[#This Row],[Cumple
Endeudamiento]]="CUMPLE",Proponentes[[#This Row],[Cumple
Capital de Trabajo]]="CUMPLE"),"CUMPLE","NO CUMPLE")</f>
        <v>NO CUMPLE</v>
      </c>
      <c r="AC201" s="24"/>
      <c r="AD201" s="10">
        <f>IF(Proponentes[[#This Row],[Liquidez
Oferente]]&lt;=1,1,IF(Proponentes[[#This Row],[Liquidez
Oferente]]&lt;=1.1,2,IF(Proponentes[[#This Row],[Liquidez
Oferente]]&lt;=1.2,3,IF(Proponentes[[#This Row],[Liquidez
Oferente]]&lt;=1.3,4,IF(Proponentes[[#This Row],[Liquidez
Oferente]]&lt;=1.4,5,6)))))</f>
        <v>6</v>
      </c>
      <c r="AE201" s="10">
        <f>IF(Proponentes[[#This Row],[Endeudamiento
Oferente]]&lt;=66%,6,IF(Proponentes[[#This Row],[Endeudamiento
Oferente]]&lt;=58,5,IF(Proponentes[[#This Row],[Endeudamiento
Oferente]]&lt;=70,4,IF(Proponentes[[#This Row],[Endeudamiento
Oferente]]&lt;=72,3,IF(Proponentes[[#This Row],[Endeudamiento
Oferente]]&lt;=74,2,1)))))</f>
        <v>6</v>
      </c>
      <c r="AF20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01" s="10">
        <f>IF(Proponentes[[#This Row],[Cap Op en SMMLV]]&lt;=500,1,IF(Proponentes[[#This Row],[Cap Op en SMMLV]]&lt;=1000,2,IF(Proponentes[[#This Row],[Cap Op en SMMLV]]&lt;=1500,3,IF(Proponentes[[#This Row],[Cap Op en SMMLV]]&lt;=2000,4,IF(Proponentes[[#This Row],[Cap Op en SMMLV]]&lt;=2500,5,6)))))</f>
        <v>1</v>
      </c>
      <c r="AH201" s="10">
        <f>MIN(Proponentes[[#This Row],[a]:[d]])</f>
        <v>1</v>
      </c>
      <c r="AI201" s="87">
        <f>IF(Proponentes[[#This Row],[e]]=Proponentes[[#This Row],[d]],Proponentes[[#This Row],[Cap Op en SMMLV]],VLOOKUP(Proponentes[[#This Row],[e]],Base!$D$1:$E$6,2,FALSE))</f>
        <v>0</v>
      </c>
      <c r="AJ201" s="101" t="str">
        <f>VLOOKUP(Proponentes[[#This Row],[Propuesta]],Hoja2!$A$2:$D$329,4,FALSE)</f>
        <v>NO CUMPLE</v>
      </c>
      <c r="AK201" s="101"/>
    </row>
    <row r="202" spans="1:37" ht="32" x14ac:dyDescent="0.2">
      <c r="A202" s="10">
        <v>201</v>
      </c>
      <c r="B202" s="11">
        <v>818002136</v>
      </c>
      <c r="C202" s="12" t="s">
        <v>283</v>
      </c>
      <c r="D202" s="13">
        <v>862566301</v>
      </c>
      <c r="E202" s="13">
        <v>473412133</v>
      </c>
      <c r="F202" s="25">
        <f>Proponentes[[#This Row],[Activo Corriente]]+Proponentes[[#This Row],[Activo NO Corriente]]</f>
        <v>1335978434</v>
      </c>
      <c r="G202" s="13">
        <v>578217594</v>
      </c>
      <c r="H202" s="13">
        <v>246569715</v>
      </c>
      <c r="I202" s="25">
        <f>Proponentes[[#This Row],[Pasivo Corriente]]+Proponentes[[#This Row],[Pasivo NO Corriente]]</f>
        <v>824787309</v>
      </c>
      <c r="J202" s="14">
        <f>Proponentes[[#This Row],[Total ACTIVO]]-Proponentes[[#This Row],[Total Pasivo]]</f>
        <v>511191125</v>
      </c>
      <c r="K202" s="48">
        <f>VLOOKUP(Proponentes[[#This Row],[Propuesta]],Hoja2!$A$2:$G$239,7,FALSE)</f>
        <v>0</v>
      </c>
      <c r="L202" s="15"/>
      <c r="M202" s="15" t="s">
        <v>284</v>
      </c>
      <c r="N202" s="55">
        <f>IFERROR(VLOOKUP(Proponentes[[#This Row],[Cap Op en SMMLV]],Base!$A$15:$F$20,3),0)</f>
        <v>0</v>
      </c>
      <c r="O202" s="16">
        <f>IFERROR(VLOOKUP(Proponentes[[#This Row],[Cap Op en SMMLV]],Base!$A$15:$F$20,4),0)</f>
        <v>0</v>
      </c>
      <c r="P202" s="17">
        <f>IFERROR(VLOOKUP(Proponentes[[#This Row],[Cap Op en SMMLV]],Tabla2[],6),0)</f>
        <v>0</v>
      </c>
      <c r="Q202" s="18">
        <f>IFERROR(VLOOKUP(Proponentes[[#This Row],[Cap Op en SMMLV]],Base!$A$15:$F$20,5),0)</f>
        <v>0</v>
      </c>
      <c r="R202" s="18">
        <f>IFERROR(VLOOKUP(Proponentes[[#This Row],[Cap Op en SMMLV]],Tabla2[[DE]:[HASTA]],2),0)</f>
        <v>0</v>
      </c>
      <c r="S202" s="19">
        <f>IFERROR(Proponentes[[#This Row],[Activo Corriente]]/Proponentes[[#This Row],[Pasivo Corriente]],"INDETERMINADO")</f>
        <v>1.4917676493254544</v>
      </c>
      <c r="T202" s="20">
        <f>IFERROR(Proponentes[[#This Row],[Total Pasivo]]/Proponentes[[#This Row],[Total ACTIVO]],0)</f>
        <v>0.61736573586037391</v>
      </c>
      <c r="U202" s="21">
        <f>(Proponentes[[#This Row],[Activo Corriente]]-Proponentes[[#This Row],[Pasivo Corriente]])/Base!$B$3</f>
        <v>343.36820807712928</v>
      </c>
      <c r="V202" s="22">
        <f>Proponentes[[#This Row],[Activo Corriente]]-Proponentes[[#This Row],[Pasivo Corriente]]</f>
        <v>284348707</v>
      </c>
      <c r="W202" s="13">
        <f>IFERROR(VLOOKUP(Proponentes[[#This Row],[Propuesta]],Hoja2!$A$2:$G$329,7,FALSE),0)</f>
        <v>0</v>
      </c>
      <c r="X202" s="83">
        <f>IF(Proponentes[[#This Row],[Cap Op en Pesos]]=0,0,IF(Proponentes[[#This Row],[Cap Op en Pesos]]=0,1,Proponentes[[#This Row],[Cap Op en Pesos]]/Base!B$3))</f>
        <v>0</v>
      </c>
      <c r="Y20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0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0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02" s="23" t="str">
        <f>IF(AND(Proponentes[[#This Row],[Cumple
Liquidez]]="CUMPLE",Proponentes[[#This Row],[Cumple
Endeudamiento]]="CUMPLE",Proponentes[[#This Row],[Cumple
Capital de Trabajo]]="CUMPLE"),"CUMPLE","NO CUMPLE")</f>
        <v>NO CUMPLE</v>
      </c>
      <c r="AC202" s="24"/>
      <c r="AD202" s="10">
        <f>IF(Proponentes[[#This Row],[Liquidez
Oferente]]&lt;=1,1,IF(Proponentes[[#This Row],[Liquidez
Oferente]]&lt;=1.1,2,IF(Proponentes[[#This Row],[Liquidez
Oferente]]&lt;=1.2,3,IF(Proponentes[[#This Row],[Liquidez
Oferente]]&lt;=1.3,4,IF(Proponentes[[#This Row],[Liquidez
Oferente]]&lt;=1.4,5,6)))))</f>
        <v>6</v>
      </c>
      <c r="AE202" s="10">
        <f>IF(Proponentes[[#This Row],[Endeudamiento
Oferente]]&lt;=66%,6,IF(Proponentes[[#This Row],[Endeudamiento
Oferente]]&lt;=58,5,IF(Proponentes[[#This Row],[Endeudamiento
Oferente]]&lt;=70,4,IF(Proponentes[[#This Row],[Endeudamiento
Oferente]]&lt;=72,3,IF(Proponentes[[#This Row],[Endeudamiento
Oferente]]&lt;=74,2,1)))))</f>
        <v>6</v>
      </c>
      <c r="AF20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02" s="10">
        <f>IF(Proponentes[[#This Row],[Cap Op en SMMLV]]&lt;=500,1,IF(Proponentes[[#This Row],[Cap Op en SMMLV]]&lt;=1000,2,IF(Proponentes[[#This Row],[Cap Op en SMMLV]]&lt;=1500,3,IF(Proponentes[[#This Row],[Cap Op en SMMLV]]&lt;=2000,4,IF(Proponentes[[#This Row],[Cap Op en SMMLV]]&lt;=2500,5,6)))))</f>
        <v>1</v>
      </c>
      <c r="AH202" s="10">
        <f>MIN(Proponentes[[#This Row],[a]:[d]])</f>
        <v>1</v>
      </c>
      <c r="AI202" s="87">
        <f>IF(Proponentes[[#This Row],[e]]=Proponentes[[#This Row],[d]],Proponentes[[#This Row],[Cap Op en SMMLV]],VLOOKUP(Proponentes[[#This Row],[e]],Base!$D$1:$E$6,2,FALSE))</f>
        <v>0</v>
      </c>
      <c r="AJ202" s="101" t="str">
        <f>VLOOKUP(Proponentes[[#This Row],[Propuesta]],Hoja2!$A$2:$D$329,4,FALSE)</f>
        <v>NO CUMPLE</v>
      </c>
      <c r="AK202" s="101"/>
    </row>
    <row r="203" spans="1:37" ht="16" x14ac:dyDescent="0.2">
      <c r="A203" s="10">
        <v>202</v>
      </c>
      <c r="B203" s="11">
        <v>900135278</v>
      </c>
      <c r="C203" s="12" t="s">
        <v>285</v>
      </c>
      <c r="D203" s="13">
        <v>323061387</v>
      </c>
      <c r="E203" s="13"/>
      <c r="F203" s="25">
        <f>Proponentes[[#This Row],[Activo Corriente]]+Proponentes[[#This Row],[Activo NO Corriente]]</f>
        <v>323061387</v>
      </c>
      <c r="G203" s="13">
        <v>6341997</v>
      </c>
      <c r="H203" s="13">
        <v>0</v>
      </c>
      <c r="I203" s="25">
        <f>Proponentes[[#This Row],[Pasivo Corriente]]+Proponentes[[#This Row],[Pasivo NO Corriente]]</f>
        <v>6341997</v>
      </c>
      <c r="J203" s="14">
        <f>Proponentes[[#This Row],[Total ACTIVO]]-Proponentes[[#This Row],[Total Pasivo]]</f>
        <v>316719390</v>
      </c>
      <c r="K203" s="48">
        <f>VLOOKUP(Proponentes[[#This Row],[Propuesta]],Hoja2!$A$2:$G$239,7,FALSE)</f>
        <v>0</v>
      </c>
      <c r="L203" s="15"/>
      <c r="M203" s="15" t="s">
        <v>59</v>
      </c>
      <c r="N203" s="55">
        <f>IFERROR(VLOOKUP(Proponentes[[#This Row],[Cap Op en SMMLV]],Base!$A$15:$F$20,3),0)</f>
        <v>0</v>
      </c>
      <c r="O203" s="16">
        <f>IFERROR(VLOOKUP(Proponentes[[#This Row],[Cap Op en SMMLV]],Base!$A$15:$F$20,4),0)</f>
        <v>0</v>
      </c>
      <c r="P203" s="17">
        <f>IFERROR(VLOOKUP(Proponentes[[#This Row],[Cap Op en SMMLV]],Tabla2[],6),0)</f>
        <v>0</v>
      </c>
      <c r="Q203" s="18">
        <f>IFERROR(VLOOKUP(Proponentes[[#This Row],[Cap Op en SMMLV]],Base!$A$15:$F$20,5),0)</f>
        <v>0</v>
      </c>
      <c r="R203" s="18">
        <f>IFERROR(VLOOKUP(Proponentes[[#This Row],[Cap Op en SMMLV]],Tabla2[[DE]:[HASTA]],2),0)</f>
        <v>0</v>
      </c>
      <c r="S203" s="19">
        <f>IFERROR(Proponentes[[#This Row],[Activo Corriente]]/Proponentes[[#This Row],[Pasivo Corriente]],"INDETERMINADO")</f>
        <v>50.940009432360185</v>
      </c>
      <c r="T203" s="20">
        <f>IFERROR(Proponentes[[#This Row],[Total Pasivo]]/Proponentes[[#This Row],[Total ACTIVO]],0)</f>
        <v>1.9630934723870296E-2</v>
      </c>
      <c r="U203" s="21">
        <f>(Proponentes[[#This Row],[Activo Corriente]]-Proponentes[[#This Row],[Pasivo Corriente]])/Base!$B$3</f>
        <v>382.45775954093386</v>
      </c>
      <c r="V203" s="22">
        <f>Proponentes[[#This Row],[Activo Corriente]]-Proponentes[[#This Row],[Pasivo Corriente]]</f>
        <v>316719390</v>
      </c>
      <c r="W203" s="13">
        <f>IFERROR(VLOOKUP(Proponentes[[#This Row],[Propuesta]],Hoja2!$A$2:$G$329,7,FALSE),0)</f>
        <v>0</v>
      </c>
      <c r="X203" s="83">
        <f>IF(Proponentes[[#This Row],[Cap Op en Pesos]]=0,0,IF(Proponentes[[#This Row],[Cap Op en Pesos]]=0,1,Proponentes[[#This Row],[Cap Op en Pesos]]/Base!B$3))</f>
        <v>0</v>
      </c>
      <c r="Y20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0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0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03" s="23" t="str">
        <f>IF(AND(Proponentes[[#This Row],[Cumple
Liquidez]]="CUMPLE",Proponentes[[#This Row],[Cumple
Endeudamiento]]="CUMPLE",Proponentes[[#This Row],[Cumple
Capital de Trabajo]]="CUMPLE"),"CUMPLE","NO CUMPLE")</f>
        <v>NO CUMPLE</v>
      </c>
      <c r="AC203" s="24"/>
      <c r="AD203" s="10">
        <f>IF(Proponentes[[#This Row],[Liquidez
Oferente]]&lt;=1,1,IF(Proponentes[[#This Row],[Liquidez
Oferente]]&lt;=1.1,2,IF(Proponentes[[#This Row],[Liquidez
Oferente]]&lt;=1.2,3,IF(Proponentes[[#This Row],[Liquidez
Oferente]]&lt;=1.3,4,IF(Proponentes[[#This Row],[Liquidez
Oferente]]&lt;=1.4,5,6)))))</f>
        <v>6</v>
      </c>
      <c r="AE203" s="10">
        <f>IF(Proponentes[[#This Row],[Endeudamiento
Oferente]]&lt;=66%,6,IF(Proponentes[[#This Row],[Endeudamiento
Oferente]]&lt;=58,5,IF(Proponentes[[#This Row],[Endeudamiento
Oferente]]&lt;=70,4,IF(Proponentes[[#This Row],[Endeudamiento
Oferente]]&lt;=72,3,IF(Proponentes[[#This Row],[Endeudamiento
Oferente]]&lt;=74,2,1)))))</f>
        <v>6</v>
      </c>
      <c r="AF20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03" s="10">
        <f>IF(Proponentes[[#This Row],[Cap Op en SMMLV]]&lt;=500,1,IF(Proponentes[[#This Row],[Cap Op en SMMLV]]&lt;=1000,2,IF(Proponentes[[#This Row],[Cap Op en SMMLV]]&lt;=1500,3,IF(Proponentes[[#This Row],[Cap Op en SMMLV]]&lt;=2000,4,IF(Proponentes[[#This Row],[Cap Op en SMMLV]]&lt;=2500,5,6)))))</f>
        <v>1</v>
      </c>
      <c r="AH203" s="10">
        <f>MIN(Proponentes[[#This Row],[a]:[d]])</f>
        <v>1</v>
      </c>
      <c r="AI203" s="87">
        <f>IF(Proponentes[[#This Row],[e]]=Proponentes[[#This Row],[d]],Proponentes[[#This Row],[Cap Op en SMMLV]],VLOOKUP(Proponentes[[#This Row],[e]],Base!$D$1:$E$6,2,FALSE))</f>
        <v>0</v>
      </c>
      <c r="AJ203" s="101" t="str">
        <f>VLOOKUP(Proponentes[[#This Row],[Propuesta]],Hoja2!$A$2:$D$329,4,FALSE)</f>
        <v>NO CUMPLE</v>
      </c>
      <c r="AK203" s="101"/>
    </row>
    <row r="204" spans="1:37" ht="32" x14ac:dyDescent="0.2">
      <c r="A204" s="10">
        <v>203</v>
      </c>
      <c r="B204" s="11">
        <v>900407911</v>
      </c>
      <c r="C204" s="12" t="s">
        <v>286</v>
      </c>
      <c r="D204" s="13">
        <v>129126847</v>
      </c>
      <c r="E204" s="13"/>
      <c r="F204" s="25">
        <f>Proponentes[[#This Row],[Activo Corriente]]+Proponentes[[#This Row],[Activo NO Corriente]]</f>
        <v>129126847</v>
      </c>
      <c r="G204" s="13">
        <v>28085042</v>
      </c>
      <c r="H204" s="13">
        <v>0</v>
      </c>
      <c r="I204" s="25">
        <f>Proponentes[[#This Row],[Pasivo Corriente]]+Proponentes[[#This Row],[Pasivo NO Corriente]]</f>
        <v>28085042</v>
      </c>
      <c r="J204" s="14">
        <f>Proponentes[[#This Row],[Total ACTIVO]]-Proponentes[[#This Row],[Total Pasivo]]</f>
        <v>101041805</v>
      </c>
      <c r="K204" s="48">
        <f>VLOOKUP(Proponentes[[#This Row],[Propuesta]],Hoja2!$A$2:$G$239,7,FALSE)</f>
        <v>0</v>
      </c>
      <c r="L204" s="15"/>
      <c r="M204" s="15" t="s">
        <v>59</v>
      </c>
      <c r="N204" s="55">
        <f>IFERROR(VLOOKUP(Proponentes[[#This Row],[Cap Op en SMMLV]],Base!$A$15:$F$20,3),0)</f>
        <v>0</v>
      </c>
      <c r="O204" s="16">
        <f>IFERROR(VLOOKUP(Proponentes[[#This Row],[Cap Op en SMMLV]],Base!$A$15:$F$20,4),0)</f>
        <v>0</v>
      </c>
      <c r="P204" s="17">
        <f>IFERROR(VLOOKUP(Proponentes[[#This Row],[Cap Op en SMMLV]],Tabla2[],6),0)</f>
        <v>0</v>
      </c>
      <c r="Q204" s="18">
        <f>IFERROR(VLOOKUP(Proponentes[[#This Row],[Cap Op en SMMLV]],Base!$A$15:$F$20,5),0)</f>
        <v>0</v>
      </c>
      <c r="R204" s="18">
        <f>IFERROR(VLOOKUP(Proponentes[[#This Row],[Cap Op en SMMLV]],Tabla2[[DE]:[HASTA]],2),0)</f>
        <v>0</v>
      </c>
      <c r="S204" s="19">
        <f>IFERROR(Proponentes[[#This Row],[Activo Corriente]]/Proponentes[[#This Row],[Pasivo Corriente]],"INDETERMINADO")</f>
        <v>4.5977088800508117</v>
      </c>
      <c r="T204" s="20">
        <f>IFERROR(Proponentes[[#This Row],[Total Pasivo]]/Proponentes[[#This Row],[Total ACTIVO]],0)</f>
        <v>0.21749963429371122</v>
      </c>
      <c r="U204" s="21">
        <f>(Proponentes[[#This Row],[Activo Corriente]]-Proponentes[[#This Row],[Pasivo Corriente]])/Base!$B$3</f>
        <v>122.01407170009999</v>
      </c>
      <c r="V204" s="22">
        <f>Proponentes[[#This Row],[Activo Corriente]]-Proponentes[[#This Row],[Pasivo Corriente]]</f>
        <v>101041805</v>
      </c>
      <c r="W204" s="13">
        <f>IFERROR(VLOOKUP(Proponentes[[#This Row],[Propuesta]],Hoja2!$A$2:$G$329,7,FALSE),0)</f>
        <v>0</v>
      </c>
      <c r="X204" s="83">
        <f>IF(Proponentes[[#This Row],[Cap Op en Pesos]]=0,0,IF(Proponentes[[#This Row],[Cap Op en Pesos]]=0,1,Proponentes[[#This Row],[Cap Op en Pesos]]/Base!B$3))</f>
        <v>0</v>
      </c>
      <c r="Y20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0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0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04" s="23" t="str">
        <f>IF(AND(Proponentes[[#This Row],[Cumple
Liquidez]]="CUMPLE",Proponentes[[#This Row],[Cumple
Endeudamiento]]="CUMPLE",Proponentes[[#This Row],[Cumple
Capital de Trabajo]]="CUMPLE"),"CUMPLE","NO CUMPLE")</f>
        <v>NO CUMPLE</v>
      </c>
      <c r="AC204" s="24"/>
      <c r="AD204" s="10">
        <f>IF(Proponentes[[#This Row],[Liquidez
Oferente]]&lt;=1,1,IF(Proponentes[[#This Row],[Liquidez
Oferente]]&lt;=1.1,2,IF(Proponentes[[#This Row],[Liquidez
Oferente]]&lt;=1.2,3,IF(Proponentes[[#This Row],[Liquidez
Oferente]]&lt;=1.3,4,IF(Proponentes[[#This Row],[Liquidez
Oferente]]&lt;=1.4,5,6)))))</f>
        <v>6</v>
      </c>
      <c r="AE204" s="10">
        <f>IF(Proponentes[[#This Row],[Endeudamiento
Oferente]]&lt;=66%,6,IF(Proponentes[[#This Row],[Endeudamiento
Oferente]]&lt;=58,5,IF(Proponentes[[#This Row],[Endeudamiento
Oferente]]&lt;=70,4,IF(Proponentes[[#This Row],[Endeudamiento
Oferente]]&lt;=72,3,IF(Proponentes[[#This Row],[Endeudamiento
Oferente]]&lt;=74,2,1)))))</f>
        <v>6</v>
      </c>
      <c r="AF20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04" s="10">
        <f>IF(Proponentes[[#This Row],[Cap Op en SMMLV]]&lt;=500,1,IF(Proponentes[[#This Row],[Cap Op en SMMLV]]&lt;=1000,2,IF(Proponentes[[#This Row],[Cap Op en SMMLV]]&lt;=1500,3,IF(Proponentes[[#This Row],[Cap Op en SMMLV]]&lt;=2000,4,IF(Proponentes[[#This Row],[Cap Op en SMMLV]]&lt;=2500,5,6)))))</f>
        <v>1</v>
      </c>
      <c r="AH204" s="10">
        <f>MIN(Proponentes[[#This Row],[a]:[d]])</f>
        <v>1</v>
      </c>
      <c r="AI204" s="87">
        <f>IF(Proponentes[[#This Row],[e]]=Proponentes[[#This Row],[d]],Proponentes[[#This Row],[Cap Op en SMMLV]],VLOOKUP(Proponentes[[#This Row],[e]],Base!$D$1:$E$6,2,FALSE))</f>
        <v>0</v>
      </c>
      <c r="AJ204" s="101" t="str">
        <f>VLOOKUP(Proponentes[[#This Row],[Propuesta]],Hoja2!$A$2:$D$329,4,FALSE)</f>
        <v>NO CUMPLE</v>
      </c>
      <c r="AK204" s="101"/>
    </row>
    <row r="205" spans="1:37" ht="16" x14ac:dyDescent="0.2">
      <c r="A205" s="10">
        <v>204</v>
      </c>
      <c r="B205" s="11">
        <v>901021554</v>
      </c>
      <c r="C205" s="12" t="s">
        <v>287</v>
      </c>
      <c r="D205" s="13">
        <v>202507400</v>
      </c>
      <c r="E205" s="13">
        <v>100941800</v>
      </c>
      <c r="F205" s="25">
        <f>Proponentes[[#This Row],[Activo Corriente]]+Proponentes[[#This Row],[Activo NO Corriente]]</f>
        <v>303449200</v>
      </c>
      <c r="G205" s="13">
        <v>39896700</v>
      </c>
      <c r="H205" s="13">
        <v>60686434</v>
      </c>
      <c r="I205" s="25">
        <f>Proponentes[[#This Row],[Pasivo Corriente]]+Proponentes[[#This Row],[Pasivo NO Corriente]]</f>
        <v>100583134</v>
      </c>
      <c r="J205" s="14">
        <f>Proponentes[[#This Row],[Total ACTIVO]]-Proponentes[[#This Row],[Total Pasivo]]</f>
        <v>202866066</v>
      </c>
      <c r="K205" s="48">
        <f>VLOOKUP(Proponentes[[#This Row],[Propuesta]],Hoja2!$A$2:$G$239,7,FALSE)</f>
        <v>0</v>
      </c>
      <c r="L205" s="15" t="s">
        <v>288</v>
      </c>
      <c r="M205" s="15"/>
      <c r="N205" s="55">
        <f>IFERROR(VLOOKUP(Proponentes[[#This Row],[Cap Op en SMMLV]],Base!$A$15:$F$20,3),0)</f>
        <v>0</v>
      </c>
      <c r="O205" s="16">
        <f>IFERROR(VLOOKUP(Proponentes[[#This Row],[Cap Op en SMMLV]],Base!$A$15:$F$20,4),0)</f>
        <v>0</v>
      </c>
      <c r="P205" s="17">
        <f>IFERROR(VLOOKUP(Proponentes[[#This Row],[Cap Op en SMMLV]],Tabla2[],6),0)</f>
        <v>0</v>
      </c>
      <c r="Q205" s="18">
        <f>IFERROR(VLOOKUP(Proponentes[[#This Row],[Cap Op en SMMLV]],Base!$A$15:$F$20,5),0)</f>
        <v>0</v>
      </c>
      <c r="R205" s="18">
        <f>IFERROR(VLOOKUP(Proponentes[[#This Row],[Cap Op en SMMLV]],Tabla2[[DE]:[HASTA]],2),0)</f>
        <v>0</v>
      </c>
      <c r="S205" s="19">
        <f>IFERROR(Proponentes[[#This Row],[Activo Corriente]]/Proponentes[[#This Row],[Pasivo Corriente]],"INDETERMINADO")</f>
        <v>5.0757932360320526</v>
      </c>
      <c r="T205" s="20">
        <f>IFERROR(Proponentes[[#This Row],[Total Pasivo]]/Proponentes[[#This Row],[Total ACTIVO]],0)</f>
        <v>0.33146613667131103</v>
      </c>
      <c r="U205" s="21">
        <f>(Proponentes[[#This Row],[Activo Corriente]]-Proponentes[[#This Row],[Pasivo Corriente]])/Base!$B$3</f>
        <v>196.36222461587508</v>
      </c>
      <c r="V205" s="22">
        <f>Proponentes[[#This Row],[Activo Corriente]]-Proponentes[[#This Row],[Pasivo Corriente]]</f>
        <v>162610700</v>
      </c>
      <c r="W205" s="13">
        <f>IFERROR(VLOOKUP(Proponentes[[#This Row],[Propuesta]],Hoja2!$A$2:$G$329,7,FALSE),0)</f>
        <v>0</v>
      </c>
      <c r="X205" s="83">
        <f>IF(Proponentes[[#This Row],[Cap Op en Pesos]]=0,0,IF(Proponentes[[#This Row],[Cap Op en Pesos]]=0,1,Proponentes[[#This Row],[Cap Op en Pesos]]/Base!B$3))</f>
        <v>0</v>
      </c>
      <c r="Y20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0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0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05" s="23" t="str">
        <f>IF(AND(Proponentes[[#This Row],[Cumple
Liquidez]]="CUMPLE",Proponentes[[#This Row],[Cumple
Endeudamiento]]="CUMPLE",Proponentes[[#This Row],[Cumple
Capital de Trabajo]]="CUMPLE"),"CUMPLE","NO CUMPLE")</f>
        <v>NO CUMPLE</v>
      </c>
      <c r="AC205" s="24"/>
      <c r="AD205" s="10">
        <f>IF(Proponentes[[#This Row],[Liquidez
Oferente]]&lt;=1,1,IF(Proponentes[[#This Row],[Liquidez
Oferente]]&lt;=1.1,2,IF(Proponentes[[#This Row],[Liquidez
Oferente]]&lt;=1.2,3,IF(Proponentes[[#This Row],[Liquidez
Oferente]]&lt;=1.3,4,IF(Proponentes[[#This Row],[Liquidez
Oferente]]&lt;=1.4,5,6)))))</f>
        <v>6</v>
      </c>
      <c r="AE205" s="10">
        <f>IF(Proponentes[[#This Row],[Endeudamiento
Oferente]]&lt;=66%,6,IF(Proponentes[[#This Row],[Endeudamiento
Oferente]]&lt;=58,5,IF(Proponentes[[#This Row],[Endeudamiento
Oferente]]&lt;=70,4,IF(Proponentes[[#This Row],[Endeudamiento
Oferente]]&lt;=72,3,IF(Proponentes[[#This Row],[Endeudamiento
Oferente]]&lt;=74,2,1)))))</f>
        <v>6</v>
      </c>
      <c r="AF20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05" s="10">
        <f>IF(Proponentes[[#This Row],[Cap Op en SMMLV]]&lt;=500,1,IF(Proponentes[[#This Row],[Cap Op en SMMLV]]&lt;=1000,2,IF(Proponentes[[#This Row],[Cap Op en SMMLV]]&lt;=1500,3,IF(Proponentes[[#This Row],[Cap Op en SMMLV]]&lt;=2000,4,IF(Proponentes[[#This Row],[Cap Op en SMMLV]]&lt;=2500,5,6)))))</f>
        <v>1</v>
      </c>
      <c r="AH205" s="10">
        <f>MIN(Proponentes[[#This Row],[a]:[d]])</f>
        <v>1</v>
      </c>
      <c r="AI205" s="87">
        <f>IF(Proponentes[[#This Row],[e]]=Proponentes[[#This Row],[d]],Proponentes[[#This Row],[Cap Op en SMMLV]],VLOOKUP(Proponentes[[#This Row],[e]],Base!$D$1:$E$6,2,FALSE))</f>
        <v>0</v>
      </c>
      <c r="AJ205" s="101" t="str">
        <f>VLOOKUP(Proponentes[[#This Row],[Propuesta]],Hoja2!$A$2:$D$329,4,FALSE)</f>
        <v>NO CUMPLE</v>
      </c>
      <c r="AK205" s="101"/>
    </row>
    <row r="206" spans="1:37" ht="16" x14ac:dyDescent="0.2">
      <c r="A206" s="10">
        <v>205</v>
      </c>
      <c r="B206" s="11">
        <v>825001517</v>
      </c>
      <c r="C206" s="12" t="s">
        <v>289</v>
      </c>
      <c r="D206" s="13">
        <v>12857440</v>
      </c>
      <c r="E206" s="13"/>
      <c r="F206" s="25">
        <f>Proponentes[[#This Row],[Activo Corriente]]+Proponentes[[#This Row],[Activo NO Corriente]]</f>
        <v>12857440</v>
      </c>
      <c r="G206" s="13">
        <v>5505108</v>
      </c>
      <c r="H206" s="13">
        <v>0</v>
      </c>
      <c r="I206" s="25">
        <f>Proponentes[[#This Row],[Pasivo Corriente]]+Proponentes[[#This Row],[Pasivo NO Corriente]]</f>
        <v>5505108</v>
      </c>
      <c r="J206" s="14">
        <f>Proponentes[[#This Row],[Total ACTIVO]]-Proponentes[[#This Row],[Total Pasivo]]</f>
        <v>7352332</v>
      </c>
      <c r="K206" s="48">
        <f>VLOOKUP(Proponentes[[#This Row],[Propuesta]],Hoja2!$A$2:$G$239,7,FALSE)</f>
        <v>142589798.55795801</v>
      </c>
      <c r="L206" s="15"/>
      <c r="M206" s="15" t="s">
        <v>91</v>
      </c>
      <c r="N206" s="55">
        <f>IFERROR(VLOOKUP(Proponentes[[#This Row],[Cap Op en SMMLV]],Base!$A$15:$F$20,3),0)</f>
        <v>1</v>
      </c>
      <c r="O206" s="16">
        <f>IFERROR(VLOOKUP(Proponentes[[#This Row],[Cap Op en SMMLV]],Base!$A$15:$F$20,4),0)</f>
        <v>0.76</v>
      </c>
      <c r="P206" s="17">
        <f>IFERROR(VLOOKUP(Proponentes[[#This Row],[Cap Op en SMMLV]],Tabla2[],6),0)</f>
        <v>12.5</v>
      </c>
      <c r="Q206" s="18">
        <f>IFERROR(VLOOKUP(Proponentes[[#This Row],[Cap Op en SMMLV]],Base!$A$15:$F$20,5),0)</f>
        <v>10351450</v>
      </c>
      <c r="R206" s="18">
        <f>IFERROR(VLOOKUP(Proponentes[[#This Row],[Cap Op en SMMLV]],Tabla2[[DE]:[HASTA]],2),0)</f>
        <v>500</v>
      </c>
      <c r="S206" s="19">
        <f>IFERROR(Proponentes[[#This Row],[Activo Corriente]]/Proponentes[[#This Row],[Pasivo Corriente]],"INDETERMINADO")</f>
        <v>2.3355472771832995</v>
      </c>
      <c r="T206" s="20">
        <f>IFERROR(Proponentes[[#This Row],[Total Pasivo]]/Proponentes[[#This Row],[Total ACTIVO]],0)</f>
        <v>0.42816517129381898</v>
      </c>
      <c r="U206" s="21">
        <f>(Proponentes[[#This Row],[Activo Corriente]]-Proponentes[[#This Row],[Pasivo Corriente]])/Base!$B$3</f>
        <v>8.8783841877224923</v>
      </c>
      <c r="V206" s="22">
        <f>Proponentes[[#This Row],[Activo Corriente]]-Proponentes[[#This Row],[Pasivo Corriente]]</f>
        <v>7352332</v>
      </c>
      <c r="W206" s="13">
        <f>IFERROR(VLOOKUP(Proponentes[[#This Row],[Propuesta]],Hoja2!$A$2:$G$329,7,FALSE),0)</f>
        <v>142589798.55795801</v>
      </c>
      <c r="X206" s="83">
        <f>IF(Proponentes[[#This Row],[Cap Op en Pesos]]=0,0,IF(Proponentes[[#This Row],[Cap Op en Pesos]]=0,1,Proponentes[[#This Row],[Cap Op en Pesos]]/Base!B$3))</f>
        <v>172.18577899467951</v>
      </c>
      <c r="Y20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0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0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06" s="23" t="str">
        <f>IF(AND(Proponentes[[#This Row],[Cumple
Liquidez]]="CUMPLE",Proponentes[[#This Row],[Cumple
Endeudamiento]]="CUMPLE",Proponentes[[#This Row],[Cumple
Capital de Trabajo]]="CUMPLE"),"CUMPLE","NO CUMPLE")</f>
        <v>NO CUMPLE</v>
      </c>
      <c r="AC206" s="24" t="s">
        <v>805</v>
      </c>
      <c r="AD206" s="10">
        <f>IF(Proponentes[[#This Row],[Liquidez
Oferente]]&lt;=1,1,IF(Proponentes[[#This Row],[Liquidez
Oferente]]&lt;=1.1,2,IF(Proponentes[[#This Row],[Liquidez
Oferente]]&lt;=1.2,3,IF(Proponentes[[#This Row],[Liquidez
Oferente]]&lt;=1.3,4,IF(Proponentes[[#This Row],[Liquidez
Oferente]]&lt;=1.4,5,6)))))</f>
        <v>6</v>
      </c>
      <c r="AE206" s="10">
        <f>IF(Proponentes[[#This Row],[Endeudamiento
Oferente]]&lt;=66%,6,IF(Proponentes[[#This Row],[Endeudamiento
Oferente]]&lt;=58,5,IF(Proponentes[[#This Row],[Endeudamiento
Oferente]]&lt;=70,4,IF(Proponentes[[#This Row],[Endeudamiento
Oferente]]&lt;=72,3,IF(Proponentes[[#This Row],[Endeudamiento
Oferente]]&lt;=74,2,1)))))</f>
        <v>6</v>
      </c>
      <c r="AF20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06" s="10">
        <f>IF(Proponentes[[#This Row],[Cap Op en SMMLV]]&lt;=500,1,IF(Proponentes[[#This Row],[Cap Op en SMMLV]]&lt;=1000,2,IF(Proponentes[[#This Row],[Cap Op en SMMLV]]&lt;=1500,3,IF(Proponentes[[#This Row],[Cap Op en SMMLV]]&lt;=2000,4,IF(Proponentes[[#This Row],[Cap Op en SMMLV]]&lt;=2500,5,6)))))</f>
        <v>1</v>
      </c>
      <c r="AH206" s="10">
        <f>MIN(Proponentes[[#This Row],[a]:[d]])</f>
        <v>1</v>
      </c>
      <c r="AI206" s="87">
        <f>IF(Proponentes[[#This Row],[e]]=Proponentes[[#This Row],[d]],Proponentes[[#This Row],[Cap Op en SMMLV]],VLOOKUP(Proponentes[[#This Row],[e]],Base!$D$1:$E$6,2,FALSE))</f>
        <v>172.18577899467951</v>
      </c>
      <c r="AJ206" s="101" t="str">
        <f>VLOOKUP(Proponentes[[#This Row],[Propuesta]],Hoja2!$A$2:$D$329,4,FALSE)</f>
        <v>CUMPLE</v>
      </c>
      <c r="AK206" s="101"/>
    </row>
    <row r="207" spans="1:37" ht="16" x14ac:dyDescent="0.2">
      <c r="A207" s="10">
        <v>206</v>
      </c>
      <c r="B207" s="11">
        <v>900244596</v>
      </c>
      <c r="C207" s="12" t="s">
        <v>290</v>
      </c>
      <c r="D207" s="13">
        <v>55505000</v>
      </c>
      <c r="E207" s="13">
        <v>31700000</v>
      </c>
      <c r="F207" s="25">
        <f>Proponentes[[#This Row],[Activo Corriente]]+Proponentes[[#This Row],[Activo NO Corriente]]</f>
        <v>87205000</v>
      </c>
      <c r="G207" s="13">
        <v>105000</v>
      </c>
      <c r="H207" s="13">
        <v>0</v>
      </c>
      <c r="I207" s="25">
        <f>Proponentes[[#This Row],[Pasivo Corriente]]+Proponentes[[#This Row],[Pasivo NO Corriente]]</f>
        <v>105000</v>
      </c>
      <c r="J207" s="14">
        <f>Proponentes[[#This Row],[Total ACTIVO]]-Proponentes[[#This Row],[Total Pasivo]]</f>
        <v>87100000</v>
      </c>
      <c r="K207" s="48">
        <f>VLOOKUP(Proponentes[[#This Row],[Propuesta]],Hoja2!$A$2:$G$239,7,FALSE)</f>
        <v>33366424.555317033</v>
      </c>
      <c r="L207" s="15"/>
      <c r="M207" s="15" t="s">
        <v>465</v>
      </c>
      <c r="N207" s="55">
        <f>IFERROR(VLOOKUP(Proponentes[[#This Row],[Cap Op en SMMLV]],Base!$A$15:$F$20,3),0)</f>
        <v>1</v>
      </c>
      <c r="O207" s="16">
        <f>IFERROR(VLOOKUP(Proponentes[[#This Row],[Cap Op en SMMLV]],Base!$A$15:$F$20,4),0)</f>
        <v>0.76</v>
      </c>
      <c r="P207" s="17">
        <f>IFERROR(VLOOKUP(Proponentes[[#This Row],[Cap Op en SMMLV]],Tabla2[],6),0)</f>
        <v>12.5</v>
      </c>
      <c r="Q207" s="18">
        <f>IFERROR(VLOOKUP(Proponentes[[#This Row],[Cap Op en SMMLV]],Base!$A$15:$F$20,5),0)</f>
        <v>10351450</v>
      </c>
      <c r="R207" s="18">
        <f>IFERROR(VLOOKUP(Proponentes[[#This Row],[Cap Op en SMMLV]],Tabla2[[DE]:[HASTA]],2),0)</f>
        <v>500</v>
      </c>
      <c r="S207" s="19">
        <f>IFERROR(Proponentes[[#This Row],[Activo Corriente]]/Proponentes[[#This Row],[Pasivo Corriente]],"INDETERMINADO")</f>
        <v>528.61904761904759</v>
      </c>
      <c r="T207" s="20">
        <f>IFERROR(Proponentes[[#This Row],[Total Pasivo]]/Proponentes[[#This Row],[Total ACTIVO]],0)</f>
        <v>1.2040594002637464E-3</v>
      </c>
      <c r="U207" s="21">
        <f>(Proponentes[[#This Row],[Activo Corriente]]-Proponentes[[#This Row],[Pasivo Corriente]])/Base!$B$3</f>
        <v>66.898840259094143</v>
      </c>
      <c r="V207" s="22">
        <f>Proponentes[[#This Row],[Activo Corriente]]-Proponentes[[#This Row],[Pasivo Corriente]]</f>
        <v>55400000</v>
      </c>
      <c r="W207" s="13">
        <f>IFERROR(VLOOKUP(Proponentes[[#This Row],[Propuesta]],Hoja2!$A$2:$G$329,7,FALSE),0)</f>
        <v>33366424.555317033</v>
      </c>
      <c r="X207" s="83">
        <f>IF(Proponentes[[#This Row],[Cap Op en Pesos]]=0,0,IF(Proponentes[[#This Row],[Cap Op en Pesos]]=0,1,Proponentes[[#This Row],[Cap Op en Pesos]]/Base!B$3))</f>
        <v>40.291969428578888</v>
      </c>
      <c r="Y20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0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0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07" s="23" t="str">
        <f>IF(AND(Proponentes[[#This Row],[Cumple
Liquidez]]="CUMPLE",Proponentes[[#This Row],[Cumple
Endeudamiento]]="CUMPLE",Proponentes[[#This Row],[Cumple
Capital de Trabajo]]="CUMPLE"),"CUMPLE","NO CUMPLE")</f>
        <v>CUMPLE</v>
      </c>
      <c r="AC207" s="24"/>
      <c r="AD207" s="10">
        <f>IF(Proponentes[[#This Row],[Liquidez
Oferente]]&lt;=1,1,IF(Proponentes[[#This Row],[Liquidez
Oferente]]&lt;=1.1,2,IF(Proponentes[[#This Row],[Liquidez
Oferente]]&lt;=1.2,3,IF(Proponentes[[#This Row],[Liquidez
Oferente]]&lt;=1.3,4,IF(Proponentes[[#This Row],[Liquidez
Oferente]]&lt;=1.4,5,6)))))</f>
        <v>6</v>
      </c>
      <c r="AE207" s="10">
        <f>IF(Proponentes[[#This Row],[Endeudamiento
Oferente]]&lt;=66%,6,IF(Proponentes[[#This Row],[Endeudamiento
Oferente]]&lt;=58,5,IF(Proponentes[[#This Row],[Endeudamiento
Oferente]]&lt;=70,4,IF(Proponentes[[#This Row],[Endeudamiento
Oferente]]&lt;=72,3,IF(Proponentes[[#This Row],[Endeudamiento
Oferente]]&lt;=74,2,1)))))</f>
        <v>6</v>
      </c>
      <c r="AF20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07" s="10">
        <f>IF(Proponentes[[#This Row],[Cap Op en SMMLV]]&lt;=500,1,IF(Proponentes[[#This Row],[Cap Op en SMMLV]]&lt;=1000,2,IF(Proponentes[[#This Row],[Cap Op en SMMLV]]&lt;=1500,3,IF(Proponentes[[#This Row],[Cap Op en SMMLV]]&lt;=2000,4,IF(Proponentes[[#This Row],[Cap Op en SMMLV]]&lt;=2500,5,6)))))</f>
        <v>1</v>
      </c>
      <c r="AH207" s="10">
        <f>MIN(Proponentes[[#This Row],[a]:[d]])</f>
        <v>1</v>
      </c>
      <c r="AI207" s="87">
        <f>IF(Proponentes[[#This Row],[e]]=Proponentes[[#This Row],[d]],Proponentes[[#This Row],[Cap Op en SMMLV]],VLOOKUP(Proponentes[[#This Row],[e]],Base!$D$1:$E$6,2,FALSE))</f>
        <v>40.291969428578888</v>
      </c>
      <c r="AJ207" s="101" t="str">
        <f>VLOOKUP(Proponentes[[#This Row],[Propuesta]],Hoja2!$A$2:$D$329,4,FALSE)</f>
        <v>NO CUMPLE</v>
      </c>
      <c r="AK207" s="101"/>
    </row>
    <row r="208" spans="1:37" ht="16" x14ac:dyDescent="0.2">
      <c r="A208" s="10">
        <v>207</v>
      </c>
      <c r="B208" s="11">
        <v>900225567</v>
      </c>
      <c r="C208" s="12" t="s">
        <v>291</v>
      </c>
      <c r="D208" s="13">
        <v>57624983.780000001</v>
      </c>
      <c r="E208" s="13">
        <v>11672261</v>
      </c>
      <c r="F208" s="25">
        <f>Proponentes[[#This Row],[Activo Corriente]]+Proponentes[[#This Row],[Activo NO Corriente]]</f>
        <v>69297244.780000001</v>
      </c>
      <c r="G208" s="13">
        <v>10133120</v>
      </c>
      <c r="H208" s="13">
        <v>0</v>
      </c>
      <c r="I208" s="25">
        <f>Proponentes[[#This Row],[Pasivo Corriente]]+Proponentes[[#This Row],[Pasivo NO Corriente]]</f>
        <v>10133120</v>
      </c>
      <c r="J208" s="14">
        <f>Proponentes[[#This Row],[Total ACTIVO]]-Proponentes[[#This Row],[Total Pasivo]]</f>
        <v>59164124.780000001</v>
      </c>
      <c r="K208" s="48">
        <f>VLOOKUP(Proponentes[[#This Row],[Propuesta]],Hoja2!$A$2:$G$239,7,FALSE)</f>
        <v>114868380.84163901</v>
      </c>
      <c r="L208" s="15"/>
      <c r="M208" s="15" t="s">
        <v>292</v>
      </c>
      <c r="N208" s="55">
        <f>IFERROR(VLOOKUP(Proponentes[[#This Row],[Cap Op en SMMLV]],Base!$A$15:$F$20,3),0)</f>
        <v>1</v>
      </c>
      <c r="O208" s="16">
        <f>IFERROR(VLOOKUP(Proponentes[[#This Row],[Cap Op en SMMLV]],Base!$A$15:$F$20,4),0)</f>
        <v>0.76</v>
      </c>
      <c r="P208" s="17">
        <f>IFERROR(VLOOKUP(Proponentes[[#This Row],[Cap Op en SMMLV]],Tabla2[],6),0)</f>
        <v>12.5</v>
      </c>
      <c r="Q208" s="18">
        <f>IFERROR(VLOOKUP(Proponentes[[#This Row],[Cap Op en SMMLV]],Base!$A$15:$F$20,5),0)</f>
        <v>10351450</v>
      </c>
      <c r="R208" s="18">
        <f>IFERROR(VLOOKUP(Proponentes[[#This Row],[Cap Op en SMMLV]],Tabla2[[DE]:[HASTA]],2),0)</f>
        <v>500</v>
      </c>
      <c r="S208" s="19">
        <f>IFERROR(Proponentes[[#This Row],[Activo Corriente]]/Proponentes[[#This Row],[Pasivo Corriente]],"INDETERMINADO")</f>
        <v>5.686795752936904</v>
      </c>
      <c r="T208" s="20">
        <f>IFERROR(Proponentes[[#This Row],[Total Pasivo]]/Proponentes[[#This Row],[Total ACTIVO]],0)</f>
        <v>0.14622688148958757</v>
      </c>
      <c r="U208" s="21">
        <f>(Proponentes[[#This Row],[Activo Corriente]]-Proponentes[[#This Row],[Pasivo Corriente]])/Base!$B$3</f>
        <v>57.349288964347991</v>
      </c>
      <c r="V208" s="22">
        <f>Proponentes[[#This Row],[Activo Corriente]]-Proponentes[[#This Row],[Pasivo Corriente]]</f>
        <v>47491863.780000001</v>
      </c>
      <c r="W208" s="13">
        <f>IFERROR(VLOOKUP(Proponentes[[#This Row],[Propuesta]],Hoja2!$A$2:$G$329,7,FALSE),0)</f>
        <v>114868380.84163901</v>
      </c>
      <c r="X208" s="83">
        <f>IF(Proponentes[[#This Row],[Cap Op en Pesos]]=0,0,IF(Proponentes[[#This Row],[Cap Op en Pesos]]=0,1,Proponentes[[#This Row],[Cap Op en Pesos]]/Base!B$3))</f>
        <v>138.71049568132847</v>
      </c>
      <c r="Y20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0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0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08" s="23" t="str">
        <f>IF(AND(Proponentes[[#This Row],[Cumple
Liquidez]]="CUMPLE",Proponentes[[#This Row],[Cumple
Endeudamiento]]="CUMPLE",Proponentes[[#This Row],[Cumple
Capital de Trabajo]]="CUMPLE"),"CUMPLE","NO CUMPLE")</f>
        <v>CUMPLE</v>
      </c>
      <c r="AC208" s="24"/>
      <c r="AD208" s="10">
        <f>IF(Proponentes[[#This Row],[Liquidez
Oferente]]&lt;=1,1,IF(Proponentes[[#This Row],[Liquidez
Oferente]]&lt;=1.1,2,IF(Proponentes[[#This Row],[Liquidez
Oferente]]&lt;=1.2,3,IF(Proponentes[[#This Row],[Liquidez
Oferente]]&lt;=1.3,4,IF(Proponentes[[#This Row],[Liquidez
Oferente]]&lt;=1.4,5,6)))))</f>
        <v>6</v>
      </c>
      <c r="AE208" s="10">
        <f>IF(Proponentes[[#This Row],[Endeudamiento
Oferente]]&lt;=66%,6,IF(Proponentes[[#This Row],[Endeudamiento
Oferente]]&lt;=58,5,IF(Proponentes[[#This Row],[Endeudamiento
Oferente]]&lt;=70,4,IF(Proponentes[[#This Row],[Endeudamiento
Oferente]]&lt;=72,3,IF(Proponentes[[#This Row],[Endeudamiento
Oferente]]&lt;=74,2,1)))))</f>
        <v>6</v>
      </c>
      <c r="AF20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5</v>
      </c>
      <c r="AG208" s="10">
        <f>IF(Proponentes[[#This Row],[Cap Op en SMMLV]]&lt;=500,1,IF(Proponentes[[#This Row],[Cap Op en SMMLV]]&lt;=1000,2,IF(Proponentes[[#This Row],[Cap Op en SMMLV]]&lt;=1500,3,IF(Proponentes[[#This Row],[Cap Op en SMMLV]]&lt;=2000,4,IF(Proponentes[[#This Row],[Cap Op en SMMLV]]&lt;=2500,5,6)))))</f>
        <v>1</v>
      </c>
      <c r="AH208" s="10">
        <f>MIN(Proponentes[[#This Row],[a]:[d]])</f>
        <v>1</v>
      </c>
      <c r="AI208" s="87">
        <f>IF(Proponentes[[#This Row],[e]]=Proponentes[[#This Row],[d]],Proponentes[[#This Row],[Cap Op en SMMLV]],VLOOKUP(Proponentes[[#This Row],[e]],Base!$D$1:$E$6,2,FALSE))</f>
        <v>138.71049568132847</v>
      </c>
      <c r="AJ208" s="101" t="str">
        <f>VLOOKUP(Proponentes[[#This Row],[Propuesta]],Hoja2!$A$2:$D$329,4,FALSE)</f>
        <v>CUMPLE</v>
      </c>
      <c r="AK208" s="101"/>
    </row>
    <row r="209" spans="1:37" ht="16" x14ac:dyDescent="0.2">
      <c r="A209" s="10">
        <v>208</v>
      </c>
      <c r="B209" s="11">
        <v>900200181</v>
      </c>
      <c r="C209" s="12" t="s">
        <v>293</v>
      </c>
      <c r="D209" s="13">
        <v>872027465</v>
      </c>
      <c r="E209" s="13"/>
      <c r="F209" s="25">
        <f>Proponentes[[#This Row],[Activo Corriente]]+Proponentes[[#This Row],[Activo NO Corriente]]</f>
        <v>872027465</v>
      </c>
      <c r="G209" s="13">
        <v>115372103</v>
      </c>
      <c r="H209" s="13">
        <v>0</v>
      </c>
      <c r="I209" s="25">
        <f>Proponentes[[#This Row],[Pasivo Corriente]]+Proponentes[[#This Row],[Pasivo NO Corriente]]</f>
        <v>115372103</v>
      </c>
      <c r="J209" s="14">
        <f>Proponentes[[#This Row],[Total ACTIVO]]-Proponentes[[#This Row],[Total Pasivo]]</f>
        <v>756655362</v>
      </c>
      <c r="K209" s="48">
        <f>VLOOKUP(Proponentes[[#This Row],[Propuesta]],Hoja2!$A$2:$G$239,7,FALSE)</f>
        <v>0</v>
      </c>
      <c r="L209" s="15"/>
      <c r="M209" s="15" t="s">
        <v>59</v>
      </c>
      <c r="N209" s="55">
        <f>IFERROR(VLOOKUP(Proponentes[[#This Row],[Cap Op en SMMLV]],Base!$A$15:$F$20,3),0)</f>
        <v>0</v>
      </c>
      <c r="O209" s="16">
        <f>IFERROR(VLOOKUP(Proponentes[[#This Row],[Cap Op en SMMLV]],Base!$A$15:$F$20,4),0)</f>
        <v>0</v>
      </c>
      <c r="P209" s="17">
        <f>IFERROR(VLOOKUP(Proponentes[[#This Row],[Cap Op en SMMLV]],Tabla2[],6),0)</f>
        <v>0</v>
      </c>
      <c r="Q209" s="18">
        <f>IFERROR(VLOOKUP(Proponentes[[#This Row],[Cap Op en SMMLV]],Base!$A$15:$F$20,5),0)</f>
        <v>0</v>
      </c>
      <c r="R209" s="18">
        <f>IFERROR(VLOOKUP(Proponentes[[#This Row],[Cap Op en SMMLV]],Tabla2[[DE]:[HASTA]],2),0)</f>
        <v>0</v>
      </c>
      <c r="S209" s="19">
        <f>IFERROR(Proponentes[[#This Row],[Activo Corriente]]/Proponentes[[#This Row],[Pasivo Corriente]],"INDETERMINADO")</f>
        <v>7.5583910002923327</v>
      </c>
      <c r="T209" s="20">
        <f>IFERROR(Proponentes[[#This Row],[Total Pasivo]]/Proponentes[[#This Row],[Total ACTIVO]],0)</f>
        <v>0.1323032904703294</v>
      </c>
      <c r="U209" s="21">
        <f>(Proponentes[[#This Row],[Activo Corriente]]-Proponentes[[#This Row],[Pasivo Corriente]])/Base!$B$3</f>
        <v>913.70697100406221</v>
      </c>
      <c r="V209" s="22">
        <f>Proponentes[[#This Row],[Activo Corriente]]-Proponentes[[#This Row],[Pasivo Corriente]]</f>
        <v>756655362</v>
      </c>
      <c r="W209" s="13">
        <f>IFERROR(VLOOKUP(Proponentes[[#This Row],[Propuesta]],Hoja2!$A$2:$G$329,7,FALSE),0)</f>
        <v>0</v>
      </c>
      <c r="X209" s="83">
        <f>IF(Proponentes[[#This Row],[Cap Op en Pesos]]=0,0,IF(Proponentes[[#This Row],[Cap Op en Pesos]]=0,1,Proponentes[[#This Row],[Cap Op en Pesos]]/Base!B$3))</f>
        <v>0</v>
      </c>
      <c r="Y20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0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0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09" s="23" t="str">
        <f>IF(AND(Proponentes[[#This Row],[Cumple
Liquidez]]="CUMPLE",Proponentes[[#This Row],[Cumple
Endeudamiento]]="CUMPLE",Proponentes[[#This Row],[Cumple
Capital de Trabajo]]="CUMPLE"),"CUMPLE","NO CUMPLE")</f>
        <v>NO CUMPLE</v>
      </c>
      <c r="AC209" s="24"/>
      <c r="AD209" s="10">
        <f>IF(Proponentes[[#This Row],[Liquidez
Oferente]]&lt;=1,1,IF(Proponentes[[#This Row],[Liquidez
Oferente]]&lt;=1.1,2,IF(Proponentes[[#This Row],[Liquidez
Oferente]]&lt;=1.2,3,IF(Proponentes[[#This Row],[Liquidez
Oferente]]&lt;=1.3,4,IF(Proponentes[[#This Row],[Liquidez
Oferente]]&lt;=1.4,5,6)))))</f>
        <v>6</v>
      </c>
      <c r="AE209" s="10">
        <f>IF(Proponentes[[#This Row],[Endeudamiento
Oferente]]&lt;=66%,6,IF(Proponentes[[#This Row],[Endeudamiento
Oferente]]&lt;=58,5,IF(Proponentes[[#This Row],[Endeudamiento
Oferente]]&lt;=70,4,IF(Proponentes[[#This Row],[Endeudamiento
Oferente]]&lt;=72,3,IF(Proponentes[[#This Row],[Endeudamiento
Oferente]]&lt;=74,2,1)))))</f>
        <v>6</v>
      </c>
      <c r="AF20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09" s="10">
        <f>IF(Proponentes[[#This Row],[Cap Op en SMMLV]]&lt;=500,1,IF(Proponentes[[#This Row],[Cap Op en SMMLV]]&lt;=1000,2,IF(Proponentes[[#This Row],[Cap Op en SMMLV]]&lt;=1500,3,IF(Proponentes[[#This Row],[Cap Op en SMMLV]]&lt;=2000,4,IF(Proponentes[[#This Row],[Cap Op en SMMLV]]&lt;=2500,5,6)))))</f>
        <v>1</v>
      </c>
      <c r="AH209" s="10">
        <f>MIN(Proponentes[[#This Row],[a]:[d]])</f>
        <v>1</v>
      </c>
      <c r="AI209" s="87">
        <f>IF(Proponentes[[#This Row],[e]]=Proponentes[[#This Row],[d]],Proponentes[[#This Row],[Cap Op en SMMLV]],VLOOKUP(Proponentes[[#This Row],[e]],Base!$D$1:$E$6,2,FALSE))</f>
        <v>0</v>
      </c>
      <c r="AJ209" s="101" t="str">
        <f>VLOOKUP(Proponentes[[#This Row],[Propuesta]],Hoja2!$A$2:$D$329,4,FALSE)</f>
        <v>NO CUMPLE</v>
      </c>
      <c r="AK209" s="101"/>
    </row>
    <row r="210" spans="1:37" ht="16" x14ac:dyDescent="0.2">
      <c r="A210" s="10">
        <v>209</v>
      </c>
      <c r="B210" s="11">
        <v>890802356</v>
      </c>
      <c r="C210" s="12" t="s">
        <v>294</v>
      </c>
      <c r="D210" s="13">
        <v>1180459456</v>
      </c>
      <c r="E210" s="13">
        <v>0</v>
      </c>
      <c r="F210" s="25">
        <f>Proponentes[[#This Row],[Activo Corriente]]+Proponentes[[#This Row],[Activo NO Corriente]]</f>
        <v>1180459456</v>
      </c>
      <c r="G210" s="13">
        <v>277175504</v>
      </c>
      <c r="H210" s="13">
        <v>0</v>
      </c>
      <c r="I210" s="25">
        <f>Proponentes[[#This Row],[Pasivo Corriente]]+Proponentes[[#This Row],[Pasivo NO Corriente]]</f>
        <v>277175504</v>
      </c>
      <c r="J210" s="14">
        <f>Proponentes[[#This Row],[Total ACTIVO]]-Proponentes[[#This Row],[Total Pasivo]]</f>
        <v>903283952</v>
      </c>
      <c r="K210" s="48">
        <f>VLOOKUP(Proponentes[[#This Row],[Propuesta]],Hoja2!$A$2:$G$239,7,FALSE)</f>
        <v>847241632.56639206</v>
      </c>
      <c r="L210" s="15"/>
      <c r="M210" s="15" t="s">
        <v>59</v>
      </c>
      <c r="N210" s="55">
        <f>IFERROR(VLOOKUP(Proponentes[[#This Row],[Cap Op en SMMLV]],Base!$A$15:$F$20,3),0)</f>
        <v>1.2</v>
      </c>
      <c r="O210" s="16">
        <f>IFERROR(VLOOKUP(Proponentes[[#This Row],[Cap Op en SMMLV]],Base!$A$15:$F$20,4),0)</f>
        <v>0.72</v>
      </c>
      <c r="P210" s="17">
        <f>IFERROR(VLOOKUP(Proponentes[[#This Row],[Cap Op en SMMLV]],Tabla2[],6),0)</f>
        <v>37.5</v>
      </c>
      <c r="Q210" s="18">
        <f>IFERROR(VLOOKUP(Proponentes[[#This Row],[Cap Op en SMMLV]],Base!$A$15:$F$20,5),0)</f>
        <v>31054350</v>
      </c>
      <c r="R210" s="18">
        <f>IFERROR(VLOOKUP(Proponentes[[#This Row],[Cap Op en SMMLV]],Tabla2[[DE]:[HASTA]],2),0)</f>
        <v>1500</v>
      </c>
      <c r="S210" s="19">
        <f>IFERROR(Proponentes[[#This Row],[Activo Corriente]]/Proponentes[[#This Row],[Pasivo Corriente]],"INDETERMINADO")</f>
        <v>4.2588881014535831</v>
      </c>
      <c r="T210" s="20">
        <f>IFERROR(Proponentes[[#This Row],[Total Pasivo]]/Proponentes[[#This Row],[Total ACTIVO]],0)</f>
        <v>0.23480306976337187</v>
      </c>
      <c r="U210" s="21">
        <f>(Proponentes[[#This Row],[Activo Corriente]]-Proponentes[[#This Row],[Pasivo Corriente]])/Base!$B$3</f>
        <v>1090.7698341778205</v>
      </c>
      <c r="V210" s="22">
        <f>Proponentes[[#This Row],[Activo Corriente]]-Proponentes[[#This Row],[Pasivo Corriente]]</f>
        <v>903283952</v>
      </c>
      <c r="W210" s="13">
        <f>IFERROR(VLOOKUP(Proponentes[[#This Row],[Propuesta]],Hoja2!$A$2:$G$329,7,FALSE),0)</f>
        <v>847241632.56639206</v>
      </c>
      <c r="X210" s="83">
        <f>IF(Proponentes[[#This Row],[Cap Op en Pesos]]=0,0,IF(Proponentes[[#This Row],[Cap Op en Pesos]]=0,1,Proponentes[[#This Row],[Cap Op en Pesos]]/Base!B$3))</f>
        <v>1023.0953544749674</v>
      </c>
      <c r="Y21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1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1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10" s="23" t="str">
        <f>IF(AND(Proponentes[[#This Row],[Cumple
Liquidez]]="CUMPLE",Proponentes[[#This Row],[Cumple
Endeudamiento]]="CUMPLE",Proponentes[[#This Row],[Cumple
Capital de Trabajo]]="CUMPLE"),"CUMPLE","NO CUMPLE")</f>
        <v>CUMPLE</v>
      </c>
      <c r="AC210" s="24"/>
      <c r="AD210" s="10">
        <f>IF(Proponentes[[#This Row],[Liquidez
Oferente]]&lt;=1,1,IF(Proponentes[[#This Row],[Liquidez
Oferente]]&lt;=1.1,2,IF(Proponentes[[#This Row],[Liquidez
Oferente]]&lt;=1.2,3,IF(Proponentes[[#This Row],[Liquidez
Oferente]]&lt;=1.3,4,IF(Proponentes[[#This Row],[Liquidez
Oferente]]&lt;=1.4,5,6)))))</f>
        <v>6</v>
      </c>
      <c r="AE210" s="10">
        <f>IF(Proponentes[[#This Row],[Endeudamiento
Oferente]]&lt;=66%,6,IF(Proponentes[[#This Row],[Endeudamiento
Oferente]]&lt;=58,5,IF(Proponentes[[#This Row],[Endeudamiento
Oferente]]&lt;=70,4,IF(Proponentes[[#This Row],[Endeudamiento
Oferente]]&lt;=72,3,IF(Proponentes[[#This Row],[Endeudamiento
Oferente]]&lt;=74,2,1)))))</f>
        <v>6</v>
      </c>
      <c r="AF21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10" s="10">
        <f>IF(Proponentes[[#This Row],[Cap Op en SMMLV]]&lt;=500,1,IF(Proponentes[[#This Row],[Cap Op en SMMLV]]&lt;=1000,2,IF(Proponentes[[#This Row],[Cap Op en SMMLV]]&lt;=1500,3,IF(Proponentes[[#This Row],[Cap Op en SMMLV]]&lt;=2000,4,IF(Proponentes[[#This Row],[Cap Op en SMMLV]]&lt;=2500,5,6)))))</f>
        <v>3</v>
      </c>
      <c r="AH210" s="10">
        <f>MIN(Proponentes[[#This Row],[a]:[d]])</f>
        <v>3</v>
      </c>
      <c r="AI210" s="87">
        <f>IF(Proponentes[[#This Row],[e]]=Proponentes[[#This Row],[d]],Proponentes[[#This Row],[Cap Op en SMMLV]],VLOOKUP(Proponentes[[#This Row],[e]],Base!$D$1:$E$6,2,FALSE))</f>
        <v>1023.0953544749674</v>
      </c>
      <c r="AJ210" s="101" t="str">
        <f>VLOOKUP(Proponentes[[#This Row],[Propuesta]],Hoja2!$A$2:$D$329,4,FALSE)</f>
        <v>CUMPLE</v>
      </c>
      <c r="AK210" s="101"/>
    </row>
    <row r="211" spans="1:37" ht="16" x14ac:dyDescent="0.2">
      <c r="A211" s="10">
        <v>210</v>
      </c>
      <c r="B211" s="11">
        <v>802018059</v>
      </c>
      <c r="C211" s="12" t="s">
        <v>295</v>
      </c>
      <c r="D211" s="13">
        <v>1573874602</v>
      </c>
      <c r="E211" s="13">
        <v>3449812974</v>
      </c>
      <c r="F211" s="25">
        <f>Proponentes[[#This Row],[Activo Corriente]]+Proponentes[[#This Row],[Activo NO Corriente]]</f>
        <v>5023687576</v>
      </c>
      <c r="G211" s="13">
        <v>2892583</v>
      </c>
      <c r="H211" s="13">
        <v>32006670</v>
      </c>
      <c r="I211" s="25">
        <f>Proponentes[[#This Row],[Pasivo Corriente]]+Proponentes[[#This Row],[Pasivo NO Corriente]]</f>
        <v>34899253</v>
      </c>
      <c r="J211" s="14">
        <f>Proponentes[[#This Row],[Total ACTIVO]]-Proponentes[[#This Row],[Total Pasivo]]</f>
        <v>4988788323</v>
      </c>
      <c r="K211" s="48">
        <f>VLOOKUP(Proponentes[[#This Row],[Propuesta]],Hoja2!$A$2:$G$239,7,FALSE)</f>
        <v>151707849.01448342</v>
      </c>
      <c r="L211" s="15"/>
      <c r="M211" s="15" t="s">
        <v>296</v>
      </c>
      <c r="N211" s="55">
        <f>IFERROR(VLOOKUP(Proponentes[[#This Row],[Cap Op en SMMLV]],Base!$A$15:$F$20,3),0)</f>
        <v>1</v>
      </c>
      <c r="O211" s="16">
        <f>IFERROR(VLOOKUP(Proponentes[[#This Row],[Cap Op en SMMLV]],Base!$A$15:$F$20,4),0)</f>
        <v>0.76</v>
      </c>
      <c r="P211" s="17">
        <f>IFERROR(VLOOKUP(Proponentes[[#This Row],[Cap Op en SMMLV]],Tabla2[],6),0)</f>
        <v>12.5</v>
      </c>
      <c r="Q211" s="18">
        <f>IFERROR(VLOOKUP(Proponentes[[#This Row],[Cap Op en SMMLV]],Base!$A$15:$F$20,5),0)</f>
        <v>10351450</v>
      </c>
      <c r="R211" s="18">
        <f>IFERROR(VLOOKUP(Proponentes[[#This Row],[Cap Op en SMMLV]],Tabla2[[DE]:[HASTA]],2),0)</f>
        <v>500</v>
      </c>
      <c r="S211" s="19">
        <f>IFERROR(Proponentes[[#This Row],[Activo Corriente]]/Proponentes[[#This Row],[Pasivo Corriente]],"INDETERMINADO")</f>
        <v>544.1069805084245</v>
      </c>
      <c r="T211" s="20">
        <f>IFERROR(Proponentes[[#This Row],[Total Pasivo]]/Proponentes[[#This Row],[Total ACTIVO]],0)</f>
        <v>6.9469393691451962E-3</v>
      </c>
      <c r="U211" s="21">
        <f>(Proponentes[[#This Row],[Activo Corriente]]-Proponentes[[#This Row],[Pasivo Corriente]])/Base!$B$3</f>
        <v>1897.0555079240107</v>
      </c>
      <c r="V211" s="22">
        <f>Proponentes[[#This Row],[Activo Corriente]]-Proponentes[[#This Row],[Pasivo Corriente]]</f>
        <v>1570982019</v>
      </c>
      <c r="W211" s="13">
        <f>IFERROR(VLOOKUP(Proponentes[[#This Row],[Propuesta]],Hoja2!$A$2:$G$329,7,FALSE),0)</f>
        <v>151707849.01448342</v>
      </c>
      <c r="X211" s="83">
        <f>IF(Proponentes[[#This Row],[Cap Op en Pesos]]=0,0,IF(Proponentes[[#This Row],[Cap Op en Pesos]]=0,1,Proponentes[[#This Row],[Cap Op en Pesos]]/Base!B$3))</f>
        <v>183.19637467997651</v>
      </c>
      <c r="Y21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1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1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11" s="23" t="str">
        <f>IF(AND(Proponentes[[#This Row],[Cumple
Liquidez]]="CUMPLE",Proponentes[[#This Row],[Cumple
Endeudamiento]]="CUMPLE",Proponentes[[#This Row],[Cumple
Capital de Trabajo]]="CUMPLE"),"CUMPLE","NO CUMPLE")</f>
        <v>CUMPLE</v>
      </c>
      <c r="AC211" s="24"/>
      <c r="AD211" s="10">
        <f>IF(Proponentes[[#This Row],[Liquidez
Oferente]]&lt;=1,1,IF(Proponentes[[#This Row],[Liquidez
Oferente]]&lt;=1.1,2,IF(Proponentes[[#This Row],[Liquidez
Oferente]]&lt;=1.2,3,IF(Proponentes[[#This Row],[Liquidez
Oferente]]&lt;=1.3,4,IF(Proponentes[[#This Row],[Liquidez
Oferente]]&lt;=1.4,5,6)))))</f>
        <v>6</v>
      </c>
      <c r="AE211" s="10">
        <f>IF(Proponentes[[#This Row],[Endeudamiento
Oferente]]&lt;=66%,6,IF(Proponentes[[#This Row],[Endeudamiento
Oferente]]&lt;=58,5,IF(Proponentes[[#This Row],[Endeudamiento
Oferente]]&lt;=70,4,IF(Proponentes[[#This Row],[Endeudamiento
Oferente]]&lt;=72,3,IF(Proponentes[[#This Row],[Endeudamiento
Oferente]]&lt;=74,2,1)))))</f>
        <v>6</v>
      </c>
      <c r="AF21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11" s="10">
        <f>IF(Proponentes[[#This Row],[Cap Op en SMMLV]]&lt;=500,1,IF(Proponentes[[#This Row],[Cap Op en SMMLV]]&lt;=1000,2,IF(Proponentes[[#This Row],[Cap Op en SMMLV]]&lt;=1500,3,IF(Proponentes[[#This Row],[Cap Op en SMMLV]]&lt;=2000,4,IF(Proponentes[[#This Row],[Cap Op en SMMLV]]&lt;=2500,5,6)))))</f>
        <v>1</v>
      </c>
      <c r="AH211" s="10">
        <f>MIN(Proponentes[[#This Row],[a]:[d]])</f>
        <v>1</v>
      </c>
      <c r="AI211" s="87">
        <f>IF(Proponentes[[#This Row],[e]]=Proponentes[[#This Row],[d]],Proponentes[[#This Row],[Cap Op en SMMLV]],VLOOKUP(Proponentes[[#This Row],[e]],Base!$D$1:$E$6,2,FALSE))</f>
        <v>183.19637467997651</v>
      </c>
      <c r="AJ211" s="101" t="str">
        <f>VLOOKUP(Proponentes[[#This Row],[Propuesta]],Hoja2!$A$2:$D$329,4,FALSE)</f>
        <v>CUMPLE</v>
      </c>
      <c r="AK211" s="101"/>
    </row>
    <row r="212" spans="1:37" ht="32" x14ac:dyDescent="0.2">
      <c r="A212" s="10">
        <v>211</v>
      </c>
      <c r="B212" s="11">
        <v>900285238</v>
      </c>
      <c r="C212" s="12" t="s">
        <v>297</v>
      </c>
      <c r="D212" s="13">
        <v>14906025</v>
      </c>
      <c r="E212" s="13">
        <v>64093950</v>
      </c>
      <c r="F212" s="25">
        <f>Proponentes[[#This Row],[Activo Corriente]]+Proponentes[[#This Row],[Activo NO Corriente]]</f>
        <v>78999975</v>
      </c>
      <c r="G212" s="13">
        <v>0</v>
      </c>
      <c r="H212" s="13">
        <v>0</v>
      </c>
      <c r="I212" s="25">
        <f>Proponentes[[#This Row],[Pasivo Corriente]]+Proponentes[[#This Row],[Pasivo NO Corriente]]</f>
        <v>0</v>
      </c>
      <c r="J212" s="14">
        <f>Proponentes[[#This Row],[Total ACTIVO]]-Proponentes[[#This Row],[Total Pasivo]]</f>
        <v>78999975</v>
      </c>
      <c r="K212" s="48">
        <f>VLOOKUP(Proponentes[[#This Row],[Propuesta]],Hoja2!$A$2:$G$239,7,FALSE)</f>
        <v>0</v>
      </c>
      <c r="L212" s="15"/>
      <c r="M212" s="15" t="s">
        <v>298</v>
      </c>
      <c r="N212" s="55">
        <f>IFERROR(VLOOKUP(Proponentes[[#This Row],[Cap Op en SMMLV]],Base!$A$15:$F$20,3),0)</f>
        <v>0</v>
      </c>
      <c r="O212" s="16">
        <f>IFERROR(VLOOKUP(Proponentes[[#This Row],[Cap Op en SMMLV]],Base!$A$15:$F$20,4),0)</f>
        <v>0</v>
      </c>
      <c r="P212" s="17">
        <f>IFERROR(VLOOKUP(Proponentes[[#This Row],[Cap Op en SMMLV]],Tabla2[],6),0)</f>
        <v>0</v>
      </c>
      <c r="Q212" s="18">
        <f>IFERROR(VLOOKUP(Proponentes[[#This Row],[Cap Op en SMMLV]],Base!$A$15:$F$20,5),0)</f>
        <v>0</v>
      </c>
      <c r="R212" s="18">
        <f>IFERROR(VLOOKUP(Proponentes[[#This Row],[Cap Op en SMMLV]],Tabla2[[DE]:[HASTA]],2),0)</f>
        <v>0</v>
      </c>
      <c r="S212" s="19" t="str">
        <f>IFERROR(Proponentes[[#This Row],[Activo Corriente]]/Proponentes[[#This Row],[Pasivo Corriente]],"INDETERMINADO")</f>
        <v>INDETERMINADO</v>
      </c>
      <c r="T212" s="20">
        <f>IFERROR(Proponentes[[#This Row],[Total Pasivo]]/Proponentes[[#This Row],[Total ACTIVO]],0)</f>
        <v>0</v>
      </c>
      <c r="U212" s="21">
        <f>(Proponentes[[#This Row],[Activo Corriente]]-Proponentes[[#This Row],[Pasivo Corriente]])/Base!$B$3</f>
        <v>17.999923923701509</v>
      </c>
      <c r="V212" s="22">
        <f>Proponentes[[#This Row],[Activo Corriente]]-Proponentes[[#This Row],[Pasivo Corriente]]</f>
        <v>14906025</v>
      </c>
      <c r="W212" s="13">
        <f>IFERROR(VLOOKUP(Proponentes[[#This Row],[Propuesta]],Hoja2!$A$2:$G$329,7,FALSE),0)</f>
        <v>0</v>
      </c>
      <c r="X212" s="83">
        <f>IF(Proponentes[[#This Row],[Cap Op en Pesos]]=0,0,IF(Proponentes[[#This Row],[Cap Op en Pesos]]=0,1,Proponentes[[#This Row],[Cap Op en Pesos]]/Base!B$3))</f>
        <v>0</v>
      </c>
      <c r="Y21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1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1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12" s="23" t="str">
        <f>IF(AND(Proponentes[[#This Row],[Cumple
Liquidez]]="CUMPLE",Proponentes[[#This Row],[Cumple
Endeudamiento]]="CUMPLE",Proponentes[[#This Row],[Cumple
Capital de Trabajo]]="CUMPLE"),"CUMPLE","NO CUMPLE")</f>
        <v>CUMPLE</v>
      </c>
      <c r="AC212" s="24"/>
      <c r="AD212" s="10">
        <f>IF(Proponentes[[#This Row],[Liquidez
Oferente]]&lt;=1,1,IF(Proponentes[[#This Row],[Liquidez
Oferente]]&lt;=1.1,2,IF(Proponentes[[#This Row],[Liquidez
Oferente]]&lt;=1.2,3,IF(Proponentes[[#This Row],[Liquidez
Oferente]]&lt;=1.3,4,IF(Proponentes[[#This Row],[Liquidez
Oferente]]&lt;=1.4,5,6)))))</f>
        <v>6</v>
      </c>
      <c r="AE212" s="10">
        <f>IF(Proponentes[[#This Row],[Endeudamiento
Oferente]]&lt;=66%,6,IF(Proponentes[[#This Row],[Endeudamiento
Oferente]]&lt;=58,5,IF(Proponentes[[#This Row],[Endeudamiento
Oferente]]&lt;=70,4,IF(Proponentes[[#This Row],[Endeudamiento
Oferente]]&lt;=72,3,IF(Proponentes[[#This Row],[Endeudamiento
Oferente]]&lt;=74,2,1)))))</f>
        <v>6</v>
      </c>
      <c r="AF21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212" s="10">
        <f>IF(Proponentes[[#This Row],[Cap Op en SMMLV]]&lt;=500,1,IF(Proponentes[[#This Row],[Cap Op en SMMLV]]&lt;=1000,2,IF(Proponentes[[#This Row],[Cap Op en SMMLV]]&lt;=1500,3,IF(Proponentes[[#This Row],[Cap Op en SMMLV]]&lt;=2000,4,IF(Proponentes[[#This Row],[Cap Op en SMMLV]]&lt;=2500,5,6)))))</f>
        <v>1</v>
      </c>
      <c r="AH212" s="10">
        <f>MIN(Proponentes[[#This Row],[a]:[d]])</f>
        <v>1</v>
      </c>
      <c r="AI212" s="87">
        <f>IF(Proponentes[[#This Row],[e]]=Proponentes[[#This Row],[d]],Proponentes[[#This Row],[Cap Op en SMMLV]],VLOOKUP(Proponentes[[#This Row],[e]],Base!$D$1:$E$6,2,FALSE))</f>
        <v>0</v>
      </c>
      <c r="AJ212" s="101" t="str">
        <f>VLOOKUP(Proponentes[[#This Row],[Propuesta]],Hoja2!$A$2:$D$329,4,FALSE)</f>
        <v>NO CUMPLE</v>
      </c>
      <c r="AK212" s="101"/>
    </row>
    <row r="213" spans="1:37" ht="16" x14ac:dyDescent="0.2">
      <c r="A213" s="10">
        <v>212</v>
      </c>
      <c r="B213" s="11">
        <v>900640221</v>
      </c>
      <c r="C213" s="12" t="s">
        <v>299</v>
      </c>
      <c r="D213" s="13">
        <v>354185409</v>
      </c>
      <c r="E213" s="13">
        <v>693471915</v>
      </c>
      <c r="F213" s="25">
        <f>Proponentes[[#This Row],[Activo Corriente]]+Proponentes[[#This Row],[Activo NO Corriente]]</f>
        <v>1047657324</v>
      </c>
      <c r="G213" s="13">
        <v>21294715</v>
      </c>
      <c r="H213" s="13">
        <v>0</v>
      </c>
      <c r="I213" s="25">
        <f>Proponentes[[#This Row],[Pasivo Corriente]]+Proponentes[[#This Row],[Pasivo NO Corriente]]</f>
        <v>21294715</v>
      </c>
      <c r="J213" s="14">
        <f>Proponentes[[#This Row],[Total ACTIVO]]-Proponentes[[#This Row],[Total Pasivo]]</f>
        <v>1026362609</v>
      </c>
      <c r="K213" s="48">
        <f>VLOOKUP(Proponentes[[#This Row],[Propuesta]],Hoja2!$A$2:$G$239,7,FALSE)</f>
        <v>152644578.93368155</v>
      </c>
      <c r="L213" s="15"/>
      <c r="M213" s="15" t="s">
        <v>300</v>
      </c>
      <c r="N213" s="55">
        <f>IFERROR(VLOOKUP(Proponentes[[#This Row],[Cap Op en SMMLV]],Base!$A$15:$F$20,3),0)</f>
        <v>1</v>
      </c>
      <c r="O213" s="16">
        <f>IFERROR(VLOOKUP(Proponentes[[#This Row],[Cap Op en SMMLV]],Base!$A$15:$F$20,4),0)</f>
        <v>0.76</v>
      </c>
      <c r="P213" s="17">
        <f>IFERROR(VLOOKUP(Proponentes[[#This Row],[Cap Op en SMMLV]],Tabla2[],6),0)</f>
        <v>12.5</v>
      </c>
      <c r="Q213" s="18">
        <f>IFERROR(VLOOKUP(Proponentes[[#This Row],[Cap Op en SMMLV]],Base!$A$15:$F$20,5),0)</f>
        <v>10351450</v>
      </c>
      <c r="R213" s="18">
        <f>IFERROR(VLOOKUP(Proponentes[[#This Row],[Cap Op en SMMLV]],Tabla2[[DE]:[HASTA]],2),0)</f>
        <v>500</v>
      </c>
      <c r="S213" s="19">
        <f>IFERROR(Proponentes[[#This Row],[Activo Corriente]]/Proponentes[[#This Row],[Pasivo Corriente]],"INDETERMINADO")</f>
        <v>16.632549860376155</v>
      </c>
      <c r="T213" s="20">
        <f>IFERROR(Proponentes[[#This Row],[Total Pasivo]]/Proponentes[[#This Row],[Total ACTIVO]],0)</f>
        <v>2.0326030766143911E-2</v>
      </c>
      <c r="U213" s="21">
        <f>(Proponentes[[#This Row],[Activo Corriente]]-Proponentes[[#This Row],[Pasivo Corriente]])/Base!$B$3</f>
        <v>401.98558414521636</v>
      </c>
      <c r="V213" s="22">
        <f>Proponentes[[#This Row],[Activo Corriente]]-Proponentes[[#This Row],[Pasivo Corriente]]</f>
        <v>332890694</v>
      </c>
      <c r="W213" s="13">
        <f>IFERROR(VLOOKUP(Proponentes[[#This Row],[Propuesta]],Hoja2!$A$2:$G$329,7,FALSE),0)</f>
        <v>152644578.93368155</v>
      </c>
      <c r="X213" s="83">
        <f>IF(Proponentes[[#This Row],[Cap Op en Pesos]]=0,0,IF(Proponentes[[#This Row],[Cap Op en Pesos]]=0,1,Proponentes[[#This Row],[Cap Op en Pesos]]/Base!B$3))</f>
        <v>184.32753253612</v>
      </c>
      <c r="Y21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1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1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13" s="23" t="str">
        <f>IF(AND(Proponentes[[#This Row],[Cumple
Liquidez]]="CUMPLE",Proponentes[[#This Row],[Cumple
Endeudamiento]]="CUMPLE",Proponentes[[#This Row],[Cumple
Capital de Trabajo]]="CUMPLE"),"CUMPLE","NO CUMPLE")</f>
        <v>CUMPLE</v>
      </c>
      <c r="AC213" s="24"/>
      <c r="AD213" s="10">
        <f>IF(Proponentes[[#This Row],[Liquidez
Oferente]]&lt;=1,1,IF(Proponentes[[#This Row],[Liquidez
Oferente]]&lt;=1.1,2,IF(Proponentes[[#This Row],[Liquidez
Oferente]]&lt;=1.2,3,IF(Proponentes[[#This Row],[Liquidez
Oferente]]&lt;=1.3,4,IF(Proponentes[[#This Row],[Liquidez
Oferente]]&lt;=1.4,5,6)))))</f>
        <v>6</v>
      </c>
      <c r="AE213" s="10">
        <f>IF(Proponentes[[#This Row],[Endeudamiento
Oferente]]&lt;=66%,6,IF(Proponentes[[#This Row],[Endeudamiento
Oferente]]&lt;=58,5,IF(Proponentes[[#This Row],[Endeudamiento
Oferente]]&lt;=70,4,IF(Proponentes[[#This Row],[Endeudamiento
Oferente]]&lt;=72,3,IF(Proponentes[[#This Row],[Endeudamiento
Oferente]]&lt;=74,2,1)))))</f>
        <v>6</v>
      </c>
      <c r="AF21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13" s="10">
        <f>IF(Proponentes[[#This Row],[Cap Op en SMMLV]]&lt;=500,1,IF(Proponentes[[#This Row],[Cap Op en SMMLV]]&lt;=1000,2,IF(Proponentes[[#This Row],[Cap Op en SMMLV]]&lt;=1500,3,IF(Proponentes[[#This Row],[Cap Op en SMMLV]]&lt;=2000,4,IF(Proponentes[[#This Row],[Cap Op en SMMLV]]&lt;=2500,5,6)))))</f>
        <v>1</v>
      </c>
      <c r="AH213" s="10">
        <f>MIN(Proponentes[[#This Row],[a]:[d]])</f>
        <v>1</v>
      </c>
      <c r="AI213" s="87">
        <f>IF(Proponentes[[#This Row],[e]]=Proponentes[[#This Row],[d]],Proponentes[[#This Row],[Cap Op en SMMLV]],VLOOKUP(Proponentes[[#This Row],[e]],Base!$D$1:$E$6,2,FALSE))</f>
        <v>184.32753253612</v>
      </c>
      <c r="AJ213" s="101" t="str">
        <f>VLOOKUP(Proponentes[[#This Row],[Propuesta]],Hoja2!$A$2:$D$329,4,FALSE)</f>
        <v>CUMPLE</v>
      </c>
      <c r="AK213" s="101"/>
    </row>
    <row r="214" spans="1:37" ht="16" x14ac:dyDescent="0.2">
      <c r="A214" s="10">
        <v>213</v>
      </c>
      <c r="B214" s="11">
        <v>823003096</v>
      </c>
      <c r="C214" s="12" t="s">
        <v>301</v>
      </c>
      <c r="D214" s="13">
        <v>104178131</v>
      </c>
      <c r="E214" s="13">
        <v>127350000</v>
      </c>
      <c r="F214" s="25">
        <f>Proponentes[[#This Row],[Activo Corriente]]+Proponentes[[#This Row],[Activo NO Corriente]]</f>
        <v>231528131</v>
      </c>
      <c r="G214" s="13">
        <v>57920000</v>
      </c>
      <c r="H214" s="13">
        <v>0</v>
      </c>
      <c r="I214" s="25">
        <f>Proponentes[[#This Row],[Pasivo Corriente]]+Proponentes[[#This Row],[Pasivo NO Corriente]]</f>
        <v>57920000</v>
      </c>
      <c r="J214" s="14">
        <f>Proponentes[[#This Row],[Total ACTIVO]]-Proponentes[[#This Row],[Total Pasivo]]</f>
        <v>173608131</v>
      </c>
      <c r="K214" s="48">
        <f>VLOOKUP(Proponentes[[#This Row],[Propuesta]],Hoja2!$A$2:$G$239,7,FALSE)</f>
        <v>0</v>
      </c>
      <c r="L214" s="15"/>
      <c r="M214" s="15" t="s">
        <v>302</v>
      </c>
      <c r="N214" s="55">
        <f>IFERROR(VLOOKUP(Proponentes[[#This Row],[Cap Op en SMMLV]],Base!$A$15:$F$20,3),0)</f>
        <v>0</v>
      </c>
      <c r="O214" s="16">
        <f>IFERROR(VLOOKUP(Proponentes[[#This Row],[Cap Op en SMMLV]],Base!$A$15:$F$20,4),0)</f>
        <v>0</v>
      </c>
      <c r="P214" s="17">
        <f>IFERROR(VLOOKUP(Proponentes[[#This Row],[Cap Op en SMMLV]],Tabla2[],6),0)</f>
        <v>0</v>
      </c>
      <c r="Q214" s="18">
        <f>IFERROR(VLOOKUP(Proponentes[[#This Row],[Cap Op en SMMLV]],Base!$A$15:$F$20,5),0)</f>
        <v>0</v>
      </c>
      <c r="R214" s="18">
        <f>IFERROR(VLOOKUP(Proponentes[[#This Row],[Cap Op en SMMLV]],Tabla2[[DE]:[HASTA]],2),0)</f>
        <v>0</v>
      </c>
      <c r="S214" s="19">
        <f>IFERROR(Proponentes[[#This Row],[Activo Corriente]]/Proponentes[[#This Row],[Pasivo Corriente]],"INDETERMINADO")</f>
        <v>1.7986555766574586</v>
      </c>
      <c r="T214" s="20">
        <f>IFERROR(Proponentes[[#This Row],[Total Pasivo]]/Proponentes[[#This Row],[Total ACTIVO]],0)</f>
        <v>0.25016398547267676</v>
      </c>
      <c r="U214" s="21">
        <f>(Proponentes[[#This Row],[Activo Corriente]]-Proponentes[[#This Row],[Pasivo Corriente]])/Base!$B$3</f>
        <v>55.859482246448565</v>
      </c>
      <c r="V214" s="22">
        <f>Proponentes[[#This Row],[Activo Corriente]]-Proponentes[[#This Row],[Pasivo Corriente]]</f>
        <v>46258131</v>
      </c>
      <c r="W214" s="13">
        <f>IFERROR(VLOOKUP(Proponentes[[#This Row],[Propuesta]],Hoja2!$A$2:$G$329,7,FALSE),0)</f>
        <v>0</v>
      </c>
      <c r="X214" s="83">
        <f>IF(Proponentes[[#This Row],[Cap Op en Pesos]]=0,0,IF(Proponentes[[#This Row],[Cap Op en Pesos]]=0,1,Proponentes[[#This Row],[Cap Op en Pesos]]/Base!B$3))</f>
        <v>0</v>
      </c>
      <c r="Y21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1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1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14" s="23" t="str">
        <f>IF(AND(Proponentes[[#This Row],[Cumple
Liquidez]]="CUMPLE",Proponentes[[#This Row],[Cumple
Endeudamiento]]="CUMPLE",Proponentes[[#This Row],[Cumple
Capital de Trabajo]]="CUMPLE"),"CUMPLE","NO CUMPLE")</f>
        <v>NO CUMPLE</v>
      </c>
      <c r="AC214" s="24"/>
      <c r="AD214" s="10">
        <f>IF(Proponentes[[#This Row],[Liquidez
Oferente]]&lt;=1,1,IF(Proponentes[[#This Row],[Liquidez
Oferente]]&lt;=1.1,2,IF(Proponentes[[#This Row],[Liquidez
Oferente]]&lt;=1.2,3,IF(Proponentes[[#This Row],[Liquidez
Oferente]]&lt;=1.3,4,IF(Proponentes[[#This Row],[Liquidez
Oferente]]&lt;=1.4,5,6)))))</f>
        <v>6</v>
      </c>
      <c r="AE214" s="10">
        <f>IF(Proponentes[[#This Row],[Endeudamiento
Oferente]]&lt;=66%,6,IF(Proponentes[[#This Row],[Endeudamiento
Oferente]]&lt;=58,5,IF(Proponentes[[#This Row],[Endeudamiento
Oferente]]&lt;=70,4,IF(Proponentes[[#This Row],[Endeudamiento
Oferente]]&lt;=72,3,IF(Proponentes[[#This Row],[Endeudamiento
Oferente]]&lt;=74,2,1)))))</f>
        <v>6</v>
      </c>
      <c r="AF21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5</v>
      </c>
      <c r="AG214" s="10">
        <f>IF(Proponentes[[#This Row],[Cap Op en SMMLV]]&lt;=500,1,IF(Proponentes[[#This Row],[Cap Op en SMMLV]]&lt;=1000,2,IF(Proponentes[[#This Row],[Cap Op en SMMLV]]&lt;=1500,3,IF(Proponentes[[#This Row],[Cap Op en SMMLV]]&lt;=2000,4,IF(Proponentes[[#This Row],[Cap Op en SMMLV]]&lt;=2500,5,6)))))</f>
        <v>1</v>
      </c>
      <c r="AH214" s="10">
        <f>MIN(Proponentes[[#This Row],[a]:[d]])</f>
        <v>1</v>
      </c>
      <c r="AI214" s="87">
        <f>IF(Proponentes[[#This Row],[e]]=Proponentes[[#This Row],[d]],Proponentes[[#This Row],[Cap Op en SMMLV]],VLOOKUP(Proponentes[[#This Row],[e]],Base!$D$1:$E$6,2,FALSE))</f>
        <v>0</v>
      </c>
      <c r="AJ214" s="101" t="str">
        <f>VLOOKUP(Proponentes[[#This Row],[Propuesta]],Hoja2!$A$2:$D$329,4,FALSE)</f>
        <v>NO CUMPLE</v>
      </c>
      <c r="AK214" s="101"/>
    </row>
    <row r="215" spans="1:37" ht="16" x14ac:dyDescent="0.2">
      <c r="A215" s="10">
        <v>214</v>
      </c>
      <c r="B215" s="11">
        <v>806015985</v>
      </c>
      <c r="C215" s="12" t="s">
        <v>303</v>
      </c>
      <c r="D215" s="13">
        <v>149240796</v>
      </c>
      <c r="E215" s="13">
        <v>181626661</v>
      </c>
      <c r="F215" s="25">
        <f>Proponentes[[#This Row],[Activo Corriente]]+Proponentes[[#This Row],[Activo NO Corriente]]</f>
        <v>330867457</v>
      </c>
      <c r="G215" s="13">
        <v>122469611</v>
      </c>
      <c r="H215" s="13">
        <v>0</v>
      </c>
      <c r="I215" s="25">
        <f>Proponentes[[#This Row],[Pasivo Corriente]]+Proponentes[[#This Row],[Pasivo NO Corriente]]</f>
        <v>122469611</v>
      </c>
      <c r="J215" s="14">
        <f>Proponentes[[#This Row],[Total ACTIVO]]-Proponentes[[#This Row],[Total Pasivo]]</f>
        <v>208397846</v>
      </c>
      <c r="K215" s="48">
        <f>VLOOKUP(Proponentes[[#This Row],[Propuesta]],Hoja2!$A$2:$G$239,7,FALSE)</f>
        <v>0</v>
      </c>
      <c r="L215" s="15"/>
      <c r="M215" s="15" t="s">
        <v>304</v>
      </c>
      <c r="N215" s="55">
        <f>IFERROR(VLOOKUP(Proponentes[[#This Row],[Cap Op en SMMLV]],Base!$A$15:$F$20,3),0)</f>
        <v>0</v>
      </c>
      <c r="O215" s="16">
        <f>IFERROR(VLOOKUP(Proponentes[[#This Row],[Cap Op en SMMLV]],Base!$A$15:$F$20,4),0)</f>
        <v>0</v>
      </c>
      <c r="P215" s="17">
        <f>IFERROR(VLOOKUP(Proponentes[[#This Row],[Cap Op en SMMLV]],Tabla2[],6),0)</f>
        <v>0</v>
      </c>
      <c r="Q215" s="18">
        <f>IFERROR(VLOOKUP(Proponentes[[#This Row],[Cap Op en SMMLV]],Base!$A$15:$F$20,5),0)</f>
        <v>0</v>
      </c>
      <c r="R215" s="18">
        <f>IFERROR(VLOOKUP(Proponentes[[#This Row],[Cap Op en SMMLV]],Tabla2[[DE]:[HASTA]],2),0)</f>
        <v>0</v>
      </c>
      <c r="S215" s="19">
        <f>IFERROR(Proponentes[[#This Row],[Activo Corriente]]/Proponentes[[#This Row],[Pasivo Corriente]],"INDETERMINADO")</f>
        <v>1.2185945132135678</v>
      </c>
      <c r="T215" s="20">
        <f>IFERROR(Proponentes[[#This Row],[Total Pasivo]]/Proponentes[[#This Row],[Total ACTIVO]],0)</f>
        <v>0.37014704350328415</v>
      </c>
      <c r="U215" s="21">
        <f>(Proponentes[[#This Row],[Activo Corriente]]-Proponentes[[#This Row],[Pasivo Corriente]])/Base!$B$3</f>
        <v>32.327820015553378</v>
      </c>
      <c r="V215" s="22">
        <f>Proponentes[[#This Row],[Activo Corriente]]-Proponentes[[#This Row],[Pasivo Corriente]]</f>
        <v>26771185</v>
      </c>
      <c r="W215" s="13">
        <f>IFERROR(VLOOKUP(Proponentes[[#This Row],[Propuesta]],Hoja2!$A$2:$G$329,7,FALSE),0)</f>
        <v>0</v>
      </c>
      <c r="X215" s="83">
        <f>IF(Proponentes[[#This Row],[Cap Op en Pesos]]=0,0,IF(Proponentes[[#This Row],[Cap Op en Pesos]]=0,1,Proponentes[[#This Row],[Cap Op en Pesos]]/Base!B$3))</f>
        <v>0</v>
      </c>
      <c r="Y21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1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1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15" s="23" t="str">
        <f>IF(AND(Proponentes[[#This Row],[Cumple
Liquidez]]="CUMPLE",Proponentes[[#This Row],[Cumple
Endeudamiento]]="CUMPLE",Proponentes[[#This Row],[Cumple
Capital de Trabajo]]="CUMPLE"),"CUMPLE","NO CUMPLE")</f>
        <v>NO CUMPLE</v>
      </c>
      <c r="AC215" s="24"/>
      <c r="AD215" s="10">
        <f>IF(Proponentes[[#This Row],[Liquidez
Oferente]]&lt;=1,1,IF(Proponentes[[#This Row],[Liquidez
Oferente]]&lt;=1.1,2,IF(Proponentes[[#This Row],[Liquidez
Oferente]]&lt;=1.2,3,IF(Proponentes[[#This Row],[Liquidez
Oferente]]&lt;=1.3,4,IF(Proponentes[[#This Row],[Liquidez
Oferente]]&lt;=1.4,5,6)))))</f>
        <v>4</v>
      </c>
      <c r="AE215" s="10">
        <f>IF(Proponentes[[#This Row],[Endeudamiento
Oferente]]&lt;=66%,6,IF(Proponentes[[#This Row],[Endeudamiento
Oferente]]&lt;=58,5,IF(Proponentes[[#This Row],[Endeudamiento
Oferente]]&lt;=70,4,IF(Proponentes[[#This Row],[Endeudamiento
Oferente]]&lt;=72,3,IF(Proponentes[[#This Row],[Endeudamiento
Oferente]]&lt;=74,2,1)))))</f>
        <v>6</v>
      </c>
      <c r="AF21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215" s="10">
        <f>IF(Proponentes[[#This Row],[Cap Op en SMMLV]]&lt;=500,1,IF(Proponentes[[#This Row],[Cap Op en SMMLV]]&lt;=1000,2,IF(Proponentes[[#This Row],[Cap Op en SMMLV]]&lt;=1500,3,IF(Proponentes[[#This Row],[Cap Op en SMMLV]]&lt;=2000,4,IF(Proponentes[[#This Row],[Cap Op en SMMLV]]&lt;=2500,5,6)))))</f>
        <v>1</v>
      </c>
      <c r="AH215" s="10">
        <f>MIN(Proponentes[[#This Row],[a]:[d]])</f>
        <v>1</v>
      </c>
      <c r="AI215" s="87">
        <f>IF(Proponentes[[#This Row],[e]]=Proponentes[[#This Row],[d]],Proponentes[[#This Row],[Cap Op en SMMLV]],VLOOKUP(Proponentes[[#This Row],[e]],Base!$D$1:$E$6,2,FALSE))</f>
        <v>0</v>
      </c>
      <c r="AJ215" s="101" t="str">
        <f>VLOOKUP(Proponentes[[#This Row],[Propuesta]],Hoja2!$A$2:$D$329,4,FALSE)</f>
        <v>NO CUMPLE</v>
      </c>
      <c r="AK215" s="101"/>
    </row>
    <row r="216" spans="1:37" ht="16" x14ac:dyDescent="0.2">
      <c r="A216" s="10">
        <v>215</v>
      </c>
      <c r="B216" s="11">
        <v>830123253</v>
      </c>
      <c r="C216" s="12" t="s">
        <v>305</v>
      </c>
      <c r="D216" s="13">
        <v>265988420</v>
      </c>
      <c r="E216" s="13">
        <v>100490527</v>
      </c>
      <c r="F216" s="25">
        <f>Proponentes[[#This Row],[Activo Corriente]]+Proponentes[[#This Row],[Activo NO Corriente]]</f>
        <v>366478947</v>
      </c>
      <c r="G216" s="13">
        <v>185020187</v>
      </c>
      <c r="H216" s="13">
        <v>0</v>
      </c>
      <c r="I216" s="25">
        <f>Proponentes[[#This Row],[Pasivo Corriente]]+Proponentes[[#This Row],[Pasivo NO Corriente]]</f>
        <v>185020187</v>
      </c>
      <c r="J216" s="14">
        <f>Proponentes[[#This Row],[Total ACTIVO]]-Proponentes[[#This Row],[Total Pasivo]]</f>
        <v>181458760</v>
      </c>
      <c r="K216" s="48">
        <f>VLOOKUP(Proponentes[[#This Row],[Propuesta]],Hoja2!$A$2:$G$239,7,FALSE)</f>
        <v>143846910.19467682</v>
      </c>
      <c r="L216" s="15"/>
      <c r="M216" s="15" t="s">
        <v>306</v>
      </c>
      <c r="N216" s="55">
        <f>IFERROR(VLOOKUP(Proponentes[[#This Row],[Cap Op en SMMLV]],Base!$A$15:$F$20,3),0)</f>
        <v>1</v>
      </c>
      <c r="O216" s="16">
        <f>IFERROR(VLOOKUP(Proponentes[[#This Row],[Cap Op en SMMLV]],Base!$A$15:$F$20,4),0)</f>
        <v>0.76</v>
      </c>
      <c r="P216" s="17">
        <f>IFERROR(VLOOKUP(Proponentes[[#This Row],[Cap Op en SMMLV]],Tabla2[],6),0)</f>
        <v>12.5</v>
      </c>
      <c r="Q216" s="18">
        <f>IFERROR(VLOOKUP(Proponentes[[#This Row],[Cap Op en SMMLV]],Base!$A$15:$F$20,5),0)</f>
        <v>10351450</v>
      </c>
      <c r="R216" s="18">
        <f>IFERROR(VLOOKUP(Proponentes[[#This Row],[Cap Op en SMMLV]],Tabla2[[DE]:[HASTA]],2),0)</f>
        <v>500</v>
      </c>
      <c r="S216" s="19">
        <f>IFERROR(Proponentes[[#This Row],[Activo Corriente]]/Proponentes[[#This Row],[Pasivo Corriente]],"INDETERMINADO")</f>
        <v>1.4376183718806856</v>
      </c>
      <c r="T216" s="20">
        <f>IFERROR(Proponentes[[#This Row],[Total Pasivo]]/Proponentes[[#This Row],[Total ACTIVO]],0)</f>
        <v>0.50485897897976661</v>
      </c>
      <c r="U216" s="21">
        <f>(Proponentes[[#This Row],[Activo Corriente]]-Proponentes[[#This Row],[Pasivo Corriente]])/Base!$B$3</f>
        <v>97.774023204478596</v>
      </c>
      <c r="V216" s="22">
        <f>Proponentes[[#This Row],[Activo Corriente]]-Proponentes[[#This Row],[Pasivo Corriente]]</f>
        <v>80968233</v>
      </c>
      <c r="W216" s="13">
        <f>IFERROR(VLOOKUP(Proponentes[[#This Row],[Propuesta]],Hoja2!$A$2:$G$329,7,FALSE),0)</f>
        <v>143846910.19467682</v>
      </c>
      <c r="X216" s="83">
        <f>IF(Proponentes[[#This Row],[Cap Op en Pesos]]=0,0,IF(Proponentes[[#This Row],[Cap Op en Pesos]]=0,1,Proponentes[[#This Row],[Cap Op en Pesos]]/Base!B$3))</f>
        <v>173.70381709165963</v>
      </c>
      <c r="Y21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1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1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16" s="23" t="str">
        <f>IF(AND(Proponentes[[#This Row],[Cumple
Liquidez]]="CUMPLE",Proponentes[[#This Row],[Cumple
Endeudamiento]]="CUMPLE",Proponentes[[#This Row],[Cumple
Capital de Trabajo]]="CUMPLE"),"CUMPLE","NO CUMPLE")</f>
        <v>CUMPLE</v>
      </c>
      <c r="AC216" s="24"/>
      <c r="AD216" s="10">
        <f>IF(Proponentes[[#This Row],[Liquidez
Oferente]]&lt;=1,1,IF(Proponentes[[#This Row],[Liquidez
Oferente]]&lt;=1.1,2,IF(Proponentes[[#This Row],[Liquidez
Oferente]]&lt;=1.2,3,IF(Proponentes[[#This Row],[Liquidez
Oferente]]&lt;=1.3,4,IF(Proponentes[[#This Row],[Liquidez
Oferente]]&lt;=1.4,5,6)))))</f>
        <v>6</v>
      </c>
      <c r="AE216" s="10">
        <f>IF(Proponentes[[#This Row],[Endeudamiento
Oferente]]&lt;=66%,6,IF(Proponentes[[#This Row],[Endeudamiento
Oferente]]&lt;=58,5,IF(Proponentes[[#This Row],[Endeudamiento
Oferente]]&lt;=70,4,IF(Proponentes[[#This Row],[Endeudamiento
Oferente]]&lt;=72,3,IF(Proponentes[[#This Row],[Endeudamiento
Oferente]]&lt;=74,2,1)))))</f>
        <v>6</v>
      </c>
      <c r="AF21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16" s="10">
        <f>IF(Proponentes[[#This Row],[Cap Op en SMMLV]]&lt;=500,1,IF(Proponentes[[#This Row],[Cap Op en SMMLV]]&lt;=1000,2,IF(Proponentes[[#This Row],[Cap Op en SMMLV]]&lt;=1500,3,IF(Proponentes[[#This Row],[Cap Op en SMMLV]]&lt;=2000,4,IF(Proponentes[[#This Row],[Cap Op en SMMLV]]&lt;=2500,5,6)))))</f>
        <v>1</v>
      </c>
      <c r="AH216" s="10">
        <f>MIN(Proponentes[[#This Row],[a]:[d]])</f>
        <v>1</v>
      </c>
      <c r="AI216" s="87">
        <f>IF(Proponentes[[#This Row],[e]]=Proponentes[[#This Row],[d]],Proponentes[[#This Row],[Cap Op en SMMLV]],VLOOKUP(Proponentes[[#This Row],[e]],Base!$D$1:$E$6,2,FALSE))</f>
        <v>173.70381709165963</v>
      </c>
      <c r="AJ216" s="101" t="str">
        <f>VLOOKUP(Proponentes[[#This Row],[Propuesta]],Hoja2!$A$2:$D$329,4,FALSE)</f>
        <v>NO CUMPLE</v>
      </c>
      <c r="AK216" s="101"/>
    </row>
    <row r="217" spans="1:37" ht="32" x14ac:dyDescent="0.2">
      <c r="A217" s="10">
        <v>216</v>
      </c>
      <c r="B217" s="11">
        <v>818002076</v>
      </c>
      <c r="C217" s="12" t="s">
        <v>307</v>
      </c>
      <c r="D217" s="13">
        <v>109020000</v>
      </c>
      <c r="E217" s="13">
        <v>584850000</v>
      </c>
      <c r="F217" s="25">
        <f>Proponentes[[#This Row],[Activo Corriente]]+Proponentes[[#This Row],[Activo NO Corriente]]</f>
        <v>693870000</v>
      </c>
      <c r="G217" s="13">
        <v>5500000</v>
      </c>
      <c r="H217" s="13">
        <v>0</v>
      </c>
      <c r="I217" s="25">
        <f>Proponentes[[#This Row],[Pasivo Corriente]]+Proponentes[[#This Row],[Pasivo NO Corriente]]</f>
        <v>5500000</v>
      </c>
      <c r="J217" s="14">
        <f>Proponentes[[#This Row],[Total ACTIVO]]-Proponentes[[#This Row],[Total Pasivo]]</f>
        <v>688370000</v>
      </c>
      <c r="K217" s="48">
        <f>VLOOKUP(Proponentes[[#This Row],[Propuesta]],Hoja2!$A$2:$G$239,7,FALSE)</f>
        <v>573246792.04036653</v>
      </c>
      <c r="L217" s="15"/>
      <c r="M217" s="15" t="s">
        <v>59</v>
      </c>
      <c r="N217" s="55">
        <f>IFERROR(VLOOKUP(Proponentes[[#This Row],[Cap Op en SMMLV]],Base!$A$15:$F$20,3),0)</f>
        <v>1.1000000000000001</v>
      </c>
      <c r="O217" s="16">
        <f>IFERROR(VLOOKUP(Proponentes[[#This Row],[Cap Op en SMMLV]],Base!$A$15:$F$20,4),0)</f>
        <v>0.74</v>
      </c>
      <c r="P217" s="17">
        <f>IFERROR(VLOOKUP(Proponentes[[#This Row],[Cap Op en SMMLV]],Tabla2[],6),0)</f>
        <v>25</v>
      </c>
      <c r="Q217" s="18">
        <f>IFERROR(VLOOKUP(Proponentes[[#This Row],[Cap Op en SMMLV]],Base!$A$15:$F$20,5),0)</f>
        <v>20702900</v>
      </c>
      <c r="R217" s="18">
        <f>IFERROR(VLOOKUP(Proponentes[[#This Row],[Cap Op en SMMLV]],Tabla2[[DE]:[HASTA]],2),0)</f>
        <v>1000</v>
      </c>
      <c r="S217" s="19">
        <f>IFERROR(Proponentes[[#This Row],[Activo Corriente]]/Proponentes[[#This Row],[Pasivo Corriente]],"INDETERMINADO")</f>
        <v>19.82181818181818</v>
      </c>
      <c r="T217" s="20">
        <f>IFERROR(Proponentes[[#This Row],[Total Pasivo]]/Proponentes[[#This Row],[Total ACTIVO]],0)</f>
        <v>7.9265568478245202E-3</v>
      </c>
      <c r="U217" s="21">
        <f>(Proponentes[[#This Row],[Activo Corriente]]-Proponentes[[#This Row],[Pasivo Corriente]])/Base!$B$3</f>
        <v>125.00664158161418</v>
      </c>
      <c r="V217" s="22">
        <f>Proponentes[[#This Row],[Activo Corriente]]-Proponentes[[#This Row],[Pasivo Corriente]]</f>
        <v>103520000</v>
      </c>
      <c r="W217" s="13">
        <f>IFERROR(VLOOKUP(Proponentes[[#This Row],[Propuesta]],Hoja2!$A$2:$G$329,7,FALSE),0)</f>
        <v>573246792.04036653</v>
      </c>
      <c r="X217" s="83">
        <f>IF(Proponentes[[#This Row],[Cap Op en Pesos]]=0,0,IF(Proponentes[[#This Row],[Cap Op en Pesos]]=0,1,Proponentes[[#This Row],[Cap Op en Pesos]]/Base!B$3))</f>
        <v>692.23006443585984</v>
      </c>
      <c r="Y21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1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1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17" s="23" t="str">
        <f>IF(AND(Proponentes[[#This Row],[Cumple
Liquidez]]="CUMPLE",Proponentes[[#This Row],[Cumple
Endeudamiento]]="CUMPLE",Proponentes[[#This Row],[Cumple
Capital de Trabajo]]="CUMPLE"),"CUMPLE","NO CUMPLE")</f>
        <v>CUMPLE</v>
      </c>
      <c r="AC217" s="24"/>
      <c r="AD217" s="10">
        <f>IF(Proponentes[[#This Row],[Liquidez
Oferente]]&lt;=1,1,IF(Proponentes[[#This Row],[Liquidez
Oferente]]&lt;=1.1,2,IF(Proponentes[[#This Row],[Liquidez
Oferente]]&lt;=1.2,3,IF(Proponentes[[#This Row],[Liquidez
Oferente]]&lt;=1.3,4,IF(Proponentes[[#This Row],[Liquidez
Oferente]]&lt;=1.4,5,6)))))</f>
        <v>6</v>
      </c>
      <c r="AE217" s="10">
        <f>IF(Proponentes[[#This Row],[Endeudamiento
Oferente]]&lt;=66%,6,IF(Proponentes[[#This Row],[Endeudamiento
Oferente]]&lt;=58,5,IF(Proponentes[[#This Row],[Endeudamiento
Oferente]]&lt;=70,4,IF(Proponentes[[#This Row],[Endeudamiento
Oferente]]&lt;=72,3,IF(Proponentes[[#This Row],[Endeudamiento
Oferente]]&lt;=74,2,1)))))</f>
        <v>6</v>
      </c>
      <c r="AF21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17" s="10">
        <f>IF(Proponentes[[#This Row],[Cap Op en SMMLV]]&lt;=500,1,IF(Proponentes[[#This Row],[Cap Op en SMMLV]]&lt;=1000,2,IF(Proponentes[[#This Row],[Cap Op en SMMLV]]&lt;=1500,3,IF(Proponentes[[#This Row],[Cap Op en SMMLV]]&lt;=2000,4,IF(Proponentes[[#This Row],[Cap Op en SMMLV]]&lt;=2500,5,6)))))</f>
        <v>2</v>
      </c>
      <c r="AH217" s="10">
        <f>MIN(Proponentes[[#This Row],[a]:[d]])</f>
        <v>2</v>
      </c>
      <c r="AI217" s="87">
        <f>IF(Proponentes[[#This Row],[e]]=Proponentes[[#This Row],[d]],Proponentes[[#This Row],[Cap Op en SMMLV]],VLOOKUP(Proponentes[[#This Row],[e]],Base!$D$1:$E$6,2,FALSE))</f>
        <v>692.23006443585984</v>
      </c>
      <c r="AJ217" s="101" t="str">
        <f>VLOOKUP(Proponentes[[#This Row],[Propuesta]],Hoja2!$A$2:$D$329,4,FALSE)</f>
        <v>NO CUMPLE</v>
      </c>
      <c r="AK217" s="101"/>
    </row>
    <row r="218" spans="1:37" ht="16" x14ac:dyDescent="0.2">
      <c r="A218" s="10">
        <v>217</v>
      </c>
      <c r="B218" s="11">
        <v>890327635</v>
      </c>
      <c r="C218" s="12" t="s">
        <v>308</v>
      </c>
      <c r="D218" s="13">
        <v>361135874</v>
      </c>
      <c r="E218" s="13">
        <v>1805140050</v>
      </c>
      <c r="F218" s="25">
        <f>Proponentes[[#This Row],[Activo Corriente]]+Proponentes[[#This Row],[Activo NO Corriente]]</f>
        <v>2166275924</v>
      </c>
      <c r="G218" s="13">
        <v>278247250</v>
      </c>
      <c r="H218" s="13">
        <v>216990814</v>
      </c>
      <c r="I218" s="25">
        <f>Proponentes[[#This Row],[Pasivo Corriente]]+Proponentes[[#This Row],[Pasivo NO Corriente]]</f>
        <v>495238064</v>
      </c>
      <c r="J218" s="14">
        <f>Proponentes[[#This Row],[Total ACTIVO]]-Proponentes[[#This Row],[Total Pasivo]]</f>
        <v>1671037860</v>
      </c>
      <c r="K218" s="48">
        <f>VLOOKUP(Proponentes[[#This Row],[Propuesta]],Hoja2!$A$2:$G$239,7,FALSE)</f>
        <v>973027036.54636264</v>
      </c>
      <c r="L218" s="15"/>
      <c r="M218" s="15" t="s">
        <v>309</v>
      </c>
      <c r="N218" s="55">
        <f>IFERROR(VLOOKUP(Proponentes[[#This Row],[Cap Op en SMMLV]],Base!$A$15:$F$20,3),0)</f>
        <v>1.2</v>
      </c>
      <c r="O218" s="16">
        <f>IFERROR(VLOOKUP(Proponentes[[#This Row],[Cap Op en SMMLV]],Base!$A$15:$F$20,4),0)</f>
        <v>0.72</v>
      </c>
      <c r="P218" s="17">
        <f>IFERROR(VLOOKUP(Proponentes[[#This Row],[Cap Op en SMMLV]],Tabla2[],6),0)</f>
        <v>37.5</v>
      </c>
      <c r="Q218" s="18">
        <f>IFERROR(VLOOKUP(Proponentes[[#This Row],[Cap Op en SMMLV]],Base!$A$15:$F$20,5),0)</f>
        <v>31054350</v>
      </c>
      <c r="R218" s="18">
        <f>IFERROR(VLOOKUP(Proponentes[[#This Row],[Cap Op en SMMLV]],Tabla2[[DE]:[HASTA]],2),0)</f>
        <v>1500</v>
      </c>
      <c r="S218" s="19">
        <f>IFERROR(Proponentes[[#This Row],[Activo Corriente]]/Proponentes[[#This Row],[Pasivo Corriente]],"INDETERMINADO")</f>
        <v>1.2978955730919173</v>
      </c>
      <c r="T218" s="20">
        <f>IFERROR(Proponentes[[#This Row],[Total Pasivo]]/Proponentes[[#This Row],[Total ACTIVO]],0)</f>
        <v>0.22861264279092824</v>
      </c>
      <c r="U218" s="21">
        <f>(Proponentes[[#This Row],[Activo Corriente]]-Proponentes[[#This Row],[Pasivo Corriente]])/Base!$B$3</f>
        <v>100.09301112404542</v>
      </c>
      <c r="V218" s="22">
        <f>Proponentes[[#This Row],[Activo Corriente]]-Proponentes[[#This Row],[Pasivo Corriente]]</f>
        <v>82888624</v>
      </c>
      <c r="W218" s="13">
        <f>IFERROR(VLOOKUP(Proponentes[[#This Row],[Propuesta]],Hoja2!$A$2:$G$329,7,FALSE),0)</f>
        <v>973027036.54636264</v>
      </c>
      <c r="X218" s="83">
        <f>IF(Proponentes[[#This Row],[Cap Op en Pesos]]=0,0,IF(Proponentes[[#This Row],[Cap Op en Pesos]]=0,1,Proponentes[[#This Row],[Cap Op en Pesos]]/Base!B$3))</f>
        <v>1174.988813821207</v>
      </c>
      <c r="Y21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1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1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18" s="23" t="str">
        <f>IF(AND(Proponentes[[#This Row],[Cumple
Liquidez]]="CUMPLE",Proponentes[[#This Row],[Cumple
Endeudamiento]]="CUMPLE",Proponentes[[#This Row],[Cumple
Capital de Trabajo]]="CUMPLE"),"CUMPLE","NO CUMPLE")</f>
        <v>CUMPLE</v>
      </c>
      <c r="AC218" s="24"/>
      <c r="AD218" s="10">
        <f>IF(Proponentes[[#This Row],[Liquidez
Oferente]]&lt;=1,1,IF(Proponentes[[#This Row],[Liquidez
Oferente]]&lt;=1.1,2,IF(Proponentes[[#This Row],[Liquidez
Oferente]]&lt;=1.2,3,IF(Proponentes[[#This Row],[Liquidez
Oferente]]&lt;=1.3,4,IF(Proponentes[[#This Row],[Liquidez
Oferente]]&lt;=1.4,5,6)))))</f>
        <v>4</v>
      </c>
      <c r="AE218" s="10">
        <f>IF(Proponentes[[#This Row],[Endeudamiento
Oferente]]&lt;=66%,6,IF(Proponentes[[#This Row],[Endeudamiento
Oferente]]&lt;=58,5,IF(Proponentes[[#This Row],[Endeudamiento
Oferente]]&lt;=70,4,IF(Proponentes[[#This Row],[Endeudamiento
Oferente]]&lt;=72,3,IF(Proponentes[[#This Row],[Endeudamiento
Oferente]]&lt;=74,2,1)))))</f>
        <v>6</v>
      </c>
      <c r="AF21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18" s="10">
        <f>IF(Proponentes[[#This Row],[Cap Op en SMMLV]]&lt;=500,1,IF(Proponentes[[#This Row],[Cap Op en SMMLV]]&lt;=1000,2,IF(Proponentes[[#This Row],[Cap Op en SMMLV]]&lt;=1500,3,IF(Proponentes[[#This Row],[Cap Op en SMMLV]]&lt;=2000,4,IF(Proponentes[[#This Row],[Cap Op en SMMLV]]&lt;=2500,5,6)))))</f>
        <v>3</v>
      </c>
      <c r="AH218" s="10">
        <f>MIN(Proponentes[[#This Row],[a]:[d]])</f>
        <v>3</v>
      </c>
      <c r="AI218" s="87">
        <f>IF(Proponentes[[#This Row],[e]]=Proponentes[[#This Row],[d]],Proponentes[[#This Row],[Cap Op en SMMLV]],VLOOKUP(Proponentes[[#This Row],[e]],Base!$D$1:$E$6,2,FALSE))</f>
        <v>1174.988813821207</v>
      </c>
      <c r="AJ218" s="101" t="str">
        <f>VLOOKUP(Proponentes[[#This Row],[Propuesta]],Hoja2!$A$2:$D$329,4,FALSE)</f>
        <v>CUMPLE</v>
      </c>
      <c r="AK218" s="101"/>
    </row>
    <row r="219" spans="1:37" ht="32" x14ac:dyDescent="0.2">
      <c r="A219" s="10">
        <v>218</v>
      </c>
      <c r="B219" s="11">
        <v>813009965</v>
      </c>
      <c r="C219" s="12" t="s">
        <v>310</v>
      </c>
      <c r="D219" s="13">
        <v>848700860</v>
      </c>
      <c r="E219" s="13">
        <v>12109608</v>
      </c>
      <c r="F219" s="25">
        <f>Proponentes[[#This Row],[Activo Corriente]]+Proponentes[[#This Row],[Activo NO Corriente]]</f>
        <v>860810468</v>
      </c>
      <c r="G219" s="13">
        <v>130782910</v>
      </c>
      <c r="H219" s="13">
        <v>0</v>
      </c>
      <c r="I219" s="25">
        <f>Proponentes[[#This Row],[Pasivo Corriente]]+Proponentes[[#This Row],[Pasivo NO Corriente]]</f>
        <v>130782910</v>
      </c>
      <c r="J219" s="14">
        <f>Proponentes[[#This Row],[Total ACTIVO]]-Proponentes[[#This Row],[Total Pasivo]]</f>
        <v>730027558</v>
      </c>
      <c r="K219" s="48">
        <f>VLOOKUP(Proponentes[[#This Row],[Propuesta]],Hoja2!$A$2:$G$239,7,FALSE)</f>
        <v>214544110.91386238</v>
      </c>
      <c r="L219" s="15"/>
      <c r="M219" s="15" t="s">
        <v>59</v>
      </c>
      <c r="N219" s="55">
        <f>IFERROR(VLOOKUP(Proponentes[[#This Row],[Cap Op en SMMLV]],Base!$A$15:$F$20,3),0)</f>
        <v>1</v>
      </c>
      <c r="O219" s="16">
        <f>IFERROR(VLOOKUP(Proponentes[[#This Row],[Cap Op en SMMLV]],Base!$A$15:$F$20,4),0)</f>
        <v>0.76</v>
      </c>
      <c r="P219" s="17">
        <f>IFERROR(VLOOKUP(Proponentes[[#This Row],[Cap Op en SMMLV]],Tabla2[],6),0)</f>
        <v>12.5</v>
      </c>
      <c r="Q219" s="18">
        <f>IFERROR(VLOOKUP(Proponentes[[#This Row],[Cap Op en SMMLV]],Base!$A$15:$F$20,5),0)</f>
        <v>10351450</v>
      </c>
      <c r="R219" s="18">
        <f>IFERROR(VLOOKUP(Proponentes[[#This Row],[Cap Op en SMMLV]],Tabla2[[DE]:[HASTA]],2),0)</f>
        <v>500</v>
      </c>
      <c r="S219" s="19">
        <f>IFERROR(Proponentes[[#This Row],[Activo Corriente]]/Proponentes[[#This Row],[Pasivo Corriente]],"INDETERMINADO")</f>
        <v>6.4893865719917079</v>
      </c>
      <c r="T219" s="20">
        <f>IFERROR(Proponentes[[#This Row],[Total Pasivo]]/Proponentes[[#This Row],[Total ACTIVO]],0)</f>
        <v>0.15192997165085589</v>
      </c>
      <c r="U219" s="21">
        <f>(Proponentes[[#This Row],[Activo Corriente]]-Proponentes[[#This Row],[Pasivo Corriente]])/Base!$B$3</f>
        <v>866.92921040047531</v>
      </c>
      <c r="V219" s="22">
        <f>Proponentes[[#This Row],[Activo Corriente]]-Proponentes[[#This Row],[Pasivo Corriente]]</f>
        <v>717917950</v>
      </c>
      <c r="W219" s="13">
        <f>IFERROR(VLOOKUP(Proponentes[[#This Row],[Propuesta]],Hoja2!$A$2:$G$329,7,FALSE),0)</f>
        <v>214544110.91386238</v>
      </c>
      <c r="X219" s="83">
        <f>IF(Proponentes[[#This Row],[Cap Op en Pesos]]=0,0,IF(Proponentes[[#This Row],[Cap Op en Pesos]]=0,1,Proponentes[[#This Row],[Cap Op en Pesos]]/Base!B$3))</f>
        <v>259.07494954071939</v>
      </c>
      <c r="Y21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1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1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19" s="23" t="str">
        <f>IF(AND(Proponentes[[#This Row],[Cumple
Liquidez]]="CUMPLE",Proponentes[[#This Row],[Cumple
Endeudamiento]]="CUMPLE",Proponentes[[#This Row],[Cumple
Capital de Trabajo]]="CUMPLE"),"CUMPLE","NO CUMPLE")</f>
        <v>CUMPLE</v>
      </c>
      <c r="AC219" s="24"/>
      <c r="AD219" s="10">
        <f>IF(Proponentes[[#This Row],[Liquidez
Oferente]]&lt;=1,1,IF(Proponentes[[#This Row],[Liquidez
Oferente]]&lt;=1.1,2,IF(Proponentes[[#This Row],[Liquidez
Oferente]]&lt;=1.2,3,IF(Proponentes[[#This Row],[Liquidez
Oferente]]&lt;=1.3,4,IF(Proponentes[[#This Row],[Liquidez
Oferente]]&lt;=1.4,5,6)))))</f>
        <v>6</v>
      </c>
      <c r="AE219" s="10">
        <f>IF(Proponentes[[#This Row],[Endeudamiento
Oferente]]&lt;=66%,6,IF(Proponentes[[#This Row],[Endeudamiento
Oferente]]&lt;=58,5,IF(Proponentes[[#This Row],[Endeudamiento
Oferente]]&lt;=70,4,IF(Proponentes[[#This Row],[Endeudamiento
Oferente]]&lt;=72,3,IF(Proponentes[[#This Row],[Endeudamiento
Oferente]]&lt;=74,2,1)))))</f>
        <v>6</v>
      </c>
      <c r="AF21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19" s="10">
        <f>IF(Proponentes[[#This Row],[Cap Op en SMMLV]]&lt;=500,1,IF(Proponentes[[#This Row],[Cap Op en SMMLV]]&lt;=1000,2,IF(Proponentes[[#This Row],[Cap Op en SMMLV]]&lt;=1500,3,IF(Proponentes[[#This Row],[Cap Op en SMMLV]]&lt;=2000,4,IF(Proponentes[[#This Row],[Cap Op en SMMLV]]&lt;=2500,5,6)))))</f>
        <v>1</v>
      </c>
      <c r="AH219" s="10">
        <f>MIN(Proponentes[[#This Row],[a]:[d]])</f>
        <v>1</v>
      </c>
      <c r="AI219" s="87">
        <f>IF(Proponentes[[#This Row],[e]]=Proponentes[[#This Row],[d]],Proponentes[[#This Row],[Cap Op en SMMLV]],VLOOKUP(Proponentes[[#This Row],[e]],Base!$D$1:$E$6,2,FALSE))</f>
        <v>259.07494954071939</v>
      </c>
      <c r="AJ219" s="101" t="str">
        <f>VLOOKUP(Proponentes[[#This Row],[Propuesta]],Hoja2!$A$2:$D$329,4,FALSE)</f>
        <v>NO CUMPLE</v>
      </c>
      <c r="AK219" s="101"/>
    </row>
    <row r="220" spans="1:37" ht="16" x14ac:dyDescent="0.2">
      <c r="A220" s="10">
        <v>219</v>
      </c>
      <c r="B220" s="11">
        <v>832007250</v>
      </c>
      <c r="C220" s="12" t="s">
        <v>311</v>
      </c>
      <c r="D220" s="13">
        <v>31310639</v>
      </c>
      <c r="E220" s="13">
        <v>15226112</v>
      </c>
      <c r="F220" s="25">
        <f>Proponentes[[#This Row],[Activo Corriente]]+Proponentes[[#This Row],[Activo NO Corriente]]</f>
        <v>46536751</v>
      </c>
      <c r="G220" s="13">
        <v>0</v>
      </c>
      <c r="H220" s="13">
        <v>0</v>
      </c>
      <c r="I220" s="25">
        <f>Proponentes[[#This Row],[Pasivo Corriente]]+Proponentes[[#This Row],[Pasivo NO Corriente]]</f>
        <v>0</v>
      </c>
      <c r="J220" s="14">
        <f>Proponentes[[#This Row],[Total ACTIVO]]-Proponentes[[#This Row],[Total Pasivo]]</f>
        <v>46536751</v>
      </c>
      <c r="K220" s="48">
        <f>VLOOKUP(Proponentes[[#This Row],[Propuesta]],Hoja2!$A$2:$G$239,7,FALSE)</f>
        <v>406245091.54689926</v>
      </c>
      <c r="L220" s="15"/>
      <c r="M220" s="15" t="s">
        <v>312</v>
      </c>
      <c r="N220" s="55">
        <f>IFERROR(VLOOKUP(Proponentes[[#This Row],[Cap Op en SMMLV]],Base!$A$15:$F$20,3),0)</f>
        <v>1</v>
      </c>
      <c r="O220" s="16">
        <f>IFERROR(VLOOKUP(Proponentes[[#This Row],[Cap Op en SMMLV]],Base!$A$15:$F$20,4),0)</f>
        <v>0.76</v>
      </c>
      <c r="P220" s="17">
        <f>IFERROR(VLOOKUP(Proponentes[[#This Row],[Cap Op en SMMLV]],Tabla2[],6),0)</f>
        <v>12.5</v>
      </c>
      <c r="Q220" s="18">
        <f>IFERROR(VLOOKUP(Proponentes[[#This Row],[Cap Op en SMMLV]],Base!$A$15:$F$20,5),0)</f>
        <v>10351450</v>
      </c>
      <c r="R220" s="18">
        <f>IFERROR(VLOOKUP(Proponentes[[#This Row],[Cap Op en SMMLV]],Tabla2[[DE]:[HASTA]],2),0)</f>
        <v>500</v>
      </c>
      <c r="S220" s="19" t="str">
        <f>IFERROR(Proponentes[[#This Row],[Activo Corriente]]/Proponentes[[#This Row],[Pasivo Corriente]],"INDETERMINADO")</f>
        <v>INDETERMINADO</v>
      </c>
      <c r="T220" s="20">
        <f>IFERROR(Proponentes[[#This Row],[Total Pasivo]]/Proponentes[[#This Row],[Total ACTIVO]],0)</f>
        <v>0</v>
      </c>
      <c r="U220" s="21">
        <f>(Proponentes[[#This Row],[Activo Corriente]]-Proponentes[[#This Row],[Pasivo Corriente]])/Base!$B$3</f>
        <v>37.809484420057096</v>
      </c>
      <c r="V220" s="22">
        <f>Proponentes[[#This Row],[Activo Corriente]]-Proponentes[[#This Row],[Pasivo Corriente]]</f>
        <v>31310639</v>
      </c>
      <c r="W220" s="13">
        <f>IFERROR(VLOOKUP(Proponentes[[#This Row],[Propuesta]],Hoja2!$A$2:$G$329,7,FALSE),0)</f>
        <v>406245091.54689926</v>
      </c>
      <c r="X220" s="83">
        <f>IF(Proponentes[[#This Row],[Cap Op en Pesos]]=0,0,IF(Proponentes[[#This Row],[Cap Op en Pesos]]=0,1,Proponentes[[#This Row],[Cap Op en Pesos]]/Base!B$3))</f>
        <v>490.5654419753987</v>
      </c>
      <c r="Y22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2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2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20" s="23" t="str">
        <f>IF(AND(Proponentes[[#This Row],[Cumple
Liquidez]]="CUMPLE",Proponentes[[#This Row],[Cumple
Endeudamiento]]="CUMPLE",Proponentes[[#This Row],[Cumple
Capital de Trabajo]]="CUMPLE"),"CUMPLE","NO CUMPLE")</f>
        <v>CUMPLE</v>
      </c>
      <c r="AC220" s="24"/>
      <c r="AD220" s="10">
        <f>IF(Proponentes[[#This Row],[Liquidez
Oferente]]&lt;=1,1,IF(Proponentes[[#This Row],[Liquidez
Oferente]]&lt;=1.1,2,IF(Proponentes[[#This Row],[Liquidez
Oferente]]&lt;=1.2,3,IF(Proponentes[[#This Row],[Liquidez
Oferente]]&lt;=1.3,4,IF(Proponentes[[#This Row],[Liquidez
Oferente]]&lt;=1.4,5,6)))))</f>
        <v>6</v>
      </c>
      <c r="AE220" s="10">
        <f>IF(Proponentes[[#This Row],[Endeudamiento
Oferente]]&lt;=66%,6,IF(Proponentes[[#This Row],[Endeudamiento
Oferente]]&lt;=58,5,IF(Proponentes[[#This Row],[Endeudamiento
Oferente]]&lt;=70,4,IF(Proponentes[[#This Row],[Endeudamiento
Oferente]]&lt;=72,3,IF(Proponentes[[#This Row],[Endeudamiento
Oferente]]&lt;=74,2,1)))))</f>
        <v>6</v>
      </c>
      <c r="AF22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4</v>
      </c>
      <c r="AG220" s="10">
        <f>IF(Proponentes[[#This Row],[Cap Op en SMMLV]]&lt;=500,1,IF(Proponentes[[#This Row],[Cap Op en SMMLV]]&lt;=1000,2,IF(Proponentes[[#This Row],[Cap Op en SMMLV]]&lt;=1500,3,IF(Proponentes[[#This Row],[Cap Op en SMMLV]]&lt;=2000,4,IF(Proponentes[[#This Row],[Cap Op en SMMLV]]&lt;=2500,5,6)))))</f>
        <v>1</v>
      </c>
      <c r="AH220" s="10">
        <f>MIN(Proponentes[[#This Row],[a]:[d]])</f>
        <v>1</v>
      </c>
      <c r="AI220" s="87">
        <f>IF(Proponentes[[#This Row],[e]]=Proponentes[[#This Row],[d]],Proponentes[[#This Row],[Cap Op en SMMLV]],VLOOKUP(Proponentes[[#This Row],[e]],Base!$D$1:$E$6,2,FALSE))</f>
        <v>490.5654419753987</v>
      </c>
      <c r="AJ220" s="101" t="str">
        <f>VLOOKUP(Proponentes[[#This Row],[Propuesta]],Hoja2!$A$2:$D$329,4,FALSE)</f>
        <v>NO CUMPLE</v>
      </c>
      <c r="AK220" s="101"/>
    </row>
    <row r="221" spans="1:37" ht="32" x14ac:dyDescent="0.2">
      <c r="A221" s="10">
        <v>220</v>
      </c>
      <c r="B221" s="11">
        <v>901050350</v>
      </c>
      <c r="C221" s="12" t="s">
        <v>313</v>
      </c>
      <c r="D221" s="13">
        <v>6553071</v>
      </c>
      <c r="E221" s="13">
        <v>0</v>
      </c>
      <c r="F221" s="25">
        <f>Proponentes[[#This Row],[Activo Corriente]]+Proponentes[[#This Row],[Activo NO Corriente]]</f>
        <v>6553071</v>
      </c>
      <c r="G221" s="13">
        <v>0</v>
      </c>
      <c r="H221" s="13">
        <v>0</v>
      </c>
      <c r="I221" s="25">
        <f>Proponentes[[#This Row],[Pasivo Corriente]]+Proponentes[[#This Row],[Pasivo NO Corriente]]</f>
        <v>0</v>
      </c>
      <c r="J221" s="14">
        <f>Proponentes[[#This Row],[Total ACTIVO]]-Proponentes[[#This Row],[Total Pasivo]]</f>
        <v>6553071</v>
      </c>
      <c r="K221" s="48">
        <f>VLOOKUP(Proponentes[[#This Row],[Propuesta]],Hoja2!$A$2:$G$239,7,FALSE)</f>
        <v>0</v>
      </c>
      <c r="L221" s="15"/>
      <c r="M221" s="15" t="s">
        <v>28</v>
      </c>
      <c r="N221" s="55">
        <f>IFERROR(VLOOKUP(Proponentes[[#This Row],[Cap Op en SMMLV]],Base!$A$15:$F$20,3),0)</f>
        <v>0</v>
      </c>
      <c r="O221" s="16">
        <f>IFERROR(VLOOKUP(Proponentes[[#This Row],[Cap Op en SMMLV]],Base!$A$15:$F$20,4),0)</f>
        <v>0</v>
      </c>
      <c r="P221" s="17">
        <f>IFERROR(VLOOKUP(Proponentes[[#This Row],[Cap Op en SMMLV]],Tabla2[],6),0)</f>
        <v>0</v>
      </c>
      <c r="Q221" s="18">
        <f>IFERROR(VLOOKUP(Proponentes[[#This Row],[Cap Op en SMMLV]],Base!$A$15:$F$20,5),0)</f>
        <v>0</v>
      </c>
      <c r="R221" s="18">
        <f>IFERROR(VLOOKUP(Proponentes[[#This Row],[Cap Op en SMMLV]],Tabla2[[DE]:[HASTA]],2),0)</f>
        <v>0</v>
      </c>
      <c r="S221" s="19" t="str">
        <f>IFERROR(Proponentes[[#This Row],[Activo Corriente]]/Proponentes[[#This Row],[Pasivo Corriente]],"INDETERMINADO")</f>
        <v>INDETERMINADO</v>
      </c>
      <c r="T221" s="20">
        <f>IFERROR(Proponentes[[#This Row],[Total Pasivo]]/Proponentes[[#This Row],[Total ACTIVO]],0)</f>
        <v>0</v>
      </c>
      <c r="U221" s="21">
        <f>(Proponentes[[#This Row],[Activo Corriente]]-Proponentes[[#This Row],[Pasivo Corriente]])/Base!$B$3</f>
        <v>7.9132283399910159</v>
      </c>
      <c r="V221" s="22">
        <f>Proponentes[[#This Row],[Activo Corriente]]-Proponentes[[#This Row],[Pasivo Corriente]]</f>
        <v>6553071</v>
      </c>
      <c r="W221" s="13">
        <f>IFERROR(VLOOKUP(Proponentes[[#This Row],[Propuesta]],Hoja2!$A$2:$G$329,7,FALSE),0)</f>
        <v>0</v>
      </c>
      <c r="X221" s="83">
        <f>IF(Proponentes[[#This Row],[Cap Op en Pesos]]=0,0,IF(Proponentes[[#This Row],[Cap Op en Pesos]]=0,1,Proponentes[[#This Row],[Cap Op en Pesos]]/Base!B$3))</f>
        <v>0</v>
      </c>
      <c r="Y22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2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2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21" s="23" t="str">
        <f>IF(AND(Proponentes[[#This Row],[Cumple
Liquidez]]="CUMPLE",Proponentes[[#This Row],[Cumple
Endeudamiento]]="CUMPLE",Proponentes[[#This Row],[Cumple
Capital de Trabajo]]="CUMPLE"),"CUMPLE","NO CUMPLE")</f>
        <v>NO CUMPLE</v>
      </c>
      <c r="AC221" s="24"/>
      <c r="AD221" s="10">
        <f>IF(Proponentes[[#This Row],[Liquidez
Oferente]]&lt;=1,1,IF(Proponentes[[#This Row],[Liquidez
Oferente]]&lt;=1.1,2,IF(Proponentes[[#This Row],[Liquidez
Oferente]]&lt;=1.2,3,IF(Proponentes[[#This Row],[Liquidez
Oferente]]&lt;=1.3,4,IF(Proponentes[[#This Row],[Liquidez
Oferente]]&lt;=1.4,5,6)))))</f>
        <v>6</v>
      </c>
      <c r="AE221" s="10">
        <f>IF(Proponentes[[#This Row],[Endeudamiento
Oferente]]&lt;=66%,6,IF(Proponentes[[#This Row],[Endeudamiento
Oferente]]&lt;=58,5,IF(Proponentes[[#This Row],[Endeudamiento
Oferente]]&lt;=70,4,IF(Proponentes[[#This Row],[Endeudamiento
Oferente]]&lt;=72,3,IF(Proponentes[[#This Row],[Endeudamiento
Oferente]]&lt;=74,2,1)))))</f>
        <v>6</v>
      </c>
      <c r="AF22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21" s="10">
        <f>IF(Proponentes[[#This Row],[Cap Op en SMMLV]]&lt;=500,1,IF(Proponentes[[#This Row],[Cap Op en SMMLV]]&lt;=1000,2,IF(Proponentes[[#This Row],[Cap Op en SMMLV]]&lt;=1500,3,IF(Proponentes[[#This Row],[Cap Op en SMMLV]]&lt;=2000,4,IF(Proponentes[[#This Row],[Cap Op en SMMLV]]&lt;=2500,5,6)))))</f>
        <v>1</v>
      </c>
      <c r="AH221" s="10">
        <f>MIN(Proponentes[[#This Row],[a]:[d]])</f>
        <v>1</v>
      </c>
      <c r="AI221" s="87">
        <f>IF(Proponentes[[#This Row],[e]]=Proponentes[[#This Row],[d]],Proponentes[[#This Row],[Cap Op en SMMLV]],VLOOKUP(Proponentes[[#This Row],[e]],Base!$D$1:$E$6,2,FALSE))</f>
        <v>0</v>
      </c>
      <c r="AJ221" s="101" t="str">
        <f>VLOOKUP(Proponentes[[#This Row],[Propuesta]],Hoja2!$A$2:$D$329,4,FALSE)</f>
        <v>NO CUMPLE</v>
      </c>
      <c r="AK221" s="101"/>
    </row>
    <row r="222" spans="1:37" ht="16" x14ac:dyDescent="0.2">
      <c r="A222" s="10">
        <v>221</v>
      </c>
      <c r="B222" s="11">
        <v>819005772</v>
      </c>
      <c r="C222" s="12" t="s">
        <v>314</v>
      </c>
      <c r="D222" s="13">
        <v>274417610</v>
      </c>
      <c r="E222" s="13">
        <v>29582390</v>
      </c>
      <c r="F222" s="25">
        <f>Proponentes[[#This Row],[Activo Corriente]]+Proponentes[[#This Row],[Activo NO Corriente]]</f>
        <v>304000000</v>
      </c>
      <c r="G222" s="13">
        <v>7662288</v>
      </c>
      <c r="H222" s="13">
        <v>0</v>
      </c>
      <c r="I222" s="25">
        <f>Proponentes[[#This Row],[Pasivo Corriente]]+Proponentes[[#This Row],[Pasivo NO Corriente]]</f>
        <v>7662288</v>
      </c>
      <c r="J222" s="14">
        <f>Proponentes[[#This Row],[Total ACTIVO]]-Proponentes[[#This Row],[Total Pasivo]]</f>
        <v>296337712</v>
      </c>
      <c r="K222" s="48">
        <f>VLOOKUP(Proponentes[[#This Row],[Propuesta]],Hoja2!$A$2:$G$239,7,FALSE)</f>
        <v>0</v>
      </c>
      <c r="L222" s="15" t="s">
        <v>315</v>
      </c>
      <c r="M222" s="15" t="s">
        <v>28</v>
      </c>
      <c r="N222" s="55">
        <f>IFERROR(VLOOKUP(Proponentes[[#This Row],[Cap Op en SMMLV]],Base!$A$15:$F$20,3),0)</f>
        <v>0</v>
      </c>
      <c r="O222" s="16">
        <f>IFERROR(VLOOKUP(Proponentes[[#This Row],[Cap Op en SMMLV]],Base!$A$15:$F$20,4),0)</f>
        <v>0</v>
      </c>
      <c r="P222" s="17">
        <f>IFERROR(VLOOKUP(Proponentes[[#This Row],[Cap Op en SMMLV]],Tabla2[],6),0)</f>
        <v>0</v>
      </c>
      <c r="Q222" s="18">
        <f>IFERROR(VLOOKUP(Proponentes[[#This Row],[Cap Op en SMMLV]],Base!$A$15:$F$20,5),0)</f>
        <v>0</v>
      </c>
      <c r="R222" s="18">
        <f>IFERROR(VLOOKUP(Proponentes[[#This Row],[Cap Op en SMMLV]],Tabla2[[DE]:[HASTA]],2),0)</f>
        <v>0</v>
      </c>
      <c r="S222" s="19">
        <f>IFERROR(Proponentes[[#This Row],[Activo Corriente]]/Proponentes[[#This Row],[Pasivo Corriente]],"INDETERMINADO")</f>
        <v>35.814055801609129</v>
      </c>
      <c r="T222" s="20">
        <f>IFERROR(Proponentes[[#This Row],[Total Pasivo]]/Proponentes[[#This Row],[Total ACTIVO]],0)</f>
        <v>2.5204894736842107E-2</v>
      </c>
      <c r="U222" s="21">
        <f>(Proponentes[[#This Row],[Activo Corriente]]-Proponentes[[#This Row],[Pasivo Corriente]])/Base!$B$3</f>
        <v>322.12313492312671</v>
      </c>
      <c r="V222" s="22">
        <f>Proponentes[[#This Row],[Activo Corriente]]-Proponentes[[#This Row],[Pasivo Corriente]]</f>
        <v>266755322</v>
      </c>
      <c r="W222" s="13">
        <f>IFERROR(VLOOKUP(Proponentes[[#This Row],[Propuesta]],Hoja2!$A$2:$G$329,7,FALSE),0)</f>
        <v>0</v>
      </c>
      <c r="X222" s="83">
        <f>IF(Proponentes[[#This Row],[Cap Op en Pesos]]=0,0,IF(Proponentes[[#This Row],[Cap Op en Pesos]]=0,1,Proponentes[[#This Row],[Cap Op en Pesos]]/Base!B$3))</f>
        <v>0</v>
      </c>
      <c r="Y22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2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2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22" s="23" t="str">
        <f>IF(AND(Proponentes[[#This Row],[Cumple
Liquidez]]="CUMPLE",Proponentes[[#This Row],[Cumple
Endeudamiento]]="CUMPLE",Proponentes[[#This Row],[Cumple
Capital de Trabajo]]="CUMPLE"),"CUMPLE","NO CUMPLE")</f>
        <v>NO CUMPLE</v>
      </c>
      <c r="AC222" s="24"/>
      <c r="AD222" s="10">
        <f>IF(Proponentes[[#This Row],[Liquidez
Oferente]]&lt;=1,1,IF(Proponentes[[#This Row],[Liquidez
Oferente]]&lt;=1.1,2,IF(Proponentes[[#This Row],[Liquidez
Oferente]]&lt;=1.2,3,IF(Proponentes[[#This Row],[Liquidez
Oferente]]&lt;=1.3,4,IF(Proponentes[[#This Row],[Liquidez
Oferente]]&lt;=1.4,5,6)))))</f>
        <v>6</v>
      </c>
      <c r="AE222" s="10">
        <f>IF(Proponentes[[#This Row],[Endeudamiento
Oferente]]&lt;=66%,6,IF(Proponentes[[#This Row],[Endeudamiento
Oferente]]&lt;=58,5,IF(Proponentes[[#This Row],[Endeudamiento
Oferente]]&lt;=70,4,IF(Proponentes[[#This Row],[Endeudamiento
Oferente]]&lt;=72,3,IF(Proponentes[[#This Row],[Endeudamiento
Oferente]]&lt;=74,2,1)))))</f>
        <v>6</v>
      </c>
      <c r="AF22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22" s="10">
        <f>IF(Proponentes[[#This Row],[Cap Op en SMMLV]]&lt;=500,1,IF(Proponentes[[#This Row],[Cap Op en SMMLV]]&lt;=1000,2,IF(Proponentes[[#This Row],[Cap Op en SMMLV]]&lt;=1500,3,IF(Proponentes[[#This Row],[Cap Op en SMMLV]]&lt;=2000,4,IF(Proponentes[[#This Row],[Cap Op en SMMLV]]&lt;=2500,5,6)))))</f>
        <v>1</v>
      </c>
      <c r="AH222" s="10">
        <f>MIN(Proponentes[[#This Row],[a]:[d]])</f>
        <v>1</v>
      </c>
      <c r="AI222" s="87">
        <f>IF(Proponentes[[#This Row],[e]]=Proponentes[[#This Row],[d]],Proponentes[[#This Row],[Cap Op en SMMLV]],VLOOKUP(Proponentes[[#This Row],[e]],Base!$D$1:$E$6,2,FALSE))</f>
        <v>0</v>
      </c>
      <c r="AJ222" s="101" t="str">
        <f>VLOOKUP(Proponentes[[#This Row],[Propuesta]],Hoja2!$A$2:$D$329,4,FALSE)</f>
        <v>NO CUMPLE</v>
      </c>
      <c r="AK222" s="101"/>
    </row>
    <row r="223" spans="1:37" ht="32" x14ac:dyDescent="0.2">
      <c r="A223" s="10">
        <v>222</v>
      </c>
      <c r="B223" s="11">
        <v>890500675</v>
      </c>
      <c r="C223" s="12" t="s">
        <v>316</v>
      </c>
      <c r="D223" s="13">
        <v>53105253649.800003</v>
      </c>
      <c r="E223" s="13">
        <v>50317362468</v>
      </c>
      <c r="F223" s="25">
        <f>Proponentes[[#This Row],[Activo Corriente]]+Proponentes[[#This Row],[Activo NO Corriente]]</f>
        <v>103422616117.8</v>
      </c>
      <c r="G223" s="13">
        <v>50270670789.440002</v>
      </c>
      <c r="H223" s="13">
        <v>6713844714</v>
      </c>
      <c r="I223" s="25">
        <f>Proponentes[[#This Row],[Pasivo Corriente]]+Proponentes[[#This Row],[Pasivo NO Corriente]]</f>
        <v>56984515503.440002</v>
      </c>
      <c r="J223" s="14">
        <f>Proponentes[[#This Row],[Total ACTIVO]]-Proponentes[[#This Row],[Total Pasivo]]</f>
        <v>46438100614.360001</v>
      </c>
      <c r="K223" s="48">
        <f>VLOOKUP(Proponentes[[#This Row],[Propuesta]],Hoja2!$A$2:$G$239,7,FALSE)</f>
        <v>0</v>
      </c>
      <c r="L223" s="15" t="s">
        <v>317</v>
      </c>
      <c r="M223" s="15" t="s">
        <v>28</v>
      </c>
      <c r="N223" s="55">
        <f>IFERROR(VLOOKUP(Proponentes[[#This Row],[Cap Op en SMMLV]],Base!$A$15:$F$20,3),0)</f>
        <v>0</v>
      </c>
      <c r="O223" s="16">
        <f>IFERROR(VLOOKUP(Proponentes[[#This Row],[Cap Op en SMMLV]],Base!$A$15:$F$20,4),0)</f>
        <v>0</v>
      </c>
      <c r="P223" s="17">
        <f>IFERROR(VLOOKUP(Proponentes[[#This Row],[Cap Op en SMMLV]],Tabla2[],6),0)</f>
        <v>0</v>
      </c>
      <c r="Q223" s="18">
        <f>IFERROR(VLOOKUP(Proponentes[[#This Row],[Cap Op en SMMLV]],Base!$A$15:$F$20,5),0)</f>
        <v>0</v>
      </c>
      <c r="R223" s="18">
        <f>IFERROR(VLOOKUP(Proponentes[[#This Row],[Cap Op en SMMLV]],Tabla2[[DE]:[HASTA]],2),0)</f>
        <v>0</v>
      </c>
      <c r="S223" s="19">
        <f>IFERROR(Proponentes[[#This Row],[Activo Corriente]]/Proponentes[[#This Row],[Pasivo Corriente]],"INDETERMINADO")</f>
        <v>1.0563864141028221</v>
      </c>
      <c r="T223" s="20">
        <f>IFERROR(Proponentes[[#This Row],[Total Pasivo]]/Proponentes[[#This Row],[Total ACTIVO]],0)</f>
        <v>0.55098698565634552</v>
      </c>
      <c r="U223" s="21">
        <f>(Proponentes[[#This Row],[Activo Corriente]]-Proponentes[[#This Row],[Pasivo Corriente]])/Base!$B$3</f>
        <v>3422.9297107651591</v>
      </c>
      <c r="V223" s="22">
        <f>Proponentes[[#This Row],[Activo Corriente]]-Proponentes[[#This Row],[Pasivo Corriente]]</f>
        <v>2834582860.3600006</v>
      </c>
      <c r="W223" s="13">
        <f>IFERROR(VLOOKUP(Proponentes[[#This Row],[Propuesta]],Hoja2!$A$2:$G$329,7,FALSE),0)</f>
        <v>0</v>
      </c>
      <c r="X223" s="83">
        <f>IF(Proponentes[[#This Row],[Cap Op en Pesos]]=0,0,IF(Proponentes[[#This Row],[Cap Op en Pesos]]=0,1,Proponentes[[#This Row],[Cap Op en Pesos]]/Base!B$3))</f>
        <v>0</v>
      </c>
      <c r="Y22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2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2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23" s="23" t="str">
        <f>IF(AND(Proponentes[[#This Row],[Cumple
Liquidez]]="CUMPLE",Proponentes[[#This Row],[Cumple
Endeudamiento]]="CUMPLE",Proponentes[[#This Row],[Cumple
Capital de Trabajo]]="CUMPLE"),"CUMPLE","NO CUMPLE")</f>
        <v>NO CUMPLE</v>
      </c>
      <c r="AC223" s="24"/>
      <c r="AD223" s="10">
        <f>IF(Proponentes[[#This Row],[Liquidez
Oferente]]&lt;=1,1,IF(Proponentes[[#This Row],[Liquidez
Oferente]]&lt;=1.1,2,IF(Proponentes[[#This Row],[Liquidez
Oferente]]&lt;=1.2,3,IF(Proponentes[[#This Row],[Liquidez
Oferente]]&lt;=1.3,4,IF(Proponentes[[#This Row],[Liquidez
Oferente]]&lt;=1.4,5,6)))))</f>
        <v>2</v>
      </c>
      <c r="AE223" s="10">
        <f>IF(Proponentes[[#This Row],[Endeudamiento
Oferente]]&lt;=66%,6,IF(Proponentes[[#This Row],[Endeudamiento
Oferente]]&lt;=58,5,IF(Proponentes[[#This Row],[Endeudamiento
Oferente]]&lt;=70,4,IF(Proponentes[[#This Row],[Endeudamiento
Oferente]]&lt;=72,3,IF(Proponentes[[#This Row],[Endeudamiento
Oferente]]&lt;=74,2,1)))))</f>
        <v>6</v>
      </c>
      <c r="AF22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23" s="10">
        <f>IF(Proponentes[[#This Row],[Cap Op en SMMLV]]&lt;=500,1,IF(Proponentes[[#This Row],[Cap Op en SMMLV]]&lt;=1000,2,IF(Proponentes[[#This Row],[Cap Op en SMMLV]]&lt;=1500,3,IF(Proponentes[[#This Row],[Cap Op en SMMLV]]&lt;=2000,4,IF(Proponentes[[#This Row],[Cap Op en SMMLV]]&lt;=2500,5,6)))))</f>
        <v>1</v>
      </c>
      <c r="AH223" s="10">
        <f>MIN(Proponentes[[#This Row],[a]:[d]])</f>
        <v>1</v>
      </c>
      <c r="AI223" s="87">
        <f>IF(Proponentes[[#This Row],[e]]=Proponentes[[#This Row],[d]],Proponentes[[#This Row],[Cap Op en SMMLV]],VLOOKUP(Proponentes[[#This Row],[e]],Base!$D$1:$E$6,2,FALSE))</f>
        <v>0</v>
      </c>
      <c r="AJ223" s="101" t="str">
        <f>VLOOKUP(Proponentes[[#This Row],[Propuesta]],Hoja2!$A$2:$D$329,4,FALSE)</f>
        <v>NO CUMPLE</v>
      </c>
      <c r="AK223" s="101"/>
    </row>
    <row r="224" spans="1:37" ht="16" x14ac:dyDescent="0.2">
      <c r="A224" s="10">
        <v>223</v>
      </c>
      <c r="B224" s="11">
        <v>900103852</v>
      </c>
      <c r="C224" s="12" t="s">
        <v>318</v>
      </c>
      <c r="D224" s="13">
        <v>145800000</v>
      </c>
      <c r="E224" s="13">
        <v>75860000</v>
      </c>
      <c r="F224" s="25">
        <f>Proponentes[[#This Row],[Activo Corriente]]+Proponentes[[#This Row],[Activo NO Corriente]]</f>
        <v>221660000</v>
      </c>
      <c r="G224" s="13">
        <v>26250000</v>
      </c>
      <c r="H224" s="13">
        <v>0</v>
      </c>
      <c r="I224" s="25">
        <f>Proponentes[[#This Row],[Pasivo Corriente]]+Proponentes[[#This Row],[Pasivo NO Corriente]]</f>
        <v>26250000</v>
      </c>
      <c r="J224" s="14">
        <f>Proponentes[[#This Row],[Total ACTIVO]]-Proponentes[[#This Row],[Total Pasivo]]</f>
        <v>195410000</v>
      </c>
      <c r="K224" s="48">
        <f>VLOOKUP(Proponentes[[#This Row],[Propuesta]],Hoja2!$A$2:$G$239,7,FALSE)</f>
        <v>0</v>
      </c>
      <c r="L224" s="15" t="s">
        <v>59</v>
      </c>
      <c r="M224" s="15" t="s">
        <v>28</v>
      </c>
      <c r="N224" s="55">
        <f>IFERROR(VLOOKUP(Proponentes[[#This Row],[Cap Op en SMMLV]],Base!$A$15:$F$20,3),0)</f>
        <v>0</v>
      </c>
      <c r="O224" s="16">
        <f>IFERROR(VLOOKUP(Proponentes[[#This Row],[Cap Op en SMMLV]],Base!$A$15:$F$20,4),0)</f>
        <v>0</v>
      </c>
      <c r="P224" s="17">
        <f>IFERROR(VLOOKUP(Proponentes[[#This Row],[Cap Op en SMMLV]],Tabla2[],6),0)</f>
        <v>0</v>
      </c>
      <c r="Q224" s="18">
        <f>IFERROR(VLOOKUP(Proponentes[[#This Row],[Cap Op en SMMLV]],Base!$A$15:$F$20,5),0)</f>
        <v>0</v>
      </c>
      <c r="R224" s="18">
        <f>IFERROR(VLOOKUP(Proponentes[[#This Row],[Cap Op en SMMLV]],Tabla2[[DE]:[HASTA]],2),0)</f>
        <v>0</v>
      </c>
      <c r="S224" s="19">
        <f>IFERROR(Proponentes[[#This Row],[Activo Corriente]]/Proponentes[[#This Row],[Pasivo Corriente]],"INDETERMINADO")</f>
        <v>5.5542857142857143</v>
      </c>
      <c r="T224" s="20">
        <f>IFERROR(Proponentes[[#This Row],[Total Pasivo]]/Proponentes[[#This Row],[Total ACTIVO]],0)</f>
        <v>0.11842461427411351</v>
      </c>
      <c r="U224" s="21">
        <f>(Proponentes[[#This Row],[Activo Corriente]]-Proponentes[[#This Row],[Pasivo Corriente]])/Base!$B$3</f>
        <v>144.36383308618599</v>
      </c>
      <c r="V224" s="22">
        <f>Proponentes[[#This Row],[Activo Corriente]]-Proponentes[[#This Row],[Pasivo Corriente]]</f>
        <v>119550000</v>
      </c>
      <c r="W224" s="13">
        <f>IFERROR(VLOOKUP(Proponentes[[#This Row],[Propuesta]],Hoja2!$A$2:$G$329,7,FALSE),0)</f>
        <v>0</v>
      </c>
      <c r="X224" s="83">
        <f>IF(Proponentes[[#This Row],[Cap Op en Pesos]]=0,0,IF(Proponentes[[#This Row],[Cap Op en Pesos]]=0,1,Proponentes[[#This Row],[Cap Op en Pesos]]/Base!B$3))</f>
        <v>0</v>
      </c>
      <c r="Y22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2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2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24" s="23" t="str">
        <f>IF(AND(Proponentes[[#This Row],[Cumple
Liquidez]]="CUMPLE",Proponentes[[#This Row],[Cumple
Endeudamiento]]="CUMPLE",Proponentes[[#This Row],[Cumple
Capital de Trabajo]]="CUMPLE"),"CUMPLE","NO CUMPLE")</f>
        <v>NO CUMPLE</v>
      </c>
      <c r="AC224" s="24"/>
      <c r="AD224" s="10">
        <f>IF(Proponentes[[#This Row],[Liquidez
Oferente]]&lt;=1,1,IF(Proponentes[[#This Row],[Liquidez
Oferente]]&lt;=1.1,2,IF(Proponentes[[#This Row],[Liquidez
Oferente]]&lt;=1.2,3,IF(Proponentes[[#This Row],[Liquidez
Oferente]]&lt;=1.3,4,IF(Proponentes[[#This Row],[Liquidez
Oferente]]&lt;=1.4,5,6)))))</f>
        <v>6</v>
      </c>
      <c r="AE224" s="10">
        <f>IF(Proponentes[[#This Row],[Endeudamiento
Oferente]]&lt;=66%,6,IF(Proponentes[[#This Row],[Endeudamiento
Oferente]]&lt;=58,5,IF(Proponentes[[#This Row],[Endeudamiento
Oferente]]&lt;=70,4,IF(Proponentes[[#This Row],[Endeudamiento
Oferente]]&lt;=72,3,IF(Proponentes[[#This Row],[Endeudamiento
Oferente]]&lt;=74,2,1)))))</f>
        <v>6</v>
      </c>
      <c r="AF22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24" s="10">
        <f>IF(Proponentes[[#This Row],[Cap Op en SMMLV]]&lt;=500,1,IF(Proponentes[[#This Row],[Cap Op en SMMLV]]&lt;=1000,2,IF(Proponentes[[#This Row],[Cap Op en SMMLV]]&lt;=1500,3,IF(Proponentes[[#This Row],[Cap Op en SMMLV]]&lt;=2000,4,IF(Proponentes[[#This Row],[Cap Op en SMMLV]]&lt;=2500,5,6)))))</f>
        <v>1</v>
      </c>
      <c r="AH224" s="10">
        <f>MIN(Proponentes[[#This Row],[a]:[d]])</f>
        <v>1</v>
      </c>
      <c r="AI224" s="87">
        <f>IF(Proponentes[[#This Row],[e]]=Proponentes[[#This Row],[d]],Proponentes[[#This Row],[Cap Op en SMMLV]],VLOOKUP(Proponentes[[#This Row],[e]],Base!$D$1:$E$6,2,FALSE))</f>
        <v>0</v>
      </c>
      <c r="AJ224" s="101" t="str">
        <f>VLOOKUP(Proponentes[[#This Row],[Propuesta]],Hoja2!$A$2:$D$329,4,FALSE)</f>
        <v>NO CUMPLE</v>
      </c>
      <c r="AK224" s="101"/>
    </row>
    <row r="225" spans="1:37" ht="32" x14ac:dyDescent="0.2">
      <c r="A225" s="10">
        <v>224</v>
      </c>
      <c r="B225" s="11">
        <v>900043721</v>
      </c>
      <c r="C225" s="12" t="s">
        <v>477</v>
      </c>
      <c r="D225" s="13">
        <v>0</v>
      </c>
      <c r="E225" s="13">
        <v>0</v>
      </c>
      <c r="F225" s="25">
        <f>Proponentes[[#This Row],[Activo Corriente]]+Proponentes[[#This Row],[Activo NO Corriente]]</f>
        <v>0</v>
      </c>
      <c r="G225" s="13">
        <v>0</v>
      </c>
      <c r="H225" s="13">
        <v>0</v>
      </c>
      <c r="I225" s="25">
        <f>Proponentes[[#This Row],[Pasivo Corriente]]+Proponentes[[#This Row],[Pasivo NO Corriente]]</f>
        <v>0</v>
      </c>
      <c r="J225" s="14">
        <f>Proponentes[[#This Row],[Total ACTIVO]]-Proponentes[[#This Row],[Total Pasivo]]</f>
        <v>0</v>
      </c>
      <c r="K225" s="48">
        <f>VLOOKUP(Proponentes[[#This Row],[Propuesta]],Hoja2!$A$2:$G$239,7,FALSE)</f>
        <v>0</v>
      </c>
      <c r="L225" s="15"/>
      <c r="M225" s="15" t="s">
        <v>28</v>
      </c>
      <c r="N225" s="55">
        <f>IFERROR(VLOOKUP(Proponentes[[#This Row],[Cap Op en SMMLV]],Base!$A$15:$F$20,3),0)</f>
        <v>0</v>
      </c>
      <c r="O225" s="16">
        <f>IFERROR(VLOOKUP(Proponentes[[#This Row],[Cap Op en SMMLV]],Base!$A$15:$F$20,4),0)</f>
        <v>0</v>
      </c>
      <c r="P225" s="17">
        <f>IFERROR(VLOOKUP(Proponentes[[#This Row],[Cap Op en SMMLV]],Tabla2[],6),0)</f>
        <v>0</v>
      </c>
      <c r="Q225" s="18">
        <f>IFERROR(VLOOKUP(Proponentes[[#This Row],[Cap Op en SMMLV]],Base!$A$15:$F$20,5),0)</f>
        <v>0</v>
      </c>
      <c r="R225" s="18">
        <f>IFERROR(VLOOKUP(Proponentes[[#This Row],[Cap Op en SMMLV]],Tabla2[[DE]:[HASTA]],2),0)</f>
        <v>0</v>
      </c>
      <c r="S225" s="19" t="str">
        <f>IFERROR(Proponentes[[#This Row],[Activo Corriente]]/Proponentes[[#This Row],[Pasivo Corriente]],"INDETERMINADO")</f>
        <v>INDETERMINADO</v>
      </c>
      <c r="T225" s="20">
        <f>IFERROR(Proponentes[[#This Row],[Total Pasivo]]/Proponentes[[#This Row],[Total ACTIVO]],0)</f>
        <v>0</v>
      </c>
      <c r="U225" s="21">
        <f>(Proponentes[[#This Row],[Activo Corriente]]-Proponentes[[#This Row],[Pasivo Corriente]])/Base!$B$3</f>
        <v>0</v>
      </c>
      <c r="V225" s="22">
        <f>Proponentes[[#This Row],[Activo Corriente]]-Proponentes[[#This Row],[Pasivo Corriente]]</f>
        <v>0</v>
      </c>
      <c r="W225" s="13">
        <f>IFERROR(VLOOKUP(Proponentes[[#This Row],[Propuesta]],Hoja2!$A$2:$G$329,7,FALSE),0)</f>
        <v>0</v>
      </c>
      <c r="X225" s="83">
        <f>IF(Proponentes[[#This Row],[Cap Op en Pesos]]=0,0,IF(Proponentes[[#This Row],[Cap Op en Pesos]]=0,1,Proponentes[[#This Row],[Cap Op en Pesos]]/Base!B$3))</f>
        <v>0</v>
      </c>
      <c r="Y22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22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2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25" s="8" t="s">
        <v>771</v>
      </c>
      <c r="AC225" s="24" t="s">
        <v>787</v>
      </c>
      <c r="AD225" s="10">
        <f>IF(Proponentes[[#This Row],[Liquidez
Oferente]]&lt;=1,1,IF(Proponentes[[#This Row],[Liquidez
Oferente]]&lt;=1.1,2,IF(Proponentes[[#This Row],[Liquidez
Oferente]]&lt;=1.2,3,IF(Proponentes[[#This Row],[Liquidez
Oferente]]&lt;=1.3,4,IF(Proponentes[[#This Row],[Liquidez
Oferente]]&lt;=1.4,5,6)))))</f>
        <v>6</v>
      </c>
      <c r="AE225" s="10">
        <f>IF(Proponentes[[#This Row],[Endeudamiento
Oferente]]&lt;=66%,6,IF(Proponentes[[#This Row],[Endeudamiento
Oferente]]&lt;=58,5,IF(Proponentes[[#This Row],[Endeudamiento
Oferente]]&lt;=70,4,IF(Proponentes[[#This Row],[Endeudamiento
Oferente]]&lt;=72,3,IF(Proponentes[[#This Row],[Endeudamiento
Oferente]]&lt;=74,2,1)))))</f>
        <v>6</v>
      </c>
      <c r="AF22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25" s="10">
        <f>IF(Proponentes[[#This Row],[Cap Op en SMMLV]]&lt;=500,1,IF(Proponentes[[#This Row],[Cap Op en SMMLV]]&lt;=1000,2,IF(Proponentes[[#This Row],[Cap Op en SMMLV]]&lt;=1500,3,IF(Proponentes[[#This Row],[Cap Op en SMMLV]]&lt;=2000,4,IF(Proponentes[[#This Row],[Cap Op en SMMLV]]&lt;=2500,5,6)))))</f>
        <v>1</v>
      </c>
      <c r="AH225" s="10">
        <f>MIN(Proponentes[[#This Row],[a]:[d]])</f>
        <v>1</v>
      </c>
      <c r="AI225" s="87">
        <f>IF(Proponentes[[#This Row],[e]]=Proponentes[[#This Row],[d]],Proponentes[[#This Row],[Cap Op en SMMLV]],VLOOKUP(Proponentes[[#This Row],[e]],Base!$D$1:$E$6,2,FALSE))</f>
        <v>0</v>
      </c>
      <c r="AJ225" s="101" t="str">
        <f>VLOOKUP(Proponentes[[#This Row],[Propuesta]],Hoja2!$A$2:$D$329,4,FALSE)</f>
        <v>NO CUMPLE</v>
      </c>
      <c r="AK225" s="101"/>
    </row>
    <row r="226" spans="1:37" ht="16" x14ac:dyDescent="0.2">
      <c r="A226" s="10">
        <v>225</v>
      </c>
      <c r="B226" s="11">
        <v>900125247</v>
      </c>
      <c r="C226" s="12" t="s">
        <v>319</v>
      </c>
      <c r="D226" s="13">
        <v>346551495</v>
      </c>
      <c r="E226" s="13">
        <v>89369569</v>
      </c>
      <c r="F226" s="25">
        <f>Proponentes[[#This Row],[Activo Corriente]]+Proponentes[[#This Row],[Activo NO Corriente]]</f>
        <v>435921064</v>
      </c>
      <c r="G226" s="13">
        <v>4800000</v>
      </c>
      <c r="H226" s="13">
        <v>12650000</v>
      </c>
      <c r="I226" s="25">
        <f>Proponentes[[#This Row],[Pasivo Corriente]]+Proponentes[[#This Row],[Pasivo NO Corriente]]</f>
        <v>17450000</v>
      </c>
      <c r="J226" s="14">
        <f>Proponentes[[#This Row],[Total ACTIVO]]-Proponentes[[#This Row],[Total Pasivo]]</f>
        <v>418471064</v>
      </c>
      <c r="K226" s="48">
        <f>VLOOKUP(Proponentes[[#This Row],[Propuesta]],Hoja2!$A$2:$G$239,7,FALSE)</f>
        <v>0</v>
      </c>
      <c r="L226" s="15" t="s">
        <v>59</v>
      </c>
      <c r="M226" s="15" t="s">
        <v>28</v>
      </c>
      <c r="N226" s="55">
        <f>IFERROR(VLOOKUP(Proponentes[[#This Row],[Cap Op en SMMLV]],Base!$A$15:$F$20,3),0)</f>
        <v>0</v>
      </c>
      <c r="O226" s="16">
        <f>IFERROR(VLOOKUP(Proponentes[[#This Row],[Cap Op en SMMLV]],Base!$A$15:$F$20,4),0)</f>
        <v>0</v>
      </c>
      <c r="P226" s="17">
        <f>IFERROR(VLOOKUP(Proponentes[[#This Row],[Cap Op en SMMLV]],Tabla2[],6),0)</f>
        <v>0</v>
      </c>
      <c r="Q226" s="18">
        <f>IFERROR(VLOOKUP(Proponentes[[#This Row],[Cap Op en SMMLV]],Base!$A$15:$F$20,5),0)</f>
        <v>0</v>
      </c>
      <c r="R226" s="18">
        <f>IFERROR(VLOOKUP(Proponentes[[#This Row],[Cap Op en SMMLV]],Tabla2[[DE]:[HASTA]],2),0)</f>
        <v>0</v>
      </c>
      <c r="S226" s="19">
        <f>IFERROR(Proponentes[[#This Row],[Activo Corriente]]/Proponentes[[#This Row],[Pasivo Corriente]],"INDETERMINADO")</f>
        <v>72.198228125</v>
      </c>
      <c r="T226" s="20">
        <f>IFERROR(Proponentes[[#This Row],[Total Pasivo]]/Proponentes[[#This Row],[Total ACTIVO]],0)</f>
        <v>4.0030183079200782E-2</v>
      </c>
      <c r="U226" s="21">
        <f>(Proponentes[[#This Row],[Activo Corriente]]-Proponentes[[#This Row],[Pasivo Corriente]])/Base!$B$3</f>
        <v>412.6855356012926</v>
      </c>
      <c r="V226" s="22">
        <f>Proponentes[[#This Row],[Activo Corriente]]-Proponentes[[#This Row],[Pasivo Corriente]]</f>
        <v>341751495</v>
      </c>
      <c r="W226" s="13">
        <f>IFERROR(VLOOKUP(Proponentes[[#This Row],[Propuesta]],Hoja2!$A$2:$G$329,7,FALSE),0)</f>
        <v>0</v>
      </c>
      <c r="X226" s="83">
        <f>IF(Proponentes[[#This Row],[Cap Op en Pesos]]=0,0,IF(Proponentes[[#This Row],[Cap Op en Pesos]]=0,1,Proponentes[[#This Row],[Cap Op en Pesos]]/Base!B$3))</f>
        <v>0</v>
      </c>
      <c r="Y22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2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2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26" s="23" t="str">
        <f>IF(AND(Proponentes[[#This Row],[Cumple
Liquidez]]="CUMPLE",Proponentes[[#This Row],[Cumple
Endeudamiento]]="CUMPLE",Proponentes[[#This Row],[Cumple
Capital de Trabajo]]="CUMPLE"),"CUMPLE","NO CUMPLE")</f>
        <v>NO CUMPLE</v>
      </c>
      <c r="AC226" s="24"/>
      <c r="AD226" s="10">
        <f>IF(Proponentes[[#This Row],[Liquidez
Oferente]]&lt;=1,1,IF(Proponentes[[#This Row],[Liquidez
Oferente]]&lt;=1.1,2,IF(Proponentes[[#This Row],[Liquidez
Oferente]]&lt;=1.2,3,IF(Proponentes[[#This Row],[Liquidez
Oferente]]&lt;=1.3,4,IF(Proponentes[[#This Row],[Liquidez
Oferente]]&lt;=1.4,5,6)))))</f>
        <v>6</v>
      </c>
      <c r="AE226" s="10">
        <f>IF(Proponentes[[#This Row],[Endeudamiento
Oferente]]&lt;=66%,6,IF(Proponentes[[#This Row],[Endeudamiento
Oferente]]&lt;=58,5,IF(Proponentes[[#This Row],[Endeudamiento
Oferente]]&lt;=70,4,IF(Proponentes[[#This Row],[Endeudamiento
Oferente]]&lt;=72,3,IF(Proponentes[[#This Row],[Endeudamiento
Oferente]]&lt;=74,2,1)))))</f>
        <v>6</v>
      </c>
      <c r="AF22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26" s="10">
        <f>IF(Proponentes[[#This Row],[Cap Op en SMMLV]]&lt;=500,1,IF(Proponentes[[#This Row],[Cap Op en SMMLV]]&lt;=1000,2,IF(Proponentes[[#This Row],[Cap Op en SMMLV]]&lt;=1500,3,IF(Proponentes[[#This Row],[Cap Op en SMMLV]]&lt;=2000,4,IF(Proponentes[[#This Row],[Cap Op en SMMLV]]&lt;=2500,5,6)))))</f>
        <v>1</v>
      </c>
      <c r="AH226" s="10">
        <f>MIN(Proponentes[[#This Row],[a]:[d]])</f>
        <v>1</v>
      </c>
      <c r="AI226" s="87">
        <f>IF(Proponentes[[#This Row],[e]]=Proponentes[[#This Row],[d]],Proponentes[[#This Row],[Cap Op en SMMLV]],VLOOKUP(Proponentes[[#This Row],[e]],Base!$D$1:$E$6,2,FALSE))</f>
        <v>0</v>
      </c>
      <c r="AJ226" s="101" t="str">
        <f>VLOOKUP(Proponentes[[#This Row],[Propuesta]],Hoja2!$A$2:$D$329,4,FALSE)</f>
        <v>NO CUMPLE</v>
      </c>
      <c r="AK226" s="101"/>
    </row>
    <row r="227" spans="1:37" ht="32" x14ac:dyDescent="0.2">
      <c r="A227" s="10">
        <v>226</v>
      </c>
      <c r="B227" s="11">
        <v>900916233</v>
      </c>
      <c r="C227" s="12" t="s">
        <v>320</v>
      </c>
      <c r="D227" s="13">
        <v>608939495</v>
      </c>
      <c r="E227" s="13">
        <v>22640000</v>
      </c>
      <c r="F227" s="25">
        <f>Proponentes[[#This Row],[Activo Corriente]]+Proponentes[[#This Row],[Activo NO Corriente]]</f>
        <v>631579495</v>
      </c>
      <c r="G227" s="13">
        <v>381925613</v>
      </c>
      <c r="H227" s="13">
        <v>0</v>
      </c>
      <c r="I227" s="25">
        <f>Proponentes[[#This Row],[Pasivo Corriente]]+Proponentes[[#This Row],[Pasivo NO Corriente]]</f>
        <v>381925613</v>
      </c>
      <c r="J227" s="14">
        <f>Proponentes[[#This Row],[Total ACTIVO]]-Proponentes[[#This Row],[Total Pasivo]]</f>
        <v>249653882</v>
      </c>
      <c r="K227" s="48">
        <f>VLOOKUP(Proponentes[[#This Row],[Propuesta]],Hoja2!$A$2:$G$239,7,FALSE)</f>
        <v>21766172.510732066</v>
      </c>
      <c r="L227" s="15" t="s">
        <v>321</v>
      </c>
      <c r="M227" s="15" t="s">
        <v>28</v>
      </c>
      <c r="N227" s="55">
        <f>IFERROR(VLOOKUP(Proponentes[[#This Row],[Cap Op en SMMLV]],Base!$A$15:$F$20,3),0)</f>
        <v>1</v>
      </c>
      <c r="O227" s="16">
        <f>IFERROR(VLOOKUP(Proponentes[[#This Row],[Cap Op en SMMLV]],Base!$A$15:$F$20,4),0)</f>
        <v>0.76</v>
      </c>
      <c r="P227" s="17">
        <f>IFERROR(VLOOKUP(Proponentes[[#This Row],[Cap Op en SMMLV]],Tabla2[],6),0)</f>
        <v>12.5</v>
      </c>
      <c r="Q227" s="18">
        <f>IFERROR(VLOOKUP(Proponentes[[#This Row],[Cap Op en SMMLV]],Base!$A$15:$F$20,5),0)</f>
        <v>10351450</v>
      </c>
      <c r="R227" s="18">
        <f>IFERROR(VLOOKUP(Proponentes[[#This Row],[Cap Op en SMMLV]],Tabla2[[DE]:[HASTA]],2),0)</f>
        <v>500</v>
      </c>
      <c r="S227" s="19">
        <f>IFERROR(Proponentes[[#This Row],[Activo Corriente]]/Proponentes[[#This Row],[Pasivo Corriente]],"INDETERMINADO")</f>
        <v>1.5943929243624726</v>
      </c>
      <c r="T227" s="20">
        <f>IFERROR(Proponentes[[#This Row],[Total Pasivo]]/Proponentes[[#This Row],[Total ACTIVO]],0)</f>
        <v>0.60471502957834311</v>
      </c>
      <c r="U227" s="21">
        <f>(Proponentes[[#This Row],[Activo Corriente]]-Proponentes[[#This Row],[Pasivo Corriente]])/Base!$B$3</f>
        <v>274.13294997319218</v>
      </c>
      <c r="V227" s="22">
        <f>Proponentes[[#This Row],[Activo Corriente]]-Proponentes[[#This Row],[Pasivo Corriente]]</f>
        <v>227013882</v>
      </c>
      <c r="W227" s="13">
        <f>IFERROR(VLOOKUP(Proponentes[[#This Row],[Propuesta]],Hoja2!$A$2:$G$329,7,FALSE),0)</f>
        <v>21766172.510732066</v>
      </c>
      <c r="X227" s="83">
        <f>IF(Proponentes[[#This Row],[Cap Op en Pesos]]=0,0,IF(Proponentes[[#This Row],[Cap Op en Pesos]]=0,1,Proponentes[[#This Row],[Cap Op en Pesos]]/Base!B$3))</f>
        <v>26.283965665114629</v>
      </c>
      <c r="Y22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2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2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27" s="23" t="str">
        <f>IF(AND(Proponentes[[#This Row],[Cumple
Liquidez]]="CUMPLE",Proponentes[[#This Row],[Cumple
Endeudamiento]]="CUMPLE",Proponentes[[#This Row],[Cumple
Capital de Trabajo]]="CUMPLE"),"CUMPLE","NO CUMPLE")</f>
        <v>CUMPLE</v>
      </c>
      <c r="AC227" s="24"/>
      <c r="AD227" s="10">
        <f>IF(Proponentes[[#This Row],[Liquidez
Oferente]]&lt;=1,1,IF(Proponentes[[#This Row],[Liquidez
Oferente]]&lt;=1.1,2,IF(Proponentes[[#This Row],[Liquidez
Oferente]]&lt;=1.2,3,IF(Proponentes[[#This Row],[Liquidez
Oferente]]&lt;=1.3,4,IF(Proponentes[[#This Row],[Liquidez
Oferente]]&lt;=1.4,5,6)))))</f>
        <v>6</v>
      </c>
      <c r="AE227" s="10">
        <f>IF(Proponentes[[#This Row],[Endeudamiento
Oferente]]&lt;=66%,6,IF(Proponentes[[#This Row],[Endeudamiento
Oferente]]&lt;=58,5,IF(Proponentes[[#This Row],[Endeudamiento
Oferente]]&lt;=70,4,IF(Proponentes[[#This Row],[Endeudamiento
Oferente]]&lt;=72,3,IF(Proponentes[[#This Row],[Endeudamiento
Oferente]]&lt;=74,2,1)))))</f>
        <v>6</v>
      </c>
      <c r="AF22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27" s="10">
        <f>IF(Proponentes[[#This Row],[Cap Op en SMMLV]]&lt;=500,1,IF(Proponentes[[#This Row],[Cap Op en SMMLV]]&lt;=1000,2,IF(Proponentes[[#This Row],[Cap Op en SMMLV]]&lt;=1500,3,IF(Proponentes[[#This Row],[Cap Op en SMMLV]]&lt;=2000,4,IF(Proponentes[[#This Row],[Cap Op en SMMLV]]&lt;=2500,5,6)))))</f>
        <v>1</v>
      </c>
      <c r="AH227" s="10">
        <f>MIN(Proponentes[[#This Row],[a]:[d]])</f>
        <v>1</v>
      </c>
      <c r="AI227" s="87">
        <f>IF(Proponentes[[#This Row],[e]]=Proponentes[[#This Row],[d]],Proponentes[[#This Row],[Cap Op en SMMLV]],VLOOKUP(Proponentes[[#This Row],[e]],Base!$D$1:$E$6,2,FALSE))</f>
        <v>26.283965665114629</v>
      </c>
      <c r="AJ227" s="101" t="str">
        <f>VLOOKUP(Proponentes[[#This Row],[Propuesta]],Hoja2!$A$2:$D$329,4,FALSE)</f>
        <v>NO CUMPLE</v>
      </c>
      <c r="AK227" s="101"/>
    </row>
    <row r="228" spans="1:37" ht="16" x14ac:dyDescent="0.2">
      <c r="A228" s="10">
        <v>227</v>
      </c>
      <c r="B228" s="11">
        <v>804011414</v>
      </c>
      <c r="C228" s="12" t="s">
        <v>322</v>
      </c>
      <c r="D228" s="13">
        <v>394168192</v>
      </c>
      <c r="E228" s="13">
        <v>32292376</v>
      </c>
      <c r="F228" s="25">
        <f>Proponentes[[#This Row],[Activo Corriente]]+Proponentes[[#This Row],[Activo NO Corriente]]</f>
        <v>426460568</v>
      </c>
      <c r="G228" s="13">
        <v>65426679</v>
      </c>
      <c r="H228" s="13">
        <v>0</v>
      </c>
      <c r="I228" s="25">
        <f>Proponentes[[#This Row],[Pasivo Corriente]]+Proponentes[[#This Row],[Pasivo NO Corriente]]</f>
        <v>65426679</v>
      </c>
      <c r="J228" s="14">
        <f>Proponentes[[#This Row],[Total ACTIVO]]-Proponentes[[#This Row],[Total Pasivo]]</f>
        <v>361033889</v>
      </c>
      <c r="K228" s="48">
        <f>VLOOKUP(Proponentes[[#This Row],[Propuesta]],Hoja2!$A$2:$G$239,7,FALSE)</f>
        <v>786093787.72066891</v>
      </c>
      <c r="L228" s="15" t="s">
        <v>86</v>
      </c>
      <c r="M228" s="15" t="s">
        <v>28</v>
      </c>
      <c r="N228" s="55">
        <f>IFERROR(VLOOKUP(Proponentes[[#This Row],[Cap Op en SMMLV]],Base!$A$15:$F$20,3),0)</f>
        <v>1.1000000000000001</v>
      </c>
      <c r="O228" s="16">
        <f>IFERROR(VLOOKUP(Proponentes[[#This Row],[Cap Op en SMMLV]],Base!$A$15:$F$20,4),0)</f>
        <v>0.74</v>
      </c>
      <c r="P228" s="17">
        <f>IFERROR(VLOOKUP(Proponentes[[#This Row],[Cap Op en SMMLV]],Tabla2[],6),0)</f>
        <v>25</v>
      </c>
      <c r="Q228" s="18">
        <f>IFERROR(VLOOKUP(Proponentes[[#This Row],[Cap Op en SMMLV]],Base!$A$15:$F$20,5),0)</f>
        <v>20702900</v>
      </c>
      <c r="R228" s="18">
        <f>IFERROR(VLOOKUP(Proponentes[[#This Row],[Cap Op en SMMLV]],Tabla2[[DE]:[HASTA]],2),0)</f>
        <v>1000</v>
      </c>
      <c r="S228" s="19">
        <f>IFERROR(Proponentes[[#This Row],[Activo Corriente]]/Proponentes[[#This Row],[Pasivo Corriente]],"INDETERMINADO")</f>
        <v>6.0245789336181961</v>
      </c>
      <c r="T228" s="20">
        <f>IFERROR(Proponentes[[#This Row],[Total Pasivo]]/Proponentes[[#This Row],[Total ACTIVO]],0)</f>
        <v>0.15341788645744148</v>
      </c>
      <c r="U228" s="21">
        <f>(Proponentes[[#This Row],[Activo Corriente]]-Proponentes[[#This Row],[Pasivo Corriente]])/Base!$B$3</f>
        <v>396.97519791913209</v>
      </c>
      <c r="V228" s="22">
        <f>Proponentes[[#This Row],[Activo Corriente]]-Proponentes[[#This Row],[Pasivo Corriente]]</f>
        <v>328741513</v>
      </c>
      <c r="W228" s="13">
        <f>IFERROR(VLOOKUP(Proponentes[[#This Row],[Propuesta]],Hoja2!$A$2:$G$329,7,FALSE),0)</f>
        <v>786093787.72066891</v>
      </c>
      <c r="X228" s="83">
        <f>IF(Proponentes[[#This Row],[Cap Op en Pesos]]=0,0,IF(Proponentes[[#This Row],[Cap Op en Pesos]]=0,1,Proponentes[[#This Row],[Cap Op en Pesos]]/Base!B$3))</f>
        <v>949.25564500706287</v>
      </c>
      <c r="Y22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2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2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28" s="23" t="str">
        <f>IF(AND(Proponentes[[#This Row],[Cumple
Liquidez]]="CUMPLE",Proponentes[[#This Row],[Cumple
Endeudamiento]]="CUMPLE",Proponentes[[#This Row],[Cumple
Capital de Trabajo]]="CUMPLE"),"CUMPLE","NO CUMPLE")</f>
        <v>CUMPLE</v>
      </c>
      <c r="AC228" s="24"/>
      <c r="AD228" s="10">
        <f>IF(Proponentes[[#This Row],[Liquidez
Oferente]]&lt;=1,1,IF(Proponentes[[#This Row],[Liquidez
Oferente]]&lt;=1.1,2,IF(Proponentes[[#This Row],[Liquidez
Oferente]]&lt;=1.2,3,IF(Proponentes[[#This Row],[Liquidez
Oferente]]&lt;=1.3,4,IF(Proponentes[[#This Row],[Liquidez
Oferente]]&lt;=1.4,5,6)))))</f>
        <v>6</v>
      </c>
      <c r="AE228" s="10">
        <f>IF(Proponentes[[#This Row],[Endeudamiento
Oferente]]&lt;=66%,6,IF(Proponentes[[#This Row],[Endeudamiento
Oferente]]&lt;=58,5,IF(Proponentes[[#This Row],[Endeudamiento
Oferente]]&lt;=70,4,IF(Proponentes[[#This Row],[Endeudamiento
Oferente]]&lt;=72,3,IF(Proponentes[[#This Row],[Endeudamiento
Oferente]]&lt;=74,2,1)))))</f>
        <v>6</v>
      </c>
      <c r="AF22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28" s="10">
        <f>IF(Proponentes[[#This Row],[Cap Op en SMMLV]]&lt;=500,1,IF(Proponentes[[#This Row],[Cap Op en SMMLV]]&lt;=1000,2,IF(Proponentes[[#This Row],[Cap Op en SMMLV]]&lt;=1500,3,IF(Proponentes[[#This Row],[Cap Op en SMMLV]]&lt;=2000,4,IF(Proponentes[[#This Row],[Cap Op en SMMLV]]&lt;=2500,5,6)))))</f>
        <v>2</v>
      </c>
      <c r="AH228" s="10">
        <f>MIN(Proponentes[[#This Row],[a]:[d]])</f>
        <v>2</v>
      </c>
      <c r="AI228" s="87">
        <f>IF(Proponentes[[#This Row],[e]]=Proponentes[[#This Row],[d]],Proponentes[[#This Row],[Cap Op en SMMLV]],VLOOKUP(Proponentes[[#This Row],[e]],Base!$D$1:$E$6,2,FALSE))</f>
        <v>949.25564500706287</v>
      </c>
      <c r="AJ228" s="101" t="str">
        <f>VLOOKUP(Proponentes[[#This Row],[Propuesta]],Hoja2!$A$2:$D$329,4,FALSE)</f>
        <v>NO CUMPLE</v>
      </c>
      <c r="AK228" s="101"/>
    </row>
    <row r="229" spans="1:37" ht="16" x14ac:dyDescent="0.2">
      <c r="A229" s="10">
        <v>228</v>
      </c>
      <c r="B229" s="11">
        <v>900252699</v>
      </c>
      <c r="C229" s="12" t="s">
        <v>323</v>
      </c>
      <c r="D229" s="13">
        <v>308964750</v>
      </c>
      <c r="E229" s="13">
        <v>55536605</v>
      </c>
      <c r="F229" s="25">
        <f>Proponentes[[#This Row],[Activo Corriente]]+Proponentes[[#This Row],[Activo NO Corriente]]</f>
        <v>364501355</v>
      </c>
      <c r="G229" s="13">
        <v>232830727</v>
      </c>
      <c r="H229" s="13">
        <v>0</v>
      </c>
      <c r="I229" s="25">
        <f>Proponentes[[#This Row],[Pasivo Corriente]]+Proponentes[[#This Row],[Pasivo NO Corriente]]</f>
        <v>232830727</v>
      </c>
      <c r="J229" s="14">
        <f>Proponentes[[#This Row],[Total ACTIVO]]-Proponentes[[#This Row],[Total Pasivo]]</f>
        <v>131670628</v>
      </c>
      <c r="K229" s="48">
        <f>VLOOKUP(Proponentes[[#This Row],[Propuesta]],Hoja2!$A$2:$G$239,7,FALSE)</f>
        <v>32129898.347171571</v>
      </c>
      <c r="L229" s="15" t="s">
        <v>86</v>
      </c>
      <c r="M229" s="15" t="s">
        <v>28</v>
      </c>
      <c r="N229" s="55">
        <f>IFERROR(VLOOKUP(Proponentes[[#This Row],[Cap Op en SMMLV]],Base!$A$15:$F$20,3),0)</f>
        <v>1</v>
      </c>
      <c r="O229" s="16">
        <f>IFERROR(VLOOKUP(Proponentes[[#This Row],[Cap Op en SMMLV]],Base!$A$15:$F$20,4),0)</f>
        <v>0.76</v>
      </c>
      <c r="P229" s="17">
        <f>IFERROR(VLOOKUP(Proponentes[[#This Row],[Cap Op en SMMLV]],Tabla2[],6),0)</f>
        <v>12.5</v>
      </c>
      <c r="Q229" s="18">
        <f>IFERROR(VLOOKUP(Proponentes[[#This Row],[Cap Op en SMMLV]],Base!$A$15:$F$20,5),0)</f>
        <v>10351450</v>
      </c>
      <c r="R229" s="18">
        <f>IFERROR(VLOOKUP(Proponentes[[#This Row],[Cap Op en SMMLV]],Tabla2[[DE]:[HASTA]],2),0)</f>
        <v>500</v>
      </c>
      <c r="S229" s="19">
        <f>IFERROR(Proponentes[[#This Row],[Activo Corriente]]/Proponentes[[#This Row],[Pasivo Corriente]],"INDETERMINADO")</f>
        <v>1.326993021844578</v>
      </c>
      <c r="T229" s="20">
        <f>IFERROR(Proponentes[[#This Row],[Total Pasivo]]/Proponentes[[#This Row],[Total ACTIVO]],0)</f>
        <v>0.63876505205309864</v>
      </c>
      <c r="U229" s="21">
        <f>(Proponentes[[#This Row],[Activo Corriente]]-Proponentes[[#This Row],[Pasivo Corriente]])/Base!$B$3</f>
        <v>91.936423158108283</v>
      </c>
      <c r="V229" s="22">
        <f>Proponentes[[#This Row],[Activo Corriente]]-Proponentes[[#This Row],[Pasivo Corriente]]</f>
        <v>76134023</v>
      </c>
      <c r="W229" s="13">
        <f>IFERROR(VLOOKUP(Proponentes[[#This Row],[Propuesta]],Hoja2!$A$2:$G$329,7,FALSE),0)</f>
        <v>32129898.347171571</v>
      </c>
      <c r="X229" s="83">
        <f>IF(Proponentes[[#This Row],[Cap Op en Pesos]]=0,0,IF(Proponentes[[#This Row],[Cap Op en Pesos]]=0,1,Proponentes[[#This Row],[Cap Op en Pesos]]/Base!B$3))</f>
        <v>38.798789477768295</v>
      </c>
      <c r="Y22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2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2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29" s="23" t="str">
        <f>IF(AND(Proponentes[[#This Row],[Cumple
Liquidez]]="CUMPLE",Proponentes[[#This Row],[Cumple
Endeudamiento]]="CUMPLE",Proponentes[[#This Row],[Cumple
Capital de Trabajo]]="CUMPLE"),"CUMPLE","NO CUMPLE")</f>
        <v>CUMPLE</v>
      </c>
      <c r="AC229" s="24"/>
      <c r="AD229" s="10">
        <f>IF(Proponentes[[#This Row],[Liquidez
Oferente]]&lt;=1,1,IF(Proponentes[[#This Row],[Liquidez
Oferente]]&lt;=1.1,2,IF(Proponentes[[#This Row],[Liquidez
Oferente]]&lt;=1.2,3,IF(Proponentes[[#This Row],[Liquidez
Oferente]]&lt;=1.3,4,IF(Proponentes[[#This Row],[Liquidez
Oferente]]&lt;=1.4,5,6)))))</f>
        <v>5</v>
      </c>
      <c r="AE229" s="10">
        <f>IF(Proponentes[[#This Row],[Endeudamiento
Oferente]]&lt;=66%,6,IF(Proponentes[[#This Row],[Endeudamiento
Oferente]]&lt;=58,5,IF(Proponentes[[#This Row],[Endeudamiento
Oferente]]&lt;=70,4,IF(Proponentes[[#This Row],[Endeudamiento
Oferente]]&lt;=72,3,IF(Proponentes[[#This Row],[Endeudamiento
Oferente]]&lt;=74,2,1)))))</f>
        <v>6</v>
      </c>
      <c r="AF22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29" s="10">
        <f>IF(Proponentes[[#This Row],[Cap Op en SMMLV]]&lt;=500,1,IF(Proponentes[[#This Row],[Cap Op en SMMLV]]&lt;=1000,2,IF(Proponentes[[#This Row],[Cap Op en SMMLV]]&lt;=1500,3,IF(Proponentes[[#This Row],[Cap Op en SMMLV]]&lt;=2000,4,IF(Proponentes[[#This Row],[Cap Op en SMMLV]]&lt;=2500,5,6)))))</f>
        <v>1</v>
      </c>
      <c r="AH229" s="10">
        <f>MIN(Proponentes[[#This Row],[a]:[d]])</f>
        <v>1</v>
      </c>
      <c r="AI229" s="87">
        <f>IF(Proponentes[[#This Row],[e]]=Proponentes[[#This Row],[d]],Proponentes[[#This Row],[Cap Op en SMMLV]],VLOOKUP(Proponentes[[#This Row],[e]],Base!$D$1:$E$6,2,FALSE))</f>
        <v>38.798789477768295</v>
      </c>
      <c r="AJ229" s="101" t="str">
        <f>VLOOKUP(Proponentes[[#This Row],[Propuesta]],Hoja2!$A$2:$D$329,4,FALSE)</f>
        <v>NO CUMPLE</v>
      </c>
      <c r="AK229" s="101"/>
    </row>
    <row r="230" spans="1:37" ht="16" x14ac:dyDescent="0.2">
      <c r="A230" s="10">
        <v>229</v>
      </c>
      <c r="B230" s="11">
        <v>800193248</v>
      </c>
      <c r="C230" s="12" t="s">
        <v>324</v>
      </c>
      <c r="D230" s="13">
        <v>4815449335</v>
      </c>
      <c r="E230" s="13">
        <v>1265626019</v>
      </c>
      <c r="F230" s="25">
        <f>Proponentes[[#This Row],[Activo Corriente]]+Proponentes[[#This Row],[Activo NO Corriente]]</f>
        <v>6081075354</v>
      </c>
      <c r="G230" s="13">
        <v>1283035200</v>
      </c>
      <c r="H230" s="13">
        <v>78235000</v>
      </c>
      <c r="I230" s="25">
        <f>Proponentes[[#This Row],[Pasivo Corriente]]+Proponentes[[#This Row],[Pasivo NO Corriente]]</f>
        <v>1361270200</v>
      </c>
      <c r="J230" s="14">
        <f>Proponentes[[#This Row],[Total ACTIVO]]-Proponentes[[#This Row],[Total Pasivo]]</f>
        <v>4719805154</v>
      </c>
      <c r="K230" s="48">
        <f>VLOOKUP(Proponentes[[#This Row],[Propuesta]],Hoja2!$A$2:$G$239,7,FALSE)</f>
        <v>406494242.86063951</v>
      </c>
      <c r="L230" s="15" t="s">
        <v>86</v>
      </c>
      <c r="M230" s="15" t="s">
        <v>28</v>
      </c>
      <c r="N230" s="55">
        <f>IFERROR(VLOOKUP(Proponentes[[#This Row],[Cap Op en SMMLV]],Base!$A$15:$F$20,3),0)</f>
        <v>1</v>
      </c>
      <c r="O230" s="16">
        <f>IFERROR(VLOOKUP(Proponentes[[#This Row],[Cap Op en SMMLV]],Base!$A$15:$F$20,4),0)</f>
        <v>0.76</v>
      </c>
      <c r="P230" s="17">
        <f>IFERROR(VLOOKUP(Proponentes[[#This Row],[Cap Op en SMMLV]],Tabla2[],6),0)</f>
        <v>12.5</v>
      </c>
      <c r="Q230" s="18">
        <f>IFERROR(VLOOKUP(Proponentes[[#This Row],[Cap Op en SMMLV]],Base!$A$15:$F$20,5),0)</f>
        <v>10351450</v>
      </c>
      <c r="R230" s="18">
        <f>IFERROR(VLOOKUP(Proponentes[[#This Row],[Cap Op en SMMLV]],Tabla2[[DE]:[HASTA]],2),0)</f>
        <v>500</v>
      </c>
      <c r="S230" s="19">
        <f>IFERROR(Proponentes[[#This Row],[Activo Corriente]]/Proponentes[[#This Row],[Pasivo Corriente]],"INDETERMINADO")</f>
        <v>3.7531700883966397</v>
      </c>
      <c r="T230" s="20">
        <f>IFERROR(Proponentes[[#This Row],[Total Pasivo]]/Proponentes[[#This Row],[Total ACTIVO]],0)</f>
        <v>0.22385353260005006</v>
      </c>
      <c r="U230" s="21">
        <f>(Proponentes[[#This Row],[Activo Corriente]]-Proponentes[[#This Row],[Pasivo Corriente]])/Base!$B$3</f>
        <v>4265.6030495727655</v>
      </c>
      <c r="V230" s="22">
        <f>Proponentes[[#This Row],[Activo Corriente]]-Proponentes[[#This Row],[Pasivo Corriente]]</f>
        <v>3532414135</v>
      </c>
      <c r="W230" s="13">
        <f>IFERROR(VLOOKUP(Proponentes[[#This Row],[Propuesta]],Hoja2!$A$2:$G$329,7,FALSE),0)</f>
        <v>406494242.86063951</v>
      </c>
      <c r="X230" s="83">
        <f>IF(Proponentes[[#This Row],[Cap Op en Pesos]]=0,0,IF(Proponentes[[#This Row],[Cap Op en Pesos]]=0,1,Proponentes[[#This Row],[Cap Op en Pesos]]/Base!B$3))</f>
        <v>490.86630720894118</v>
      </c>
      <c r="Y23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3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3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30" s="23" t="str">
        <f>IF(AND(Proponentes[[#This Row],[Cumple
Liquidez]]="CUMPLE",Proponentes[[#This Row],[Cumple
Endeudamiento]]="CUMPLE",Proponentes[[#This Row],[Cumple
Capital de Trabajo]]="CUMPLE"),"CUMPLE","NO CUMPLE")</f>
        <v>CUMPLE</v>
      </c>
      <c r="AC230" s="24"/>
      <c r="AD230" s="10">
        <f>IF(Proponentes[[#This Row],[Liquidez
Oferente]]&lt;=1,1,IF(Proponentes[[#This Row],[Liquidez
Oferente]]&lt;=1.1,2,IF(Proponentes[[#This Row],[Liquidez
Oferente]]&lt;=1.2,3,IF(Proponentes[[#This Row],[Liquidez
Oferente]]&lt;=1.3,4,IF(Proponentes[[#This Row],[Liquidez
Oferente]]&lt;=1.4,5,6)))))</f>
        <v>6</v>
      </c>
      <c r="AE230" s="10">
        <f>IF(Proponentes[[#This Row],[Endeudamiento
Oferente]]&lt;=66%,6,IF(Proponentes[[#This Row],[Endeudamiento
Oferente]]&lt;=58,5,IF(Proponentes[[#This Row],[Endeudamiento
Oferente]]&lt;=70,4,IF(Proponentes[[#This Row],[Endeudamiento
Oferente]]&lt;=72,3,IF(Proponentes[[#This Row],[Endeudamiento
Oferente]]&lt;=74,2,1)))))</f>
        <v>6</v>
      </c>
      <c r="AF23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30" s="10">
        <f>IF(Proponentes[[#This Row],[Cap Op en SMMLV]]&lt;=500,1,IF(Proponentes[[#This Row],[Cap Op en SMMLV]]&lt;=1000,2,IF(Proponentes[[#This Row],[Cap Op en SMMLV]]&lt;=1500,3,IF(Proponentes[[#This Row],[Cap Op en SMMLV]]&lt;=2000,4,IF(Proponentes[[#This Row],[Cap Op en SMMLV]]&lt;=2500,5,6)))))</f>
        <v>1</v>
      </c>
      <c r="AH230" s="10">
        <f>MIN(Proponentes[[#This Row],[a]:[d]])</f>
        <v>1</v>
      </c>
      <c r="AI230" s="87">
        <f>IF(Proponentes[[#This Row],[e]]=Proponentes[[#This Row],[d]],Proponentes[[#This Row],[Cap Op en SMMLV]],VLOOKUP(Proponentes[[#This Row],[e]],Base!$D$1:$E$6,2,FALSE))</f>
        <v>490.86630720894118</v>
      </c>
      <c r="AJ230" s="101" t="str">
        <f>VLOOKUP(Proponentes[[#This Row],[Propuesta]],Hoja2!$A$2:$D$329,4,FALSE)</f>
        <v>NO CUMPLE</v>
      </c>
      <c r="AK230" s="101"/>
    </row>
    <row r="231" spans="1:37" ht="16" x14ac:dyDescent="0.2">
      <c r="A231" s="10">
        <v>230</v>
      </c>
      <c r="B231" s="11">
        <v>900462645</v>
      </c>
      <c r="C231" s="12" t="s">
        <v>325</v>
      </c>
      <c r="D231" s="13">
        <v>131413996</v>
      </c>
      <c r="E231" s="13">
        <v>22205840</v>
      </c>
      <c r="F231" s="25">
        <f>Proponentes[[#This Row],[Activo Corriente]]+Proponentes[[#This Row],[Activo NO Corriente]]</f>
        <v>153619836</v>
      </c>
      <c r="G231" s="13">
        <v>20895447</v>
      </c>
      <c r="H231" s="13">
        <v>0</v>
      </c>
      <c r="I231" s="25">
        <f>Proponentes[[#This Row],[Pasivo Corriente]]+Proponentes[[#This Row],[Pasivo NO Corriente]]</f>
        <v>20895447</v>
      </c>
      <c r="J231" s="14">
        <f>Proponentes[[#This Row],[Total ACTIVO]]-Proponentes[[#This Row],[Total Pasivo]]</f>
        <v>132724389</v>
      </c>
      <c r="K231" s="48">
        <f>VLOOKUP(Proponentes[[#This Row],[Propuesta]],Hoja2!$A$2:$G$239,7,FALSE)</f>
        <v>133124920.19640344</v>
      </c>
      <c r="L231" s="15" t="s">
        <v>86</v>
      </c>
      <c r="M231" s="15" t="s">
        <v>28</v>
      </c>
      <c r="N231" s="55">
        <f>IFERROR(VLOOKUP(Proponentes[[#This Row],[Cap Op en SMMLV]],Base!$A$15:$F$20,3),0)</f>
        <v>1</v>
      </c>
      <c r="O231" s="16">
        <f>IFERROR(VLOOKUP(Proponentes[[#This Row],[Cap Op en SMMLV]],Base!$A$15:$F$20,4),0)</f>
        <v>0.76</v>
      </c>
      <c r="P231" s="17">
        <f>IFERROR(VLOOKUP(Proponentes[[#This Row],[Cap Op en SMMLV]],Tabla2[],6),0)</f>
        <v>12.5</v>
      </c>
      <c r="Q231" s="18">
        <f>IFERROR(VLOOKUP(Proponentes[[#This Row],[Cap Op en SMMLV]],Base!$A$15:$F$20,5),0)</f>
        <v>10351450</v>
      </c>
      <c r="R231" s="18">
        <f>IFERROR(VLOOKUP(Proponentes[[#This Row],[Cap Op en SMMLV]],Tabla2[[DE]:[HASTA]],2),0)</f>
        <v>500</v>
      </c>
      <c r="S231" s="19">
        <f>IFERROR(Proponentes[[#This Row],[Activo Corriente]]/Proponentes[[#This Row],[Pasivo Corriente]],"INDETERMINADO")</f>
        <v>6.2891210702503759</v>
      </c>
      <c r="T231" s="20">
        <f>IFERROR(Proponentes[[#This Row],[Total Pasivo]]/Proponentes[[#This Row],[Total ACTIVO]],0)</f>
        <v>0.13602050063378535</v>
      </c>
      <c r="U231" s="21">
        <f>(Proponentes[[#This Row],[Activo Corriente]]-Proponentes[[#This Row],[Pasivo Corriente]])/Base!$B$3</f>
        <v>133.4578114660265</v>
      </c>
      <c r="V231" s="22">
        <f>Proponentes[[#This Row],[Activo Corriente]]-Proponentes[[#This Row],[Pasivo Corriente]]</f>
        <v>110518549</v>
      </c>
      <c r="W231" s="13">
        <f>IFERROR(VLOOKUP(Proponentes[[#This Row],[Propuesta]],Hoja2!$A$2:$G$329,7,FALSE),0)</f>
        <v>133124920.19640344</v>
      </c>
      <c r="X231" s="83">
        <f>IF(Proponentes[[#This Row],[Cap Op en Pesos]]=0,0,IF(Proponentes[[#This Row],[Cap Op en Pesos]]=0,1,Proponentes[[#This Row],[Cap Op en Pesos]]/Base!B$3))</f>
        <v>160.75636770259655</v>
      </c>
      <c r="Y23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3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3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31" s="23" t="str">
        <f>IF(AND(Proponentes[[#This Row],[Cumple
Liquidez]]="CUMPLE",Proponentes[[#This Row],[Cumple
Endeudamiento]]="CUMPLE",Proponentes[[#This Row],[Cumple
Capital de Trabajo]]="CUMPLE"),"CUMPLE","NO CUMPLE")</f>
        <v>CUMPLE</v>
      </c>
      <c r="AC231" s="24"/>
      <c r="AD231" s="10">
        <f>IF(Proponentes[[#This Row],[Liquidez
Oferente]]&lt;=1,1,IF(Proponentes[[#This Row],[Liquidez
Oferente]]&lt;=1.1,2,IF(Proponentes[[#This Row],[Liquidez
Oferente]]&lt;=1.2,3,IF(Proponentes[[#This Row],[Liquidez
Oferente]]&lt;=1.3,4,IF(Proponentes[[#This Row],[Liquidez
Oferente]]&lt;=1.4,5,6)))))</f>
        <v>6</v>
      </c>
      <c r="AE231" s="10">
        <f>IF(Proponentes[[#This Row],[Endeudamiento
Oferente]]&lt;=66%,6,IF(Proponentes[[#This Row],[Endeudamiento
Oferente]]&lt;=58,5,IF(Proponentes[[#This Row],[Endeudamiento
Oferente]]&lt;=70,4,IF(Proponentes[[#This Row],[Endeudamiento
Oferente]]&lt;=72,3,IF(Proponentes[[#This Row],[Endeudamiento
Oferente]]&lt;=74,2,1)))))</f>
        <v>6</v>
      </c>
      <c r="AF23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31" s="10">
        <f>IF(Proponentes[[#This Row],[Cap Op en SMMLV]]&lt;=500,1,IF(Proponentes[[#This Row],[Cap Op en SMMLV]]&lt;=1000,2,IF(Proponentes[[#This Row],[Cap Op en SMMLV]]&lt;=1500,3,IF(Proponentes[[#This Row],[Cap Op en SMMLV]]&lt;=2000,4,IF(Proponentes[[#This Row],[Cap Op en SMMLV]]&lt;=2500,5,6)))))</f>
        <v>1</v>
      </c>
      <c r="AH231" s="10">
        <f>MIN(Proponentes[[#This Row],[a]:[d]])</f>
        <v>1</v>
      </c>
      <c r="AI231" s="87">
        <f>IF(Proponentes[[#This Row],[e]]=Proponentes[[#This Row],[d]],Proponentes[[#This Row],[Cap Op en SMMLV]],VLOOKUP(Proponentes[[#This Row],[e]],Base!$D$1:$E$6,2,FALSE))</f>
        <v>160.75636770259655</v>
      </c>
      <c r="AJ231" s="101" t="str">
        <f>VLOOKUP(Proponentes[[#This Row],[Propuesta]],Hoja2!$A$2:$D$329,4,FALSE)</f>
        <v>NO CUMPLE</v>
      </c>
      <c r="AK231" s="101"/>
    </row>
    <row r="232" spans="1:37" ht="16" x14ac:dyDescent="0.2">
      <c r="A232" s="10">
        <v>231</v>
      </c>
      <c r="B232" s="11">
        <v>830504778</v>
      </c>
      <c r="C232" s="12" t="s">
        <v>326</v>
      </c>
      <c r="D232" s="13">
        <v>37927040</v>
      </c>
      <c r="E232" s="13">
        <v>116379313</v>
      </c>
      <c r="F232" s="25">
        <f>Proponentes[[#This Row],[Activo Corriente]]+Proponentes[[#This Row],[Activo NO Corriente]]</f>
        <v>154306353</v>
      </c>
      <c r="G232" s="13">
        <v>28040677</v>
      </c>
      <c r="H232" s="13">
        <v>0</v>
      </c>
      <c r="I232" s="25">
        <f>Proponentes[[#This Row],[Pasivo Corriente]]+Proponentes[[#This Row],[Pasivo NO Corriente]]</f>
        <v>28040677</v>
      </c>
      <c r="J232" s="14">
        <f>Proponentes[[#This Row],[Total ACTIVO]]-Proponentes[[#This Row],[Total Pasivo]]</f>
        <v>126265676</v>
      </c>
      <c r="K232" s="48">
        <f>VLOOKUP(Proponentes[[#This Row],[Propuesta]],Hoja2!$A$2:$G$239,7,FALSE)</f>
        <v>0</v>
      </c>
      <c r="L232" s="15" t="s">
        <v>27</v>
      </c>
      <c r="M232" s="15" t="s">
        <v>28</v>
      </c>
      <c r="N232" s="55">
        <f>IFERROR(VLOOKUP(Proponentes[[#This Row],[Cap Op en SMMLV]],Base!$A$15:$F$20,3),0)</f>
        <v>0</v>
      </c>
      <c r="O232" s="16">
        <f>IFERROR(VLOOKUP(Proponentes[[#This Row],[Cap Op en SMMLV]],Base!$A$15:$F$20,4),0)</f>
        <v>0</v>
      </c>
      <c r="P232" s="17">
        <f>IFERROR(VLOOKUP(Proponentes[[#This Row],[Cap Op en SMMLV]],Tabla2[],6),0)</f>
        <v>0</v>
      </c>
      <c r="Q232" s="18">
        <f>IFERROR(VLOOKUP(Proponentes[[#This Row],[Cap Op en SMMLV]],Base!$A$15:$F$20,5),0)</f>
        <v>0</v>
      </c>
      <c r="R232" s="18">
        <f>IFERROR(VLOOKUP(Proponentes[[#This Row],[Cap Op en SMMLV]],Tabla2[[DE]:[HASTA]],2),0)</f>
        <v>0</v>
      </c>
      <c r="S232" s="19">
        <f>IFERROR(Proponentes[[#This Row],[Activo Corriente]]/Proponentes[[#This Row],[Pasivo Corriente]],"INDETERMINADO")</f>
        <v>1.3525721936028863</v>
      </c>
      <c r="T232" s="20">
        <f>IFERROR(Proponentes[[#This Row],[Total Pasivo]]/Proponentes[[#This Row],[Total ACTIVO]],0)</f>
        <v>0.18172082001056691</v>
      </c>
      <c r="U232" s="21">
        <f>(Proponentes[[#This Row],[Activo Corriente]]-Proponentes[[#This Row],[Pasivo Corriente]])/Base!$B$3</f>
        <v>11.938379405783731</v>
      </c>
      <c r="V232" s="22">
        <f>Proponentes[[#This Row],[Activo Corriente]]-Proponentes[[#This Row],[Pasivo Corriente]]</f>
        <v>9886363</v>
      </c>
      <c r="W232" s="13">
        <f>IFERROR(VLOOKUP(Proponentes[[#This Row],[Propuesta]],Hoja2!$A$2:$G$329,7,FALSE),0)</f>
        <v>0</v>
      </c>
      <c r="X232" s="83">
        <f>IF(Proponentes[[#This Row],[Cap Op en Pesos]]=0,0,IF(Proponentes[[#This Row],[Cap Op en Pesos]]=0,1,Proponentes[[#This Row],[Cap Op en Pesos]]/Base!B$3))</f>
        <v>0</v>
      </c>
      <c r="Y23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3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3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32" s="23" t="str">
        <f>IF(AND(Proponentes[[#This Row],[Cumple
Liquidez]]="CUMPLE",Proponentes[[#This Row],[Cumple
Endeudamiento]]="CUMPLE",Proponentes[[#This Row],[Cumple
Capital de Trabajo]]="CUMPLE"),"CUMPLE","NO CUMPLE")</f>
        <v>NO CUMPLE</v>
      </c>
      <c r="AC232" s="24"/>
      <c r="AD232" s="10">
        <f>IF(Proponentes[[#This Row],[Liquidez
Oferente]]&lt;=1,1,IF(Proponentes[[#This Row],[Liquidez
Oferente]]&lt;=1.1,2,IF(Proponentes[[#This Row],[Liquidez
Oferente]]&lt;=1.2,3,IF(Proponentes[[#This Row],[Liquidez
Oferente]]&lt;=1.3,4,IF(Proponentes[[#This Row],[Liquidez
Oferente]]&lt;=1.4,5,6)))))</f>
        <v>5</v>
      </c>
      <c r="AE232" s="10">
        <f>IF(Proponentes[[#This Row],[Endeudamiento
Oferente]]&lt;=66%,6,IF(Proponentes[[#This Row],[Endeudamiento
Oferente]]&lt;=58,5,IF(Proponentes[[#This Row],[Endeudamiento
Oferente]]&lt;=70,4,IF(Proponentes[[#This Row],[Endeudamiento
Oferente]]&lt;=72,3,IF(Proponentes[[#This Row],[Endeudamiento
Oferente]]&lt;=74,2,1)))))</f>
        <v>6</v>
      </c>
      <c r="AF23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32" s="10">
        <f>IF(Proponentes[[#This Row],[Cap Op en SMMLV]]&lt;=500,1,IF(Proponentes[[#This Row],[Cap Op en SMMLV]]&lt;=1000,2,IF(Proponentes[[#This Row],[Cap Op en SMMLV]]&lt;=1500,3,IF(Proponentes[[#This Row],[Cap Op en SMMLV]]&lt;=2000,4,IF(Proponentes[[#This Row],[Cap Op en SMMLV]]&lt;=2500,5,6)))))</f>
        <v>1</v>
      </c>
      <c r="AH232" s="10">
        <f>MIN(Proponentes[[#This Row],[a]:[d]])</f>
        <v>1</v>
      </c>
      <c r="AI232" s="87">
        <f>IF(Proponentes[[#This Row],[e]]=Proponentes[[#This Row],[d]],Proponentes[[#This Row],[Cap Op en SMMLV]],VLOOKUP(Proponentes[[#This Row],[e]],Base!$D$1:$E$6,2,FALSE))</f>
        <v>0</v>
      </c>
      <c r="AJ232" s="101" t="str">
        <f>VLOOKUP(Proponentes[[#This Row],[Propuesta]],Hoja2!$A$2:$D$329,4,FALSE)</f>
        <v>NO CUMPLE</v>
      </c>
      <c r="AK232" s="101"/>
    </row>
    <row r="233" spans="1:37" ht="32" x14ac:dyDescent="0.2">
      <c r="A233" s="10">
        <v>232</v>
      </c>
      <c r="B233" s="11">
        <v>812006950</v>
      </c>
      <c r="C233" s="12" t="s">
        <v>327</v>
      </c>
      <c r="D233" s="13">
        <v>1612595000</v>
      </c>
      <c r="E233" s="13">
        <v>23500000</v>
      </c>
      <c r="F233" s="25">
        <f>Proponentes[[#This Row],[Activo Corriente]]+Proponentes[[#This Row],[Activo NO Corriente]]</f>
        <v>1636095000</v>
      </c>
      <c r="G233" s="13">
        <v>20555000</v>
      </c>
      <c r="H233" s="13">
        <v>0</v>
      </c>
      <c r="I233" s="25">
        <f>Proponentes[[#This Row],[Pasivo Corriente]]+Proponentes[[#This Row],[Pasivo NO Corriente]]</f>
        <v>20555000</v>
      </c>
      <c r="J233" s="14">
        <f>Proponentes[[#This Row],[Total ACTIVO]]-Proponentes[[#This Row],[Total Pasivo]]</f>
        <v>1615540000</v>
      </c>
      <c r="K233" s="48">
        <f>VLOOKUP(Proponentes[[#This Row],[Propuesta]],Hoja2!$A$2:$G$239,7,FALSE)</f>
        <v>127757444.60032617</v>
      </c>
      <c r="L233" s="15" t="s">
        <v>328</v>
      </c>
      <c r="M233" s="15" t="s">
        <v>28</v>
      </c>
      <c r="N233" s="55">
        <f>IFERROR(VLOOKUP(Proponentes[[#This Row],[Cap Op en SMMLV]],Base!$A$15:$F$20,3),0)</f>
        <v>1</v>
      </c>
      <c r="O233" s="16">
        <f>IFERROR(VLOOKUP(Proponentes[[#This Row],[Cap Op en SMMLV]],Base!$A$15:$F$20,4),0)</f>
        <v>0.76</v>
      </c>
      <c r="P233" s="17">
        <f>IFERROR(VLOOKUP(Proponentes[[#This Row],[Cap Op en SMMLV]],Tabla2[],6),0)</f>
        <v>12.5</v>
      </c>
      <c r="Q233" s="18">
        <f>IFERROR(VLOOKUP(Proponentes[[#This Row],[Cap Op en SMMLV]],Base!$A$15:$F$20,5),0)</f>
        <v>10351450</v>
      </c>
      <c r="R233" s="18">
        <f>IFERROR(VLOOKUP(Proponentes[[#This Row],[Cap Op en SMMLV]],Tabla2[[DE]:[HASTA]],2),0)</f>
        <v>500</v>
      </c>
      <c r="S233" s="19">
        <f>IFERROR(Proponentes[[#This Row],[Activo Corriente]]/Proponentes[[#This Row],[Pasivo Corriente]],"INDETERMINADO")</f>
        <v>78.452687910484073</v>
      </c>
      <c r="T233" s="20">
        <f>IFERROR(Proponentes[[#This Row],[Total Pasivo]]/Proponentes[[#This Row],[Total ACTIVO]],0)</f>
        <v>1.2563451388825222E-2</v>
      </c>
      <c r="U233" s="21">
        <f>(Proponentes[[#This Row],[Activo Corriente]]-Proponentes[[#This Row],[Pasivo Corriente]])/Base!$B$3</f>
        <v>1922.4842896405817</v>
      </c>
      <c r="V233" s="22">
        <f>Proponentes[[#This Row],[Activo Corriente]]-Proponentes[[#This Row],[Pasivo Corriente]]</f>
        <v>1592040000</v>
      </c>
      <c r="W233" s="13">
        <f>IFERROR(VLOOKUP(Proponentes[[#This Row],[Propuesta]],Hoja2!$A$2:$G$329,7,FALSE),0)</f>
        <v>127757444.60032617</v>
      </c>
      <c r="X233" s="83">
        <f>IF(Proponentes[[#This Row],[Cap Op en Pesos]]=0,0,IF(Proponentes[[#This Row],[Cap Op en Pesos]]=0,1,Proponentes[[#This Row],[Cap Op en Pesos]]/Base!B$3))</f>
        <v>154.27481729652146</v>
      </c>
      <c r="Y23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3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3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33" s="23" t="str">
        <f>IF(AND(Proponentes[[#This Row],[Cumple
Liquidez]]="CUMPLE",Proponentes[[#This Row],[Cumple
Endeudamiento]]="CUMPLE",Proponentes[[#This Row],[Cumple
Capital de Trabajo]]="CUMPLE"),"CUMPLE","NO CUMPLE")</f>
        <v>CUMPLE</v>
      </c>
      <c r="AC233" s="24"/>
      <c r="AD233" s="10">
        <f>IF(Proponentes[[#This Row],[Liquidez
Oferente]]&lt;=1,1,IF(Proponentes[[#This Row],[Liquidez
Oferente]]&lt;=1.1,2,IF(Proponentes[[#This Row],[Liquidez
Oferente]]&lt;=1.2,3,IF(Proponentes[[#This Row],[Liquidez
Oferente]]&lt;=1.3,4,IF(Proponentes[[#This Row],[Liquidez
Oferente]]&lt;=1.4,5,6)))))</f>
        <v>6</v>
      </c>
      <c r="AE233" s="10">
        <f>IF(Proponentes[[#This Row],[Endeudamiento
Oferente]]&lt;=66%,6,IF(Proponentes[[#This Row],[Endeudamiento
Oferente]]&lt;=58,5,IF(Proponentes[[#This Row],[Endeudamiento
Oferente]]&lt;=70,4,IF(Proponentes[[#This Row],[Endeudamiento
Oferente]]&lt;=72,3,IF(Proponentes[[#This Row],[Endeudamiento
Oferente]]&lt;=74,2,1)))))</f>
        <v>6</v>
      </c>
      <c r="AF23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33" s="10">
        <f>IF(Proponentes[[#This Row],[Cap Op en SMMLV]]&lt;=500,1,IF(Proponentes[[#This Row],[Cap Op en SMMLV]]&lt;=1000,2,IF(Proponentes[[#This Row],[Cap Op en SMMLV]]&lt;=1500,3,IF(Proponentes[[#This Row],[Cap Op en SMMLV]]&lt;=2000,4,IF(Proponentes[[#This Row],[Cap Op en SMMLV]]&lt;=2500,5,6)))))</f>
        <v>1</v>
      </c>
      <c r="AH233" s="10">
        <f>MIN(Proponentes[[#This Row],[a]:[d]])</f>
        <v>1</v>
      </c>
      <c r="AI233" s="87">
        <f>IF(Proponentes[[#This Row],[e]]=Proponentes[[#This Row],[d]],Proponentes[[#This Row],[Cap Op en SMMLV]],VLOOKUP(Proponentes[[#This Row],[e]],Base!$D$1:$E$6,2,FALSE))</f>
        <v>154.27481729652146</v>
      </c>
      <c r="AJ233" s="101" t="str">
        <f>VLOOKUP(Proponentes[[#This Row],[Propuesta]],Hoja2!$A$2:$D$329,4,FALSE)</f>
        <v>NO CUMPLE</v>
      </c>
      <c r="AK233" s="101"/>
    </row>
    <row r="234" spans="1:37" ht="32" x14ac:dyDescent="0.2">
      <c r="A234" s="10">
        <v>233</v>
      </c>
      <c r="B234" s="11">
        <v>823001222</v>
      </c>
      <c r="C234" s="12" t="s">
        <v>329</v>
      </c>
      <c r="D234" s="13">
        <v>28935000</v>
      </c>
      <c r="E234" s="13">
        <v>155483000</v>
      </c>
      <c r="F234" s="25">
        <f>Proponentes[[#This Row],[Activo Corriente]]+Proponentes[[#This Row],[Activo NO Corriente]]</f>
        <v>184418000</v>
      </c>
      <c r="G234" s="13">
        <v>1120000</v>
      </c>
      <c r="H234" s="13">
        <v>0</v>
      </c>
      <c r="I234" s="25">
        <f>Proponentes[[#This Row],[Pasivo Corriente]]+Proponentes[[#This Row],[Pasivo NO Corriente]]</f>
        <v>1120000</v>
      </c>
      <c r="J234" s="14">
        <f>Proponentes[[#This Row],[Total ACTIVO]]-Proponentes[[#This Row],[Total Pasivo]]</f>
        <v>183298000</v>
      </c>
      <c r="K234" s="48">
        <f>VLOOKUP(Proponentes[[#This Row],[Propuesta]],Hoja2!$A$2:$G$239,7,FALSE)</f>
        <v>14413405.650937393</v>
      </c>
      <c r="L234" s="15" t="s">
        <v>330</v>
      </c>
      <c r="M234" s="15" t="s">
        <v>28</v>
      </c>
      <c r="N234" s="55">
        <f>IFERROR(VLOOKUP(Proponentes[[#This Row],[Cap Op en SMMLV]],Base!$A$15:$F$20,3),0)</f>
        <v>1</v>
      </c>
      <c r="O234" s="16">
        <f>IFERROR(VLOOKUP(Proponentes[[#This Row],[Cap Op en SMMLV]],Base!$A$15:$F$20,4),0)</f>
        <v>0.76</v>
      </c>
      <c r="P234" s="17">
        <f>IFERROR(VLOOKUP(Proponentes[[#This Row],[Cap Op en SMMLV]],Tabla2[],6),0)</f>
        <v>12.5</v>
      </c>
      <c r="Q234" s="18">
        <f>IFERROR(VLOOKUP(Proponentes[[#This Row],[Cap Op en SMMLV]],Base!$A$15:$F$20,5),0)</f>
        <v>10351450</v>
      </c>
      <c r="R234" s="18">
        <f>IFERROR(VLOOKUP(Proponentes[[#This Row],[Cap Op en SMMLV]],Tabla2[[DE]:[HASTA]],2),0)</f>
        <v>500</v>
      </c>
      <c r="S234" s="19">
        <f>IFERROR(Proponentes[[#This Row],[Activo Corriente]]/Proponentes[[#This Row],[Pasivo Corriente]],"INDETERMINADO")</f>
        <v>25.834821428571427</v>
      </c>
      <c r="T234" s="20">
        <f>IFERROR(Proponentes[[#This Row],[Total Pasivo]]/Proponentes[[#This Row],[Total ACTIVO]],0)</f>
        <v>6.0731598867789479E-3</v>
      </c>
      <c r="U234" s="21">
        <f>(Proponentes[[#This Row],[Activo Corriente]]-Proponentes[[#This Row],[Pasivo Corriente]])/Base!$B$3</f>
        <v>33.588289563297899</v>
      </c>
      <c r="V234" s="22">
        <f>Proponentes[[#This Row],[Activo Corriente]]-Proponentes[[#This Row],[Pasivo Corriente]]</f>
        <v>27815000</v>
      </c>
      <c r="W234" s="13">
        <f>IFERROR(VLOOKUP(Proponentes[[#This Row],[Propuesta]],Hoja2!$A$2:$G$329,7,FALSE),0)</f>
        <v>14413405.650937393</v>
      </c>
      <c r="X234" s="83">
        <f>IF(Proponentes[[#This Row],[Cap Op en Pesos]]=0,0,IF(Proponentes[[#This Row],[Cap Op en Pesos]]=0,1,Proponentes[[#This Row],[Cap Op en Pesos]]/Base!B$3))</f>
        <v>17.405056357970857</v>
      </c>
      <c r="Y23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3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3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34" s="23" t="str">
        <f>IF(AND(Proponentes[[#This Row],[Cumple
Liquidez]]="CUMPLE",Proponentes[[#This Row],[Cumple
Endeudamiento]]="CUMPLE",Proponentes[[#This Row],[Cumple
Capital de Trabajo]]="CUMPLE"),"CUMPLE","NO CUMPLE")</f>
        <v>CUMPLE</v>
      </c>
      <c r="AC234" s="24"/>
      <c r="AD234" s="10">
        <f>IF(Proponentes[[#This Row],[Liquidez
Oferente]]&lt;=1,1,IF(Proponentes[[#This Row],[Liquidez
Oferente]]&lt;=1.1,2,IF(Proponentes[[#This Row],[Liquidez
Oferente]]&lt;=1.2,3,IF(Proponentes[[#This Row],[Liquidez
Oferente]]&lt;=1.3,4,IF(Proponentes[[#This Row],[Liquidez
Oferente]]&lt;=1.4,5,6)))))</f>
        <v>6</v>
      </c>
      <c r="AE234" s="10">
        <f>IF(Proponentes[[#This Row],[Endeudamiento
Oferente]]&lt;=66%,6,IF(Proponentes[[#This Row],[Endeudamiento
Oferente]]&lt;=58,5,IF(Proponentes[[#This Row],[Endeudamiento
Oferente]]&lt;=70,4,IF(Proponentes[[#This Row],[Endeudamiento
Oferente]]&lt;=72,3,IF(Proponentes[[#This Row],[Endeudamiento
Oferente]]&lt;=74,2,1)))))</f>
        <v>6</v>
      </c>
      <c r="AF23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234" s="10">
        <f>IF(Proponentes[[#This Row],[Cap Op en SMMLV]]&lt;=500,1,IF(Proponentes[[#This Row],[Cap Op en SMMLV]]&lt;=1000,2,IF(Proponentes[[#This Row],[Cap Op en SMMLV]]&lt;=1500,3,IF(Proponentes[[#This Row],[Cap Op en SMMLV]]&lt;=2000,4,IF(Proponentes[[#This Row],[Cap Op en SMMLV]]&lt;=2500,5,6)))))</f>
        <v>1</v>
      </c>
      <c r="AH234" s="10">
        <f>MIN(Proponentes[[#This Row],[a]:[d]])</f>
        <v>1</v>
      </c>
      <c r="AI234" s="87">
        <f>IF(Proponentes[[#This Row],[e]]=Proponentes[[#This Row],[d]],Proponentes[[#This Row],[Cap Op en SMMLV]],VLOOKUP(Proponentes[[#This Row],[e]],Base!$D$1:$E$6,2,FALSE))</f>
        <v>17.405056357970857</v>
      </c>
      <c r="AJ234" s="101" t="str">
        <f>VLOOKUP(Proponentes[[#This Row],[Propuesta]],Hoja2!$A$2:$D$329,4,FALSE)</f>
        <v>CUMPLE</v>
      </c>
      <c r="AK234" s="101"/>
    </row>
    <row r="235" spans="1:37" ht="16" x14ac:dyDescent="0.2">
      <c r="A235" s="10">
        <v>234</v>
      </c>
      <c r="B235" s="11">
        <v>814006275</v>
      </c>
      <c r="C235" s="12" t="s">
        <v>331</v>
      </c>
      <c r="D235" s="13">
        <v>31881290</v>
      </c>
      <c r="E235" s="13">
        <v>12921100</v>
      </c>
      <c r="F235" s="25">
        <f>Proponentes[[#This Row],[Activo Corriente]]+Proponentes[[#This Row],[Activo NO Corriente]]</f>
        <v>44802390</v>
      </c>
      <c r="G235" s="13">
        <v>243000</v>
      </c>
      <c r="H235" s="13">
        <v>0</v>
      </c>
      <c r="I235" s="25">
        <f>Proponentes[[#This Row],[Pasivo Corriente]]+Proponentes[[#This Row],[Pasivo NO Corriente]]</f>
        <v>243000</v>
      </c>
      <c r="J235" s="14">
        <f>Proponentes[[#This Row],[Total ACTIVO]]-Proponentes[[#This Row],[Total Pasivo]]</f>
        <v>44559390</v>
      </c>
      <c r="K235" s="48">
        <f>VLOOKUP(Proponentes[[#This Row],[Propuesta]],Hoja2!$A$2:$G$239,7,FALSE)</f>
        <v>0</v>
      </c>
      <c r="L235" s="15" t="s">
        <v>332</v>
      </c>
      <c r="M235" s="15" t="s">
        <v>28</v>
      </c>
      <c r="N235" s="55">
        <f>IFERROR(VLOOKUP(Proponentes[[#This Row],[Cap Op en SMMLV]],Base!$A$15:$F$20,3),0)</f>
        <v>0</v>
      </c>
      <c r="O235" s="16">
        <f>IFERROR(VLOOKUP(Proponentes[[#This Row],[Cap Op en SMMLV]],Base!$A$15:$F$20,4),0)</f>
        <v>0</v>
      </c>
      <c r="P235" s="17">
        <f>IFERROR(VLOOKUP(Proponentes[[#This Row],[Cap Op en SMMLV]],Tabla2[],6),0)</f>
        <v>0</v>
      </c>
      <c r="Q235" s="18">
        <f>IFERROR(VLOOKUP(Proponentes[[#This Row],[Cap Op en SMMLV]],Base!$A$15:$F$20,5),0)</f>
        <v>0</v>
      </c>
      <c r="R235" s="18">
        <f>IFERROR(VLOOKUP(Proponentes[[#This Row],[Cap Op en SMMLV]],Tabla2[[DE]:[HASTA]],2),0)</f>
        <v>0</v>
      </c>
      <c r="S235" s="19">
        <f>IFERROR(Proponentes[[#This Row],[Activo Corriente]]/Proponentes[[#This Row],[Pasivo Corriente]],"INDETERMINADO")</f>
        <v>131.1987242798354</v>
      </c>
      <c r="T235" s="20">
        <f>IFERROR(Proponentes[[#This Row],[Total Pasivo]]/Proponentes[[#This Row],[Total ACTIVO]],0)</f>
        <v>5.4238177918633362E-3</v>
      </c>
      <c r="U235" s="21">
        <f>(Proponentes[[#This Row],[Activo Corriente]]-Proponentes[[#This Row],[Pasivo Corriente]])/Base!$B$3</f>
        <v>38.205142757777892</v>
      </c>
      <c r="V235" s="22">
        <f>Proponentes[[#This Row],[Activo Corriente]]-Proponentes[[#This Row],[Pasivo Corriente]]</f>
        <v>31638290</v>
      </c>
      <c r="W235" s="13">
        <f>IFERROR(VLOOKUP(Proponentes[[#This Row],[Propuesta]],Hoja2!$A$2:$G$329,7,FALSE),0)</f>
        <v>0</v>
      </c>
      <c r="X235" s="83">
        <f>IF(Proponentes[[#This Row],[Cap Op en Pesos]]=0,0,IF(Proponentes[[#This Row],[Cap Op en Pesos]]=0,1,Proponentes[[#This Row],[Cap Op en Pesos]]/Base!B$3))</f>
        <v>0</v>
      </c>
      <c r="Y23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3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3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35" s="23" t="str">
        <f>IF(AND(Proponentes[[#This Row],[Cumple
Liquidez]]="CUMPLE",Proponentes[[#This Row],[Cumple
Endeudamiento]]="CUMPLE",Proponentes[[#This Row],[Cumple
Capital de Trabajo]]="CUMPLE"),"CUMPLE","NO CUMPLE")</f>
        <v>NO CUMPLE</v>
      </c>
      <c r="AC235" s="24" t="s">
        <v>806</v>
      </c>
      <c r="AD235" s="10">
        <f>IF(Proponentes[[#This Row],[Liquidez
Oferente]]&lt;=1,1,IF(Proponentes[[#This Row],[Liquidez
Oferente]]&lt;=1.1,2,IF(Proponentes[[#This Row],[Liquidez
Oferente]]&lt;=1.2,3,IF(Proponentes[[#This Row],[Liquidez
Oferente]]&lt;=1.3,4,IF(Proponentes[[#This Row],[Liquidez
Oferente]]&lt;=1.4,5,6)))))</f>
        <v>6</v>
      </c>
      <c r="AE235" s="10">
        <f>IF(Proponentes[[#This Row],[Endeudamiento
Oferente]]&lt;=66%,6,IF(Proponentes[[#This Row],[Endeudamiento
Oferente]]&lt;=58,5,IF(Proponentes[[#This Row],[Endeudamiento
Oferente]]&lt;=70,4,IF(Proponentes[[#This Row],[Endeudamiento
Oferente]]&lt;=72,3,IF(Proponentes[[#This Row],[Endeudamiento
Oferente]]&lt;=74,2,1)))))</f>
        <v>6</v>
      </c>
      <c r="AF23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4</v>
      </c>
      <c r="AG235" s="10">
        <f>IF(Proponentes[[#This Row],[Cap Op en SMMLV]]&lt;=500,1,IF(Proponentes[[#This Row],[Cap Op en SMMLV]]&lt;=1000,2,IF(Proponentes[[#This Row],[Cap Op en SMMLV]]&lt;=1500,3,IF(Proponentes[[#This Row],[Cap Op en SMMLV]]&lt;=2000,4,IF(Proponentes[[#This Row],[Cap Op en SMMLV]]&lt;=2500,5,6)))))</f>
        <v>1</v>
      </c>
      <c r="AH235" s="10">
        <f>MIN(Proponentes[[#This Row],[a]:[d]])</f>
        <v>1</v>
      </c>
      <c r="AI235" s="87">
        <f>IF(Proponentes[[#This Row],[e]]=Proponentes[[#This Row],[d]],Proponentes[[#This Row],[Cap Op en SMMLV]],VLOOKUP(Proponentes[[#This Row],[e]],Base!$D$1:$E$6,2,FALSE))</f>
        <v>0</v>
      </c>
      <c r="AJ235" s="101" t="str">
        <f>VLOOKUP(Proponentes[[#This Row],[Propuesta]],Hoja2!$A$2:$D$329,4,FALSE)</f>
        <v>NO CUMPLE</v>
      </c>
      <c r="AK235" s="101"/>
    </row>
    <row r="236" spans="1:37" ht="16" x14ac:dyDescent="0.2">
      <c r="A236" s="10">
        <v>235</v>
      </c>
      <c r="B236" s="11">
        <v>830143202</v>
      </c>
      <c r="C236" s="12" t="s">
        <v>478</v>
      </c>
      <c r="D236" s="13">
        <v>1533430138</v>
      </c>
      <c r="E236" s="13">
        <v>4802598171</v>
      </c>
      <c r="F236" s="25">
        <f>Proponentes[[#This Row],[Activo Corriente]]+Proponentes[[#This Row],[Activo NO Corriente]]</f>
        <v>6336028309</v>
      </c>
      <c r="G236" s="13">
        <v>927885328</v>
      </c>
      <c r="H236" s="13">
        <v>1034826945</v>
      </c>
      <c r="I236" s="25">
        <f>Proponentes[[#This Row],[Pasivo Corriente]]+Proponentes[[#This Row],[Pasivo NO Corriente]]</f>
        <v>1962712273</v>
      </c>
      <c r="J236" s="14">
        <f>Proponentes[[#This Row],[Total ACTIVO]]-Proponentes[[#This Row],[Total Pasivo]]</f>
        <v>4373316036</v>
      </c>
      <c r="K236" s="48">
        <f>VLOOKUP(Proponentes[[#This Row],[Propuesta]],Hoja2!$A$2:$G$239,7,FALSE)</f>
        <v>318777628.63680625</v>
      </c>
      <c r="L236" s="15" t="s">
        <v>59</v>
      </c>
      <c r="M236" s="15" t="s">
        <v>28</v>
      </c>
      <c r="N236" s="55">
        <f>IFERROR(VLOOKUP(Proponentes[[#This Row],[Cap Op en SMMLV]],Base!$A$15:$F$20,3),0)</f>
        <v>1</v>
      </c>
      <c r="O236" s="16">
        <f>IFERROR(VLOOKUP(Proponentes[[#This Row],[Cap Op en SMMLV]],Base!$A$15:$F$20,4),0)</f>
        <v>0.76</v>
      </c>
      <c r="P236" s="17">
        <f>IFERROR(VLOOKUP(Proponentes[[#This Row],[Cap Op en SMMLV]],Tabla2[],6),0)</f>
        <v>12.5</v>
      </c>
      <c r="Q236" s="18">
        <f>IFERROR(VLOOKUP(Proponentes[[#This Row],[Cap Op en SMMLV]],Base!$A$15:$F$20,5),0)</f>
        <v>10351450</v>
      </c>
      <c r="R236" s="18">
        <f>IFERROR(VLOOKUP(Proponentes[[#This Row],[Cap Op en SMMLV]],Tabla2[[DE]:[HASTA]],2),0)</f>
        <v>500</v>
      </c>
      <c r="S236" s="19">
        <f>IFERROR(Proponentes[[#This Row],[Activo Corriente]]/Proponentes[[#This Row],[Pasivo Corriente]],"INDETERMINADO")</f>
        <v>1.6526073769322496</v>
      </c>
      <c r="T236" s="20">
        <f>IFERROR(Proponentes[[#This Row],[Total Pasivo]]/Proponentes[[#This Row],[Total ACTIVO]],0)</f>
        <v>0.30977012369279805</v>
      </c>
      <c r="U236" s="21">
        <f>(Proponentes[[#This Row],[Activo Corriente]]-Proponentes[[#This Row],[Pasivo Corriente]])/Base!$B$3</f>
        <v>731.23186848219336</v>
      </c>
      <c r="V236" s="22">
        <f>Proponentes[[#This Row],[Activo Corriente]]-Proponentes[[#This Row],[Pasivo Corriente]]</f>
        <v>605544810</v>
      </c>
      <c r="W236" s="13">
        <f>IFERROR(VLOOKUP(Proponentes[[#This Row],[Propuesta]],Hoja2!$A$2:$G$329,7,FALSE),0)</f>
        <v>318777628.63680625</v>
      </c>
      <c r="X236" s="83">
        <f>IF(Proponentes[[#This Row],[Cap Op en Pesos]]=0,0,IF(Proponentes[[#This Row],[Cap Op en Pesos]]=0,1,Proponentes[[#This Row],[Cap Op en Pesos]]/Base!B$3))</f>
        <v>384.94320679325875</v>
      </c>
      <c r="Y23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3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3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36" s="23" t="str">
        <f>IF(AND(Proponentes[[#This Row],[Cumple
Liquidez]]="CUMPLE",Proponentes[[#This Row],[Cumple
Endeudamiento]]="CUMPLE",Proponentes[[#This Row],[Cumple
Capital de Trabajo]]="CUMPLE"),"CUMPLE","NO CUMPLE")</f>
        <v>CUMPLE</v>
      </c>
      <c r="AC236" s="24"/>
      <c r="AD236" s="10">
        <f>IF(Proponentes[[#This Row],[Liquidez
Oferente]]&lt;=1,1,IF(Proponentes[[#This Row],[Liquidez
Oferente]]&lt;=1.1,2,IF(Proponentes[[#This Row],[Liquidez
Oferente]]&lt;=1.2,3,IF(Proponentes[[#This Row],[Liquidez
Oferente]]&lt;=1.3,4,IF(Proponentes[[#This Row],[Liquidez
Oferente]]&lt;=1.4,5,6)))))</f>
        <v>6</v>
      </c>
      <c r="AE236" s="10">
        <f>IF(Proponentes[[#This Row],[Endeudamiento
Oferente]]&lt;=66%,6,IF(Proponentes[[#This Row],[Endeudamiento
Oferente]]&lt;=58,5,IF(Proponentes[[#This Row],[Endeudamiento
Oferente]]&lt;=70,4,IF(Proponentes[[#This Row],[Endeudamiento
Oferente]]&lt;=72,3,IF(Proponentes[[#This Row],[Endeudamiento
Oferente]]&lt;=74,2,1)))))</f>
        <v>6</v>
      </c>
      <c r="AF23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36" s="10">
        <f>IF(Proponentes[[#This Row],[Cap Op en SMMLV]]&lt;=500,1,IF(Proponentes[[#This Row],[Cap Op en SMMLV]]&lt;=1000,2,IF(Proponentes[[#This Row],[Cap Op en SMMLV]]&lt;=1500,3,IF(Proponentes[[#This Row],[Cap Op en SMMLV]]&lt;=2000,4,IF(Proponentes[[#This Row],[Cap Op en SMMLV]]&lt;=2500,5,6)))))</f>
        <v>1</v>
      </c>
      <c r="AH236" s="10">
        <f>MIN(Proponentes[[#This Row],[a]:[d]])</f>
        <v>1</v>
      </c>
      <c r="AI236" s="87">
        <f>IF(Proponentes[[#This Row],[e]]=Proponentes[[#This Row],[d]],Proponentes[[#This Row],[Cap Op en SMMLV]],VLOOKUP(Proponentes[[#This Row],[e]],Base!$D$1:$E$6,2,FALSE))</f>
        <v>384.94320679325875</v>
      </c>
      <c r="AJ236" s="101" t="str">
        <f>VLOOKUP(Proponentes[[#This Row],[Propuesta]],Hoja2!$A$2:$D$329,4,FALSE)</f>
        <v>CUMPLE</v>
      </c>
      <c r="AK236" s="101"/>
    </row>
    <row r="237" spans="1:37" ht="16" x14ac:dyDescent="0.2">
      <c r="A237" s="10">
        <v>236</v>
      </c>
      <c r="B237" s="11">
        <v>900659065</v>
      </c>
      <c r="C237" s="12" t="s">
        <v>333</v>
      </c>
      <c r="D237" s="13">
        <v>419146000</v>
      </c>
      <c r="E237" s="13">
        <v>130284000</v>
      </c>
      <c r="F237" s="25">
        <f>Proponentes[[#This Row],[Activo Corriente]]+Proponentes[[#This Row],[Activo NO Corriente]]</f>
        <v>549430000</v>
      </c>
      <c r="G237" s="13">
        <v>230933000</v>
      </c>
      <c r="H237" s="13">
        <v>0</v>
      </c>
      <c r="I237" s="25">
        <f>Proponentes[[#This Row],[Pasivo Corriente]]+Proponentes[[#This Row],[Pasivo NO Corriente]]</f>
        <v>230933000</v>
      </c>
      <c r="J237" s="14">
        <f>Proponentes[[#This Row],[Total ACTIVO]]-Proponentes[[#This Row],[Total Pasivo]]</f>
        <v>318497000</v>
      </c>
      <c r="K237" s="48">
        <f>VLOOKUP(Proponentes[[#This Row],[Propuesta]],Hoja2!$A$2:$G$239,7,FALSE)</f>
        <v>0</v>
      </c>
      <c r="L237" s="15" t="s">
        <v>334</v>
      </c>
      <c r="M237" s="15" t="s">
        <v>28</v>
      </c>
      <c r="N237" s="55">
        <f>IFERROR(VLOOKUP(Proponentes[[#This Row],[Cap Op en SMMLV]],Base!$A$15:$F$20,3),0)</f>
        <v>0</v>
      </c>
      <c r="O237" s="16">
        <f>IFERROR(VLOOKUP(Proponentes[[#This Row],[Cap Op en SMMLV]],Base!$A$15:$F$20,4),0)</f>
        <v>0</v>
      </c>
      <c r="P237" s="17">
        <f>IFERROR(VLOOKUP(Proponentes[[#This Row],[Cap Op en SMMLV]],Tabla2[],6),0)</f>
        <v>0</v>
      </c>
      <c r="Q237" s="18">
        <f>IFERROR(VLOOKUP(Proponentes[[#This Row],[Cap Op en SMMLV]],Base!$A$15:$F$20,5),0)</f>
        <v>0</v>
      </c>
      <c r="R237" s="18">
        <f>IFERROR(VLOOKUP(Proponentes[[#This Row],[Cap Op en SMMLV]],Tabla2[[DE]:[HASTA]],2),0)</f>
        <v>0</v>
      </c>
      <c r="S237" s="19">
        <f>IFERROR(Proponentes[[#This Row],[Activo Corriente]]/Proponentes[[#This Row],[Pasivo Corriente]],"INDETERMINADO")</f>
        <v>1.8150112803280605</v>
      </c>
      <c r="T237" s="20">
        <f>IFERROR(Proponentes[[#This Row],[Total Pasivo]]/Proponentes[[#This Row],[Total ACTIVO]],0)</f>
        <v>0.4203137797353621</v>
      </c>
      <c r="U237" s="21">
        <f>(Proponentes[[#This Row],[Activo Corriente]]-Proponentes[[#This Row],[Pasivo Corriente]])/Base!$B$3</f>
        <v>227.2785455177777</v>
      </c>
      <c r="V237" s="22">
        <f>Proponentes[[#This Row],[Activo Corriente]]-Proponentes[[#This Row],[Pasivo Corriente]]</f>
        <v>188213000</v>
      </c>
      <c r="W237" s="13">
        <f>IFERROR(VLOOKUP(Proponentes[[#This Row],[Propuesta]],Hoja2!$A$2:$G$329,7,FALSE),0)</f>
        <v>0</v>
      </c>
      <c r="X237" s="83">
        <f>IF(Proponentes[[#This Row],[Cap Op en Pesos]]=0,0,IF(Proponentes[[#This Row],[Cap Op en Pesos]]=0,1,Proponentes[[#This Row],[Cap Op en Pesos]]/Base!B$3))</f>
        <v>0</v>
      </c>
      <c r="Y23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3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3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37" s="23" t="str">
        <f>IF(AND(Proponentes[[#This Row],[Cumple
Liquidez]]="CUMPLE",Proponentes[[#This Row],[Cumple
Endeudamiento]]="CUMPLE",Proponentes[[#This Row],[Cumple
Capital de Trabajo]]="CUMPLE"),"CUMPLE","NO CUMPLE")</f>
        <v>NO CUMPLE</v>
      </c>
      <c r="AC237" s="24"/>
      <c r="AD237" s="10">
        <f>IF(Proponentes[[#This Row],[Liquidez
Oferente]]&lt;=1,1,IF(Proponentes[[#This Row],[Liquidez
Oferente]]&lt;=1.1,2,IF(Proponentes[[#This Row],[Liquidez
Oferente]]&lt;=1.2,3,IF(Proponentes[[#This Row],[Liquidez
Oferente]]&lt;=1.3,4,IF(Proponentes[[#This Row],[Liquidez
Oferente]]&lt;=1.4,5,6)))))</f>
        <v>6</v>
      </c>
      <c r="AE237" s="10">
        <f>IF(Proponentes[[#This Row],[Endeudamiento
Oferente]]&lt;=66%,6,IF(Proponentes[[#This Row],[Endeudamiento
Oferente]]&lt;=58,5,IF(Proponentes[[#This Row],[Endeudamiento
Oferente]]&lt;=70,4,IF(Proponentes[[#This Row],[Endeudamiento
Oferente]]&lt;=72,3,IF(Proponentes[[#This Row],[Endeudamiento
Oferente]]&lt;=74,2,1)))))</f>
        <v>6</v>
      </c>
      <c r="AF23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37" s="10">
        <f>IF(Proponentes[[#This Row],[Cap Op en SMMLV]]&lt;=500,1,IF(Proponentes[[#This Row],[Cap Op en SMMLV]]&lt;=1000,2,IF(Proponentes[[#This Row],[Cap Op en SMMLV]]&lt;=1500,3,IF(Proponentes[[#This Row],[Cap Op en SMMLV]]&lt;=2000,4,IF(Proponentes[[#This Row],[Cap Op en SMMLV]]&lt;=2500,5,6)))))</f>
        <v>1</v>
      </c>
      <c r="AH237" s="10">
        <f>MIN(Proponentes[[#This Row],[a]:[d]])</f>
        <v>1</v>
      </c>
      <c r="AI237" s="87">
        <f>IF(Proponentes[[#This Row],[e]]=Proponentes[[#This Row],[d]],Proponentes[[#This Row],[Cap Op en SMMLV]],VLOOKUP(Proponentes[[#This Row],[e]],Base!$D$1:$E$6,2,FALSE))</f>
        <v>0</v>
      </c>
      <c r="AJ237" s="101" t="str">
        <f>VLOOKUP(Proponentes[[#This Row],[Propuesta]],Hoja2!$A$2:$D$329,4,FALSE)</f>
        <v>NO CUMPLE</v>
      </c>
      <c r="AK237" s="101"/>
    </row>
    <row r="238" spans="1:37" ht="16" x14ac:dyDescent="0.2">
      <c r="A238" s="10">
        <v>237</v>
      </c>
      <c r="B238" s="11">
        <v>900119880</v>
      </c>
      <c r="C238" s="12" t="s">
        <v>335</v>
      </c>
      <c r="D238" s="13">
        <v>71380430</v>
      </c>
      <c r="E238" s="13">
        <v>14318570</v>
      </c>
      <c r="F238" s="25">
        <f>Proponentes[[#This Row],[Activo Corriente]]+Proponentes[[#This Row],[Activo NO Corriente]]</f>
        <v>85699000</v>
      </c>
      <c r="G238" s="13">
        <v>169000</v>
      </c>
      <c r="H238" s="13">
        <v>0</v>
      </c>
      <c r="I238" s="25">
        <f>Proponentes[[#This Row],[Pasivo Corriente]]+Proponentes[[#This Row],[Pasivo NO Corriente]]</f>
        <v>169000</v>
      </c>
      <c r="J238" s="14">
        <f>Proponentes[[#This Row],[Total ACTIVO]]-Proponentes[[#This Row],[Total Pasivo]]</f>
        <v>85530000</v>
      </c>
      <c r="K238" s="48">
        <f>VLOOKUP(Proponentes[[#This Row],[Propuesta]],Hoja2!$A$2:$G$239,7,FALSE)</f>
        <v>27789381.597033761</v>
      </c>
      <c r="L238" s="15" t="s">
        <v>336</v>
      </c>
      <c r="M238" s="15" t="s">
        <v>28</v>
      </c>
      <c r="N238" s="55">
        <f>IFERROR(VLOOKUP(Proponentes[[#This Row],[Cap Op en SMMLV]],Base!$A$15:$F$20,3),0)</f>
        <v>1</v>
      </c>
      <c r="O238" s="16">
        <f>IFERROR(VLOOKUP(Proponentes[[#This Row],[Cap Op en SMMLV]],Base!$A$15:$F$20,4),0)</f>
        <v>0.76</v>
      </c>
      <c r="P238" s="17">
        <f>IFERROR(VLOOKUP(Proponentes[[#This Row],[Cap Op en SMMLV]],Tabla2[],6),0)</f>
        <v>12.5</v>
      </c>
      <c r="Q238" s="18">
        <f>IFERROR(VLOOKUP(Proponentes[[#This Row],[Cap Op en SMMLV]],Base!$A$15:$F$20,5),0)</f>
        <v>10351450</v>
      </c>
      <c r="R238" s="18">
        <f>IFERROR(VLOOKUP(Proponentes[[#This Row],[Cap Op en SMMLV]],Tabla2[[DE]:[HASTA]],2),0)</f>
        <v>500</v>
      </c>
      <c r="S238" s="19">
        <f>IFERROR(Proponentes[[#This Row],[Activo Corriente]]/Proponentes[[#This Row],[Pasivo Corriente]],"INDETERMINADO")</f>
        <v>422.36940828402368</v>
      </c>
      <c r="T238" s="20">
        <f>IFERROR(Proponentes[[#This Row],[Total Pasivo]]/Proponentes[[#This Row],[Total ACTIVO]],0)</f>
        <v>1.9720183432712169E-3</v>
      </c>
      <c r="U238" s="21">
        <f>(Proponentes[[#This Row],[Activo Corriente]]-Proponentes[[#This Row],[Pasivo Corriente]])/Base!$B$3</f>
        <v>85.992095310318845</v>
      </c>
      <c r="V238" s="22">
        <f>Proponentes[[#This Row],[Activo Corriente]]-Proponentes[[#This Row],[Pasivo Corriente]]</f>
        <v>71211430</v>
      </c>
      <c r="W238" s="13">
        <f>IFERROR(VLOOKUP(Proponentes[[#This Row],[Propuesta]],Hoja2!$A$2:$G$329,7,FALSE),0)</f>
        <v>27789381.597033761</v>
      </c>
      <c r="X238" s="83">
        <f>IF(Proponentes[[#This Row],[Cap Op en Pesos]]=0,0,IF(Proponentes[[#This Row],[Cap Op en Pesos]]=0,1,Proponentes[[#This Row],[Cap Op en Pesos]]/Base!B$3))</f>
        <v>33.557353797093356</v>
      </c>
      <c r="Y23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3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3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38" s="23" t="str">
        <f>IF(AND(Proponentes[[#This Row],[Cumple
Liquidez]]="CUMPLE",Proponentes[[#This Row],[Cumple
Endeudamiento]]="CUMPLE",Proponentes[[#This Row],[Cumple
Capital de Trabajo]]="CUMPLE"),"CUMPLE","NO CUMPLE")</f>
        <v>CUMPLE</v>
      </c>
      <c r="AC238" s="24"/>
      <c r="AD238" s="10">
        <f>IF(Proponentes[[#This Row],[Liquidez
Oferente]]&lt;=1,1,IF(Proponentes[[#This Row],[Liquidez
Oferente]]&lt;=1.1,2,IF(Proponentes[[#This Row],[Liquidez
Oferente]]&lt;=1.2,3,IF(Proponentes[[#This Row],[Liquidez
Oferente]]&lt;=1.3,4,IF(Proponentes[[#This Row],[Liquidez
Oferente]]&lt;=1.4,5,6)))))</f>
        <v>6</v>
      </c>
      <c r="AE238" s="10">
        <f>IF(Proponentes[[#This Row],[Endeudamiento
Oferente]]&lt;=66%,6,IF(Proponentes[[#This Row],[Endeudamiento
Oferente]]&lt;=58,5,IF(Proponentes[[#This Row],[Endeudamiento
Oferente]]&lt;=70,4,IF(Proponentes[[#This Row],[Endeudamiento
Oferente]]&lt;=72,3,IF(Proponentes[[#This Row],[Endeudamiento
Oferente]]&lt;=74,2,1)))))</f>
        <v>6</v>
      </c>
      <c r="AF23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38" s="10">
        <f>IF(Proponentes[[#This Row],[Cap Op en SMMLV]]&lt;=500,1,IF(Proponentes[[#This Row],[Cap Op en SMMLV]]&lt;=1000,2,IF(Proponentes[[#This Row],[Cap Op en SMMLV]]&lt;=1500,3,IF(Proponentes[[#This Row],[Cap Op en SMMLV]]&lt;=2000,4,IF(Proponentes[[#This Row],[Cap Op en SMMLV]]&lt;=2500,5,6)))))</f>
        <v>1</v>
      </c>
      <c r="AH238" s="10">
        <f>MIN(Proponentes[[#This Row],[a]:[d]])</f>
        <v>1</v>
      </c>
      <c r="AI238" s="87">
        <f>IF(Proponentes[[#This Row],[e]]=Proponentes[[#This Row],[d]],Proponentes[[#This Row],[Cap Op en SMMLV]],VLOOKUP(Proponentes[[#This Row],[e]],Base!$D$1:$E$6,2,FALSE))</f>
        <v>33.557353797093356</v>
      </c>
      <c r="AJ238" s="101" t="str">
        <f>VLOOKUP(Proponentes[[#This Row],[Propuesta]],Hoja2!$A$2:$D$329,4,FALSE)</f>
        <v>CUMPLE</v>
      </c>
      <c r="AK238" s="101"/>
    </row>
    <row r="239" spans="1:37" ht="16" x14ac:dyDescent="0.2">
      <c r="A239" s="10">
        <v>238</v>
      </c>
      <c r="B239" s="11">
        <v>802005487</v>
      </c>
      <c r="C239" s="12" t="s">
        <v>337</v>
      </c>
      <c r="D239" s="13">
        <v>179987000</v>
      </c>
      <c r="E239" s="13">
        <v>146411000</v>
      </c>
      <c r="F239" s="25">
        <f>Proponentes[[#This Row],[Activo Corriente]]+Proponentes[[#This Row],[Activo NO Corriente]]</f>
        <v>326398000</v>
      </c>
      <c r="G239" s="13">
        <v>35402000</v>
      </c>
      <c r="H239" s="13">
        <v>0</v>
      </c>
      <c r="I239" s="25">
        <f>Proponentes[[#This Row],[Pasivo Corriente]]+Proponentes[[#This Row],[Pasivo NO Corriente]]</f>
        <v>35402000</v>
      </c>
      <c r="J239" s="14">
        <f>Proponentes[[#This Row],[Total ACTIVO]]-Proponentes[[#This Row],[Total Pasivo]]</f>
        <v>290996000</v>
      </c>
      <c r="K239" s="48">
        <f>VLOOKUP(Proponentes[[#This Row],[Propuesta]],Hoja2!$A$2:$G$239,7,FALSE)</f>
        <v>0</v>
      </c>
      <c r="L239" s="15" t="s">
        <v>338</v>
      </c>
      <c r="M239" s="15" t="s">
        <v>28</v>
      </c>
      <c r="N239" s="55">
        <f>IFERROR(VLOOKUP(Proponentes[[#This Row],[Cap Op en SMMLV]],Base!$A$15:$F$20,3),0)</f>
        <v>0</v>
      </c>
      <c r="O239" s="16">
        <f>IFERROR(VLOOKUP(Proponentes[[#This Row],[Cap Op en SMMLV]],Base!$A$15:$F$20,4),0)</f>
        <v>0</v>
      </c>
      <c r="P239" s="17">
        <f>IFERROR(VLOOKUP(Proponentes[[#This Row],[Cap Op en SMMLV]],Tabla2[],6),0)</f>
        <v>0</v>
      </c>
      <c r="Q239" s="18">
        <f>IFERROR(VLOOKUP(Proponentes[[#This Row],[Cap Op en SMMLV]],Base!$A$15:$F$20,5),0)</f>
        <v>0</v>
      </c>
      <c r="R239" s="18">
        <f>IFERROR(VLOOKUP(Proponentes[[#This Row],[Cap Op en SMMLV]],Tabla2[[DE]:[HASTA]],2),0)</f>
        <v>0</v>
      </c>
      <c r="S239" s="19">
        <f>IFERROR(Proponentes[[#This Row],[Activo Corriente]]/Proponentes[[#This Row],[Pasivo Corriente]],"INDETERMINADO")</f>
        <v>5.0840912942771599</v>
      </c>
      <c r="T239" s="20">
        <f>IFERROR(Proponentes[[#This Row],[Total Pasivo]]/Proponentes[[#This Row],[Total ACTIVO]],0)</f>
        <v>0.10846267440364218</v>
      </c>
      <c r="U239" s="21">
        <f>(Proponentes[[#This Row],[Activo Corriente]]-Proponentes[[#This Row],[Pasivo Corriente]])/Base!$B$3</f>
        <v>174.59510503359434</v>
      </c>
      <c r="V239" s="22">
        <f>Proponentes[[#This Row],[Activo Corriente]]-Proponentes[[#This Row],[Pasivo Corriente]]</f>
        <v>144585000</v>
      </c>
      <c r="W239" s="13">
        <f>IFERROR(VLOOKUP(Proponentes[[#This Row],[Propuesta]],Hoja2!$A$2:$G$329,7,FALSE),0)</f>
        <v>0</v>
      </c>
      <c r="X239" s="83">
        <f>IF(Proponentes[[#This Row],[Cap Op en Pesos]]=0,0,IF(Proponentes[[#This Row],[Cap Op en Pesos]]=0,1,Proponentes[[#This Row],[Cap Op en Pesos]]/Base!B$3))</f>
        <v>0</v>
      </c>
      <c r="Y23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3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3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39" s="23" t="str">
        <f>IF(AND(Proponentes[[#This Row],[Cumple
Liquidez]]="CUMPLE",Proponentes[[#This Row],[Cumple
Endeudamiento]]="CUMPLE",Proponentes[[#This Row],[Cumple
Capital de Trabajo]]="CUMPLE"),"CUMPLE","NO CUMPLE")</f>
        <v>NO CUMPLE</v>
      </c>
      <c r="AC239" s="24"/>
      <c r="AD239" s="10">
        <f>IF(Proponentes[[#This Row],[Liquidez
Oferente]]&lt;=1,1,IF(Proponentes[[#This Row],[Liquidez
Oferente]]&lt;=1.1,2,IF(Proponentes[[#This Row],[Liquidez
Oferente]]&lt;=1.2,3,IF(Proponentes[[#This Row],[Liquidez
Oferente]]&lt;=1.3,4,IF(Proponentes[[#This Row],[Liquidez
Oferente]]&lt;=1.4,5,6)))))</f>
        <v>6</v>
      </c>
      <c r="AE239" s="10">
        <f>IF(Proponentes[[#This Row],[Endeudamiento
Oferente]]&lt;=66%,6,IF(Proponentes[[#This Row],[Endeudamiento
Oferente]]&lt;=58,5,IF(Proponentes[[#This Row],[Endeudamiento
Oferente]]&lt;=70,4,IF(Proponentes[[#This Row],[Endeudamiento
Oferente]]&lt;=72,3,IF(Proponentes[[#This Row],[Endeudamiento
Oferente]]&lt;=74,2,1)))))</f>
        <v>6</v>
      </c>
      <c r="AF23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39" s="10">
        <f>IF(Proponentes[[#This Row],[Cap Op en SMMLV]]&lt;=500,1,IF(Proponentes[[#This Row],[Cap Op en SMMLV]]&lt;=1000,2,IF(Proponentes[[#This Row],[Cap Op en SMMLV]]&lt;=1500,3,IF(Proponentes[[#This Row],[Cap Op en SMMLV]]&lt;=2000,4,IF(Proponentes[[#This Row],[Cap Op en SMMLV]]&lt;=2500,5,6)))))</f>
        <v>1</v>
      </c>
      <c r="AH239" s="10">
        <f>MIN(Proponentes[[#This Row],[a]:[d]])</f>
        <v>1</v>
      </c>
      <c r="AI239" s="87">
        <f>IF(Proponentes[[#This Row],[e]]=Proponentes[[#This Row],[d]],Proponentes[[#This Row],[Cap Op en SMMLV]],VLOOKUP(Proponentes[[#This Row],[e]],Base!$D$1:$E$6,2,FALSE))</f>
        <v>0</v>
      </c>
      <c r="AJ239" s="101" t="str">
        <f>VLOOKUP(Proponentes[[#This Row],[Propuesta]],Hoja2!$A$2:$D$329,4,FALSE)</f>
        <v>NO CUMPLE</v>
      </c>
      <c r="AK239" s="101"/>
    </row>
    <row r="240" spans="1:37" ht="16" x14ac:dyDescent="0.2">
      <c r="A240" s="10">
        <v>239</v>
      </c>
      <c r="B240" s="11">
        <v>900268959</v>
      </c>
      <c r="C240" s="12" t="s">
        <v>339</v>
      </c>
      <c r="D240" s="13">
        <v>1602502000</v>
      </c>
      <c r="E240" s="13">
        <v>12500000</v>
      </c>
      <c r="F240" s="25">
        <f>Proponentes[[#This Row],[Activo Corriente]]+Proponentes[[#This Row],[Activo NO Corriente]]</f>
        <v>1615002000</v>
      </c>
      <c r="G240" s="13">
        <v>237502000</v>
      </c>
      <c r="H240" s="13">
        <v>0</v>
      </c>
      <c r="I240" s="25">
        <f>Proponentes[[#This Row],[Pasivo Corriente]]+Proponentes[[#This Row],[Pasivo NO Corriente]]</f>
        <v>237502000</v>
      </c>
      <c r="J240" s="14">
        <f>Proponentes[[#This Row],[Total ACTIVO]]-Proponentes[[#This Row],[Total Pasivo]]</f>
        <v>1377500000</v>
      </c>
      <c r="K240" s="48" t="e">
        <f>VLOOKUP(Proponentes[[#This Row],[Propuesta]],Hoja2!$A$2:$G$239,7,FALSE)</f>
        <v>#N/A</v>
      </c>
      <c r="L240" s="15" t="s">
        <v>340</v>
      </c>
      <c r="M240" s="15" t="s">
        <v>28</v>
      </c>
      <c r="N240" s="55">
        <f>IFERROR(VLOOKUP(Proponentes[[#This Row],[Cap Op en SMMLV]],Base!$A$15:$F$20,3),0)</f>
        <v>1</v>
      </c>
      <c r="O240" s="16">
        <f>IFERROR(VLOOKUP(Proponentes[[#This Row],[Cap Op en SMMLV]],Base!$A$15:$F$20,4),0)</f>
        <v>0.76</v>
      </c>
      <c r="P240" s="17">
        <f>IFERROR(VLOOKUP(Proponentes[[#This Row],[Cap Op en SMMLV]],Tabla2[],6),0)</f>
        <v>12.5</v>
      </c>
      <c r="Q240" s="18">
        <f>IFERROR(VLOOKUP(Proponentes[[#This Row],[Cap Op en SMMLV]],Base!$A$15:$F$20,5),0)</f>
        <v>10351450</v>
      </c>
      <c r="R240" s="18">
        <f>IFERROR(VLOOKUP(Proponentes[[#This Row],[Cap Op en SMMLV]],Tabla2[[DE]:[HASTA]],2),0)</f>
        <v>500</v>
      </c>
      <c r="S240" s="19">
        <f>IFERROR(Proponentes[[#This Row],[Activo Corriente]]/Proponentes[[#This Row],[Pasivo Corriente]],"INDETERMINADO")</f>
        <v>6.747320022568231</v>
      </c>
      <c r="T240" s="20">
        <f>IFERROR(Proponentes[[#This Row],[Total Pasivo]]/Proponentes[[#This Row],[Total ACTIVO]],0)</f>
        <v>0.14705987980200644</v>
      </c>
      <c r="U240" s="21">
        <f>(Proponentes[[#This Row],[Activo Corriente]]-Proponentes[[#This Row],[Pasivo Corriente]])/Base!$B$3</f>
        <v>1648.3198006076443</v>
      </c>
      <c r="V240" s="22">
        <f>Proponentes[[#This Row],[Activo Corriente]]-Proponentes[[#This Row],[Pasivo Corriente]]</f>
        <v>1365000000</v>
      </c>
      <c r="W240" s="13">
        <f>IFERROR(VLOOKUP(Proponentes[[#This Row],[Propuesta]],Hoja2!$A$2:$G$329,7,FALSE),0)</f>
        <v>34715898.859920986</v>
      </c>
      <c r="X240" s="83">
        <f>IF(Proponentes[[#This Row],[Cap Op en Pesos]]=0,0,IF(Proponentes[[#This Row],[Cap Op en Pesos]]=0,1,Proponentes[[#This Row],[Cap Op en Pesos]]/Base!B$3))</f>
        <v>41.921541015897517</v>
      </c>
      <c r="Y24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4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4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40" s="23" t="str">
        <f>IF(AND(Proponentes[[#This Row],[Cumple
Liquidez]]="CUMPLE",Proponentes[[#This Row],[Cumple
Endeudamiento]]="CUMPLE",Proponentes[[#This Row],[Cumple
Capital de Trabajo]]="CUMPLE"),"CUMPLE","NO CUMPLE")</f>
        <v>CUMPLE</v>
      </c>
      <c r="AC240" s="24"/>
      <c r="AD240" s="10">
        <f>IF(Proponentes[[#This Row],[Liquidez
Oferente]]&lt;=1,1,IF(Proponentes[[#This Row],[Liquidez
Oferente]]&lt;=1.1,2,IF(Proponentes[[#This Row],[Liquidez
Oferente]]&lt;=1.2,3,IF(Proponentes[[#This Row],[Liquidez
Oferente]]&lt;=1.3,4,IF(Proponentes[[#This Row],[Liquidez
Oferente]]&lt;=1.4,5,6)))))</f>
        <v>6</v>
      </c>
      <c r="AE240" s="10">
        <f>IF(Proponentes[[#This Row],[Endeudamiento
Oferente]]&lt;=66%,6,IF(Proponentes[[#This Row],[Endeudamiento
Oferente]]&lt;=58,5,IF(Proponentes[[#This Row],[Endeudamiento
Oferente]]&lt;=70,4,IF(Proponentes[[#This Row],[Endeudamiento
Oferente]]&lt;=72,3,IF(Proponentes[[#This Row],[Endeudamiento
Oferente]]&lt;=74,2,1)))))</f>
        <v>6</v>
      </c>
      <c r="AF24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40" s="10">
        <f>IF(Proponentes[[#This Row],[Cap Op en SMMLV]]&lt;=500,1,IF(Proponentes[[#This Row],[Cap Op en SMMLV]]&lt;=1000,2,IF(Proponentes[[#This Row],[Cap Op en SMMLV]]&lt;=1500,3,IF(Proponentes[[#This Row],[Cap Op en SMMLV]]&lt;=2000,4,IF(Proponentes[[#This Row],[Cap Op en SMMLV]]&lt;=2500,5,6)))))</f>
        <v>1</v>
      </c>
      <c r="AH240" s="10">
        <f>MIN(Proponentes[[#This Row],[a]:[d]])</f>
        <v>1</v>
      </c>
      <c r="AI240" s="87">
        <f>IF(Proponentes[[#This Row],[e]]=Proponentes[[#This Row],[d]],Proponentes[[#This Row],[Cap Op en SMMLV]],VLOOKUP(Proponentes[[#This Row],[e]],Base!$D$1:$E$6,2,FALSE))</f>
        <v>41.921541015897517</v>
      </c>
      <c r="AJ240" s="101" t="str">
        <f>VLOOKUP(Proponentes[[#This Row],[Propuesta]],Hoja2!$A$2:$D$329,4,FALSE)</f>
        <v>NO CUMPLE</v>
      </c>
      <c r="AK240" s="101"/>
    </row>
    <row r="241" spans="1:37" ht="16" x14ac:dyDescent="0.2">
      <c r="A241" s="10">
        <v>240</v>
      </c>
      <c r="B241" s="11">
        <v>900660064</v>
      </c>
      <c r="C241" s="12" t="s">
        <v>341</v>
      </c>
      <c r="D241" s="13">
        <v>16062669</v>
      </c>
      <c r="E241" s="13">
        <v>20220000</v>
      </c>
      <c r="F241" s="25">
        <f>Proponentes[[#This Row],[Activo Corriente]]+Proponentes[[#This Row],[Activo NO Corriente]]</f>
        <v>36282669</v>
      </c>
      <c r="G241" s="13">
        <v>2018000</v>
      </c>
      <c r="H241" s="13">
        <v>0</v>
      </c>
      <c r="I241" s="25">
        <f>Proponentes[[#This Row],[Pasivo Corriente]]+Proponentes[[#This Row],[Pasivo NO Corriente]]</f>
        <v>2018000</v>
      </c>
      <c r="J241" s="14">
        <f>Proponentes[[#This Row],[Total ACTIVO]]-Proponentes[[#This Row],[Total Pasivo]]</f>
        <v>34264669</v>
      </c>
      <c r="K241" s="48" t="e">
        <f>VLOOKUP(Proponentes[[#This Row],[Propuesta]],Hoja2!$A$2:$G$239,7,FALSE)</f>
        <v>#N/A</v>
      </c>
      <c r="L241" s="15" t="s">
        <v>342</v>
      </c>
      <c r="M241" s="15" t="s">
        <v>28</v>
      </c>
      <c r="N241" s="55">
        <f>IFERROR(VLOOKUP(Proponentes[[#This Row],[Cap Op en SMMLV]],Base!$A$15:$F$20,3),0)</f>
        <v>1</v>
      </c>
      <c r="O241" s="16">
        <f>IFERROR(VLOOKUP(Proponentes[[#This Row],[Cap Op en SMMLV]],Base!$A$15:$F$20,4),0)</f>
        <v>0.76</v>
      </c>
      <c r="P241" s="17">
        <f>IFERROR(VLOOKUP(Proponentes[[#This Row],[Cap Op en SMMLV]],Tabla2[],6),0)</f>
        <v>12.5</v>
      </c>
      <c r="Q241" s="18">
        <f>IFERROR(VLOOKUP(Proponentes[[#This Row],[Cap Op en SMMLV]],Base!$A$15:$F$20,5),0)</f>
        <v>10351450</v>
      </c>
      <c r="R241" s="18">
        <f>IFERROR(VLOOKUP(Proponentes[[#This Row],[Cap Op en SMMLV]],Tabla2[[DE]:[HASTA]],2),0)</f>
        <v>500</v>
      </c>
      <c r="S241" s="19">
        <f>IFERROR(Proponentes[[#This Row],[Activo Corriente]]/Proponentes[[#This Row],[Pasivo Corriente]],"INDETERMINADO")</f>
        <v>7.9596972249752227</v>
      </c>
      <c r="T241" s="20">
        <f>IFERROR(Proponentes[[#This Row],[Total Pasivo]]/Proponentes[[#This Row],[Total ACTIVO]],0)</f>
        <v>5.5618841050530214E-2</v>
      </c>
      <c r="U241" s="21">
        <f>(Proponentes[[#This Row],[Activo Corriente]]-Proponentes[[#This Row],[Pasivo Corriente]])/Base!$B$3</f>
        <v>16.959784619546053</v>
      </c>
      <c r="V241" s="22">
        <f>Proponentes[[#This Row],[Activo Corriente]]-Proponentes[[#This Row],[Pasivo Corriente]]</f>
        <v>14044669</v>
      </c>
      <c r="W241" s="13">
        <f>IFERROR(VLOOKUP(Proponentes[[#This Row],[Propuesta]],Hoja2!$A$2:$G$329,7,FALSE),0)</f>
        <v>11783730.610307394</v>
      </c>
      <c r="X241" s="83">
        <f>IF(Proponentes[[#This Row],[Cap Op en Pesos]]=0,0,IF(Proponentes[[#This Row],[Cap Op en Pesos]]=0,1,Proponentes[[#This Row],[Cap Op en Pesos]]/Base!B$3))</f>
        <v>14.22956519413632</v>
      </c>
      <c r="Y24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4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4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41" s="23" t="str">
        <f>IF(AND(Proponentes[[#This Row],[Cumple
Liquidez]]="CUMPLE",Proponentes[[#This Row],[Cumple
Endeudamiento]]="CUMPLE",Proponentes[[#This Row],[Cumple
Capital de Trabajo]]="CUMPLE"),"CUMPLE","NO CUMPLE")</f>
        <v>CUMPLE</v>
      </c>
      <c r="AC241" s="24"/>
      <c r="AD241" s="10">
        <f>IF(Proponentes[[#This Row],[Liquidez
Oferente]]&lt;=1,1,IF(Proponentes[[#This Row],[Liquidez
Oferente]]&lt;=1.1,2,IF(Proponentes[[#This Row],[Liquidez
Oferente]]&lt;=1.2,3,IF(Proponentes[[#This Row],[Liquidez
Oferente]]&lt;=1.3,4,IF(Proponentes[[#This Row],[Liquidez
Oferente]]&lt;=1.4,5,6)))))</f>
        <v>6</v>
      </c>
      <c r="AE241" s="10">
        <f>IF(Proponentes[[#This Row],[Endeudamiento
Oferente]]&lt;=66%,6,IF(Proponentes[[#This Row],[Endeudamiento
Oferente]]&lt;=58,5,IF(Proponentes[[#This Row],[Endeudamiento
Oferente]]&lt;=70,4,IF(Proponentes[[#This Row],[Endeudamiento
Oferente]]&lt;=72,3,IF(Proponentes[[#This Row],[Endeudamiento
Oferente]]&lt;=74,2,1)))))</f>
        <v>6</v>
      </c>
      <c r="AF24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241" s="10">
        <f>IF(Proponentes[[#This Row],[Cap Op en SMMLV]]&lt;=500,1,IF(Proponentes[[#This Row],[Cap Op en SMMLV]]&lt;=1000,2,IF(Proponentes[[#This Row],[Cap Op en SMMLV]]&lt;=1500,3,IF(Proponentes[[#This Row],[Cap Op en SMMLV]]&lt;=2000,4,IF(Proponentes[[#This Row],[Cap Op en SMMLV]]&lt;=2500,5,6)))))</f>
        <v>1</v>
      </c>
      <c r="AH241" s="10">
        <f>MIN(Proponentes[[#This Row],[a]:[d]])</f>
        <v>1</v>
      </c>
      <c r="AI241" s="87">
        <f>IF(Proponentes[[#This Row],[e]]=Proponentes[[#This Row],[d]],Proponentes[[#This Row],[Cap Op en SMMLV]],VLOOKUP(Proponentes[[#This Row],[e]],Base!$D$1:$E$6,2,FALSE))</f>
        <v>14.22956519413632</v>
      </c>
      <c r="AJ241" s="101" t="str">
        <f>VLOOKUP(Proponentes[[#This Row],[Propuesta]],Hoja2!$A$2:$D$329,4,FALSE)</f>
        <v>CUMPLE</v>
      </c>
      <c r="AK241" s="101"/>
    </row>
    <row r="242" spans="1:37" ht="16" x14ac:dyDescent="0.2">
      <c r="A242" s="10">
        <v>241</v>
      </c>
      <c r="B242" s="11">
        <v>834001100</v>
      </c>
      <c r="C242" s="12" t="s">
        <v>343</v>
      </c>
      <c r="D242" s="13">
        <v>935057240.05999994</v>
      </c>
      <c r="E242" s="13">
        <v>86795615</v>
      </c>
      <c r="F242" s="25">
        <f>Proponentes[[#This Row],[Activo Corriente]]+Proponentes[[#This Row],[Activo NO Corriente]]</f>
        <v>1021852855.0599999</v>
      </c>
      <c r="G242" s="13">
        <v>165120744.40000001</v>
      </c>
      <c r="H242" s="13">
        <v>340424795</v>
      </c>
      <c r="I242" s="25">
        <f>Proponentes[[#This Row],[Pasivo Corriente]]+Proponentes[[#This Row],[Pasivo NO Corriente]]</f>
        <v>505545539.39999998</v>
      </c>
      <c r="J242" s="14">
        <f>Proponentes[[#This Row],[Total ACTIVO]]-Proponentes[[#This Row],[Total Pasivo]]</f>
        <v>516307315.65999997</v>
      </c>
      <c r="K242" s="48" t="e">
        <f>VLOOKUP(Proponentes[[#This Row],[Propuesta]],Hoja2!$A$2:$G$239,7,FALSE)</f>
        <v>#N/A</v>
      </c>
      <c r="L242" s="15"/>
      <c r="M242" s="15" t="s">
        <v>28</v>
      </c>
      <c r="N242" s="55">
        <f>IFERROR(VLOOKUP(Proponentes[[#This Row],[Cap Op en SMMLV]],Base!$A$15:$F$20,3),0)</f>
        <v>1.2</v>
      </c>
      <c r="O242" s="16">
        <f>IFERROR(VLOOKUP(Proponentes[[#This Row],[Cap Op en SMMLV]],Base!$A$15:$F$20,4),0)</f>
        <v>0.72</v>
      </c>
      <c r="P242" s="17">
        <f>IFERROR(VLOOKUP(Proponentes[[#This Row],[Cap Op en SMMLV]],Tabla2[],6),0)</f>
        <v>37.5</v>
      </c>
      <c r="Q242" s="18">
        <f>IFERROR(VLOOKUP(Proponentes[[#This Row],[Cap Op en SMMLV]],Base!$A$15:$F$20,5),0)</f>
        <v>31054350</v>
      </c>
      <c r="R242" s="18">
        <f>IFERROR(VLOOKUP(Proponentes[[#This Row],[Cap Op en SMMLV]],Tabla2[[DE]:[HASTA]],2),0)</f>
        <v>1500</v>
      </c>
      <c r="S242" s="19">
        <f>IFERROR(Proponentes[[#This Row],[Activo Corriente]]/Proponentes[[#This Row],[Pasivo Corriente]],"INDETERMINADO")</f>
        <v>5.6628695773975686</v>
      </c>
      <c r="T242" s="20">
        <f>IFERROR(Proponentes[[#This Row],[Total Pasivo]]/Proponentes[[#This Row],[Total ACTIVO]],0)</f>
        <v>0.4947341849627811</v>
      </c>
      <c r="U242" s="21">
        <f>(Proponentes[[#This Row],[Activo Corriente]]-Proponentes[[#This Row],[Pasivo Corriente]])/Base!$B$3</f>
        <v>929.7447406643513</v>
      </c>
      <c r="V242" s="22">
        <f>Proponentes[[#This Row],[Activo Corriente]]-Proponentes[[#This Row],[Pasivo Corriente]]</f>
        <v>769936495.65999997</v>
      </c>
      <c r="W242" s="13">
        <f>IFERROR(VLOOKUP(Proponentes[[#This Row],[Propuesta]],Hoja2!$A$2:$G$329,7,FALSE),0)</f>
        <v>1226970651.2419326</v>
      </c>
      <c r="X242" s="83">
        <f>IF(Proponentes[[#This Row],[Cap Op en Pesos]]=0,0,IF(Proponentes[[#This Row],[Cap Op en Pesos]]=0,1,Proponentes[[#This Row],[Cap Op en Pesos]]/Base!B$3))</f>
        <v>1481.6410397117465</v>
      </c>
      <c r="Y24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4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4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42" s="23" t="str">
        <f>IF(AND(Proponentes[[#This Row],[Cumple
Liquidez]]="CUMPLE",Proponentes[[#This Row],[Cumple
Endeudamiento]]="CUMPLE",Proponentes[[#This Row],[Cumple
Capital de Trabajo]]="CUMPLE"),"CUMPLE","NO CUMPLE")</f>
        <v>CUMPLE</v>
      </c>
      <c r="AC242" s="24"/>
      <c r="AD242" s="10">
        <f>IF(Proponentes[[#This Row],[Liquidez
Oferente]]&lt;=1,1,IF(Proponentes[[#This Row],[Liquidez
Oferente]]&lt;=1.1,2,IF(Proponentes[[#This Row],[Liquidez
Oferente]]&lt;=1.2,3,IF(Proponentes[[#This Row],[Liquidez
Oferente]]&lt;=1.3,4,IF(Proponentes[[#This Row],[Liquidez
Oferente]]&lt;=1.4,5,6)))))</f>
        <v>6</v>
      </c>
      <c r="AE242" s="10">
        <f>IF(Proponentes[[#This Row],[Endeudamiento
Oferente]]&lt;=66%,6,IF(Proponentes[[#This Row],[Endeudamiento
Oferente]]&lt;=58,5,IF(Proponentes[[#This Row],[Endeudamiento
Oferente]]&lt;=70,4,IF(Proponentes[[#This Row],[Endeudamiento
Oferente]]&lt;=72,3,IF(Proponentes[[#This Row],[Endeudamiento
Oferente]]&lt;=74,2,1)))))</f>
        <v>6</v>
      </c>
      <c r="AF24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42" s="10">
        <f>IF(Proponentes[[#This Row],[Cap Op en SMMLV]]&lt;=500,1,IF(Proponentes[[#This Row],[Cap Op en SMMLV]]&lt;=1000,2,IF(Proponentes[[#This Row],[Cap Op en SMMLV]]&lt;=1500,3,IF(Proponentes[[#This Row],[Cap Op en SMMLV]]&lt;=2000,4,IF(Proponentes[[#This Row],[Cap Op en SMMLV]]&lt;=2500,5,6)))))</f>
        <v>3</v>
      </c>
      <c r="AH242" s="10">
        <f>MIN(Proponentes[[#This Row],[a]:[d]])</f>
        <v>3</v>
      </c>
      <c r="AI242" s="87">
        <f>IF(Proponentes[[#This Row],[e]]=Proponentes[[#This Row],[d]],Proponentes[[#This Row],[Cap Op en SMMLV]],VLOOKUP(Proponentes[[#This Row],[e]],Base!$D$1:$E$6,2,FALSE))</f>
        <v>1481.6410397117465</v>
      </c>
      <c r="AJ242" s="101" t="str">
        <f>VLOOKUP(Proponentes[[#This Row],[Propuesta]],Hoja2!$A$2:$D$329,4,FALSE)</f>
        <v>CUMPLE</v>
      </c>
      <c r="AK242" s="101"/>
    </row>
    <row r="243" spans="1:37" ht="16" x14ac:dyDescent="0.2">
      <c r="A243" s="10">
        <v>242</v>
      </c>
      <c r="B243" s="11">
        <v>806009011</v>
      </c>
      <c r="C243" s="12" t="s">
        <v>344</v>
      </c>
      <c r="D243" s="13">
        <v>740431000</v>
      </c>
      <c r="E243" s="13">
        <v>308846000</v>
      </c>
      <c r="F243" s="25">
        <f>Proponentes[[#This Row],[Activo Corriente]]+Proponentes[[#This Row],[Activo NO Corriente]]</f>
        <v>1049277000</v>
      </c>
      <c r="G243" s="13">
        <v>15627000</v>
      </c>
      <c r="H243" s="13">
        <v>26921000</v>
      </c>
      <c r="I243" s="25">
        <f>Proponentes[[#This Row],[Pasivo Corriente]]+Proponentes[[#This Row],[Pasivo NO Corriente]]</f>
        <v>42548000</v>
      </c>
      <c r="J243" s="14">
        <f>Proponentes[[#This Row],[Total ACTIVO]]-Proponentes[[#This Row],[Total Pasivo]]</f>
        <v>1006729000</v>
      </c>
      <c r="K243" s="48" t="e">
        <f>VLOOKUP(Proponentes[[#This Row],[Propuesta]],Hoja2!$A$2:$G$239,7,FALSE)</f>
        <v>#N/A</v>
      </c>
      <c r="L243" s="15" t="s">
        <v>345</v>
      </c>
      <c r="M243" s="15" t="s">
        <v>28</v>
      </c>
      <c r="N243" s="55">
        <f>IFERROR(VLOOKUP(Proponentes[[#This Row],[Cap Op en SMMLV]],Base!$A$15:$F$20,3),0)</f>
        <v>1</v>
      </c>
      <c r="O243" s="16">
        <f>IFERROR(VLOOKUP(Proponentes[[#This Row],[Cap Op en SMMLV]],Base!$A$15:$F$20,4),0)</f>
        <v>0.76</v>
      </c>
      <c r="P243" s="17">
        <f>IFERROR(VLOOKUP(Proponentes[[#This Row],[Cap Op en SMMLV]],Tabla2[],6),0)</f>
        <v>12.5</v>
      </c>
      <c r="Q243" s="18">
        <f>IFERROR(VLOOKUP(Proponentes[[#This Row],[Cap Op en SMMLV]],Base!$A$15:$F$20,5),0)</f>
        <v>10351450</v>
      </c>
      <c r="R243" s="18">
        <f>IFERROR(VLOOKUP(Proponentes[[#This Row],[Cap Op en SMMLV]],Tabla2[[DE]:[HASTA]],2),0)</f>
        <v>500</v>
      </c>
      <c r="S243" s="19">
        <f>IFERROR(Proponentes[[#This Row],[Activo Corriente]]/Proponentes[[#This Row],[Pasivo Corriente]],"INDETERMINADO")</f>
        <v>47.381519165546813</v>
      </c>
      <c r="T243" s="20">
        <f>IFERROR(Proponentes[[#This Row],[Total Pasivo]]/Proponentes[[#This Row],[Total ACTIVO]],0)</f>
        <v>4.0549826213669031E-2</v>
      </c>
      <c r="U243" s="21">
        <f>(Proponentes[[#This Row],[Activo Corriente]]-Proponentes[[#This Row],[Pasivo Corriente]])/Base!$B$3</f>
        <v>875.24453095943079</v>
      </c>
      <c r="V243" s="22">
        <f>Proponentes[[#This Row],[Activo Corriente]]-Proponentes[[#This Row],[Pasivo Corriente]]</f>
        <v>724804000</v>
      </c>
      <c r="W243" s="13">
        <f>IFERROR(VLOOKUP(Proponentes[[#This Row],[Propuesta]],Hoja2!$A$2:$G$329,7,FALSE),0)</f>
        <v>175909391.33512402</v>
      </c>
      <c r="X243" s="83">
        <f>IF(Proponentes[[#This Row],[Cap Op en Pesos]]=0,0,IF(Proponentes[[#This Row],[Cap Op en Pesos]]=0,1,Proponentes[[#This Row],[Cap Op en Pesos]]/Base!B$3))</f>
        <v>212.4211962274899</v>
      </c>
      <c r="Y24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4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4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43" s="23" t="str">
        <f>IF(AND(Proponentes[[#This Row],[Cumple
Liquidez]]="CUMPLE",Proponentes[[#This Row],[Cumple
Endeudamiento]]="CUMPLE",Proponentes[[#This Row],[Cumple
Capital de Trabajo]]="CUMPLE"),"CUMPLE","NO CUMPLE")</f>
        <v>CUMPLE</v>
      </c>
      <c r="AC243" s="24"/>
      <c r="AD243" s="10">
        <f>IF(Proponentes[[#This Row],[Liquidez
Oferente]]&lt;=1,1,IF(Proponentes[[#This Row],[Liquidez
Oferente]]&lt;=1.1,2,IF(Proponentes[[#This Row],[Liquidez
Oferente]]&lt;=1.2,3,IF(Proponentes[[#This Row],[Liquidez
Oferente]]&lt;=1.3,4,IF(Proponentes[[#This Row],[Liquidez
Oferente]]&lt;=1.4,5,6)))))</f>
        <v>6</v>
      </c>
      <c r="AE243" s="10">
        <f>IF(Proponentes[[#This Row],[Endeudamiento
Oferente]]&lt;=66%,6,IF(Proponentes[[#This Row],[Endeudamiento
Oferente]]&lt;=58,5,IF(Proponentes[[#This Row],[Endeudamiento
Oferente]]&lt;=70,4,IF(Proponentes[[#This Row],[Endeudamiento
Oferente]]&lt;=72,3,IF(Proponentes[[#This Row],[Endeudamiento
Oferente]]&lt;=74,2,1)))))</f>
        <v>6</v>
      </c>
      <c r="AF24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43" s="10">
        <f>IF(Proponentes[[#This Row],[Cap Op en SMMLV]]&lt;=500,1,IF(Proponentes[[#This Row],[Cap Op en SMMLV]]&lt;=1000,2,IF(Proponentes[[#This Row],[Cap Op en SMMLV]]&lt;=1500,3,IF(Proponentes[[#This Row],[Cap Op en SMMLV]]&lt;=2000,4,IF(Proponentes[[#This Row],[Cap Op en SMMLV]]&lt;=2500,5,6)))))</f>
        <v>1</v>
      </c>
      <c r="AH243" s="10">
        <f>MIN(Proponentes[[#This Row],[a]:[d]])</f>
        <v>1</v>
      </c>
      <c r="AI243" s="87">
        <f>IF(Proponentes[[#This Row],[e]]=Proponentes[[#This Row],[d]],Proponentes[[#This Row],[Cap Op en SMMLV]],VLOOKUP(Proponentes[[#This Row],[e]],Base!$D$1:$E$6,2,FALSE))</f>
        <v>212.4211962274899</v>
      </c>
      <c r="AJ243" s="101" t="str">
        <f>VLOOKUP(Proponentes[[#This Row],[Propuesta]],Hoja2!$A$2:$D$329,4,FALSE)</f>
        <v>NO CUMPLE</v>
      </c>
      <c r="AK243" s="101"/>
    </row>
    <row r="244" spans="1:37" ht="16" x14ac:dyDescent="0.2">
      <c r="A244" s="10">
        <v>243</v>
      </c>
      <c r="B244" s="11">
        <v>900661644</v>
      </c>
      <c r="C244" s="12" t="s">
        <v>346</v>
      </c>
      <c r="D244" s="13">
        <v>224208000</v>
      </c>
      <c r="E244" s="13">
        <v>307458000</v>
      </c>
      <c r="F244" s="25">
        <f>Proponentes[[#This Row],[Activo Corriente]]+Proponentes[[#This Row],[Activo NO Corriente]]</f>
        <v>531666000</v>
      </c>
      <c r="G244" s="13">
        <v>25734000</v>
      </c>
      <c r="H244" s="13">
        <v>35233000</v>
      </c>
      <c r="I244" s="25">
        <f>Proponentes[[#This Row],[Pasivo Corriente]]+Proponentes[[#This Row],[Pasivo NO Corriente]]</f>
        <v>60967000</v>
      </c>
      <c r="J244" s="14">
        <f>Proponentes[[#This Row],[Total ACTIVO]]-Proponentes[[#This Row],[Total Pasivo]]</f>
        <v>470699000</v>
      </c>
      <c r="K244" s="48" t="e">
        <f>VLOOKUP(Proponentes[[#This Row],[Propuesta]],Hoja2!$A$2:$G$239,7,FALSE)</f>
        <v>#N/A</v>
      </c>
      <c r="L244" s="15" t="s">
        <v>135</v>
      </c>
      <c r="M244" s="15" t="s">
        <v>28</v>
      </c>
      <c r="N244" s="55">
        <f>IFERROR(VLOOKUP(Proponentes[[#This Row],[Cap Op en SMMLV]],Base!$A$15:$F$20,3),0)</f>
        <v>1</v>
      </c>
      <c r="O244" s="16">
        <f>IFERROR(VLOOKUP(Proponentes[[#This Row],[Cap Op en SMMLV]],Base!$A$15:$F$20,4),0)</f>
        <v>0.76</v>
      </c>
      <c r="P244" s="17">
        <f>IFERROR(VLOOKUP(Proponentes[[#This Row],[Cap Op en SMMLV]],Tabla2[],6),0)</f>
        <v>12.5</v>
      </c>
      <c r="Q244" s="18">
        <f>IFERROR(VLOOKUP(Proponentes[[#This Row],[Cap Op en SMMLV]],Base!$A$15:$F$20,5),0)</f>
        <v>10351450</v>
      </c>
      <c r="R244" s="18">
        <f>IFERROR(VLOOKUP(Proponentes[[#This Row],[Cap Op en SMMLV]],Tabla2[[DE]:[HASTA]],2),0)</f>
        <v>500</v>
      </c>
      <c r="S244" s="19">
        <f>IFERROR(Proponentes[[#This Row],[Activo Corriente]]/Proponentes[[#This Row],[Pasivo Corriente]],"INDETERMINADO")</f>
        <v>8.7125204010258805</v>
      </c>
      <c r="T244" s="20">
        <f>IFERROR(Proponentes[[#This Row],[Total Pasivo]]/Proponentes[[#This Row],[Total ACTIVO]],0)</f>
        <v>0.1146716171430936</v>
      </c>
      <c r="U244" s="21">
        <f>(Proponentes[[#This Row],[Activo Corriente]]-Proponentes[[#This Row],[Pasivo Corriente]])/Base!$B$3</f>
        <v>239.66932168923194</v>
      </c>
      <c r="V244" s="22">
        <f>Proponentes[[#This Row],[Activo Corriente]]-Proponentes[[#This Row],[Pasivo Corriente]]</f>
        <v>198474000</v>
      </c>
      <c r="W244" s="13">
        <f>IFERROR(VLOOKUP(Proponentes[[#This Row],[Propuesta]],Hoja2!$A$2:$G$329,7,FALSE),0)</f>
        <v>175849676.96876442</v>
      </c>
      <c r="X244" s="83">
        <f>IF(Proponentes[[#This Row],[Cap Op en Pesos]]=0,0,IF(Proponentes[[#This Row],[Cap Op en Pesos]]=0,1,Proponentes[[#This Row],[Cap Op en Pesos]]/Base!B$3))</f>
        <v>212.34908752972339</v>
      </c>
      <c r="Y24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4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4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44" s="23" t="str">
        <f>IF(AND(Proponentes[[#This Row],[Cumple
Liquidez]]="CUMPLE",Proponentes[[#This Row],[Cumple
Endeudamiento]]="CUMPLE",Proponentes[[#This Row],[Cumple
Capital de Trabajo]]="CUMPLE"),"CUMPLE","NO CUMPLE")</f>
        <v>CUMPLE</v>
      </c>
      <c r="AC244" s="24"/>
      <c r="AD244" s="10">
        <f>IF(Proponentes[[#This Row],[Liquidez
Oferente]]&lt;=1,1,IF(Proponentes[[#This Row],[Liquidez
Oferente]]&lt;=1.1,2,IF(Proponentes[[#This Row],[Liquidez
Oferente]]&lt;=1.2,3,IF(Proponentes[[#This Row],[Liquidez
Oferente]]&lt;=1.3,4,IF(Proponentes[[#This Row],[Liquidez
Oferente]]&lt;=1.4,5,6)))))</f>
        <v>6</v>
      </c>
      <c r="AE244" s="10">
        <f>IF(Proponentes[[#This Row],[Endeudamiento
Oferente]]&lt;=66%,6,IF(Proponentes[[#This Row],[Endeudamiento
Oferente]]&lt;=58,5,IF(Proponentes[[#This Row],[Endeudamiento
Oferente]]&lt;=70,4,IF(Proponentes[[#This Row],[Endeudamiento
Oferente]]&lt;=72,3,IF(Proponentes[[#This Row],[Endeudamiento
Oferente]]&lt;=74,2,1)))))</f>
        <v>6</v>
      </c>
      <c r="AF24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44" s="10">
        <f>IF(Proponentes[[#This Row],[Cap Op en SMMLV]]&lt;=500,1,IF(Proponentes[[#This Row],[Cap Op en SMMLV]]&lt;=1000,2,IF(Proponentes[[#This Row],[Cap Op en SMMLV]]&lt;=1500,3,IF(Proponentes[[#This Row],[Cap Op en SMMLV]]&lt;=2000,4,IF(Proponentes[[#This Row],[Cap Op en SMMLV]]&lt;=2500,5,6)))))</f>
        <v>1</v>
      </c>
      <c r="AH244" s="10">
        <f>MIN(Proponentes[[#This Row],[a]:[d]])</f>
        <v>1</v>
      </c>
      <c r="AI244" s="87">
        <f>IF(Proponentes[[#This Row],[e]]=Proponentes[[#This Row],[d]],Proponentes[[#This Row],[Cap Op en SMMLV]],VLOOKUP(Proponentes[[#This Row],[e]],Base!$D$1:$E$6,2,FALSE))</f>
        <v>212.34908752972339</v>
      </c>
      <c r="AJ244" s="101" t="str">
        <f>VLOOKUP(Proponentes[[#This Row],[Propuesta]],Hoja2!$A$2:$D$329,4,FALSE)</f>
        <v>CUMPLE</v>
      </c>
      <c r="AK244" s="101"/>
    </row>
    <row r="245" spans="1:37" ht="16" x14ac:dyDescent="0.2">
      <c r="A245" s="10">
        <v>244</v>
      </c>
      <c r="B245" s="11">
        <v>802013551</v>
      </c>
      <c r="C245" s="12" t="s">
        <v>347</v>
      </c>
      <c r="D245" s="13">
        <v>210704000</v>
      </c>
      <c r="E245" s="13">
        <v>355190000</v>
      </c>
      <c r="F245" s="25">
        <f>Proponentes[[#This Row],[Activo Corriente]]+Proponentes[[#This Row],[Activo NO Corriente]]</f>
        <v>565894000</v>
      </c>
      <c r="G245" s="13">
        <v>32773000</v>
      </c>
      <c r="H245" s="13">
        <v>30146000</v>
      </c>
      <c r="I245" s="25">
        <f>Proponentes[[#This Row],[Pasivo Corriente]]+Proponentes[[#This Row],[Pasivo NO Corriente]]</f>
        <v>62919000</v>
      </c>
      <c r="J245" s="14">
        <f>Proponentes[[#This Row],[Total ACTIVO]]-Proponentes[[#This Row],[Total Pasivo]]</f>
        <v>502975000</v>
      </c>
      <c r="K245" s="48" t="e">
        <f>VLOOKUP(Proponentes[[#This Row],[Propuesta]],Hoja2!$A$2:$G$239,7,FALSE)</f>
        <v>#N/A</v>
      </c>
      <c r="L245" s="15" t="s">
        <v>135</v>
      </c>
      <c r="M245" s="15" t="s">
        <v>28</v>
      </c>
      <c r="N245" s="55">
        <f>IFERROR(VLOOKUP(Proponentes[[#This Row],[Cap Op en SMMLV]],Base!$A$15:$F$20,3),0)</f>
        <v>1</v>
      </c>
      <c r="O245" s="16">
        <f>IFERROR(VLOOKUP(Proponentes[[#This Row],[Cap Op en SMMLV]],Base!$A$15:$F$20,4),0)</f>
        <v>0.76</v>
      </c>
      <c r="P245" s="17">
        <f>IFERROR(VLOOKUP(Proponentes[[#This Row],[Cap Op en SMMLV]],Tabla2[],6),0)</f>
        <v>12.5</v>
      </c>
      <c r="Q245" s="18">
        <f>IFERROR(VLOOKUP(Proponentes[[#This Row],[Cap Op en SMMLV]],Base!$A$15:$F$20,5),0)</f>
        <v>10351450</v>
      </c>
      <c r="R245" s="18">
        <f>IFERROR(VLOOKUP(Proponentes[[#This Row],[Cap Op en SMMLV]],Tabla2[[DE]:[HASTA]],2),0)</f>
        <v>500</v>
      </c>
      <c r="S245" s="19">
        <f>IFERROR(Proponentes[[#This Row],[Activo Corriente]]/Proponentes[[#This Row],[Pasivo Corriente]],"INDETERMINADO")</f>
        <v>6.4291947639825464</v>
      </c>
      <c r="T245" s="20">
        <f>IFERROR(Proponentes[[#This Row],[Total Pasivo]]/Proponentes[[#This Row],[Total ACTIVO]],0)</f>
        <v>0.1111851336115951</v>
      </c>
      <c r="U245" s="21">
        <f>(Proponentes[[#This Row],[Activo Corriente]]-Proponentes[[#This Row],[Pasivo Corriente]])/Base!$B$3</f>
        <v>214.86241058016026</v>
      </c>
      <c r="V245" s="22">
        <f>Proponentes[[#This Row],[Activo Corriente]]-Proponentes[[#This Row],[Pasivo Corriente]]</f>
        <v>177931000</v>
      </c>
      <c r="W245" s="13">
        <f>IFERROR(VLOOKUP(Proponentes[[#This Row],[Propuesta]],Hoja2!$A$2:$G$329,7,FALSE),0)</f>
        <v>372529466.61728007</v>
      </c>
      <c r="X245" s="83">
        <f>IF(Proponentes[[#This Row],[Cap Op en Pesos]]=0,0,IF(Proponentes[[#This Row],[Cap Op en Pesos]]=0,1,Proponentes[[#This Row],[Cap Op en Pesos]]/Base!B$3))</f>
        <v>449.85179204034227</v>
      </c>
      <c r="Y24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4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4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45" s="23" t="str">
        <f>IF(AND(Proponentes[[#This Row],[Cumple
Liquidez]]="CUMPLE",Proponentes[[#This Row],[Cumple
Endeudamiento]]="CUMPLE",Proponentes[[#This Row],[Cumple
Capital de Trabajo]]="CUMPLE"),"CUMPLE","NO CUMPLE")</f>
        <v>CUMPLE</v>
      </c>
      <c r="AC245" s="24"/>
      <c r="AD245" s="10">
        <f>IF(Proponentes[[#This Row],[Liquidez
Oferente]]&lt;=1,1,IF(Proponentes[[#This Row],[Liquidez
Oferente]]&lt;=1.1,2,IF(Proponentes[[#This Row],[Liquidez
Oferente]]&lt;=1.2,3,IF(Proponentes[[#This Row],[Liquidez
Oferente]]&lt;=1.3,4,IF(Proponentes[[#This Row],[Liquidez
Oferente]]&lt;=1.4,5,6)))))</f>
        <v>6</v>
      </c>
      <c r="AE245" s="10">
        <f>IF(Proponentes[[#This Row],[Endeudamiento
Oferente]]&lt;=66%,6,IF(Proponentes[[#This Row],[Endeudamiento
Oferente]]&lt;=58,5,IF(Proponentes[[#This Row],[Endeudamiento
Oferente]]&lt;=70,4,IF(Proponentes[[#This Row],[Endeudamiento
Oferente]]&lt;=72,3,IF(Proponentes[[#This Row],[Endeudamiento
Oferente]]&lt;=74,2,1)))))</f>
        <v>6</v>
      </c>
      <c r="AF24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45" s="10">
        <f>IF(Proponentes[[#This Row],[Cap Op en SMMLV]]&lt;=500,1,IF(Proponentes[[#This Row],[Cap Op en SMMLV]]&lt;=1000,2,IF(Proponentes[[#This Row],[Cap Op en SMMLV]]&lt;=1500,3,IF(Proponentes[[#This Row],[Cap Op en SMMLV]]&lt;=2000,4,IF(Proponentes[[#This Row],[Cap Op en SMMLV]]&lt;=2500,5,6)))))</f>
        <v>1</v>
      </c>
      <c r="AH245" s="10">
        <f>MIN(Proponentes[[#This Row],[a]:[d]])</f>
        <v>1</v>
      </c>
      <c r="AI245" s="87">
        <f>IF(Proponentes[[#This Row],[e]]=Proponentes[[#This Row],[d]],Proponentes[[#This Row],[Cap Op en SMMLV]],VLOOKUP(Proponentes[[#This Row],[e]],Base!$D$1:$E$6,2,FALSE))</f>
        <v>449.85179204034227</v>
      </c>
      <c r="AJ245" s="101" t="str">
        <f>VLOOKUP(Proponentes[[#This Row],[Propuesta]],Hoja2!$A$2:$D$329,4,FALSE)</f>
        <v>NO CUMPLE</v>
      </c>
      <c r="AK245" s="101"/>
    </row>
    <row r="246" spans="1:37" ht="16" x14ac:dyDescent="0.2">
      <c r="A246" s="10">
        <v>245</v>
      </c>
      <c r="B246" s="11">
        <v>900720926</v>
      </c>
      <c r="C246" s="12" t="s">
        <v>348</v>
      </c>
      <c r="D246" s="13">
        <v>36270470</v>
      </c>
      <c r="E246" s="13">
        <v>396073012</v>
      </c>
      <c r="F246" s="25">
        <f>Proponentes[[#This Row],[Activo Corriente]]+Proponentes[[#This Row],[Activo NO Corriente]]</f>
        <v>432343482</v>
      </c>
      <c r="G246" s="13">
        <v>34852310</v>
      </c>
      <c r="H246" s="13">
        <v>0</v>
      </c>
      <c r="I246" s="25">
        <f>Proponentes[[#This Row],[Pasivo Corriente]]+Proponentes[[#This Row],[Pasivo NO Corriente]]</f>
        <v>34852310</v>
      </c>
      <c r="J246" s="14">
        <f>Proponentes[[#This Row],[Total ACTIVO]]-Proponentes[[#This Row],[Total Pasivo]]</f>
        <v>397491172</v>
      </c>
      <c r="K246" s="48" t="e">
        <f>VLOOKUP(Proponentes[[#This Row],[Propuesta]],Hoja2!$A$2:$G$239,7,FALSE)</f>
        <v>#N/A</v>
      </c>
      <c r="L246" s="15" t="s">
        <v>55</v>
      </c>
      <c r="M246" s="15" t="s">
        <v>473</v>
      </c>
      <c r="N246" s="55">
        <f>IFERROR(VLOOKUP(Proponentes[[#This Row],[Cap Op en SMMLV]],Base!$A$15:$F$20,3),0)</f>
        <v>0</v>
      </c>
      <c r="O246" s="16">
        <f>IFERROR(VLOOKUP(Proponentes[[#This Row],[Cap Op en SMMLV]],Base!$A$15:$F$20,4),0)</f>
        <v>0</v>
      </c>
      <c r="P246" s="17">
        <f>IFERROR(VLOOKUP(Proponentes[[#This Row],[Cap Op en SMMLV]],Tabla2[],6),0)</f>
        <v>0</v>
      </c>
      <c r="Q246" s="18">
        <f>IFERROR(VLOOKUP(Proponentes[[#This Row],[Cap Op en SMMLV]],Base!$A$15:$F$20,5),0)</f>
        <v>0</v>
      </c>
      <c r="R246" s="18">
        <f>IFERROR(VLOOKUP(Proponentes[[#This Row],[Cap Op en SMMLV]],Tabla2[[DE]:[HASTA]],2),0)</f>
        <v>0</v>
      </c>
      <c r="S246" s="19">
        <f>IFERROR(Proponentes[[#This Row],[Activo Corriente]]/Proponentes[[#This Row],[Pasivo Corriente]],"INDETERMINADO")</f>
        <v>1.0406905596788276</v>
      </c>
      <c r="T246" s="20">
        <f>IFERROR(Proponentes[[#This Row],[Total Pasivo]]/Proponentes[[#This Row],[Total ACTIVO]],0)</f>
        <v>8.0612548704966952E-2</v>
      </c>
      <c r="U246" s="21">
        <f>(Proponentes[[#This Row],[Activo Corriente]]-Proponentes[[#This Row],[Pasivo Corriente]])/Base!$B$3</f>
        <v>1.7125137058093312</v>
      </c>
      <c r="V246" s="22">
        <f>Proponentes[[#This Row],[Activo Corriente]]-Proponentes[[#This Row],[Pasivo Corriente]]</f>
        <v>1418160</v>
      </c>
      <c r="W246" s="13">
        <f>IFERROR(VLOOKUP(Proponentes[[#This Row],[Propuesta]],Hoja2!$A$2:$G$329,7,FALSE),0)</f>
        <v>0</v>
      </c>
      <c r="X246" s="83">
        <f>IF(Proponentes[[#This Row],[Cap Op en Pesos]]=0,0,IF(Proponentes[[#This Row],[Cap Op en Pesos]]=0,1,Proponentes[[#This Row],[Cap Op en Pesos]]/Base!B$3))</f>
        <v>0</v>
      </c>
      <c r="Y24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4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4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46" s="23" t="str">
        <f>IF(AND(Proponentes[[#This Row],[Cumple
Liquidez]]="CUMPLE",Proponentes[[#This Row],[Cumple
Endeudamiento]]="CUMPLE",Proponentes[[#This Row],[Cumple
Capital de Trabajo]]="CUMPLE"),"CUMPLE","NO CUMPLE")</f>
        <v>NO CUMPLE</v>
      </c>
      <c r="AC246" s="24" t="s">
        <v>807</v>
      </c>
      <c r="AD246" s="10">
        <f>IF(Proponentes[[#This Row],[Liquidez
Oferente]]&lt;=1,1,IF(Proponentes[[#This Row],[Liquidez
Oferente]]&lt;=1.1,2,IF(Proponentes[[#This Row],[Liquidez
Oferente]]&lt;=1.2,3,IF(Proponentes[[#This Row],[Liquidez
Oferente]]&lt;=1.3,4,IF(Proponentes[[#This Row],[Liquidez
Oferente]]&lt;=1.4,5,6)))))</f>
        <v>2</v>
      </c>
      <c r="AE246" s="10">
        <f>IF(Proponentes[[#This Row],[Endeudamiento
Oferente]]&lt;=66%,6,IF(Proponentes[[#This Row],[Endeudamiento
Oferente]]&lt;=58,5,IF(Proponentes[[#This Row],[Endeudamiento
Oferente]]&lt;=70,4,IF(Proponentes[[#This Row],[Endeudamiento
Oferente]]&lt;=72,3,IF(Proponentes[[#This Row],[Endeudamiento
Oferente]]&lt;=74,2,1)))))</f>
        <v>6</v>
      </c>
      <c r="AF24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46" s="10">
        <f>IF(Proponentes[[#This Row],[Cap Op en SMMLV]]&lt;=500,1,IF(Proponentes[[#This Row],[Cap Op en SMMLV]]&lt;=1000,2,IF(Proponentes[[#This Row],[Cap Op en SMMLV]]&lt;=1500,3,IF(Proponentes[[#This Row],[Cap Op en SMMLV]]&lt;=2000,4,IF(Proponentes[[#This Row],[Cap Op en SMMLV]]&lt;=2500,5,6)))))</f>
        <v>1</v>
      </c>
      <c r="AH246" s="10">
        <f>MIN(Proponentes[[#This Row],[a]:[d]])</f>
        <v>1</v>
      </c>
      <c r="AI246" s="87">
        <f>IF(Proponentes[[#This Row],[e]]=Proponentes[[#This Row],[d]],Proponentes[[#This Row],[Cap Op en SMMLV]],VLOOKUP(Proponentes[[#This Row],[e]],Base!$D$1:$E$6,2,FALSE))</f>
        <v>0</v>
      </c>
      <c r="AJ246" s="101" t="str">
        <f>VLOOKUP(Proponentes[[#This Row],[Propuesta]],Hoja2!$A$2:$D$329,4,FALSE)</f>
        <v>NO CUMPLE</v>
      </c>
      <c r="AK246" s="101"/>
    </row>
    <row r="247" spans="1:37" ht="16" x14ac:dyDescent="0.2">
      <c r="A247" s="10">
        <v>246</v>
      </c>
      <c r="B247" s="11">
        <v>830502711</v>
      </c>
      <c r="C247" s="12" t="s">
        <v>349</v>
      </c>
      <c r="D247" s="13">
        <v>17403890</v>
      </c>
      <c r="E247" s="13">
        <v>14964650</v>
      </c>
      <c r="F247" s="25">
        <f>Proponentes[[#This Row],[Activo Corriente]]+Proponentes[[#This Row],[Activo NO Corriente]]</f>
        <v>32368540</v>
      </c>
      <c r="G247" s="13">
        <v>0</v>
      </c>
      <c r="H247" s="13">
        <v>0</v>
      </c>
      <c r="I247" s="25">
        <f>Proponentes[[#This Row],[Pasivo Corriente]]+Proponentes[[#This Row],[Pasivo NO Corriente]]</f>
        <v>0</v>
      </c>
      <c r="J247" s="14">
        <f>Proponentes[[#This Row],[Total ACTIVO]]-Proponentes[[#This Row],[Total Pasivo]]</f>
        <v>32368540</v>
      </c>
      <c r="K247" s="48" t="e">
        <f>VLOOKUP(Proponentes[[#This Row],[Propuesta]],Hoja2!$A$2:$G$239,7,FALSE)</f>
        <v>#N/A</v>
      </c>
      <c r="L247" s="15" t="s">
        <v>350</v>
      </c>
      <c r="M247" s="15" t="s">
        <v>28</v>
      </c>
      <c r="N247" s="55">
        <f>IFERROR(VLOOKUP(Proponentes[[#This Row],[Cap Op en SMMLV]],Base!$A$15:$F$20,3),0)</f>
        <v>1</v>
      </c>
      <c r="O247" s="16">
        <f>IFERROR(VLOOKUP(Proponentes[[#This Row],[Cap Op en SMMLV]],Base!$A$15:$F$20,4),0)</f>
        <v>0.76</v>
      </c>
      <c r="P247" s="17">
        <f>IFERROR(VLOOKUP(Proponentes[[#This Row],[Cap Op en SMMLV]],Tabla2[],6),0)</f>
        <v>12.5</v>
      </c>
      <c r="Q247" s="18">
        <f>IFERROR(VLOOKUP(Proponentes[[#This Row],[Cap Op en SMMLV]],Base!$A$15:$F$20,5),0)</f>
        <v>10351450</v>
      </c>
      <c r="R247" s="18">
        <f>IFERROR(VLOOKUP(Proponentes[[#This Row],[Cap Op en SMMLV]],Tabla2[[DE]:[HASTA]],2),0)</f>
        <v>500</v>
      </c>
      <c r="S247" s="19" t="str">
        <f>IFERROR(Proponentes[[#This Row],[Activo Corriente]]/Proponentes[[#This Row],[Pasivo Corriente]],"INDETERMINADO")</f>
        <v>INDETERMINADO</v>
      </c>
      <c r="T247" s="20">
        <f>IFERROR(Proponentes[[#This Row],[Total Pasivo]]/Proponentes[[#This Row],[Total ACTIVO]],0)</f>
        <v>0</v>
      </c>
      <c r="U247" s="21">
        <f>(Proponentes[[#This Row],[Activo Corriente]]-Proponentes[[#This Row],[Pasivo Corriente]])/Base!$B$3</f>
        <v>21.016246516188552</v>
      </c>
      <c r="V247" s="22">
        <f>Proponentes[[#This Row],[Activo Corriente]]-Proponentes[[#This Row],[Pasivo Corriente]]</f>
        <v>17403890</v>
      </c>
      <c r="W247" s="13">
        <f>IFERROR(VLOOKUP(Proponentes[[#This Row],[Propuesta]],Hoja2!$A$2:$G$329,7,FALSE),0)</f>
        <v>40414325.390593067</v>
      </c>
      <c r="X247" s="83">
        <f>IF(Proponentes[[#This Row],[Cap Op en Pesos]]=0,0,IF(Proponentes[[#This Row],[Cap Op en Pesos]]=0,1,Proponentes[[#This Row],[Cap Op en Pesos]]/Base!B$3))</f>
        <v>48.80273462968119</v>
      </c>
      <c r="Y24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4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4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47" s="23" t="str">
        <f>IF(AND(Proponentes[[#This Row],[Cumple
Liquidez]]="CUMPLE",Proponentes[[#This Row],[Cumple
Endeudamiento]]="CUMPLE",Proponentes[[#This Row],[Cumple
Capital de Trabajo]]="CUMPLE"),"CUMPLE","NO CUMPLE")</f>
        <v>CUMPLE</v>
      </c>
      <c r="AC247" s="24"/>
      <c r="AD247" s="10">
        <f>IF(Proponentes[[#This Row],[Liquidez
Oferente]]&lt;=1,1,IF(Proponentes[[#This Row],[Liquidez
Oferente]]&lt;=1.1,2,IF(Proponentes[[#This Row],[Liquidez
Oferente]]&lt;=1.2,3,IF(Proponentes[[#This Row],[Liquidez
Oferente]]&lt;=1.3,4,IF(Proponentes[[#This Row],[Liquidez
Oferente]]&lt;=1.4,5,6)))))</f>
        <v>6</v>
      </c>
      <c r="AE247" s="10">
        <f>IF(Proponentes[[#This Row],[Endeudamiento
Oferente]]&lt;=66%,6,IF(Proponentes[[#This Row],[Endeudamiento
Oferente]]&lt;=58,5,IF(Proponentes[[#This Row],[Endeudamiento
Oferente]]&lt;=70,4,IF(Proponentes[[#This Row],[Endeudamiento
Oferente]]&lt;=72,3,IF(Proponentes[[#This Row],[Endeudamiento
Oferente]]&lt;=74,2,1)))))</f>
        <v>6</v>
      </c>
      <c r="AF24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247" s="10">
        <f>IF(Proponentes[[#This Row],[Cap Op en SMMLV]]&lt;=500,1,IF(Proponentes[[#This Row],[Cap Op en SMMLV]]&lt;=1000,2,IF(Proponentes[[#This Row],[Cap Op en SMMLV]]&lt;=1500,3,IF(Proponentes[[#This Row],[Cap Op en SMMLV]]&lt;=2000,4,IF(Proponentes[[#This Row],[Cap Op en SMMLV]]&lt;=2500,5,6)))))</f>
        <v>1</v>
      </c>
      <c r="AH247" s="10">
        <f>MIN(Proponentes[[#This Row],[a]:[d]])</f>
        <v>1</v>
      </c>
      <c r="AI247" s="87">
        <f>IF(Proponentes[[#This Row],[e]]=Proponentes[[#This Row],[d]],Proponentes[[#This Row],[Cap Op en SMMLV]],VLOOKUP(Proponentes[[#This Row],[e]],Base!$D$1:$E$6,2,FALSE))</f>
        <v>48.80273462968119</v>
      </c>
      <c r="AJ247" s="101" t="str">
        <f>VLOOKUP(Proponentes[[#This Row],[Propuesta]],Hoja2!$A$2:$D$329,4,FALSE)</f>
        <v>CUMPLE</v>
      </c>
      <c r="AK247" s="101"/>
    </row>
    <row r="248" spans="1:37" ht="16" x14ac:dyDescent="0.2">
      <c r="A248" s="10">
        <v>247</v>
      </c>
      <c r="B248" s="11">
        <v>891780093</v>
      </c>
      <c r="C248" s="12" t="s">
        <v>351</v>
      </c>
      <c r="D248" s="13">
        <v>68315853084</v>
      </c>
      <c r="E248" s="13">
        <v>59797738276</v>
      </c>
      <c r="F248" s="25">
        <f>Proponentes[[#This Row],[Activo Corriente]]+Proponentes[[#This Row],[Activo NO Corriente]]</f>
        <v>128113591360</v>
      </c>
      <c r="G248" s="13">
        <v>44788695622</v>
      </c>
      <c r="H248" s="13">
        <v>17313973</v>
      </c>
      <c r="I248" s="25">
        <f>Proponentes[[#This Row],[Pasivo Corriente]]+Proponentes[[#This Row],[Pasivo NO Corriente]]</f>
        <v>44806009595</v>
      </c>
      <c r="J248" s="14">
        <f>Proponentes[[#This Row],[Total ACTIVO]]-Proponentes[[#This Row],[Total Pasivo]]</f>
        <v>83307581765</v>
      </c>
      <c r="K248" s="48" t="e">
        <f>VLOOKUP(Proponentes[[#This Row],[Propuesta]],Hoja2!$A$2:$G$239,7,FALSE)</f>
        <v>#N/A</v>
      </c>
      <c r="L248" s="15" t="s">
        <v>55</v>
      </c>
      <c r="M248" s="15" t="s">
        <v>28</v>
      </c>
      <c r="N248" s="55">
        <f>IFERROR(VLOOKUP(Proponentes[[#This Row],[Cap Op en SMMLV]],Base!$A$15:$F$20,3),0)</f>
        <v>0</v>
      </c>
      <c r="O248" s="16">
        <f>IFERROR(VLOOKUP(Proponentes[[#This Row],[Cap Op en SMMLV]],Base!$A$15:$F$20,4),0)</f>
        <v>0</v>
      </c>
      <c r="P248" s="17">
        <f>IFERROR(VLOOKUP(Proponentes[[#This Row],[Cap Op en SMMLV]],Tabla2[],6),0)</f>
        <v>0</v>
      </c>
      <c r="Q248" s="18">
        <f>IFERROR(VLOOKUP(Proponentes[[#This Row],[Cap Op en SMMLV]],Base!$A$15:$F$20,5),0)</f>
        <v>0</v>
      </c>
      <c r="R248" s="18">
        <f>IFERROR(VLOOKUP(Proponentes[[#This Row],[Cap Op en SMMLV]],Tabla2[[DE]:[HASTA]],2),0)</f>
        <v>0</v>
      </c>
      <c r="S248" s="19">
        <f>IFERROR(Proponentes[[#This Row],[Activo Corriente]]/Proponentes[[#This Row],[Pasivo Corriente]],"INDETERMINADO")</f>
        <v>1.5252923117154493</v>
      </c>
      <c r="T248" s="20">
        <f>IFERROR(Proponentes[[#This Row],[Total Pasivo]]/Proponentes[[#This Row],[Total ACTIVO]],0)</f>
        <v>0.34973658235131999</v>
      </c>
      <c r="U248" s="21">
        <f>(Proponentes[[#This Row],[Activo Corriente]]-Proponentes[[#This Row],[Pasivo Corriente]])/Base!$B$3</f>
        <v>28410.461169691203</v>
      </c>
      <c r="V248" s="22">
        <f>Proponentes[[#This Row],[Activo Corriente]]-Proponentes[[#This Row],[Pasivo Corriente]]</f>
        <v>23527157462</v>
      </c>
      <c r="W248" s="13">
        <f>IFERROR(VLOOKUP(Proponentes[[#This Row],[Propuesta]],Hoja2!$A$2:$G$329,7,FALSE),0)</f>
        <v>0</v>
      </c>
      <c r="X248" s="83">
        <f>IF(Proponentes[[#This Row],[Cap Op en Pesos]]=0,0,IF(Proponentes[[#This Row],[Cap Op en Pesos]]=0,1,Proponentes[[#This Row],[Cap Op en Pesos]]/Base!B$3))</f>
        <v>0</v>
      </c>
      <c r="Y24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4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4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48" s="23" t="str">
        <f>IF(AND(Proponentes[[#This Row],[Cumple
Liquidez]]="CUMPLE",Proponentes[[#This Row],[Cumple
Endeudamiento]]="CUMPLE",Proponentes[[#This Row],[Cumple
Capital de Trabajo]]="CUMPLE"),"CUMPLE","NO CUMPLE")</f>
        <v>NO CUMPLE</v>
      </c>
      <c r="AC248" s="24"/>
      <c r="AD248" s="10">
        <f>IF(Proponentes[[#This Row],[Liquidez
Oferente]]&lt;=1,1,IF(Proponentes[[#This Row],[Liquidez
Oferente]]&lt;=1.1,2,IF(Proponentes[[#This Row],[Liquidez
Oferente]]&lt;=1.2,3,IF(Proponentes[[#This Row],[Liquidez
Oferente]]&lt;=1.3,4,IF(Proponentes[[#This Row],[Liquidez
Oferente]]&lt;=1.4,5,6)))))</f>
        <v>6</v>
      </c>
      <c r="AE248" s="10">
        <f>IF(Proponentes[[#This Row],[Endeudamiento
Oferente]]&lt;=66%,6,IF(Proponentes[[#This Row],[Endeudamiento
Oferente]]&lt;=58,5,IF(Proponentes[[#This Row],[Endeudamiento
Oferente]]&lt;=70,4,IF(Proponentes[[#This Row],[Endeudamiento
Oferente]]&lt;=72,3,IF(Proponentes[[#This Row],[Endeudamiento
Oferente]]&lt;=74,2,1)))))</f>
        <v>6</v>
      </c>
      <c r="AF24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48" s="10">
        <f>IF(Proponentes[[#This Row],[Cap Op en SMMLV]]&lt;=500,1,IF(Proponentes[[#This Row],[Cap Op en SMMLV]]&lt;=1000,2,IF(Proponentes[[#This Row],[Cap Op en SMMLV]]&lt;=1500,3,IF(Proponentes[[#This Row],[Cap Op en SMMLV]]&lt;=2000,4,IF(Proponentes[[#This Row],[Cap Op en SMMLV]]&lt;=2500,5,6)))))</f>
        <v>1</v>
      </c>
      <c r="AH248" s="10">
        <f>MIN(Proponentes[[#This Row],[a]:[d]])</f>
        <v>1</v>
      </c>
      <c r="AI248" s="87">
        <f>IF(Proponentes[[#This Row],[e]]=Proponentes[[#This Row],[d]],Proponentes[[#This Row],[Cap Op en SMMLV]],VLOOKUP(Proponentes[[#This Row],[e]],Base!$D$1:$E$6,2,FALSE))</f>
        <v>0</v>
      </c>
      <c r="AJ248" s="101" t="str">
        <f>VLOOKUP(Proponentes[[#This Row],[Propuesta]],Hoja2!$A$2:$D$329,4,FALSE)</f>
        <v>NO CUMPLE</v>
      </c>
      <c r="AK248" s="101"/>
    </row>
    <row r="249" spans="1:37" ht="32" x14ac:dyDescent="0.2">
      <c r="A249" s="10">
        <v>248</v>
      </c>
      <c r="B249" s="11">
        <v>900318096</v>
      </c>
      <c r="C249" s="12" t="s">
        <v>352</v>
      </c>
      <c r="D249" s="13">
        <v>347664746</v>
      </c>
      <c r="E249" s="13">
        <v>53600684</v>
      </c>
      <c r="F249" s="25">
        <f>Proponentes[[#This Row],[Activo Corriente]]+Proponentes[[#This Row],[Activo NO Corriente]]</f>
        <v>401265430</v>
      </c>
      <c r="G249" s="13">
        <v>10650450</v>
      </c>
      <c r="H249" s="13">
        <v>0</v>
      </c>
      <c r="I249" s="25">
        <f>Proponentes[[#This Row],[Pasivo Corriente]]+Proponentes[[#This Row],[Pasivo NO Corriente]]</f>
        <v>10650450</v>
      </c>
      <c r="J249" s="14">
        <f>Proponentes[[#This Row],[Total ACTIVO]]-Proponentes[[#This Row],[Total Pasivo]]</f>
        <v>390614980</v>
      </c>
      <c r="K249" s="48" t="e">
        <f>VLOOKUP(Proponentes[[#This Row],[Propuesta]],Hoja2!$A$2:$G$239,7,FALSE)</f>
        <v>#N/A</v>
      </c>
      <c r="L249" s="15" t="s">
        <v>353</v>
      </c>
      <c r="M249" s="15" t="s">
        <v>28</v>
      </c>
      <c r="N249" s="55">
        <f>IFERROR(VLOOKUP(Proponentes[[#This Row],[Cap Op en SMMLV]],Base!$A$15:$F$20,3),0)</f>
        <v>1</v>
      </c>
      <c r="O249" s="16">
        <f>IFERROR(VLOOKUP(Proponentes[[#This Row],[Cap Op en SMMLV]],Base!$A$15:$F$20,4),0)</f>
        <v>0.76</v>
      </c>
      <c r="P249" s="17">
        <f>IFERROR(VLOOKUP(Proponentes[[#This Row],[Cap Op en SMMLV]],Tabla2[],6),0)</f>
        <v>12.5</v>
      </c>
      <c r="Q249" s="18">
        <f>IFERROR(VLOOKUP(Proponentes[[#This Row],[Cap Op en SMMLV]],Base!$A$15:$F$20,5),0)</f>
        <v>10351450</v>
      </c>
      <c r="R249" s="18">
        <f>IFERROR(VLOOKUP(Proponentes[[#This Row],[Cap Op en SMMLV]],Tabla2[[DE]:[HASTA]],2),0)</f>
        <v>500</v>
      </c>
      <c r="S249" s="19">
        <f>IFERROR(Proponentes[[#This Row],[Activo Corriente]]/Proponentes[[#This Row],[Pasivo Corriente]],"INDETERMINADO")</f>
        <v>32.643197799154024</v>
      </c>
      <c r="T249" s="20">
        <f>IFERROR(Proponentes[[#This Row],[Total Pasivo]]/Proponentes[[#This Row],[Total ACTIVO]],0)</f>
        <v>2.6542156895997746E-2</v>
      </c>
      <c r="U249" s="21">
        <f>(Proponentes[[#This Row],[Activo Corriente]]-Proponentes[[#This Row],[Pasivo Corriente]])/Base!$B$3</f>
        <v>406.96508218655356</v>
      </c>
      <c r="V249" s="22">
        <f>Proponentes[[#This Row],[Activo Corriente]]-Proponentes[[#This Row],[Pasivo Corriente]]</f>
        <v>337014296</v>
      </c>
      <c r="W249" s="13">
        <f>IFERROR(VLOOKUP(Proponentes[[#This Row],[Propuesta]],Hoja2!$A$2:$G$329,7,FALSE),0)</f>
        <v>42690250.288117528</v>
      </c>
      <c r="X249" s="83">
        <f>IF(Proponentes[[#This Row],[Cap Op en Pesos]]=0,0,IF(Proponentes[[#This Row],[Cap Op en Pesos]]=0,1,Proponentes[[#This Row],[Cap Op en Pesos]]/Base!B$3))</f>
        <v>51.55105116688668</v>
      </c>
      <c r="Y24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4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4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49" s="23" t="str">
        <f>IF(AND(Proponentes[[#This Row],[Cumple
Liquidez]]="CUMPLE",Proponentes[[#This Row],[Cumple
Endeudamiento]]="CUMPLE",Proponentes[[#This Row],[Cumple
Capital de Trabajo]]="CUMPLE"),"CUMPLE","NO CUMPLE")</f>
        <v>CUMPLE</v>
      </c>
      <c r="AC249" s="24"/>
      <c r="AD249" s="10">
        <f>IF(Proponentes[[#This Row],[Liquidez
Oferente]]&lt;=1,1,IF(Proponentes[[#This Row],[Liquidez
Oferente]]&lt;=1.1,2,IF(Proponentes[[#This Row],[Liquidez
Oferente]]&lt;=1.2,3,IF(Proponentes[[#This Row],[Liquidez
Oferente]]&lt;=1.3,4,IF(Proponentes[[#This Row],[Liquidez
Oferente]]&lt;=1.4,5,6)))))</f>
        <v>6</v>
      </c>
      <c r="AE249" s="10">
        <f>IF(Proponentes[[#This Row],[Endeudamiento
Oferente]]&lt;=66%,6,IF(Proponentes[[#This Row],[Endeudamiento
Oferente]]&lt;=58,5,IF(Proponentes[[#This Row],[Endeudamiento
Oferente]]&lt;=70,4,IF(Proponentes[[#This Row],[Endeudamiento
Oferente]]&lt;=72,3,IF(Proponentes[[#This Row],[Endeudamiento
Oferente]]&lt;=74,2,1)))))</f>
        <v>6</v>
      </c>
      <c r="AF24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49" s="10">
        <f>IF(Proponentes[[#This Row],[Cap Op en SMMLV]]&lt;=500,1,IF(Proponentes[[#This Row],[Cap Op en SMMLV]]&lt;=1000,2,IF(Proponentes[[#This Row],[Cap Op en SMMLV]]&lt;=1500,3,IF(Proponentes[[#This Row],[Cap Op en SMMLV]]&lt;=2000,4,IF(Proponentes[[#This Row],[Cap Op en SMMLV]]&lt;=2500,5,6)))))</f>
        <v>1</v>
      </c>
      <c r="AH249" s="10">
        <f>MIN(Proponentes[[#This Row],[a]:[d]])</f>
        <v>1</v>
      </c>
      <c r="AI249" s="87">
        <f>IF(Proponentes[[#This Row],[e]]=Proponentes[[#This Row],[d]],Proponentes[[#This Row],[Cap Op en SMMLV]],VLOOKUP(Proponentes[[#This Row],[e]],Base!$D$1:$E$6,2,FALSE))</f>
        <v>51.55105116688668</v>
      </c>
      <c r="AJ249" s="101" t="str">
        <f>VLOOKUP(Proponentes[[#This Row],[Propuesta]],Hoja2!$A$2:$D$329,4,FALSE)</f>
        <v>CUMPLE</v>
      </c>
      <c r="AK249" s="101"/>
    </row>
    <row r="250" spans="1:37" ht="16" x14ac:dyDescent="0.2">
      <c r="A250" s="10">
        <v>249</v>
      </c>
      <c r="B250" s="11">
        <v>802024757</v>
      </c>
      <c r="C250" s="12" t="s">
        <v>354</v>
      </c>
      <c r="D250" s="13">
        <v>906196194</v>
      </c>
      <c r="E250" s="13">
        <v>239967301</v>
      </c>
      <c r="F250" s="25">
        <f>Proponentes[[#This Row],[Activo Corriente]]+Proponentes[[#This Row],[Activo NO Corriente]]</f>
        <v>1146163495</v>
      </c>
      <c r="G250" s="13">
        <v>9456000</v>
      </c>
      <c r="H250" s="13">
        <v>0</v>
      </c>
      <c r="I250" s="25">
        <f>Proponentes[[#This Row],[Pasivo Corriente]]+Proponentes[[#This Row],[Pasivo NO Corriente]]</f>
        <v>9456000</v>
      </c>
      <c r="J250" s="14">
        <f>Proponentes[[#This Row],[Total ACTIVO]]-Proponentes[[#This Row],[Total Pasivo]]</f>
        <v>1136707495</v>
      </c>
      <c r="K250" s="48" t="e">
        <f>VLOOKUP(Proponentes[[#This Row],[Propuesta]],Hoja2!$A$2:$G$239,7,FALSE)</f>
        <v>#N/A</v>
      </c>
      <c r="L250" s="15"/>
      <c r="M250" s="15" t="s">
        <v>28</v>
      </c>
      <c r="N250" s="55">
        <f>IFERROR(VLOOKUP(Proponentes[[#This Row],[Cap Op en SMMLV]],Base!$A$15:$F$20,3),0)</f>
        <v>1.1000000000000001</v>
      </c>
      <c r="O250" s="16">
        <f>IFERROR(VLOOKUP(Proponentes[[#This Row],[Cap Op en SMMLV]],Base!$A$15:$F$20,4),0)</f>
        <v>0.74</v>
      </c>
      <c r="P250" s="17">
        <f>IFERROR(VLOOKUP(Proponentes[[#This Row],[Cap Op en SMMLV]],Tabla2[],6),0)</f>
        <v>25</v>
      </c>
      <c r="Q250" s="18">
        <f>IFERROR(VLOOKUP(Proponentes[[#This Row],[Cap Op en SMMLV]],Base!$A$15:$F$20,5),0)</f>
        <v>20702900</v>
      </c>
      <c r="R250" s="18">
        <f>IFERROR(VLOOKUP(Proponentes[[#This Row],[Cap Op en SMMLV]],Tabla2[[DE]:[HASTA]],2),0)</f>
        <v>1000</v>
      </c>
      <c r="S250" s="19">
        <f>IFERROR(Proponentes[[#This Row],[Activo Corriente]]/Proponentes[[#This Row],[Pasivo Corriente]],"INDETERMINADO")</f>
        <v>95.832930837563453</v>
      </c>
      <c r="T250" s="20">
        <f>IFERROR(Proponentes[[#This Row],[Total Pasivo]]/Proponentes[[#This Row],[Total ACTIVO]],0)</f>
        <v>8.250131888906477E-3</v>
      </c>
      <c r="U250" s="21">
        <f>(Proponentes[[#This Row],[Activo Corriente]]-Proponentes[[#This Row],[Pasivo Corriente]])/Base!$B$3</f>
        <v>1082.8678518468428</v>
      </c>
      <c r="V250" s="22">
        <f>Proponentes[[#This Row],[Activo Corriente]]-Proponentes[[#This Row],[Pasivo Corriente]]</f>
        <v>896740194</v>
      </c>
      <c r="W250" s="13">
        <f>IFERROR(VLOOKUP(Proponentes[[#This Row],[Propuesta]],Hoja2!$A$2:$G$329,7,FALSE),0)</f>
        <v>722944624.29270756</v>
      </c>
      <c r="X250" s="83">
        <f>IF(Proponentes[[#This Row],[Cap Op en Pesos]]=0,0,IF(Proponentes[[#This Row],[Cap Op en Pesos]]=0,1,Proponentes[[#This Row],[Cap Op en Pesos]]/Base!B$3))</f>
        <v>872.99922268463297</v>
      </c>
      <c r="Y25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5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5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50" s="23" t="str">
        <f>IF(AND(Proponentes[[#This Row],[Cumple
Liquidez]]="CUMPLE",Proponentes[[#This Row],[Cumple
Endeudamiento]]="CUMPLE",Proponentes[[#This Row],[Cumple
Capital de Trabajo]]="CUMPLE"),"CUMPLE","NO CUMPLE")</f>
        <v>CUMPLE</v>
      </c>
      <c r="AC250" s="24"/>
      <c r="AD250" s="10">
        <f>IF(Proponentes[[#This Row],[Liquidez
Oferente]]&lt;=1,1,IF(Proponentes[[#This Row],[Liquidez
Oferente]]&lt;=1.1,2,IF(Proponentes[[#This Row],[Liquidez
Oferente]]&lt;=1.2,3,IF(Proponentes[[#This Row],[Liquidez
Oferente]]&lt;=1.3,4,IF(Proponentes[[#This Row],[Liquidez
Oferente]]&lt;=1.4,5,6)))))</f>
        <v>6</v>
      </c>
      <c r="AE250" s="10">
        <f>IF(Proponentes[[#This Row],[Endeudamiento
Oferente]]&lt;=66%,6,IF(Proponentes[[#This Row],[Endeudamiento
Oferente]]&lt;=58,5,IF(Proponentes[[#This Row],[Endeudamiento
Oferente]]&lt;=70,4,IF(Proponentes[[#This Row],[Endeudamiento
Oferente]]&lt;=72,3,IF(Proponentes[[#This Row],[Endeudamiento
Oferente]]&lt;=74,2,1)))))</f>
        <v>6</v>
      </c>
      <c r="AF25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50" s="10">
        <f>IF(Proponentes[[#This Row],[Cap Op en SMMLV]]&lt;=500,1,IF(Proponentes[[#This Row],[Cap Op en SMMLV]]&lt;=1000,2,IF(Proponentes[[#This Row],[Cap Op en SMMLV]]&lt;=1500,3,IF(Proponentes[[#This Row],[Cap Op en SMMLV]]&lt;=2000,4,IF(Proponentes[[#This Row],[Cap Op en SMMLV]]&lt;=2500,5,6)))))</f>
        <v>2</v>
      </c>
      <c r="AH250" s="10">
        <f>MIN(Proponentes[[#This Row],[a]:[d]])</f>
        <v>2</v>
      </c>
      <c r="AI250" s="87">
        <f>IF(Proponentes[[#This Row],[e]]=Proponentes[[#This Row],[d]],Proponentes[[#This Row],[Cap Op en SMMLV]],VLOOKUP(Proponentes[[#This Row],[e]],Base!$D$1:$E$6,2,FALSE))</f>
        <v>872.99922268463297</v>
      </c>
      <c r="AJ250" s="101" t="str">
        <f>VLOOKUP(Proponentes[[#This Row],[Propuesta]],Hoja2!$A$2:$D$329,4,FALSE)</f>
        <v>CUMPLE</v>
      </c>
      <c r="AK250" s="101"/>
    </row>
    <row r="251" spans="1:37" ht="16" x14ac:dyDescent="0.2">
      <c r="A251" s="10">
        <v>250</v>
      </c>
      <c r="B251" s="11">
        <v>816005155</v>
      </c>
      <c r="C251" s="12" t="s">
        <v>355</v>
      </c>
      <c r="D251" s="13">
        <v>684700000</v>
      </c>
      <c r="E251" s="13">
        <v>76910000</v>
      </c>
      <c r="F251" s="25">
        <f>Proponentes[[#This Row],[Activo Corriente]]+Proponentes[[#This Row],[Activo NO Corriente]]</f>
        <v>761610000</v>
      </c>
      <c r="G251" s="13">
        <v>31680000</v>
      </c>
      <c r="H251" s="13">
        <v>0</v>
      </c>
      <c r="I251" s="25">
        <f>Proponentes[[#This Row],[Pasivo Corriente]]+Proponentes[[#This Row],[Pasivo NO Corriente]]</f>
        <v>31680000</v>
      </c>
      <c r="J251" s="14">
        <f>Proponentes[[#This Row],[Total ACTIVO]]-Proponentes[[#This Row],[Total Pasivo]]</f>
        <v>729930000</v>
      </c>
      <c r="K251" s="48" t="e">
        <f>VLOOKUP(Proponentes[[#This Row],[Propuesta]],Hoja2!$A$2:$G$239,7,FALSE)</f>
        <v>#N/A</v>
      </c>
      <c r="L251" s="15"/>
      <c r="M251" s="15" t="s">
        <v>28</v>
      </c>
      <c r="N251" s="55">
        <f>IFERROR(VLOOKUP(Proponentes[[#This Row],[Cap Op en SMMLV]],Base!$A$15:$F$20,3),0)</f>
        <v>1.3</v>
      </c>
      <c r="O251" s="16">
        <f>IFERROR(VLOOKUP(Proponentes[[#This Row],[Cap Op en SMMLV]],Base!$A$15:$F$20,4),0)</f>
        <v>0.7</v>
      </c>
      <c r="P251" s="17">
        <f>IFERROR(VLOOKUP(Proponentes[[#This Row],[Cap Op en SMMLV]],Tabla2[],6),0)</f>
        <v>50</v>
      </c>
      <c r="Q251" s="18">
        <f>IFERROR(VLOOKUP(Proponentes[[#This Row],[Cap Op en SMMLV]],Base!$A$15:$F$20,5),0)</f>
        <v>41405800</v>
      </c>
      <c r="R251" s="18">
        <f>IFERROR(VLOOKUP(Proponentes[[#This Row],[Cap Op en SMMLV]],Tabla2[[DE]:[HASTA]],2),0)</f>
        <v>2000</v>
      </c>
      <c r="S251" s="19">
        <f>IFERROR(Proponentes[[#This Row],[Activo Corriente]]/Proponentes[[#This Row],[Pasivo Corriente]],"INDETERMINADO")</f>
        <v>21.613005050505052</v>
      </c>
      <c r="T251" s="20">
        <f>IFERROR(Proponentes[[#This Row],[Total Pasivo]]/Proponentes[[#This Row],[Total ACTIVO]],0)</f>
        <v>4.1596092488281403E-2</v>
      </c>
      <c r="U251" s="21">
        <f>(Proponentes[[#This Row],[Activo Corriente]]-Proponentes[[#This Row],[Pasivo Corriente]])/Base!$B$3</f>
        <v>788.56102285187103</v>
      </c>
      <c r="V251" s="22">
        <f>Proponentes[[#This Row],[Activo Corriente]]-Proponentes[[#This Row],[Pasivo Corriente]]</f>
        <v>653020000</v>
      </c>
      <c r="W251" s="13">
        <f>IFERROR(VLOOKUP(Proponentes[[#This Row],[Propuesta]],Hoja2!$A$2:$G$329,7,FALSE),0)</f>
        <v>1583357792</v>
      </c>
      <c r="X251" s="83">
        <f>IF(Proponentes[[#This Row],[Cap Op en Pesos]]=0,0,IF(Proponentes[[#This Row],[Cap Op en Pesos]]=0,1,Proponentes[[#This Row],[Cap Op en Pesos]]/Base!B$3))</f>
        <v>1912</v>
      </c>
      <c r="Y25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5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5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51" s="23" t="str">
        <f>IF(AND(Proponentes[[#This Row],[Cumple
Liquidez]]="CUMPLE",Proponentes[[#This Row],[Cumple
Endeudamiento]]="CUMPLE",Proponentes[[#This Row],[Cumple
Capital de Trabajo]]="CUMPLE"),"CUMPLE","NO CUMPLE")</f>
        <v>CUMPLE</v>
      </c>
      <c r="AC251" s="24"/>
      <c r="AD251" s="10">
        <f>IF(Proponentes[[#This Row],[Liquidez
Oferente]]&lt;=1,1,IF(Proponentes[[#This Row],[Liquidez
Oferente]]&lt;=1.1,2,IF(Proponentes[[#This Row],[Liquidez
Oferente]]&lt;=1.2,3,IF(Proponentes[[#This Row],[Liquidez
Oferente]]&lt;=1.3,4,IF(Proponentes[[#This Row],[Liquidez
Oferente]]&lt;=1.4,5,6)))))</f>
        <v>6</v>
      </c>
      <c r="AE251" s="10">
        <f>IF(Proponentes[[#This Row],[Endeudamiento
Oferente]]&lt;=66%,6,IF(Proponentes[[#This Row],[Endeudamiento
Oferente]]&lt;=58,5,IF(Proponentes[[#This Row],[Endeudamiento
Oferente]]&lt;=70,4,IF(Proponentes[[#This Row],[Endeudamiento
Oferente]]&lt;=72,3,IF(Proponentes[[#This Row],[Endeudamiento
Oferente]]&lt;=74,2,1)))))</f>
        <v>6</v>
      </c>
      <c r="AF25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51" s="10">
        <f>IF(Proponentes[[#This Row],[Cap Op en SMMLV]]&lt;=500,1,IF(Proponentes[[#This Row],[Cap Op en SMMLV]]&lt;=1000,2,IF(Proponentes[[#This Row],[Cap Op en SMMLV]]&lt;=1500,3,IF(Proponentes[[#This Row],[Cap Op en SMMLV]]&lt;=2000,4,IF(Proponentes[[#This Row],[Cap Op en SMMLV]]&lt;=2500,5,6)))))</f>
        <v>4</v>
      </c>
      <c r="AH251" s="10">
        <f>MIN(Proponentes[[#This Row],[a]:[d]])</f>
        <v>4</v>
      </c>
      <c r="AI251" s="87">
        <f>IF(Proponentes[[#This Row],[e]]=Proponentes[[#This Row],[d]],Proponentes[[#This Row],[Cap Op en SMMLV]],VLOOKUP(Proponentes[[#This Row],[e]],Base!$D$1:$E$6,2,FALSE))</f>
        <v>1912</v>
      </c>
      <c r="AJ251" s="101" t="str">
        <f>VLOOKUP(Proponentes[[#This Row],[Propuesta]],Hoja2!$A$2:$D$329,4,FALSE)</f>
        <v>NO CUMPLE</v>
      </c>
      <c r="AK251" s="101"/>
    </row>
    <row r="252" spans="1:37" ht="16" x14ac:dyDescent="0.2">
      <c r="A252" s="10">
        <v>251</v>
      </c>
      <c r="B252" s="11">
        <v>900204791</v>
      </c>
      <c r="C252" s="12" t="s">
        <v>356</v>
      </c>
      <c r="D252" s="13">
        <v>1636421000</v>
      </c>
      <c r="E252" s="13">
        <v>22651087</v>
      </c>
      <c r="F252" s="25">
        <f>Proponentes[[#This Row],[Activo Corriente]]+Proponentes[[#This Row],[Activo NO Corriente]]</f>
        <v>1659072087</v>
      </c>
      <c r="G252" s="13">
        <v>114553481</v>
      </c>
      <c r="H252" s="13">
        <v>630000000</v>
      </c>
      <c r="I252" s="25">
        <f>Proponentes[[#This Row],[Pasivo Corriente]]+Proponentes[[#This Row],[Pasivo NO Corriente]]</f>
        <v>744553481</v>
      </c>
      <c r="J252" s="14">
        <f>Proponentes[[#This Row],[Total ACTIVO]]-Proponentes[[#This Row],[Total Pasivo]]</f>
        <v>914518606</v>
      </c>
      <c r="K252" s="48" t="e">
        <f>VLOOKUP(Proponentes[[#This Row],[Propuesta]],Hoja2!$A$2:$G$239,7,FALSE)</f>
        <v>#N/A</v>
      </c>
      <c r="L252" s="15"/>
      <c r="M252" s="15" t="s">
        <v>28</v>
      </c>
      <c r="N252" s="55">
        <f>IFERROR(VLOOKUP(Proponentes[[#This Row],[Cap Op en SMMLV]],Base!$A$15:$F$20,3),0)</f>
        <v>0</v>
      </c>
      <c r="O252" s="16">
        <f>IFERROR(VLOOKUP(Proponentes[[#This Row],[Cap Op en SMMLV]],Base!$A$15:$F$20,4),0)</f>
        <v>0</v>
      </c>
      <c r="P252" s="17">
        <f>IFERROR(VLOOKUP(Proponentes[[#This Row],[Cap Op en SMMLV]],Tabla2[],6),0)</f>
        <v>0</v>
      </c>
      <c r="Q252" s="18">
        <f>IFERROR(VLOOKUP(Proponentes[[#This Row],[Cap Op en SMMLV]],Base!$A$15:$F$20,5),0)</f>
        <v>0</v>
      </c>
      <c r="R252" s="18">
        <f>IFERROR(VLOOKUP(Proponentes[[#This Row],[Cap Op en SMMLV]],Tabla2[[DE]:[HASTA]],2),0)</f>
        <v>0</v>
      </c>
      <c r="S252" s="19">
        <f>IFERROR(Proponentes[[#This Row],[Activo Corriente]]/Proponentes[[#This Row],[Pasivo Corriente]],"INDETERMINADO")</f>
        <v>14.285214082669386</v>
      </c>
      <c r="T252" s="20">
        <f>IFERROR(Proponentes[[#This Row],[Total Pasivo]]/Proponentes[[#This Row],[Total ACTIVO]],0)</f>
        <v>0.44877705244642574</v>
      </c>
      <c r="U252" s="21">
        <f>(Proponentes[[#This Row],[Activo Corriente]]-Proponentes[[#This Row],[Pasivo Corriente]])/Base!$B$3</f>
        <v>1837.7467878896193</v>
      </c>
      <c r="V252" s="22">
        <f>Proponentes[[#This Row],[Activo Corriente]]-Proponentes[[#This Row],[Pasivo Corriente]]</f>
        <v>1521867519</v>
      </c>
      <c r="W252" s="13">
        <f>IFERROR(VLOOKUP(Proponentes[[#This Row],[Propuesta]],Hoja2!$A$2:$G$329,7,FALSE),0)</f>
        <v>0</v>
      </c>
      <c r="X252" s="83">
        <f>IF(Proponentes[[#This Row],[Cap Op en Pesos]]=0,0,IF(Proponentes[[#This Row],[Cap Op en Pesos]]=0,1,Proponentes[[#This Row],[Cap Op en Pesos]]/Base!B$3))</f>
        <v>0</v>
      </c>
      <c r="Y25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5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5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52" s="23" t="str">
        <f>IF(AND(Proponentes[[#This Row],[Cumple
Liquidez]]="CUMPLE",Proponentes[[#This Row],[Cumple
Endeudamiento]]="CUMPLE",Proponentes[[#This Row],[Cumple
Capital de Trabajo]]="CUMPLE"),"CUMPLE","NO CUMPLE")</f>
        <v>NO CUMPLE</v>
      </c>
      <c r="AC252" s="24"/>
      <c r="AD252" s="10">
        <f>IF(Proponentes[[#This Row],[Liquidez
Oferente]]&lt;=1,1,IF(Proponentes[[#This Row],[Liquidez
Oferente]]&lt;=1.1,2,IF(Proponentes[[#This Row],[Liquidez
Oferente]]&lt;=1.2,3,IF(Proponentes[[#This Row],[Liquidez
Oferente]]&lt;=1.3,4,IF(Proponentes[[#This Row],[Liquidez
Oferente]]&lt;=1.4,5,6)))))</f>
        <v>6</v>
      </c>
      <c r="AE252" s="10">
        <f>IF(Proponentes[[#This Row],[Endeudamiento
Oferente]]&lt;=66%,6,IF(Proponentes[[#This Row],[Endeudamiento
Oferente]]&lt;=58,5,IF(Proponentes[[#This Row],[Endeudamiento
Oferente]]&lt;=70,4,IF(Proponentes[[#This Row],[Endeudamiento
Oferente]]&lt;=72,3,IF(Proponentes[[#This Row],[Endeudamiento
Oferente]]&lt;=74,2,1)))))</f>
        <v>6</v>
      </c>
      <c r="AF25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52" s="10">
        <f>IF(Proponentes[[#This Row],[Cap Op en SMMLV]]&lt;=500,1,IF(Proponentes[[#This Row],[Cap Op en SMMLV]]&lt;=1000,2,IF(Proponentes[[#This Row],[Cap Op en SMMLV]]&lt;=1500,3,IF(Proponentes[[#This Row],[Cap Op en SMMLV]]&lt;=2000,4,IF(Proponentes[[#This Row],[Cap Op en SMMLV]]&lt;=2500,5,6)))))</f>
        <v>1</v>
      </c>
      <c r="AH252" s="10">
        <f>MIN(Proponentes[[#This Row],[a]:[d]])</f>
        <v>1</v>
      </c>
      <c r="AI252" s="87">
        <f>IF(Proponentes[[#This Row],[e]]=Proponentes[[#This Row],[d]],Proponentes[[#This Row],[Cap Op en SMMLV]],VLOOKUP(Proponentes[[#This Row],[e]],Base!$D$1:$E$6,2,FALSE))</f>
        <v>0</v>
      </c>
      <c r="AJ252" s="101" t="str">
        <f>VLOOKUP(Proponentes[[#This Row],[Propuesta]],Hoja2!$A$2:$D$329,4,FALSE)</f>
        <v>NO CUMPLE</v>
      </c>
      <c r="AK252" s="101"/>
    </row>
    <row r="253" spans="1:37" ht="32" x14ac:dyDescent="0.2">
      <c r="A253" s="10">
        <v>252</v>
      </c>
      <c r="B253" s="11">
        <v>804017802</v>
      </c>
      <c r="C253" s="12" t="s">
        <v>357</v>
      </c>
      <c r="D253" s="13">
        <v>2000000</v>
      </c>
      <c r="E253" s="13"/>
      <c r="F253" s="25">
        <f>Proponentes[[#This Row],[Activo Corriente]]+Proponentes[[#This Row],[Activo NO Corriente]]</f>
        <v>2000000</v>
      </c>
      <c r="G253" s="13">
        <v>0</v>
      </c>
      <c r="H253" s="13">
        <v>0</v>
      </c>
      <c r="I253" s="25">
        <f>Proponentes[[#This Row],[Pasivo Corriente]]+Proponentes[[#This Row],[Pasivo NO Corriente]]</f>
        <v>0</v>
      </c>
      <c r="J253" s="14">
        <f>Proponentes[[#This Row],[Total ACTIVO]]-Proponentes[[#This Row],[Total Pasivo]]</f>
        <v>2000000</v>
      </c>
      <c r="K253" s="48" t="e">
        <f>VLOOKUP(Proponentes[[#This Row],[Propuesta]],Hoja2!$A$2:$G$239,7,FALSE)</f>
        <v>#N/A</v>
      </c>
      <c r="L253" s="15" t="s">
        <v>41</v>
      </c>
      <c r="M253" s="15" t="s">
        <v>28</v>
      </c>
      <c r="N253" s="55">
        <f>IFERROR(VLOOKUP(Proponentes[[#This Row],[Cap Op en SMMLV]],Base!$A$15:$F$20,3),0)</f>
        <v>1</v>
      </c>
      <c r="O253" s="16">
        <f>IFERROR(VLOOKUP(Proponentes[[#This Row],[Cap Op en SMMLV]],Base!$A$15:$F$20,4),0)</f>
        <v>0.76</v>
      </c>
      <c r="P253" s="17">
        <f>IFERROR(VLOOKUP(Proponentes[[#This Row],[Cap Op en SMMLV]],Tabla2[],6),0)</f>
        <v>12.5</v>
      </c>
      <c r="Q253" s="18">
        <f>IFERROR(VLOOKUP(Proponentes[[#This Row],[Cap Op en SMMLV]],Base!$A$15:$F$20,5),0)</f>
        <v>10351450</v>
      </c>
      <c r="R253" s="18">
        <f>IFERROR(VLOOKUP(Proponentes[[#This Row],[Cap Op en SMMLV]],Tabla2[[DE]:[HASTA]],2),0)</f>
        <v>500</v>
      </c>
      <c r="S253" s="19" t="str">
        <f>IFERROR(Proponentes[[#This Row],[Activo Corriente]]/Proponentes[[#This Row],[Pasivo Corriente]],"INDETERMINADO")</f>
        <v>INDETERMINADO</v>
      </c>
      <c r="T253" s="20">
        <f>IFERROR(Proponentes[[#This Row],[Total Pasivo]]/Proponentes[[#This Row],[Total ACTIVO]],0)</f>
        <v>0</v>
      </c>
      <c r="U253" s="21">
        <f>(Proponentes[[#This Row],[Activo Corriente]]-Proponentes[[#This Row],[Pasivo Corriente]])/Base!$B$3</f>
        <v>2.4151205869709074</v>
      </c>
      <c r="V253" s="22">
        <f>Proponentes[[#This Row],[Activo Corriente]]-Proponentes[[#This Row],[Pasivo Corriente]]</f>
        <v>2000000</v>
      </c>
      <c r="W253" s="13">
        <f>IFERROR(VLOOKUP(Proponentes[[#This Row],[Propuesta]],Hoja2!$A$2:$G$329,7,FALSE),0)</f>
        <v>17769219.599055137</v>
      </c>
      <c r="X253" s="83">
        <f>IF(Proponentes[[#This Row],[Cap Op en Pesos]]=0,0,IF(Proponentes[[#This Row],[Cap Op en Pesos]]=0,1,Proponentes[[#This Row],[Cap Op en Pesos]]/Base!B$3))</f>
        <v>21.457404034042497</v>
      </c>
      <c r="Y25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5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5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53" s="23" t="str">
        <f>IF(AND(Proponentes[[#This Row],[Cumple
Liquidez]]="CUMPLE",Proponentes[[#This Row],[Cumple
Endeudamiento]]="CUMPLE",Proponentes[[#This Row],[Cumple
Capital de Trabajo]]="CUMPLE"),"CUMPLE","NO CUMPLE")</f>
        <v>NO CUMPLE</v>
      </c>
      <c r="AC253" s="24" t="s">
        <v>808</v>
      </c>
      <c r="AD253" s="10">
        <f>IF(Proponentes[[#This Row],[Liquidez
Oferente]]&lt;=1,1,IF(Proponentes[[#This Row],[Liquidez
Oferente]]&lt;=1.1,2,IF(Proponentes[[#This Row],[Liquidez
Oferente]]&lt;=1.2,3,IF(Proponentes[[#This Row],[Liquidez
Oferente]]&lt;=1.3,4,IF(Proponentes[[#This Row],[Liquidez
Oferente]]&lt;=1.4,5,6)))))</f>
        <v>6</v>
      </c>
      <c r="AE253" s="10">
        <f>IF(Proponentes[[#This Row],[Endeudamiento
Oferente]]&lt;=66%,6,IF(Proponentes[[#This Row],[Endeudamiento
Oferente]]&lt;=58,5,IF(Proponentes[[#This Row],[Endeudamiento
Oferente]]&lt;=70,4,IF(Proponentes[[#This Row],[Endeudamiento
Oferente]]&lt;=72,3,IF(Proponentes[[#This Row],[Endeudamiento
Oferente]]&lt;=74,2,1)))))</f>
        <v>6</v>
      </c>
      <c r="AF25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53" s="10">
        <f>IF(Proponentes[[#This Row],[Cap Op en SMMLV]]&lt;=500,1,IF(Proponentes[[#This Row],[Cap Op en SMMLV]]&lt;=1000,2,IF(Proponentes[[#This Row],[Cap Op en SMMLV]]&lt;=1500,3,IF(Proponentes[[#This Row],[Cap Op en SMMLV]]&lt;=2000,4,IF(Proponentes[[#This Row],[Cap Op en SMMLV]]&lt;=2500,5,6)))))</f>
        <v>1</v>
      </c>
      <c r="AH253" s="10">
        <f>MIN(Proponentes[[#This Row],[a]:[d]])</f>
        <v>1</v>
      </c>
      <c r="AI253" s="87">
        <f>IF(Proponentes[[#This Row],[e]]=Proponentes[[#This Row],[d]],Proponentes[[#This Row],[Cap Op en SMMLV]],VLOOKUP(Proponentes[[#This Row],[e]],Base!$D$1:$E$6,2,FALSE))</f>
        <v>21.457404034042497</v>
      </c>
      <c r="AJ253" s="101" t="str">
        <f>VLOOKUP(Proponentes[[#This Row],[Propuesta]],Hoja2!$A$2:$D$329,4,FALSE)</f>
        <v>CUMPLE</v>
      </c>
      <c r="AK253" s="101"/>
    </row>
    <row r="254" spans="1:37" ht="16" x14ac:dyDescent="0.2">
      <c r="A254" s="10">
        <v>253</v>
      </c>
      <c r="B254" s="11">
        <v>900305127</v>
      </c>
      <c r="C254" s="12" t="s">
        <v>358</v>
      </c>
      <c r="D254" s="13">
        <v>11050275914</v>
      </c>
      <c r="E254" s="13">
        <v>134970495</v>
      </c>
      <c r="F254" s="25">
        <f>Proponentes[[#This Row],[Activo Corriente]]+Proponentes[[#This Row],[Activo NO Corriente]]</f>
        <v>11185246409</v>
      </c>
      <c r="G254" s="13">
        <v>77856840</v>
      </c>
      <c r="H254" s="13">
        <v>80555379</v>
      </c>
      <c r="I254" s="25">
        <f>Proponentes[[#This Row],[Pasivo Corriente]]+Proponentes[[#This Row],[Pasivo NO Corriente]]</f>
        <v>158412219</v>
      </c>
      <c r="J254" s="14">
        <f>Proponentes[[#This Row],[Total ACTIVO]]-Proponentes[[#This Row],[Total Pasivo]]</f>
        <v>11026834190</v>
      </c>
      <c r="K254" s="48" t="e">
        <f>VLOOKUP(Proponentes[[#This Row],[Propuesta]],Hoja2!$A$2:$G$239,7,FALSE)</f>
        <v>#N/A</v>
      </c>
      <c r="L254" s="15"/>
      <c r="M254" s="15" t="s">
        <v>28</v>
      </c>
      <c r="N254" s="55">
        <f>IFERROR(VLOOKUP(Proponentes[[#This Row],[Cap Op en SMMLV]],Base!$A$15:$F$20,3),0)</f>
        <v>1.2</v>
      </c>
      <c r="O254" s="16">
        <f>IFERROR(VLOOKUP(Proponentes[[#This Row],[Cap Op en SMMLV]],Base!$A$15:$F$20,4),0)</f>
        <v>0.72</v>
      </c>
      <c r="P254" s="17">
        <f>IFERROR(VLOOKUP(Proponentes[[#This Row],[Cap Op en SMMLV]],Tabla2[],6),0)</f>
        <v>37.5</v>
      </c>
      <c r="Q254" s="18">
        <f>IFERROR(VLOOKUP(Proponentes[[#This Row],[Cap Op en SMMLV]],Base!$A$15:$F$20,5),0)</f>
        <v>31054350</v>
      </c>
      <c r="R254" s="18">
        <f>IFERROR(VLOOKUP(Proponentes[[#This Row],[Cap Op en SMMLV]],Tabla2[[DE]:[HASTA]],2),0)</f>
        <v>1500</v>
      </c>
      <c r="S254" s="19">
        <f>IFERROR(Proponentes[[#This Row],[Activo Corriente]]/Proponentes[[#This Row],[Pasivo Corriente]],"INDETERMINADO")</f>
        <v>141.93070145153592</v>
      </c>
      <c r="T254" s="20">
        <f>IFERROR(Proponentes[[#This Row],[Total Pasivo]]/Proponentes[[#This Row],[Total ACTIVO]],0)</f>
        <v>1.4162604309953919E-2</v>
      </c>
      <c r="U254" s="21">
        <f>(Proponentes[[#This Row],[Activo Corriente]]-Proponentes[[#This Row],[Pasivo Corriente]])/Base!$B$3</f>
        <v>13249.857597244831</v>
      </c>
      <c r="V254" s="22">
        <f>Proponentes[[#This Row],[Activo Corriente]]-Proponentes[[#This Row],[Pasivo Corriente]]</f>
        <v>10972419074</v>
      </c>
      <c r="W254" s="13">
        <f>IFERROR(VLOOKUP(Proponentes[[#This Row],[Propuesta]],Hoja2!$A$2:$G$329,7,FALSE),0)</f>
        <v>1014443995.4152532</v>
      </c>
      <c r="X254" s="83">
        <f>IF(Proponentes[[#This Row],[Cap Op en Pesos]]=0,0,IF(Proponentes[[#This Row],[Cap Op en Pesos]]=0,1,Proponentes[[#This Row],[Cap Op en Pesos]]/Base!B$3))</f>
        <v>1225.0022888281994</v>
      </c>
      <c r="Y25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5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5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54" s="23" t="str">
        <f>IF(AND(Proponentes[[#This Row],[Cumple
Liquidez]]="CUMPLE",Proponentes[[#This Row],[Cumple
Endeudamiento]]="CUMPLE",Proponentes[[#This Row],[Cumple
Capital de Trabajo]]="CUMPLE"),"CUMPLE","NO CUMPLE")</f>
        <v>CUMPLE</v>
      </c>
      <c r="AC254" s="24"/>
      <c r="AD254" s="10">
        <f>IF(Proponentes[[#This Row],[Liquidez
Oferente]]&lt;=1,1,IF(Proponentes[[#This Row],[Liquidez
Oferente]]&lt;=1.1,2,IF(Proponentes[[#This Row],[Liquidez
Oferente]]&lt;=1.2,3,IF(Proponentes[[#This Row],[Liquidez
Oferente]]&lt;=1.3,4,IF(Proponentes[[#This Row],[Liquidez
Oferente]]&lt;=1.4,5,6)))))</f>
        <v>6</v>
      </c>
      <c r="AE254" s="10">
        <f>IF(Proponentes[[#This Row],[Endeudamiento
Oferente]]&lt;=66%,6,IF(Proponentes[[#This Row],[Endeudamiento
Oferente]]&lt;=58,5,IF(Proponentes[[#This Row],[Endeudamiento
Oferente]]&lt;=70,4,IF(Proponentes[[#This Row],[Endeudamiento
Oferente]]&lt;=72,3,IF(Proponentes[[#This Row],[Endeudamiento
Oferente]]&lt;=74,2,1)))))</f>
        <v>6</v>
      </c>
      <c r="AF25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54" s="10">
        <f>IF(Proponentes[[#This Row],[Cap Op en SMMLV]]&lt;=500,1,IF(Proponentes[[#This Row],[Cap Op en SMMLV]]&lt;=1000,2,IF(Proponentes[[#This Row],[Cap Op en SMMLV]]&lt;=1500,3,IF(Proponentes[[#This Row],[Cap Op en SMMLV]]&lt;=2000,4,IF(Proponentes[[#This Row],[Cap Op en SMMLV]]&lt;=2500,5,6)))))</f>
        <v>3</v>
      </c>
      <c r="AH254" s="10">
        <f>MIN(Proponentes[[#This Row],[a]:[d]])</f>
        <v>3</v>
      </c>
      <c r="AI254" s="87">
        <f>IF(Proponentes[[#This Row],[e]]=Proponentes[[#This Row],[d]],Proponentes[[#This Row],[Cap Op en SMMLV]],VLOOKUP(Proponentes[[#This Row],[e]],Base!$D$1:$E$6,2,FALSE))</f>
        <v>1225.0022888281994</v>
      </c>
      <c r="AJ254" s="101" t="str">
        <f>VLOOKUP(Proponentes[[#This Row],[Propuesta]],Hoja2!$A$2:$D$329,4,FALSE)</f>
        <v>NO CUMPLE</v>
      </c>
      <c r="AK254" s="101"/>
    </row>
    <row r="255" spans="1:37" ht="16" x14ac:dyDescent="0.2">
      <c r="A255" s="10">
        <v>254</v>
      </c>
      <c r="B255" s="11">
        <v>900933258</v>
      </c>
      <c r="C255" s="12" t="s">
        <v>359</v>
      </c>
      <c r="D255" s="13">
        <v>4015000</v>
      </c>
      <c r="E255" s="13">
        <v>10271604</v>
      </c>
      <c r="F255" s="25">
        <f>Proponentes[[#This Row],[Activo Corriente]]+Proponentes[[#This Row],[Activo NO Corriente]]</f>
        <v>14286604</v>
      </c>
      <c r="G255" s="13">
        <v>4015440</v>
      </c>
      <c r="H255" s="13">
        <v>0</v>
      </c>
      <c r="I255" s="25">
        <f>Proponentes[[#This Row],[Pasivo Corriente]]+Proponentes[[#This Row],[Pasivo NO Corriente]]</f>
        <v>4015440</v>
      </c>
      <c r="J255" s="14">
        <f>Proponentes[[#This Row],[Total ACTIVO]]-Proponentes[[#This Row],[Total Pasivo]]</f>
        <v>10271164</v>
      </c>
      <c r="K255" s="48" t="e">
        <f>VLOOKUP(Proponentes[[#This Row],[Propuesta]],Hoja2!$A$2:$G$239,7,FALSE)</f>
        <v>#N/A</v>
      </c>
      <c r="L255" s="15" t="s">
        <v>43</v>
      </c>
      <c r="M255" s="15" t="s">
        <v>28</v>
      </c>
      <c r="N255" s="55">
        <f>IFERROR(VLOOKUP(Proponentes[[#This Row],[Cap Op en SMMLV]],Base!$A$15:$F$20,3),0)</f>
        <v>1</v>
      </c>
      <c r="O255" s="16">
        <f>IFERROR(VLOOKUP(Proponentes[[#This Row],[Cap Op en SMMLV]],Base!$A$15:$F$20,4),0)</f>
        <v>0.76</v>
      </c>
      <c r="P255" s="17">
        <f>IFERROR(VLOOKUP(Proponentes[[#This Row],[Cap Op en SMMLV]],Tabla2[],6),0)</f>
        <v>12.5</v>
      </c>
      <c r="Q255" s="18">
        <f>IFERROR(VLOOKUP(Proponentes[[#This Row],[Cap Op en SMMLV]],Base!$A$15:$F$20,5),0)</f>
        <v>10351450</v>
      </c>
      <c r="R255" s="18">
        <f>IFERROR(VLOOKUP(Proponentes[[#This Row],[Cap Op en SMMLV]],Tabla2[[DE]:[HASTA]],2),0)</f>
        <v>500</v>
      </c>
      <c r="S255" s="19">
        <v>1</v>
      </c>
      <c r="T255" s="20">
        <f>IFERROR(Proponentes[[#This Row],[Total Pasivo]]/Proponentes[[#This Row],[Total ACTIVO]],0)</f>
        <v>0.28106329537796387</v>
      </c>
      <c r="U255" s="21">
        <f>(Proponentes[[#This Row],[Activo Corriente]]-Proponentes[[#This Row],[Pasivo Corriente]])/Base!$B$3</f>
        <v>-5.3132652913359961E-4</v>
      </c>
      <c r="V255" s="22">
        <f>Proponentes[[#This Row],[Activo Corriente]]-Proponentes[[#This Row],[Pasivo Corriente]]</f>
        <v>-440</v>
      </c>
      <c r="W255" s="13">
        <f>IFERROR(VLOOKUP(Proponentes[[#This Row],[Propuesta]],Hoja2!$A$2:$G$329,7,FALSE),0)</f>
        <v>71128984.068308756</v>
      </c>
      <c r="X255" s="83">
        <f>IF(Proponentes[[#This Row],[Cap Op en Pesos]]=0,0,IF(Proponentes[[#This Row],[Cap Op en Pesos]]=0,1,Proponentes[[#This Row],[Cap Op en Pesos]]/Base!B$3))</f>
        <v>85.892536876849078</v>
      </c>
      <c r="Y25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5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5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55" s="23" t="str">
        <f>IF(AND(Proponentes[[#This Row],[Cumple
Liquidez]]="CUMPLE",Proponentes[[#This Row],[Cumple
Endeudamiento]]="CUMPLE",Proponentes[[#This Row],[Cumple
Capital de Trabajo]]="CUMPLE"),"CUMPLE","NO CUMPLE")</f>
        <v>NO CUMPLE</v>
      </c>
      <c r="AC255" s="24"/>
      <c r="AD255" s="10">
        <f>IF(Proponentes[[#This Row],[Liquidez
Oferente]]&lt;=1,1,IF(Proponentes[[#This Row],[Liquidez
Oferente]]&lt;=1.1,2,IF(Proponentes[[#This Row],[Liquidez
Oferente]]&lt;=1.2,3,IF(Proponentes[[#This Row],[Liquidez
Oferente]]&lt;=1.3,4,IF(Proponentes[[#This Row],[Liquidez
Oferente]]&lt;=1.4,5,6)))))</f>
        <v>1</v>
      </c>
      <c r="AE255" s="10">
        <f>IF(Proponentes[[#This Row],[Endeudamiento
Oferente]]&lt;=66%,6,IF(Proponentes[[#This Row],[Endeudamiento
Oferente]]&lt;=58,5,IF(Proponentes[[#This Row],[Endeudamiento
Oferente]]&lt;=70,4,IF(Proponentes[[#This Row],[Endeudamiento
Oferente]]&lt;=72,3,IF(Proponentes[[#This Row],[Endeudamiento
Oferente]]&lt;=74,2,1)))))</f>
        <v>6</v>
      </c>
      <c r="AF25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55" s="10">
        <f>IF(Proponentes[[#This Row],[Cap Op en SMMLV]]&lt;=500,1,IF(Proponentes[[#This Row],[Cap Op en SMMLV]]&lt;=1000,2,IF(Proponentes[[#This Row],[Cap Op en SMMLV]]&lt;=1500,3,IF(Proponentes[[#This Row],[Cap Op en SMMLV]]&lt;=2000,4,IF(Proponentes[[#This Row],[Cap Op en SMMLV]]&lt;=2500,5,6)))))</f>
        <v>1</v>
      </c>
      <c r="AH255" s="10">
        <f>MIN(Proponentes[[#This Row],[a]:[d]])</f>
        <v>1</v>
      </c>
      <c r="AI255" s="87">
        <f>IF(Proponentes[[#This Row],[e]]=Proponentes[[#This Row],[d]],Proponentes[[#This Row],[Cap Op en SMMLV]],VLOOKUP(Proponentes[[#This Row],[e]],Base!$D$1:$E$6,2,FALSE))</f>
        <v>85.892536876849078</v>
      </c>
      <c r="AJ255" s="101" t="str">
        <f>VLOOKUP(Proponentes[[#This Row],[Propuesta]],Hoja2!$A$2:$D$329,4,FALSE)</f>
        <v>CUMPLE</v>
      </c>
      <c r="AK255" s="101"/>
    </row>
    <row r="256" spans="1:37" ht="16" x14ac:dyDescent="0.2">
      <c r="A256" s="10">
        <v>255</v>
      </c>
      <c r="B256" s="11">
        <v>800052272</v>
      </c>
      <c r="C256" s="12" t="s">
        <v>360</v>
      </c>
      <c r="D256" s="13">
        <v>345884000</v>
      </c>
      <c r="E256" s="13">
        <v>727627000</v>
      </c>
      <c r="F256" s="25">
        <f>Proponentes[[#This Row],[Activo Corriente]]+Proponentes[[#This Row],[Activo NO Corriente]]</f>
        <v>1073511000</v>
      </c>
      <c r="G256" s="13">
        <v>7714000</v>
      </c>
      <c r="H256" s="13">
        <v>0</v>
      </c>
      <c r="I256" s="25">
        <f>Proponentes[[#This Row],[Pasivo Corriente]]+Proponentes[[#This Row],[Pasivo NO Corriente]]</f>
        <v>7714000</v>
      </c>
      <c r="J256" s="14">
        <f>Proponentes[[#This Row],[Total ACTIVO]]-Proponentes[[#This Row],[Total Pasivo]]</f>
        <v>1065797000</v>
      </c>
      <c r="K256" s="48" t="e">
        <f>VLOOKUP(Proponentes[[#This Row],[Propuesta]],Hoja2!$A$2:$G$239,7,FALSE)</f>
        <v>#N/A</v>
      </c>
      <c r="L256" s="15"/>
      <c r="M256" s="15" t="s">
        <v>28</v>
      </c>
      <c r="N256" s="55">
        <f>IFERROR(VLOOKUP(Proponentes[[#This Row],[Cap Op en SMMLV]],Base!$A$15:$F$20,3),0)</f>
        <v>1</v>
      </c>
      <c r="O256" s="16">
        <f>IFERROR(VLOOKUP(Proponentes[[#This Row],[Cap Op en SMMLV]],Base!$A$15:$F$20,4),0)</f>
        <v>0.76</v>
      </c>
      <c r="P256" s="17">
        <f>IFERROR(VLOOKUP(Proponentes[[#This Row],[Cap Op en SMMLV]],Tabla2[],6),0)</f>
        <v>12.5</v>
      </c>
      <c r="Q256" s="18">
        <f>IFERROR(VLOOKUP(Proponentes[[#This Row],[Cap Op en SMMLV]],Base!$A$15:$F$20,5),0)</f>
        <v>10351450</v>
      </c>
      <c r="R256" s="18">
        <f>IFERROR(VLOOKUP(Proponentes[[#This Row],[Cap Op en SMMLV]],Tabla2[[DE]:[HASTA]],2),0)</f>
        <v>500</v>
      </c>
      <c r="S256" s="19">
        <f>IFERROR(Proponentes[[#This Row],[Activo Corriente]]/Proponentes[[#This Row],[Pasivo Corriente]],"INDETERMINADO")</f>
        <v>44.83847549909256</v>
      </c>
      <c r="T256" s="20">
        <f>IFERROR(Proponentes[[#This Row],[Total Pasivo]]/Proponentes[[#This Row],[Total ACTIVO]],0)</f>
        <v>7.1857670764435572E-3</v>
      </c>
      <c r="U256" s="21">
        <f>(Proponentes[[#This Row],[Activo Corriente]]-Proponentes[[#This Row],[Pasivo Corriente]])/Base!$B$3</f>
        <v>408.36066444797586</v>
      </c>
      <c r="V256" s="22">
        <f>Proponentes[[#This Row],[Activo Corriente]]-Proponentes[[#This Row],[Pasivo Corriente]]</f>
        <v>338170000</v>
      </c>
      <c r="W256" s="13">
        <f>IFERROR(VLOOKUP(Proponentes[[#This Row],[Propuesta]],Hoja2!$A$2:$G$329,7,FALSE),0)</f>
        <v>101859974.61820841</v>
      </c>
      <c r="X256" s="83">
        <f>IF(Proponentes[[#This Row],[Cap Op en Pesos]]=0,0,IF(Proponentes[[#This Row],[Cap Op en Pesos]]=0,1,Proponentes[[#This Row],[Cap Op en Pesos]]/Base!B$3))</f>
        <v>123.00206084438462</v>
      </c>
      <c r="Y25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5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5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56" s="23" t="str">
        <f>IF(AND(Proponentes[[#This Row],[Cumple
Liquidez]]="CUMPLE",Proponentes[[#This Row],[Cumple
Endeudamiento]]="CUMPLE",Proponentes[[#This Row],[Cumple
Capital de Trabajo]]="CUMPLE"),"CUMPLE","NO CUMPLE")</f>
        <v>CUMPLE</v>
      </c>
      <c r="AC256" s="24"/>
      <c r="AD256" s="10">
        <f>IF(Proponentes[[#This Row],[Liquidez
Oferente]]&lt;=1,1,IF(Proponentes[[#This Row],[Liquidez
Oferente]]&lt;=1.1,2,IF(Proponentes[[#This Row],[Liquidez
Oferente]]&lt;=1.2,3,IF(Proponentes[[#This Row],[Liquidez
Oferente]]&lt;=1.3,4,IF(Proponentes[[#This Row],[Liquidez
Oferente]]&lt;=1.4,5,6)))))</f>
        <v>6</v>
      </c>
      <c r="AE256" s="10">
        <f>IF(Proponentes[[#This Row],[Endeudamiento
Oferente]]&lt;=66%,6,IF(Proponentes[[#This Row],[Endeudamiento
Oferente]]&lt;=58,5,IF(Proponentes[[#This Row],[Endeudamiento
Oferente]]&lt;=70,4,IF(Proponentes[[#This Row],[Endeudamiento
Oferente]]&lt;=72,3,IF(Proponentes[[#This Row],[Endeudamiento
Oferente]]&lt;=74,2,1)))))</f>
        <v>6</v>
      </c>
      <c r="AF25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56" s="10">
        <f>IF(Proponentes[[#This Row],[Cap Op en SMMLV]]&lt;=500,1,IF(Proponentes[[#This Row],[Cap Op en SMMLV]]&lt;=1000,2,IF(Proponentes[[#This Row],[Cap Op en SMMLV]]&lt;=1500,3,IF(Proponentes[[#This Row],[Cap Op en SMMLV]]&lt;=2000,4,IF(Proponentes[[#This Row],[Cap Op en SMMLV]]&lt;=2500,5,6)))))</f>
        <v>1</v>
      </c>
      <c r="AH256" s="10">
        <f>MIN(Proponentes[[#This Row],[a]:[d]])</f>
        <v>1</v>
      </c>
      <c r="AI256" s="87">
        <f>IF(Proponentes[[#This Row],[e]]=Proponentes[[#This Row],[d]],Proponentes[[#This Row],[Cap Op en SMMLV]],VLOOKUP(Proponentes[[#This Row],[e]],Base!$D$1:$E$6,2,FALSE))</f>
        <v>123.00206084438462</v>
      </c>
      <c r="AJ256" s="101" t="str">
        <f>VLOOKUP(Proponentes[[#This Row],[Propuesta]],Hoja2!$A$2:$D$329,4,FALSE)</f>
        <v>NO CUMPLE</v>
      </c>
      <c r="AK256" s="101"/>
    </row>
    <row r="257" spans="1:37" ht="32" x14ac:dyDescent="0.2">
      <c r="A257" s="10">
        <v>256</v>
      </c>
      <c r="B257" s="11">
        <v>830054757</v>
      </c>
      <c r="C257" s="12" t="s">
        <v>361</v>
      </c>
      <c r="D257" s="13">
        <v>1125929774</v>
      </c>
      <c r="E257" s="13">
        <v>345940909</v>
      </c>
      <c r="F257" s="25">
        <f>Proponentes[[#This Row],[Activo Corriente]]+Proponentes[[#This Row],[Activo NO Corriente]]</f>
        <v>1471870683</v>
      </c>
      <c r="G257" s="13">
        <v>144860678</v>
      </c>
      <c r="H257" s="13">
        <v>112500000</v>
      </c>
      <c r="I257" s="25">
        <f>Proponentes[[#This Row],[Pasivo Corriente]]+Proponentes[[#This Row],[Pasivo NO Corriente]]</f>
        <v>257360678</v>
      </c>
      <c r="J257" s="14">
        <f>Proponentes[[#This Row],[Total ACTIVO]]-Proponentes[[#This Row],[Total Pasivo]]</f>
        <v>1214510005</v>
      </c>
      <c r="K257" s="48" t="e">
        <f>VLOOKUP(Proponentes[[#This Row],[Propuesta]],Hoja2!$A$2:$G$239,7,FALSE)</f>
        <v>#N/A</v>
      </c>
      <c r="L257" s="15"/>
      <c r="M257" s="15" t="s">
        <v>28</v>
      </c>
      <c r="N257" s="55">
        <f>IFERROR(VLOOKUP(Proponentes[[#This Row],[Cap Op en SMMLV]],Base!$A$15:$F$20,3),0)</f>
        <v>1.1000000000000001</v>
      </c>
      <c r="O257" s="16">
        <f>IFERROR(VLOOKUP(Proponentes[[#This Row],[Cap Op en SMMLV]],Base!$A$15:$F$20,4),0)</f>
        <v>0.74</v>
      </c>
      <c r="P257" s="17">
        <f>IFERROR(VLOOKUP(Proponentes[[#This Row],[Cap Op en SMMLV]],Tabla2[],6),0)</f>
        <v>25</v>
      </c>
      <c r="Q257" s="18">
        <f>IFERROR(VLOOKUP(Proponentes[[#This Row],[Cap Op en SMMLV]],Base!$A$15:$F$20,5),0)</f>
        <v>20702900</v>
      </c>
      <c r="R257" s="18">
        <f>IFERROR(VLOOKUP(Proponentes[[#This Row],[Cap Op en SMMLV]],Tabla2[[DE]:[HASTA]],2),0)</f>
        <v>1000</v>
      </c>
      <c r="S257" s="19">
        <f>IFERROR(Proponentes[[#This Row],[Activo Corriente]]/Proponentes[[#This Row],[Pasivo Corriente]],"INDETERMINADO")</f>
        <v>7.7725010647817072</v>
      </c>
      <c r="T257" s="20">
        <f>IFERROR(Proponentes[[#This Row],[Total Pasivo]]/Proponentes[[#This Row],[Total ACTIVO]],0)</f>
        <v>0.17485277814994024</v>
      </c>
      <c r="U257" s="21">
        <f>(Proponentes[[#This Row],[Activo Corriente]]-Proponentes[[#This Row],[Pasivo Corriente]])/Base!$B$3</f>
        <v>1184.7000854952687</v>
      </c>
      <c r="V257" s="22">
        <f>Proponentes[[#This Row],[Activo Corriente]]-Proponentes[[#This Row],[Pasivo Corriente]]</f>
        <v>981069096</v>
      </c>
      <c r="W257" s="13">
        <f>IFERROR(VLOOKUP(Proponentes[[#This Row],[Propuesta]],Hoja2!$A$2:$G$329,7,FALSE),0)</f>
        <v>670461251.43026936</v>
      </c>
      <c r="X257" s="83">
        <f>IF(Proponentes[[#This Row],[Cap Op en Pesos]]=0,0,IF(Proponentes[[#This Row],[Cap Op en Pesos]]=0,1,Proponentes[[#This Row],[Cap Op en Pesos]]/Base!B$3))</f>
        <v>809.6223855477607</v>
      </c>
      <c r="Y25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5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5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57" s="23" t="str">
        <f>IF(AND(Proponentes[[#This Row],[Cumple
Liquidez]]="CUMPLE",Proponentes[[#This Row],[Cumple
Endeudamiento]]="CUMPLE",Proponentes[[#This Row],[Cumple
Capital de Trabajo]]="CUMPLE"),"CUMPLE","NO CUMPLE")</f>
        <v>CUMPLE</v>
      </c>
      <c r="AC257" s="24"/>
      <c r="AD257" s="10">
        <f>IF(Proponentes[[#This Row],[Liquidez
Oferente]]&lt;=1,1,IF(Proponentes[[#This Row],[Liquidez
Oferente]]&lt;=1.1,2,IF(Proponentes[[#This Row],[Liquidez
Oferente]]&lt;=1.2,3,IF(Proponentes[[#This Row],[Liquidez
Oferente]]&lt;=1.3,4,IF(Proponentes[[#This Row],[Liquidez
Oferente]]&lt;=1.4,5,6)))))</f>
        <v>6</v>
      </c>
      <c r="AE257" s="10">
        <f>IF(Proponentes[[#This Row],[Endeudamiento
Oferente]]&lt;=66%,6,IF(Proponentes[[#This Row],[Endeudamiento
Oferente]]&lt;=58,5,IF(Proponentes[[#This Row],[Endeudamiento
Oferente]]&lt;=70,4,IF(Proponentes[[#This Row],[Endeudamiento
Oferente]]&lt;=72,3,IF(Proponentes[[#This Row],[Endeudamiento
Oferente]]&lt;=74,2,1)))))</f>
        <v>6</v>
      </c>
      <c r="AF25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57" s="10">
        <f>IF(Proponentes[[#This Row],[Cap Op en SMMLV]]&lt;=500,1,IF(Proponentes[[#This Row],[Cap Op en SMMLV]]&lt;=1000,2,IF(Proponentes[[#This Row],[Cap Op en SMMLV]]&lt;=1500,3,IF(Proponentes[[#This Row],[Cap Op en SMMLV]]&lt;=2000,4,IF(Proponentes[[#This Row],[Cap Op en SMMLV]]&lt;=2500,5,6)))))</f>
        <v>2</v>
      </c>
      <c r="AH257" s="10">
        <f>MIN(Proponentes[[#This Row],[a]:[d]])</f>
        <v>2</v>
      </c>
      <c r="AI257" s="87">
        <f>IF(Proponentes[[#This Row],[e]]=Proponentes[[#This Row],[d]],Proponentes[[#This Row],[Cap Op en SMMLV]],VLOOKUP(Proponentes[[#This Row],[e]],Base!$D$1:$E$6,2,FALSE))</f>
        <v>809.6223855477607</v>
      </c>
      <c r="AJ257" s="101" t="str">
        <f>VLOOKUP(Proponentes[[#This Row],[Propuesta]],Hoja2!$A$2:$D$329,4,FALSE)</f>
        <v>NO CUMPLE</v>
      </c>
      <c r="AK257" s="101"/>
    </row>
    <row r="258" spans="1:37" ht="16" x14ac:dyDescent="0.2">
      <c r="A258" s="10">
        <v>257</v>
      </c>
      <c r="B258" s="11">
        <v>900486066</v>
      </c>
      <c r="C258" s="12" t="s">
        <v>362</v>
      </c>
      <c r="D258" s="13">
        <v>93073797</v>
      </c>
      <c r="E258" s="13">
        <v>295208607</v>
      </c>
      <c r="F258" s="25">
        <f>Proponentes[[#This Row],[Activo Corriente]]+Proponentes[[#This Row],[Activo NO Corriente]]</f>
        <v>388282404</v>
      </c>
      <c r="G258" s="13">
        <v>64931953</v>
      </c>
      <c r="H258" s="13">
        <v>0</v>
      </c>
      <c r="I258" s="25">
        <f>Proponentes[[#This Row],[Pasivo Corriente]]+Proponentes[[#This Row],[Pasivo NO Corriente]]</f>
        <v>64931953</v>
      </c>
      <c r="J258" s="14">
        <f>Proponentes[[#This Row],[Total ACTIVO]]-Proponentes[[#This Row],[Total Pasivo]]</f>
        <v>323350451</v>
      </c>
      <c r="K258" s="48" t="e">
        <f>VLOOKUP(Proponentes[[#This Row],[Propuesta]],Hoja2!$A$2:$G$239,7,FALSE)</f>
        <v>#N/A</v>
      </c>
      <c r="L258" s="15" t="s">
        <v>135</v>
      </c>
      <c r="M258" s="15" t="s">
        <v>28</v>
      </c>
      <c r="N258" s="55">
        <f>IFERROR(VLOOKUP(Proponentes[[#This Row],[Cap Op en SMMLV]],Base!$A$15:$F$20,3),0)</f>
        <v>1</v>
      </c>
      <c r="O258" s="16">
        <f>IFERROR(VLOOKUP(Proponentes[[#This Row],[Cap Op en SMMLV]],Base!$A$15:$F$20,4),0)</f>
        <v>0.76</v>
      </c>
      <c r="P258" s="17">
        <f>IFERROR(VLOOKUP(Proponentes[[#This Row],[Cap Op en SMMLV]],Tabla2[],6),0)</f>
        <v>12.5</v>
      </c>
      <c r="Q258" s="18">
        <f>IFERROR(VLOOKUP(Proponentes[[#This Row],[Cap Op en SMMLV]],Base!$A$15:$F$20,5),0)</f>
        <v>10351450</v>
      </c>
      <c r="R258" s="18">
        <f>IFERROR(VLOOKUP(Proponentes[[#This Row],[Cap Op en SMMLV]],Tabla2[[DE]:[HASTA]],2),0)</f>
        <v>500</v>
      </c>
      <c r="S258" s="19">
        <f>IFERROR(Proponentes[[#This Row],[Activo Corriente]]/Proponentes[[#This Row],[Pasivo Corriente]],"INDETERMINADO")</f>
        <v>1.4334051680225912</v>
      </c>
      <c r="T258" s="20">
        <f>IFERROR(Proponentes[[#This Row],[Total Pasivo]]/Proponentes[[#This Row],[Total ACTIVO]],0)</f>
        <v>0.16722867771262692</v>
      </c>
      <c r="U258" s="21">
        <f>(Proponentes[[#This Row],[Activo Corriente]]-Proponentes[[#This Row],[Pasivo Corriente]])/Base!$B$3</f>
        <v>33.982973399861855</v>
      </c>
      <c r="V258" s="22">
        <f>Proponentes[[#This Row],[Activo Corriente]]-Proponentes[[#This Row],[Pasivo Corriente]]</f>
        <v>28141844</v>
      </c>
      <c r="W258" s="13">
        <f>IFERROR(VLOOKUP(Proponentes[[#This Row],[Propuesta]],Hoja2!$A$2:$G$329,7,FALSE),0)</f>
        <v>20180114.623135895</v>
      </c>
      <c r="X258" s="83">
        <f>IF(Proponentes[[#This Row],[Cap Op en Pesos]]=0,0,IF(Proponentes[[#This Row],[Cap Op en Pesos]]=0,1,Proponentes[[#This Row],[Cap Op en Pesos]]/Base!B$3))</f>
        <v>24.368705136884078</v>
      </c>
      <c r="Y25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5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5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58" s="23" t="str">
        <f>IF(AND(Proponentes[[#This Row],[Cumple
Liquidez]]="CUMPLE",Proponentes[[#This Row],[Cumple
Endeudamiento]]="CUMPLE",Proponentes[[#This Row],[Cumple
Capital de Trabajo]]="CUMPLE"),"CUMPLE","NO CUMPLE")</f>
        <v>CUMPLE</v>
      </c>
      <c r="AC258" s="24"/>
      <c r="AD258" s="10">
        <f>IF(Proponentes[[#This Row],[Liquidez
Oferente]]&lt;=1,1,IF(Proponentes[[#This Row],[Liquidez
Oferente]]&lt;=1.1,2,IF(Proponentes[[#This Row],[Liquidez
Oferente]]&lt;=1.2,3,IF(Proponentes[[#This Row],[Liquidez
Oferente]]&lt;=1.3,4,IF(Proponentes[[#This Row],[Liquidez
Oferente]]&lt;=1.4,5,6)))))</f>
        <v>6</v>
      </c>
      <c r="AE258" s="10">
        <f>IF(Proponentes[[#This Row],[Endeudamiento
Oferente]]&lt;=66%,6,IF(Proponentes[[#This Row],[Endeudamiento
Oferente]]&lt;=58,5,IF(Proponentes[[#This Row],[Endeudamiento
Oferente]]&lt;=70,4,IF(Proponentes[[#This Row],[Endeudamiento
Oferente]]&lt;=72,3,IF(Proponentes[[#This Row],[Endeudamiento
Oferente]]&lt;=74,2,1)))))</f>
        <v>6</v>
      </c>
      <c r="AF25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258" s="10">
        <f>IF(Proponentes[[#This Row],[Cap Op en SMMLV]]&lt;=500,1,IF(Proponentes[[#This Row],[Cap Op en SMMLV]]&lt;=1000,2,IF(Proponentes[[#This Row],[Cap Op en SMMLV]]&lt;=1500,3,IF(Proponentes[[#This Row],[Cap Op en SMMLV]]&lt;=2000,4,IF(Proponentes[[#This Row],[Cap Op en SMMLV]]&lt;=2500,5,6)))))</f>
        <v>1</v>
      </c>
      <c r="AH258" s="10">
        <f>MIN(Proponentes[[#This Row],[a]:[d]])</f>
        <v>1</v>
      </c>
      <c r="AI258" s="87">
        <f>IF(Proponentes[[#This Row],[e]]=Proponentes[[#This Row],[d]],Proponentes[[#This Row],[Cap Op en SMMLV]],VLOOKUP(Proponentes[[#This Row],[e]],Base!$D$1:$E$6,2,FALSE))</f>
        <v>24.368705136884078</v>
      </c>
      <c r="AJ258" s="101" t="str">
        <f>VLOOKUP(Proponentes[[#This Row],[Propuesta]],Hoja2!$A$2:$D$329,4,FALSE)</f>
        <v>CUMPLE</v>
      </c>
      <c r="AK258" s="101"/>
    </row>
    <row r="259" spans="1:37" ht="32" x14ac:dyDescent="0.2">
      <c r="A259" s="10">
        <v>258</v>
      </c>
      <c r="B259" s="11">
        <v>810002676</v>
      </c>
      <c r="C259" s="12" t="s">
        <v>363</v>
      </c>
      <c r="D259" s="13">
        <v>140053034</v>
      </c>
      <c r="E259" s="13">
        <v>29175481</v>
      </c>
      <c r="F259" s="25">
        <f>Proponentes[[#This Row],[Activo Corriente]]+Proponentes[[#This Row],[Activo NO Corriente]]</f>
        <v>169228515</v>
      </c>
      <c r="G259" s="13">
        <v>115736335</v>
      </c>
      <c r="H259" s="13">
        <v>0</v>
      </c>
      <c r="I259" s="25">
        <f>Proponentes[[#This Row],[Pasivo Corriente]]+Proponentes[[#This Row],[Pasivo NO Corriente]]</f>
        <v>115736335</v>
      </c>
      <c r="J259" s="14">
        <f>Proponentes[[#This Row],[Total ACTIVO]]-Proponentes[[#This Row],[Total Pasivo]]</f>
        <v>53492180</v>
      </c>
      <c r="K259" s="48" t="e">
        <f>VLOOKUP(Proponentes[[#This Row],[Propuesta]],Hoja2!$A$2:$G$239,7,FALSE)</f>
        <v>#N/A</v>
      </c>
      <c r="L259" s="15" t="s">
        <v>55</v>
      </c>
      <c r="M259" s="15" t="s">
        <v>28</v>
      </c>
      <c r="N259" s="55">
        <f>IFERROR(VLOOKUP(Proponentes[[#This Row],[Cap Op en SMMLV]],Base!$A$15:$F$20,3),0)</f>
        <v>0</v>
      </c>
      <c r="O259" s="16">
        <f>IFERROR(VLOOKUP(Proponentes[[#This Row],[Cap Op en SMMLV]],Base!$A$15:$F$20,4),0)</f>
        <v>0</v>
      </c>
      <c r="P259" s="17">
        <f>IFERROR(VLOOKUP(Proponentes[[#This Row],[Cap Op en SMMLV]],Tabla2[],6),0)</f>
        <v>0</v>
      </c>
      <c r="Q259" s="18">
        <f>IFERROR(VLOOKUP(Proponentes[[#This Row],[Cap Op en SMMLV]],Base!$A$15:$F$20,5),0)</f>
        <v>0</v>
      </c>
      <c r="R259" s="18">
        <f>IFERROR(VLOOKUP(Proponentes[[#This Row],[Cap Op en SMMLV]],Tabla2[[DE]:[HASTA]],2),0)</f>
        <v>0</v>
      </c>
      <c r="S259" s="19">
        <f>IFERROR(Proponentes[[#This Row],[Activo Corriente]]/Proponentes[[#This Row],[Pasivo Corriente]],"INDETERMINADO")</f>
        <v>1.2101042771053705</v>
      </c>
      <c r="T259" s="20">
        <f>IFERROR(Proponentes[[#This Row],[Total Pasivo]]/Proponentes[[#This Row],[Total ACTIVO]],0)</f>
        <v>0.68390563493392353</v>
      </c>
      <c r="U259" s="21">
        <f>(Proponentes[[#This Row],[Activo Corriente]]-Proponentes[[#This Row],[Pasivo Corriente]])/Base!$B$3</f>
        <v>29.363880181037437</v>
      </c>
      <c r="V259" s="22">
        <f>Proponentes[[#This Row],[Activo Corriente]]-Proponentes[[#This Row],[Pasivo Corriente]]</f>
        <v>24316699</v>
      </c>
      <c r="W259" s="13">
        <f>IFERROR(VLOOKUP(Proponentes[[#This Row],[Propuesta]],Hoja2!$A$2:$G$329,7,FALSE),0)</f>
        <v>0</v>
      </c>
      <c r="X259" s="83">
        <f>IF(Proponentes[[#This Row],[Cap Op en Pesos]]=0,0,IF(Proponentes[[#This Row],[Cap Op en Pesos]]=0,1,Proponentes[[#This Row],[Cap Op en Pesos]]/Base!B$3))</f>
        <v>0</v>
      </c>
      <c r="Y25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5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5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59" s="23" t="str">
        <f>IF(AND(Proponentes[[#This Row],[Cumple
Liquidez]]="CUMPLE",Proponentes[[#This Row],[Cumple
Endeudamiento]]="CUMPLE",Proponentes[[#This Row],[Cumple
Capital de Trabajo]]="CUMPLE"),"CUMPLE","NO CUMPLE")</f>
        <v>NO CUMPLE</v>
      </c>
      <c r="AC259" s="24"/>
      <c r="AD259" s="10">
        <f>IF(Proponentes[[#This Row],[Liquidez
Oferente]]&lt;=1,1,IF(Proponentes[[#This Row],[Liquidez
Oferente]]&lt;=1.1,2,IF(Proponentes[[#This Row],[Liquidez
Oferente]]&lt;=1.2,3,IF(Proponentes[[#This Row],[Liquidez
Oferente]]&lt;=1.3,4,IF(Proponentes[[#This Row],[Liquidez
Oferente]]&lt;=1.4,5,6)))))</f>
        <v>4</v>
      </c>
      <c r="AE259" s="10">
        <f>IF(Proponentes[[#This Row],[Endeudamiento
Oferente]]&lt;=66%,6,IF(Proponentes[[#This Row],[Endeudamiento
Oferente]]&lt;=58,5,IF(Proponentes[[#This Row],[Endeudamiento
Oferente]]&lt;=70,4,IF(Proponentes[[#This Row],[Endeudamiento
Oferente]]&lt;=72,3,IF(Proponentes[[#This Row],[Endeudamiento
Oferente]]&lt;=74,2,1)))))</f>
        <v>5</v>
      </c>
      <c r="AF25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259" s="10">
        <f>IF(Proponentes[[#This Row],[Cap Op en SMMLV]]&lt;=500,1,IF(Proponentes[[#This Row],[Cap Op en SMMLV]]&lt;=1000,2,IF(Proponentes[[#This Row],[Cap Op en SMMLV]]&lt;=1500,3,IF(Proponentes[[#This Row],[Cap Op en SMMLV]]&lt;=2000,4,IF(Proponentes[[#This Row],[Cap Op en SMMLV]]&lt;=2500,5,6)))))</f>
        <v>1</v>
      </c>
      <c r="AH259" s="10">
        <f>MIN(Proponentes[[#This Row],[a]:[d]])</f>
        <v>1</v>
      </c>
      <c r="AI259" s="87">
        <f>IF(Proponentes[[#This Row],[e]]=Proponentes[[#This Row],[d]],Proponentes[[#This Row],[Cap Op en SMMLV]],VLOOKUP(Proponentes[[#This Row],[e]],Base!$D$1:$E$6,2,FALSE))</f>
        <v>0</v>
      </c>
      <c r="AJ259" s="101" t="str">
        <f>VLOOKUP(Proponentes[[#This Row],[Propuesta]],Hoja2!$A$2:$D$329,4,FALSE)</f>
        <v>NO CUMPLE</v>
      </c>
      <c r="AK259" s="101"/>
    </row>
    <row r="260" spans="1:37" ht="32" x14ac:dyDescent="0.2">
      <c r="A260" s="10">
        <v>259</v>
      </c>
      <c r="B260" s="11">
        <v>900199454</v>
      </c>
      <c r="C260" s="12" t="s">
        <v>364</v>
      </c>
      <c r="D260" s="13">
        <v>215534927</v>
      </c>
      <c r="E260" s="13">
        <v>144694333</v>
      </c>
      <c r="F260" s="25">
        <f>Proponentes[[#This Row],[Activo Corriente]]+Proponentes[[#This Row],[Activo NO Corriente]]</f>
        <v>360229260</v>
      </c>
      <c r="G260" s="13">
        <v>42102687</v>
      </c>
      <c r="H260" s="13">
        <v>51831013</v>
      </c>
      <c r="I260" s="25">
        <f>Proponentes[[#This Row],[Pasivo Corriente]]+Proponentes[[#This Row],[Pasivo NO Corriente]]</f>
        <v>93933700</v>
      </c>
      <c r="J260" s="14">
        <f>Proponentes[[#This Row],[Total ACTIVO]]-Proponentes[[#This Row],[Total Pasivo]]</f>
        <v>266295560</v>
      </c>
      <c r="K260" s="48" t="e">
        <f>VLOOKUP(Proponentes[[#This Row],[Propuesta]],Hoja2!$A$2:$G$239,7,FALSE)</f>
        <v>#N/A</v>
      </c>
      <c r="L260" s="15"/>
      <c r="M260" s="15" t="s">
        <v>28</v>
      </c>
      <c r="N260" s="55">
        <f>IFERROR(VLOOKUP(Proponentes[[#This Row],[Cap Op en SMMLV]],Base!$A$15:$F$20,3),0)</f>
        <v>0</v>
      </c>
      <c r="O260" s="16">
        <f>IFERROR(VLOOKUP(Proponentes[[#This Row],[Cap Op en SMMLV]],Base!$A$15:$F$20,4),0)</f>
        <v>0</v>
      </c>
      <c r="P260" s="17">
        <f>IFERROR(VLOOKUP(Proponentes[[#This Row],[Cap Op en SMMLV]],Tabla2[],6),0)</f>
        <v>0</v>
      </c>
      <c r="Q260" s="18">
        <f>IFERROR(VLOOKUP(Proponentes[[#This Row],[Cap Op en SMMLV]],Base!$A$15:$F$20,5),0)</f>
        <v>0</v>
      </c>
      <c r="R260" s="18">
        <f>IFERROR(VLOOKUP(Proponentes[[#This Row],[Cap Op en SMMLV]],Tabla2[[DE]:[HASTA]],2),0)</f>
        <v>0</v>
      </c>
      <c r="S260" s="19">
        <f>IFERROR(Proponentes[[#This Row],[Activo Corriente]]/Proponentes[[#This Row],[Pasivo Corriente]],"INDETERMINADO")</f>
        <v>5.1192677322471125</v>
      </c>
      <c r="T260" s="20">
        <f>IFERROR(Proponentes[[#This Row],[Total Pasivo]]/Proponentes[[#This Row],[Total ACTIVO]],0)</f>
        <v>0.26076088322197927</v>
      </c>
      <c r="U260" s="21">
        <f>(Proponentes[[#This Row],[Activo Corriente]]-Proponentes[[#This Row],[Pasivo Corriente]])/Base!$B$3</f>
        <v>209.42988663423964</v>
      </c>
      <c r="V260" s="22">
        <f>Proponentes[[#This Row],[Activo Corriente]]-Proponentes[[#This Row],[Pasivo Corriente]]</f>
        <v>173432240</v>
      </c>
      <c r="W260" s="13">
        <f>IFERROR(VLOOKUP(Proponentes[[#This Row],[Propuesta]],Hoja2!$A$2:$G$329,7,FALSE),0)</f>
        <v>0</v>
      </c>
      <c r="X260" s="83">
        <f>IF(Proponentes[[#This Row],[Cap Op en Pesos]]=0,0,IF(Proponentes[[#This Row],[Cap Op en Pesos]]=0,1,Proponentes[[#This Row],[Cap Op en Pesos]]/Base!B$3))</f>
        <v>0</v>
      </c>
      <c r="Y26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6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6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60" s="23" t="str">
        <f>IF(AND(Proponentes[[#This Row],[Cumple
Liquidez]]="CUMPLE",Proponentes[[#This Row],[Cumple
Endeudamiento]]="CUMPLE",Proponentes[[#This Row],[Cumple
Capital de Trabajo]]="CUMPLE"),"CUMPLE","NO CUMPLE")</f>
        <v>NO CUMPLE</v>
      </c>
      <c r="AC260" s="24"/>
      <c r="AD260" s="10">
        <f>IF(Proponentes[[#This Row],[Liquidez
Oferente]]&lt;=1,1,IF(Proponentes[[#This Row],[Liquidez
Oferente]]&lt;=1.1,2,IF(Proponentes[[#This Row],[Liquidez
Oferente]]&lt;=1.2,3,IF(Proponentes[[#This Row],[Liquidez
Oferente]]&lt;=1.3,4,IF(Proponentes[[#This Row],[Liquidez
Oferente]]&lt;=1.4,5,6)))))</f>
        <v>6</v>
      </c>
      <c r="AE260" s="10">
        <f>IF(Proponentes[[#This Row],[Endeudamiento
Oferente]]&lt;=66%,6,IF(Proponentes[[#This Row],[Endeudamiento
Oferente]]&lt;=58,5,IF(Proponentes[[#This Row],[Endeudamiento
Oferente]]&lt;=70,4,IF(Proponentes[[#This Row],[Endeudamiento
Oferente]]&lt;=72,3,IF(Proponentes[[#This Row],[Endeudamiento
Oferente]]&lt;=74,2,1)))))</f>
        <v>6</v>
      </c>
      <c r="AF26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60" s="10">
        <f>IF(Proponentes[[#This Row],[Cap Op en SMMLV]]&lt;=500,1,IF(Proponentes[[#This Row],[Cap Op en SMMLV]]&lt;=1000,2,IF(Proponentes[[#This Row],[Cap Op en SMMLV]]&lt;=1500,3,IF(Proponentes[[#This Row],[Cap Op en SMMLV]]&lt;=2000,4,IF(Proponentes[[#This Row],[Cap Op en SMMLV]]&lt;=2500,5,6)))))</f>
        <v>1</v>
      </c>
      <c r="AH260" s="10">
        <f>MIN(Proponentes[[#This Row],[a]:[d]])</f>
        <v>1</v>
      </c>
      <c r="AI260" s="87">
        <f>IF(Proponentes[[#This Row],[e]]=Proponentes[[#This Row],[d]],Proponentes[[#This Row],[Cap Op en SMMLV]],VLOOKUP(Proponentes[[#This Row],[e]],Base!$D$1:$E$6,2,FALSE))</f>
        <v>0</v>
      </c>
      <c r="AJ260" s="101" t="str">
        <f>VLOOKUP(Proponentes[[#This Row],[Propuesta]],Hoja2!$A$2:$D$329,4,FALSE)</f>
        <v>NO CUMPLE</v>
      </c>
      <c r="AK260" s="101"/>
    </row>
    <row r="261" spans="1:37" ht="16" x14ac:dyDescent="0.2">
      <c r="A261" s="10">
        <v>260</v>
      </c>
      <c r="B261" s="11">
        <v>800203572</v>
      </c>
      <c r="C261" s="12" t="s">
        <v>365</v>
      </c>
      <c r="D261" s="13">
        <v>337725151</v>
      </c>
      <c r="E261" s="13">
        <v>87825994</v>
      </c>
      <c r="F261" s="25">
        <f>Proponentes[[#This Row],[Activo Corriente]]+Proponentes[[#This Row],[Activo NO Corriente]]</f>
        <v>425551145</v>
      </c>
      <c r="G261" s="13">
        <v>13104062</v>
      </c>
      <c r="H261" s="13">
        <v>7352371</v>
      </c>
      <c r="I261" s="25">
        <f>Proponentes[[#This Row],[Pasivo Corriente]]+Proponentes[[#This Row],[Pasivo NO Corriente]]</f>
        <v>20456433</v>
      </c>
      <c r="J261" s="14">
        <f>Proponentes[[#This Row],[Total ACTIVO]]-Proponentes[[#This Row],[Total Pasivo]]</f>
        <v>405094712</v>
      </c>
      <c r="K261" s="48" t="e">
        <f>VLOOKUP(Proponentes[[#This Row],[Propuesta]],Hoja2!$A$2:$G$239,7,FALSE)</f>
        <v>#N/A</v>
      </c>
      <c r="L261" s="15"/>
      <c r="M261" s="15" t="s">
        <v>279</v>
      </c>
      <c r="N261" s="55">
        <f>IFERROR(VLOOKUP(Proponentes[[#This Row],[Cap Op en SMMLV]],Base!$A$15:$F$20,3),0)</f>
        <v>1</v>
      </c>
      <c r="O261" s="16">
        <f>IFERROR(VLOOKUP(Proponentes[[#This Row],[Cap Op en SMMLV]],Base!$A$15:$F$20,4),0)</f>
        <v>0.76</v>
      </c>
      <c r="P261" s="17">
        <f>IFERROR(VLOOKUP(Proponentes[[#This Row],[Cap Op en SMMLV]],Tabla2[],6),0)</f>
        <v>12.5</v>
      </c>
      <c r="Q261" s="18">
        <f>IFERROR(VLOOKUP(Proponentes[[#This Row],[Cap Op en SMMLV]],Base!$A$15:$F$20,5),0)</f>
        <v>10351450</v>
      </c>
      <c r="R261" s="18">
        <f>IFERROR(VLOOKUP(Proponentes[[#This Row],[Cap Op en SMMLV]],Tabla2[[DE]:[HASTA]],2),0)</f>
        <v>500</v>
      </c>
      <c r="S261" s="19">
        <f>IFERROR(Proponentes[[#This Row],[Activo Corriente]]/Proponentes[[#This Row],[Pasivo Corriente]],"INDETERMINADO")</f>
        <v>25.772554418622256</v>
      </c>
      <c r="T261" s="20">
        <f>IFERROR(Proponentes[[#This Row],[Total Pasivo]]/Proponentes[[#This Row],[Total ACTIVO]],0)</f>
        <v>4.8070445210528105E-2</v>
      </c>
      <c r="U261" s="21">
        <f>(Proponentes[[#This Row],[Activo Corriente]]-Proponentes[[#This Row],[Pasivo Corriente]])/Base!$B$3</f>
        <v>391.99953750440761</v>
      </c>
      <c r="V261" s="22">
        <f>Proponentes[[#This Row],[Activo Corriente]]-Proponentes[[#This Row],[Pasivo Corriente]]</f>
        <v>324621089</v>
      </c>
      <c r="W261" s="13">
        <f>IFERROR(VLOOKUP(Proponentes[[#This Row],[Propuesta]],Hoja2!$A$2:$G$329,7,FALSE),0)</f>
        <v>383431583.89646769</v>
      </c>
      <c r="X261" s="83">
        <f>IF(Proponentes[[#This Row],[Cap Op en Pesos]]=0,0,IF(Proponentes[[#This Row],[Cap Op en Pesos]]=0,1,Proponentes[[#This Row],[Cap Op en Pesos]]/Base!B$3))</f>
        <v>463.01675598161091</v>
      </c>
      <c r="Y26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6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6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61" s="23" t="str">
        <f>IF(AND(Proponentes[[#This Row],[Cumple
Liquidez]]="CUMPLE",Proponentes[[#This Row],[Cumple
Endeudamiento]]="CUMPLE",Proponentes[[#This Row],[Cumple
Capital de Trabajo]]="CUMPLE"),"CUMPLE","NO CUMPLE")</f>
        <v>CUMPLE</v>
      </c>
      <c r="AC261" s="24"/>
      <c r="AD261" s="10">
        <f>IF(Proponentes[[#This Row],[Liquidez
Oferente]]&lt;=1,1,IF(Proponentes[[#This Row],[Liquidez
Oferente]]&lt;=1.1,2,IF(Proponentes[[#This Row],[Liquidez
Oferente]]&lt;=1.2,3,IF(Proponentes[[#This Row],[Liquidez
Oferente]]&lt;=1.3,4,IF(Proponentes[[#This Row],[Liquidez
Oferente]]&lt;=1.4,5,6)))))</f>
        <v>6</v>
      </c>
      <c r="AE261" s="10">
        <f>IF(Proponentes[[#This Row],[Endeudamiento
Oferente]]&lt;=66%,6,IF(Proponentes[[#This Row],[Endeudamiento
Oferente]]&lt;=58,5,IF(Proponentes[[#This Row],[Endeudamiento
Oferente]]&lt;=70,4,IF(Proponentes[[#This Row],[Endeudamiento
Oferente]]&lt;=72,3,IF(Proponentes[[#This Row],[Endeudamiento
Oferente]]&lt;=74,2,1)))))</f>
        <v>6</v>
      </c>
      <c r="AF26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61" s="10">
        <f>IF(Proponentes[[#This Row],[Cap Op en SMMLV]]&lt;=500,1,IF(Proponentes[[#This Row],[Cap Op en SMMLV]]&lt;=1000,2,IF(Proponentes[[#This Row],[Cap Op en SMMLV]]&lt;=1500,3,IF(Proponentes[[#This Row],[Cap Op en SMMLV]]&lt;=2000,4,IF(Proponentes[[#This Row],[Cap Op en SMMLV]]&lt;=2500,5,6)))))</f>
        <v>1</v>
      </c>
      <c r="AH261" s="10">
        <f>MIN(Proponentes[[#This Row],[a]:[d]])</f>
        <v>1</v>
      </c>
      <c r="AI261" s="87">
        <f>IF(Proponentes[[#This Row],[e]]=Proponentes[[#This Row],[d]],Proponentes[[#This Row],[Cap Op en SMMLV]],VLOOKUP(Proponentes[[#This Row],[e]],Base!$D$1:$E$6,2,FALSE))</f>
        <v>463.01675598161091</v>
      </c>
      <c r="AJ261" s="101" t="str">
        <f>VLOOKUP(Proponentes[[#This Row],[Propuesta]],Hoja2!$A$2:$D$329,4,FALSE)</f>
        <v>CUMPLE</v>
      </c>
      <c r="AK261" s="101"/>
    </row>
    <row r="262" spans="1:37" ht="32" x14ac:dyDescent="0.2">
      <c r="A262" s="10">
        <v>261</v>
      </c>
      <c r="B262" s="11">
        <v>800189920</v>
      </c>
      <c r="C262" s="12" t="s">
        <v>366</v>
      </c>
      <c r="D262" s="13">
        <v>233593577</v>
      </c>
      <c r="E262" s="13">
        <v>396183052</v>
      </c>
      <c r="F262" s="25">
        <f>Proponentes[[#This Row],[Activo Corriente]]+Proponentes[[#This Row],[Activo NO Corriente]]</f>
        <v>629776629</v>
      </c>
      <c r="G262" s="13">
        <v>12774538</v>
      </c>
      <c r="H262" s="13">
        <v>27853527</v>
      </c>
      <c r="I262" s="25">
        <f>Proponentes[[#This Row],[Pasivo Corriente]]+Proponentes[[#This Row],[Pasivo NO Corriente]]</f>
        <v>40628065</v>
      </c>
      <c r="J262" s="14">
        <f>Proponentes[[#This Row],[Total ACTIVO]]-Proponentes[[#This Row],[Total Pasivo]]</f>
        <v>589148564</v>
      </c>
      <c r="K262" s="48" t="e">
        <f>VLOOKUP(Proponentes[[#This Row],[Propuesta]],Hoja2!$A$2:$G$239,7,FALSE)</f>
        <v>#N/A</v>
      </c>
      <c r="L262" s="15"/>
      <c r="M262" s="15" t="s">
        <v>367</v>
      </c>
      <c r="N262" s="55">
        <f>IFERROR(VLOOKUP(Proponentes[[#This Row],[Cap Op en SMMLV]],Base!$A$15:$F$20,3),0)</f>
        <v>0</v>
      </c>
      <c r="O262" s="16">
        <f>IFERROR(VLOOKUP(Proponentes[[#This Row],[Cap Op en SMMLV]],Base!$A$15:$F$20,4),0)</f>
        <v>0</v>
      </c>
      <c r="P262" s="17">
        <f>IFERROR(VLOOKUP(Proponentes[[#This Row],[Cap Op en SMMLV]],Tabla2[],6),0)</f>
        <v>0</v>
      </c>
      <c r="Q262" s="18">
        <f>IFERROR(VLOOKUP(Proponentes[[#This Row],[Cap Op en SMMLV]],Base!$A$15:$F$20,5),0)</f>
        <v>0</v>
      </c>
      <c r="R262" s="18">
        <f>IFERROR(VLOOKUP(Proponentes[[#This Row],[Cap Op en SMMLV]],Tabla2[[DE]:[HASTA]],2),0)</f>
        <v>0</v>
      </c>
      <c r="S262" s="19">
        <f>IFERROR(Proponentes[[#This Row],[Activo Corriente]]/Proponentes[[#This Row],[Pasivo Corriente]],"INDETERMINADO")</f>
        <v>18.285872804167166</v>
      </c>
      <c r="T262" s="20">
        <f>IFERROR(Proponentes[[#This Row],[Total Pasivo]]/Proponentes[[#This Row],[Total ACTIVO]],0)</f>
        <v>6.4511865206099916E-2</v>
      </c>
      <c r="U262" s="21">
        <f>(Proponentes[[#This Row],[Activo Corriente]]-Proponentes[[#This Row],[Pasivo Corriente]])/Base!$B$3</f>
        <v>266.65230354201583</v>
      </c>
      <c r="V262" s="22">
        <f>Proponentes[[#This Row],[Activo Corriente]]-Proponentes[[#This Row],[Pasivo Corriente]]</f>
        <v>220819039</v>
      </c>
      <c r="W262" s="13">
        <f>IFERROR(VLOOKUP(Proponentes[[#This Row],[Propuesta]],Hoja2!$A$2:$G$329,7,FALSE),0)</f>
        <v>0</v>
      </c>
      <c r="X262" s="83">
        <f>IF(Proponentes[[#This Row],[Cap Op en Pesos]]=0,0,IF(Proponentes[[#This Row],[Cap Op en Pesos]]=0,1,Proponentes[[#This Row],[Cap Op en Pesos]]/Base!B$3))</f>
        <v>0</v>
      </c>
      <c r="Y26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6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6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62" s="23" t="str">
        <f>IF(AND(Proponentes[[#This Row],[Cumple
Liquidez]]="CUMPLE",Proponentes[[#This Row],[Cumple
Endeudamiento]]="CUMPLE",Proponentes[[#This Row],[Cumple
Capital de Trabajo]]="CUMPLE"),"CUMPLE","NO CUMPLE")</f>
        <v>NO CUMPLE</v>
      </c>
      <c r="AC262" s="24"/>
      <c r="AD262" s="10">
        <f>IF(Proponentes[[#This Row],[Liquidez
Oferente]]&lt;=1,1,IF(Proponentes[[#This Row],[Liquidez
Oferente]]&lt;=1.1,2,IF(Proponentes[[#This Row],[Liquidez
Oferente]]&lt;=1.2,3,IF(Proponentes[[#This Row],[Liquidez
Oferente]]&lt;=1.3,4,IF(Proponentes[[#This Row],[Liquidez
Oferente]]&lt;=1.4,5,6)))))</f>
        <v>6</v>
      </c>
      <c r="AE262" s="10">
        <f>IF(Proponentes[[#This Row],[Endeudamiento
Oferente]]&lt;=66%,6,IF(Proponentes[[#This Row],[Endeudamiento
Oferente]]&lt;=58,5,IF(Proponentes[[#This Row],[Endeudamiento
Oferente]]&lt;=70,4,IF(Proponentes[[#This Row],[Endeudamiento
Oferente]]&lt;=72,3,IF(Proponentes[[#This Row],[Endeudamiento
Oferente]]&lt;=74,2,1)))))</f>
        <v>6</v>
      </c>
      <c r="AF26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62" s="10">
        <f>IF(Proponentes[[#This Row],[Cap Op en SMMLV]]&lt;=500,1,IF(Proponentes[[#This Row],[Cap Op en SMMLV]]&lt;=1000,2,IF(Proponentes[[#This Row],[Cap Op en SMMLV]]&lt;=1500,3,IF(Proponentes[[#This Row],[Cap Op en SMMLV]]&lt;=2000,4,IF(Proponentes[[#This Row],[Cap Op en SMMLV]]&lt;=2500,5,6)))))</f>
        <v>1</v>
      </c>
      <c r="AH262" s="10">
        <f>MIN(Proponentes[[#This Row],[a]:[d]])</f>
        <v>1</v>
      </c>
      <c r="AI262" s="87">
        <f>IF(Proponentes[[#This Row],[e]]=Proponentes[[#This Row],[d]],Proponentes[[#This Row],[Cap Op en SMMLV]],VLOOKUP(Proponentes[[#This Row],[e]],Base!$D$1:$E$6,2,FALSE))</f>
        <v>0</v>
      </c>
      <c r="AJ262" s="101" t="str">
        <f>VLOOKUP(Proponentes[[#This Row],[Propuesta]],Hoja2!$A$2:$D$329,4,FALSE)</f>
        <v>NO CUMPLE</v>
      </c>
      <c r="AK262" s="101"/>
    </row>
    <row r="263" spans="1:37" ht="16" x14ac:dyDescent="0.2">
      <c r="A263" s="10">
        <v>262</v>
      </c>
      <c r="B263" s="11" t="s">
        <v>221</v>
      </c>
      <c r="C263" s="12" t="s">
        <v>368</v>
      </c>
      <c r="D263" s="13">
        <v>0</v>
      </c>
      <c r="E263" s="13">
        <v>0</v>
      </c>
      <c r="F263" s="25">
        <f>Proponentes[[#This Row],[Activo Corriente]]+Proponentes[[#This Row],[Activo NO Corriente]]</f>
        <v>0</v>
      </c>
      <c r="G263" s="13">
        <v>0</v>
      </c>
      <c r="H263" s="13">
        <v>0</v>
      </c>
      <c r="I263" s="25">
        <f>Proponentes[[#This Row],[Pasivo Corriente]]+Proponentes[[#This Row],[Pasivo NO Corriente]]</f>
        <v>0</v>
      </c>
      <c r="J263" s="14">
        <f>Proponentes[[#This Row],[Total ACTIVO]]-Proponentes[[#This Row],[Total Pasivo]]</f>
        <v>0</v>
      </c>
      <c r="K263" s="48" t="e">
        <f>VLOOKUP(Proponentes[[#This Row],[Propuesta]],Hoja2!$A$2:$G$239,7,FALSE)</f>
        <v>#N/A</v>
      </c>
      <c r="L263" s="15" t="s">
        <v>86</v>
      </c>
      <c r="M263" s="15" t="s">
        <v>28</v>
      </c>
      <c r="N263" s="55">
        <f>IFERROR(VLOOKUP(Proponentes[[#This Row],[Cap Op en SMMLV]],Base!$A$15:$F$20,3),0)</f>
        <v>0</v>
      </c>
      <c r="O263" s="16">
        <f>IFERROR(VLOOKUP(Proponentes[[#This Row],[Cap Op en SMMLV]],Base!$A$15:$F$20,4),0)</f>
        <v>0</v>
      </c>
      <c r="P263" s="17">
        <f>IFERROR(VLOOKUP(Proponentes[[#This Row],[Cap Op en SMMLV]],Tabla2[],6),0)</f>
        <v>0</v>
      </c>
      <c r="Q263" s="18">
        <f>IFERROR(VLOOKUP(Proponentes[[#This Row],[Cap Op en SMMLV]],Base!$A$15:$F$20,5),0)</f>
        <v>0</v>
      </c>
      <c r="R263" s="18">
        <f>IFERROR(VLOOKUP(Proponentes[[#This Row],[Cap Op en SMMLV]],Tabla2[[DE]:[HASTA]],2),0)</f>
        <v>0</v>
      </c>
      <c r="S263" s="19" t="str">
        <f>IFERROR(Proponentes[[#This Row],[Activo Corriente]]/Proponentes[[#This Row],[Pasivo Corriente]],"INDETERMINADO")</f>
        <v>INDETERMINADO</v>
      </c>
      <c r="T263" s="20">
        <f>IFERROR(Proponentes[[#This Row],[Total Pasivo]]/Proponentes[[#This Row],[Total ACTIVO]],0)</f>
        <v>0</v>
      </c>
      <c r="U263" s="21">
        <f>(Proponentes[[#This Row],[Activo Corriente]]-Proponentes[[#This Row],[Pasivo Corriente]])/Base!$B$3</f>
        <v>0</v>
      </c>
      <c r="V263" s="22">
        <f>Proponentes[[#This Row],[Activo Corriente]]-Proponentes[[#This Row],[Pasivo Corriente]]</f>
        <v>0</v>
      </c>
      <c r="W263" s="13">
        <f>IFERROR(VLOOKUP(Proponentes[[#This Row],[Propuesta]],Hoja2!$A$2:$G$329,7,FALSE),0)</f>
        <v>0</v>
      </c>
      <c r="X263" s="83">
        <f>IF(Proponentes[[#This Row],[Cap Op en Pesos]]=0,0,IF(Proponentes[[#This Row],[Cap Op en Pesos]]=0,1,Proponentes[[#This Row],[Cap Op en Pesos]]/Base!B$3))</f>
        <v>0</v>
      </c>
      <c r="Y26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26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6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63" s="23" t="str">
        <f>IF(AND(Proponentes[[#This Row],[Cumple
Liquidez]]="CUMPLE",Proponentes[[#This Row],[Cumple
Endeudamiento]]="CUMPLE",Proponentes[[#This Row],[Cumple
Capital de Trabajo]]="CUMPLE"),"CUMPLE","NO CUMPLE")</f>
        <v>NO CUMPLE</v>
      </c>
      <c r="AC263" s="24" t="s">
        <v>801</v>
      </c>
      <c r="AD263" s="10">
        <f>IF(Proponentes[[#This Row],[Liquidez
Oferente]]&lt;=1,1,IF(Proponentes[[#This Row],[Liquidez
Oferente]]&lt;=1.1,2,IF(Proponentes[[#This Row],[Liquidez
Oferente]]&lt;=1.2,3,IF(Proponentes[[#This Row],[Liquidez
Oferente]]&lt;=1.3,4,IF(Proponentes[[#This Row],[Liquidez
Oferente]]&lt;=1.4,5,6)))))</f>
        <v>6</v>
      </c>
      <c r="AE263" s="10">
        <f>IF(Proponentes[[#This Row],[Endeudamiento
Oferente]]&lt;=66%,6,IF(Proponentes[[#This Row],[Endeudamiento
Oferente]]&lt;=58,5,IF(Proponentes[[#This Row],[Endeudamiento
Oferente]]&lt;=70,4,IF(Proponentes[[#This Row],[Endeudamiento
Oferente]]&lt;=72,3,IF(Proponentes[[#This Row],[Endeudamiento
Oferente]]&lt;=74,2,1)))))</f>
        <v>6</v>
      </c>
      <c r="AF26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63" s="10">
        <f>IF(Proponentes[[#This Row],[Cap Op en SMMLV]]&lt;=500,1,IF(Proponentes[[#This Row],[Cap Op en SMMLV]]&lt;=1000,2,IF(Proponentes[[#This Row],[Cap Op en SMMLV]]&lt;=1500,3,IF(Proponentes[[#This Row],[Cap Op en SMMLV]]&lt;=2000,4,IF(Proponentes[[#This Row],[Cap Op en SMMLV]]&lt;=2500,5,6)))))</f>
        <v>1</v>
      </c>
      <c r="AH263" s="10">
        <f>MIN(Proponentes[[#This Row],[a]:[d]])</f>
        <v>1</v>
      </c>
      <c r="AI263" s="87">
        <f>IF(Proponentes[[#This Row],[e]]=Proponentes[[#This Row],[d]],Proponentes[[#This Row],[Cap Op en SMMLV]],VLOOKUP(Proponentes[[#This Row],[e]],Base!$D$1:$E$6,2,FALSE))</f>
        <v>0</v>
      </c>
      <c r="AJ263" s="101" t="str">
        <f>VLOOKUP(Proponentes[[#This Row],[Propuesta]],Hoja2!$A$2:$D$329,4,FALSE)</f>
        <v>NO CUMPLE</v>
      </c>
      <c r="AK263" s="101"/>
    </row>
    <row r="264" spans="1:37" ht="16" x14ac:dyDescent="0.2">
      <c r="A264" s="10">
        <v>263</v>
      </c>
      <c r="B264" s="11">
        <v>821001831</v>
      </c>
      <c r="C264" s="12" t="s">
        <v>369</v>
      </c>
      <c r="D264" s="13">
        <v>2975580701</v>
      </c>
      <c r="E264" s="13">
        <v>538858085</v>
      </c>
      <c r="F264" s="25">
        <f>Proponentes[[#This Row],[Activo Corriente]]+Proponentes[[#This Row],[Activo NO Corriente]]</f>
        <v>3514438786</v>
      </c>
      <c r="G264" s="13">
        <v>1074646730</v>
      </c>
      <c r="H264" s="13">
        <v>61305380</v>
      </c>
      <c r="I264" s="25">
        <f>Proponentes[[#This Row],[Pasivo Corriente]]+Proponentes[[#This Row],[Pasivo NO Corriente]]</f>
        <v>1135952110</v>
      </c>
      <c r="J264" s="14">
        <f>Proponentes[[#This Row],[Total ACTIVO]]-Proponentes[[#This Row],[Total Pasivo]]</f>
        <v>2378486676</v>
      </c>
      <c r="K264" s="48" t="e">
        <f>VLOOKUP(Proponentes[[#This Row],[Propuesta]],Hoja2!$A$2:$G$239,7,FALSE)</f>
        <v>#N/A</v>
      </c>
      <c r="L264" s="15"/>
      <c r="M264" s="15" t="s">
        <v>279</v>
      </c>
      <c r="N264" s="55">
        <f>IFERROR(VLOOKUP(Proponentes[[#This Row],[Cap Op en SMMLV]],Base!$A$15:$F$20,3),0)</f>
        <v>1.2</v>
      </c>
      <c r="O264" s="16">
        <f>IFERROR(VLOOKUP(Proponentes[[#This Row],[Cap Op en SMMLV]],Base!$A$15:$F$20,4),0)</f>
        <v>0.72</v>
      </c>
      <c r="P264" s="17">
        <f>IFERROR(VLOOKUP(Proponentes[[#This Row],[Cap Op en SMMLV]],Tabla2[],6),0)</f>
        <v>37.5</v>
      </c>
      <c r="Q264" s="18">
        <f>IFERROR(VLOOKUP(Proponentes[[#This Row],[Cap Op en SMMLV]],Base!$A$15:$F$20,5),0)</f>
        <v>31054350</v>
      </c>
      <c r="R264" s="18">
        <f>IFERROR(VLOOKUP(Proponentes[[#This Row],[Cap Op en SMMLV]],Tabla2[[DE]:[HASTA]],2),0)</f>
        <v>1500</v>
      </c>
      <c r="S264" s="19">
        <f>IFERROR(Proponentes[[#This Row],[Activo Corriente]]/Proponentes[[#This Row],[Pasivo Corriente]],"INDETERMINADO")</f>
        <v>2.7688919697359524</v>
      </c>
      <c r="T264" s="20">
        <f>IFERROR(Proponentes[[#This Row],[Total Pasivo]]/Proponentes[[#This Row],[Total ACTIVO]],0)</f>
        <v>0.32322432660518674</v>
      </c>
      <c r="U264" s="21">
        <f>(Proponentes[[#This Row],[Activo Corriente]]-Proponentes[[#This Row],[Pasivo Corriente]])/Base!$B$3</f>
        <v>2295.4923839172288</v>
      </c>
      <c r="V264" s="22">
        <f>Proponentes[[#This Row],[Activo Corriente]]-Proponentes[[#This Row],[Pasivo Corriente]]</f>
        <v>1900933971</v>
      </c>
      <c r="W264" s="13">
        <f>IFERROR(VLOOKUP(Proponentes[[#This Row],[Propuesta]],Hoja2!$A$2:$G$329,7,FALSE),0)</f>
        <v>1233712854.0281882</v>
      </c>
      <c r="X264" s="83">
        <f>IF(Proponentes[[#This Row],[Cap Op en Pesos]]=0,0,IF(Proponentes[[#This Row],[Cap Op en Pesos]]=0,1,Proponentes[[#This Row],[Cap Op en Pesos]]/Base!B$3))</f>
        <v>1489.7826560870558</v>
      </c>
      <c r="Y26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6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6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64" s="23" t="str">
        <f>IF(AND(Proponentes[[#This Row],[Cumple
Liquidez]]="CUMPLE",Proponentes[[#This Row],[Cumple
Endeudamiento]]="CUMPLE",Proponentes[[#This Row],[Cumple
Capital de Trabajo]]="CUMPLE"),"CUMPLE","NO CUMPLE")</f>
        <v>CUMPLE</v>
      </c>
      <c r="AC264" s="24"/>
      <c r="AD264" s="10">
        <f>IF(Proponentes[[#This Row],[Liquidez
Oferente]]&lt;=1,1,IF(Proponentes[[#This Row],[Liquidez
Oferente]]&lt;=1.1,2,IF(Proponentes[[#This Row],[Liquidez
Oferente]]&lt;=1.2,3,IF(Proponentes[[#This Row],[Liquidez
Oferente]]&lt;=1.3,4,IF(Proponentes[[#This Row],[Liquidez
Oferente]]&lt;=1.4,5,6)))))</f>
        <v>6</v>
      </c>
      <c r="AE264" s="10">
        <f>IF(Proponentes[[#This Row],[Endeudamiento
Oferente]]&lt;=66%,6,IF(Proponentes[[#This Row],[Endeudamiento
Oferente]]&lt;=58,5,IF(Proponentes[[#This Row],[Endeudamiento
Oferente]]&lt;=70,4,IF(Proponentes[[#This Row],[Endeudamiento
Oferente]]&lt;=72,3,IF(Proponentes[[#This Row],[Endeudamiento
Oferente]]&lt;=74,2,1)))))</f>
        <v>6</v>
      </c>
      <c r="AF26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64" s="10">
        <f>IF(Proponentes[[#This Row],[Cap Op en SMMLV]]&lt;=500,1,IF(Proponentes[[#This Row],[Cap Op en SMMLV]]&lt;=1000,2,IF(Proponentes[[#This Row],[Cap Op en SMMLV]]&lt;=1500,3,IF(Proponentes[[#This Row],[Cap Op en SMMLV]]&lt;=2000,4,IF(Proponentes[[#This Row],[Cap Op en SMMLV]]&lt;=2500,5,6)))))</f>
        <v>3</v>
      </c>
      <c r="AH264" s="10">
        <f>MIN(Proponentes[[#This Row],[a]:[d]])</f>
        <v>3</v>
      </c>
      <c r="AI264" s="87">
        <f>IF(Proponentes[[#This Row],[e]]=Proponentes[[#This Row],[d]],Proponentes[[#This Row],[Cap Op en SMMLV]],VLOOKUP(Proponentes[[#This Row],[e]],Base!$D$1:$E$6,2,FALSE))</f>
        <v>1489.7826560870558</v>
      </c>
      <c r="AJ264" s="101" t="str">
        <f>VLOOKUP(Proponentes[[#This Row],[Propuesta]],Hoja2!$A$2:$D$329,4,FALSE)</f>
        <v>CUMPLE</v>
      </c>
      <c r="AK264" s="101"/>
    </row>
    <row r="265" spans="1:37" ht="16" x14ac:dyDescent="0.2">
      <c r="A265" s="10">
        <v>264</v>
      </c>
      <c r="B265" s="11">
        <v>900039320</v>
      </c>
      <c r="C265" s="12" t="s">
        <v>370</v>
      </c>
      <c r="D265" s="13">
        <v>192788553</v>
      </c>
      <c r="E265" s="13">
        <v>99852928</v>
      </c>
      <c r="F265" s="25">
        <f>Proponentes[[#This Row],[Activo Corriente]]+Proponentes[[#This Row],[Activo NO Corriente]]</f>
        <v>292641481</v>
      </c>
      <c r="G265" s="13">
        <v>7404800</v>
      </c>
      <c r="H265" s="13">
        <v>0</v>
      </c>
      <c r="I265" s="25">
        <f>Proponentes[[#This Row],[Pasivo Corriente]]+Proponentes[[#This Row],[Pasivo NO Corriente]]</f>
        <v>7404800</v>
      </c>
      <c r="J265" s="14">
        <f>Proponentes[[#This Row],[Total ACTIVO]]-Proponentes[[#This Row],[Total Pasivo]]</f>
        <v>285236681</v>
      </c>
      <c r="K265" s="48" t="e">
        <f>VLOOKUP(Proponentes[[#This Row],[Propuesta]],Hoja2!$A$2:$G$239,7,FALSE)</f>
        <v>#N/A</v>
      </c>
      <c r="L265" s="15"/>
      <c r="M265" s="15" t="s">
        <v>371</v>
      </c>
      <c r="N265" s="55">
        <f>IFERROR(VLOOKUP(Proponentes[[#This Row],[Cap Op en SMMLV]],Base!$A$15:$F$20,3),0)</f>
        <v>0</v>
      </c>
      <c r="O265" s="16">
        <f>IFERROR(VLOOKUP(Proponentes[[#This Row],[Cap Op en SMMLV]],Base!$A$15:$F$20,4),0)</f>
        <v>0</v>
      </c>
      <c r="P265" s="17">
        <f>IFERROR(VLOOKUP(Proponentes[[#This Row],[Cap Op en SMMLV]],Tabla2[],6),0)</f>
        <v>0</v>
      </c>
      <c r="Q265" s="18">
        <f>IFERROR(VLOOKUP(Proponentes[[#This Row],[Cap Op en SMMLV]],Base!$A$15:$F$20,5),0)</f>
        <v>0</v>
      </c>
      <c r="R265" s="18">
        <f>IFERROR(VLOOKUP(Proponentes[[#This Row],[Cap Op en SMMLV]],Tabla2[[DE]:[HASTA]],2),0)</f>
        <v>0</v>
      </c>
      <c r="S265" s="19">
        <f>IFERROR(Proponentes[[#This Row],[Activo Corriente]]/Proponentes[[#This Row],[Pasivo Corriente]],"INDETERMINADO")</f>
        <v>26.03561919295592</v>
      </c>
      <c r="T265" s="20">
        <f>IFERROR(Proponentes[[#This Row],[Total Pasivo]]/Proponentes[[#This Row],[Total ACTIVO]],0)</f>
        <v>2.5303316449522752E-2</v>
      </c>
      <c r="U265" s="21">
        <f>(Proponentes[[#This Row],[Activo Corriente]]-Proponentes[[#This Row],[Pasivo Corriente]])/Base!$B$3</f>
        <v>223.86205918011487</v>
      </c>
      <c r="V265" s="22">
        <f>Proponentes[[#This Row],[Activo Corriente]]-Proponentes[[#This Row],[Pasivo Corriente]]</f>
        <v>185383753</v>
      </c>
      <c r="W265" s="13">
        <f>IFERROR(VLOOKUP(Proponentes[[#This Row],[Propuesta]],Hoja2!$A$2:$G$329,7,FALSE),0)</f>
        <v>0</v>
      </c>
      <c r="X265" s="83">
        <f>IF(Proponentes[[#This Row],[Cap Op en Pesos]]=0,0,IF(Proponentes[[#This Row],[Cap Op en Pesos]]=0,1,Proponentes[[#This Row],[Cap Op en Pesos]]/Base!B$3))</f>
        <v>0</v>
      </c>
      <c r="Y26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6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6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65" s="23" t="str">
        <f>IF(AND(Proponentes[[#This Row],[Cumple
Liquidez]]="CUMPLE",Proponentes[[#This Row],[Cumple
Endeudamiento]]="CUMPLE",Proponentes[[#This Row],[Cumple
Capital de Trabajo]]="CUMPLE"),"CUMPLE","NO CUMPLE")</f>
        <v>NO CUMPLE</v>
      </c>
      <c r="AC265" s="24"/>
      <c r="AD265" s="10">
        <f>IF(Proponentes[[#This Row],[Liquidez
Oferente]]&lt;=1,1,IF(Proponentes[[#This Row],[Liquidez
Oferente]]&lt;=1.1,2,IF(Proponentes[[#This Row],[Liquidez
Oferente]]&lt;=1.2,3,IF(Proponentes[[#This Row],[Liquidez
Oferente]]&lt;=1.3,4,IF(Proponentes[[#This Row],[Liquidez
Oferente]]&lt;=1.4,5,6)))))</f>
        <v>6</v>
      </c>
      <c r="AE265" s="10">
        <f>IF(Proponentes[[#This Row],[Endeudamiento
Oferente]]&lt;=66%,6,IF(Proponentes[[#This Row],[Endeudamiento
Oferente]]&lt;=58,5,IF(Proponentes[[#This Row],[Endeudamiento
Oferente]]&lt;=70,4,IF(Proponentes[[#This Row],[Endeudamiento
Oferente]]&lt;=72,3,IF(Proponentes[[#This Row],[Endeudamiento
Oferente]]&lt;=74,2,1)))))</f>
        <v>6</v>
      </c>
      <c r="AF26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65" s="10">
        <f>IF(Proponentes[[#This Row],[Cap Op en SMMLV]]&lt;=500,1,IF(Proponentes[[#This Row],[Cap Op en SMMLV]]&lt;=1000,2,IF(Proponentes[[#This Row],[Cap Op en SMMLV]]&lt;=1500,3,IF(Proponentes[[#This Row],[Cap Op en SMMLV]]&lt;=2000,4,IF(Proponentes[[#This Row],[Cap Op en SMMLV]]&lt;=2500,5,6)))))</f>
        <v>1</v>
      </c>
      <c r="AH265" s="10">
        <f>MIN(Proponentes[[#This Row],[a]:[d]])</f>
        <v>1</v>
      </c>
      <c r="AI265" s="87">
        <f>IF(Proponentes[[#This Row],[e]]=Proponentes[[#This Row],[d]],Proponentes[[#This Row],[Cap Op en SMMLV]],VLOOKUP(Proponentes[[#This Row],[e]],Base!$D$1:$E$6,2,FALSE))</f>
        <v>0</v>
      </c>
      <c r="AJ265" s="101" t="str">
        <f>VLOOKUP(Proponentes[[#This Row],[Propuesta]],Hoja2!$A$2:$D$329,4,FALSE)</f>
        <v>NO CUMPLE</v>
      </c>
      <c r="AK265" s="101"/>
    </row>
    <row r="266" spans="1:37" ht="32" x14ac:dyDescent="0.2">
      <c r="A266" s="10">
        <v>265</v>
      </c>
      <c r="B266" s="11">
        <v>891102721</v>
      </c>
      <c r="C266" s="12" t="s">
        <v>372</v>
      </c>
      <c r="D266" s="13">
        <v>268010286</v>
      </c>
      <c r="E266" s="13">
        <v>282052391</v>
      </c>
      <c r="F266" s="25">
        <f>Proponentes[[#This Row],[Activo Corriente]]+Proponentes[[#This Row],[Activo NO Corriente]]</f>
        <v>550062677</v>
      </c>
      <c r="G266" s="13">
        <v>767219</v>
      </c>
      <c r="H266" s="13">
        <v>228562471</v>
      </c>
      <c r="I266" s="25">
        <f>Proponentes[[#This Row],[Pasivo Corriente]]+Proponentes[[#This Row],[Pasivo NO Corriente]]</f>
        <v>229329690</v>
      </c>
      <c r="J266" s="14">
        <f>Proponentes[[#This Row],[Total ACTIVO]]-Proponentes[[#This Row],[Total Pasivo]]</f>
        <v>320732987</v>
      </c>
      <c r="K266" s="48" t="e">
        <f>VLOOKUP(Proponentes[[#This Row],[Propuesta]],Hoja2!$A$2:$G$239,7,FALSE)</f>
        <v>#N/A</v>
      </c>
      <c r="L266" s="15"/>
      <c r="M266" s="15" t="s">
        <v>279</v>
      </c>
      <c r="N266" s="55">
        <f>IFERROR(VLOOKUP(Proponentes[[#This Row],[Cap Op en SMMLV]],Base!$A$15:$F$20,3),0)</f>
        <v>1.1000000000000001</v>
      </c>
      <c r="O266" s="16">
        <f>IFERROR(VLOOKUP(Proponentes[[#This Row],[Cap Op en SMMLV]],Base!$A$15:$F$20,4),0)</f>
        <v>0.74</v>
      </c>
      <c r="P266" s="17">
        <f>IFERROR(VLOOKUP(Proponentes[[#This Row],[Cap Op en SMMLV]],Tabla2[],6),0)</f>
        <v>25</v>
      </c>
      <c r="Q266" s="18">
        <f>IFERROR(VLOOKUP(Proponentes[[#This Row],[Cap Op en SMMLV]],Base!$A$15:$F$20,5),0)</f>
        <v>20702900</v>
      </c>
      <c r="R266" s="18">
        <f>IFERROR(VLOOKUP(Proponentes[[#This Row],[Cap Op en SMMLV]],Tabla2[[DE]:[HASTA]],2),0)</f>
        <v>1000</v>
      </c>
      <c r="S266" s="19">
        <f>IFERROR(Proponentes[[#This Row],[Activo Corriente]]/Proponentes[[#This Row],[Pasivo Corriente]],"INDETERMINADO")</f>
        <v>349.3269666157903</v>
      </c>
      <c r="T266" s="20">
        <f>IFERROR(Proponentes[[#This Row],[Total Pasivo]]/Proponentes[[#This Row],[Total ACTIVO]],0)</f>
        <v>0.4169155617878797</v>
      </c>
      <c r="U266" s="21">
        <f>(Proponentes[[#This Row],[Activo Corriente]]-Proponentes[[#This Row],[Pasivo Corriente]])/Base!$B$3</f>
        <v>322.71211641847276</v>
      </c>
      <c r="V266" s="22">
        <f>Proponentes[[#This Row],[Activo Corriente]]-Proponentes[[#This Row],[Pasivo Corriente]]</f>
        <v>267243067</v>
      </c>
      <c r="W266" s="13">
        <f>IFERROR(VLOOKUP(Proponentes[[#This Row],[Propuesta]],Hoja2!$A$2:$G$329,7,FALSE),0)</f>
        <v>666927837.4572475</v>
      </c>
      <c r="X266" s="83">
        <f>IF(Proponentes[[#This Row],[Cap Op en Pesos]]=0,0,IF(Proponentes[[#This Row],[Cap Op en Pesos]]=0,1,Proponentes[[#This Row],[Cap Op en Pesos]]/Base!B$3))</f>
        <v>805.35557513349272</v>
      </c>
      <c r="Y26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6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6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66" s="23" t="str">
        <f>IF(AND(Proponentes[[#This Row],[Cumple
Liquidez]]="CUMPLE",Proponentes[[#This Row],[Cumple
Endeudamiento]]="CUMPLE",Proponentes[[#This Row],[Cumple
Capital de Trabajo]]="CUMPLE"),"CUMPLE","NO CUMPLE")</f>
        <v>CUMPLE</v>
      </c>
      <c r="AC266" s="24"/>
      <c r="AD266" s="10">
        <f>IF(Proponentes[[#This Row],[Liquidez
Oferente]]&lt;=1,1,IF(Proponentes[[#This Row],[Liquidez
Oferente]]&lt;=1.1,2,IF(Proponentes[[#This Row],[Liquidez
Oferente]]&lt;=1.2,3,IF(Proponentes[[#This Row],[Liquidez
Oferente]]&lt;=1.3,4,IF(Proponentes[[#This Row],[Liquidez
Oferente]]&lt;=1.4,5,6)))))</f>
        <v>6</v>
      </c>
      <c r="AE266" s="10">
        <f>IF(Proponentes[[#This Row],[Endeudamiento
Oferente]]&lt;=66%,6,IF(Proponentes[[#This Row],[Endeudamiento
Oferente]]&lt;=58,5,IF(Proponentes[[#This Row],[Endeudamiento
Oferente]]&lt;=70,4,IF(Proponentes[[#This Row],[Endeudamiento
Oferente]]&lt;=72,3,IF(Proponentes[[#This Row],[Endeudamiento
Oferente]]&lt;=74,2,1)))))</f>
        <v>6</v>
      </c>
      <c r="AF26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66" s="10">
        <f>IF(Proponentes[[#This Row],[Cap Op en SMMLV]]&lt;=500,1,IF(Proponentes[[#This Row],[Cap Op en SMMLV]]&lt;=1000,2,IF(Proponentes[[#This Row],[Cap Op en SMMLV]]&lt;=1500,3,IF(Proponentes[[#This Row],[Cap Op en SMMLV]]&lt;=2000,4,IF(Proponentes[[#This Row],[Cap Op en SMMLV]]&lt;=2500,5,6)))))</f>
        <v>2</v>
      </c>
      <c r="AH266" s="10">
        <f>MIN(Proponentes[[#This Row],[a]:[d]])</f>
        <v>2</v>
      </c>
      <c r="AI266" s="87">
        <f>IF(Proponentes[[#This Row],[e]]=Proponentes[[#This Row],[d]],Proponentes[[#This Row],[Cap Op en SMMLV]],VLOOKUP(Proponentes[[#This Row],[e]],Base!$D$1:$E$6,2,FALSE))</f>
        <v>805.35557513349272</v>
      </c>
      <c r="AJ266" s="101" t="str">
        <f>VLOOKUP(Proponentes[[#This Row],[Propuesta]],Hoja2!$A$2:$D$329,4,FALSE)</f>
        <v>CUMPLE</v>
      </c>
      <c r="AK266" s="101"/>
    </row>
    <row r="267" spans="1:37" ht="32" x14ac:dyDescent="0.2">
      <c r="A267" s="10">
        <v>266</v>
      </c>
      <c r="B267" s="11">
        <v>900400705</v>
      </c>
      <c r="C267" s="12" t="s">
        <v>373</v>
      </c>
      <c r="D267" s="13">
        <v>124148127</v>
      </c>
      <c r="E267" s="13">
        <v>116593756</v>
      </c>
      <c r="F267" s="25">
        <f>Proponentes[[#This Row],[Activo Corriente]]+Proponentes[[#This Row],[Activo NO Corriente]]</f>
        <v>240741883</v>
      </c>
      <c r="G267" s="13">
        <v>20180117</v>
      </c>
      <c r="H267" s="13">
        <v>78408998</v>
      </c>
      <c r="I267" s="25">
        <f>Proponentes[[#This Row],[Pasivo Corriente]]+Proponentes[[#This Row],[Pasivo NO Corriente]]</f>
        <v>98589115</v>
      </c>
      <c r="J267" s="14">
        <f>Proponentes[[#This Row],[Total ACTIVO]]-Proponentes[[#This Row],[Total Pasivo]]</f>
        <v>142152768</v>
      </c>
      <c r="K267" s="48" t="e">
        <f>VLOOKUP(Proponentes[[#This Row],[Propuesta]],Hoja2!$A$2:$G$239,7,FALSE)</f>
        <v>#N/A</v>
      </c>
      <c r="L267" s="15"/>
      <c r="M267" s="15" t="s">
        <v>279</v>
      </c>
      <c r="N267" s="55">
        <f>IFERROR(VLOOKUP(Proponentes[[#This Row],[Cap Op en SMMLV]],Base!$A$15:$F$20,3),0)</f>
        <v>1</v>
      </c>
      <c r="O267" s="16">
        <f>IFERROR(VLOOKUP(Proponentes[[#This Row],[Cap Op en SMMLV]],Base!$A$15:$F$20,4),0)</f>
        <v>0.76</v>
      </c>
      <c r="P267" s="17">
        <f>IFERROR(VLOOKUP(Proponentes[[#This Row],[Cap Op en SMMLV]],Tabla2[],6),0)</f>
        <v>12.5</v>
      </c>
      <c r="Q267" s="18">
        <f>IFERROR(VLOOKUP(Proponentes[[#This Row],[Cap Op en SMMLV]],Base!$A$15:$F$20,5),0)</f>
        <v>10351450</v>
      </c>
      <c r="R267" s="18">
        <f>IFERROR(VLOOKUP(Proponentes[[#This Row],[Cap Op en SMMLV]],Tabla2[[DE]:[HASTA]],2),0)</f>
        <v>500</v>
      </c>
      <c r="S267" s="19">
        <f>IFERROR(Proponentes[[#This Row],[Activo Corriente]]/Proponentes[[#This Row],[Pasivo Corriente]],"INDETERMINADO")</f>
        <v>6.152002339728754</v>
      </c>
      <c r="T267" s="20">
        <f>IFERROR(Proponentes[[#This Row],[Total Pasivo]]/Proponentes[[#This Row],[Total ACTIVO]],0)</f>
        <v>0.40952207306611454</v>
      </c>
      <c r="U267" s="21">
        <f>(Proponentes[[#This Row],[Activo Corriente]]-Proponentes[[#This Row],[Pasivo Corriente]])/Base!$B$3</f>
        <v>125.54764066869859</v>
      </c>
      <c r="V267" s="22">
        <f>Proponentes[[#This Row],[Activo Corriente]]-Proponentes[[#This Row],[Pasivo Corriente]]</f>
        <v>103968010</v>
      </c>
      <c r="W267" s="13">
        <f>IFERROR(VLOOKUP(Proponentes[[#This Row],[Propuesta]],Hoja2!$A$2:$G$329,7,FALSE),0)</f>
        <v>404159964.25899112</v>
      </c>
      <c r="X267" s="83">
        <f>IF(Proponentes[[#This Row],[Cap Op en Pesos]]=0,0,IF(Proponentes[[#This Row],[Cap Op en Pesos]]=0,1,Proponentes[[#This Row],[Cap Op en Pesos]]/Base!B$3))</f>
        <v>488.04752505565779</v>
      </c>
      <c r="Y26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6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6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67" s="23" t="str">
        <f>IF(AND(Proponentes[[#This Row],[Cumple
Liquidez]]="CUMPLE",Proponentes[[#This Row],[Cumple
Endeudamiento]]="CUMPLE",Proponentes[[#This Row],[Cumple
Capital de Trabajo]]="CUMPLE"),"CUMPLE","NO CUMPLE")</f>
        <v>CUMPLE</v>
      </c>
      <c r="AC267" s="24"/>
      <c r="AD267" s="10">
        <f>IF(Proponentes[[#This Row],[Liquidez
Oferente]]&lt;=1,1,IF(Proponentes[[#This Row],[Liquidez
Oferente]]&lt;=1.1,2,IF(Proponentes[[#This Row],[Liquidez
Oferente]]&lt;=1.2,3,IF(Proponentes[[#This Row],[Liquidez
Oferente]]&lt;=1.3,4,IF(Proponentes[[#This Row],[Liquidez
Oferente]]&lt;=1.4,5,6)))))</f>
        <v>6</v>
      </c>
      <c r="AE267" s="10">
        <f>IF(Proponentes[[#This Row],[Endeudamiento
Oferente]]&lt;=66%,6,IF(Proponentes[[#This Row],[Endeudamiento
Oferente]]&lt;=58,5,IF(Proponentes[[#This Row],[Endeudamiento
Oferente]]&lt;=70,4,IF(Proponentes[[#This Row],[Endeudamiento
Oferente]]&lt;=72,3,IF(Proponentes[[#This Row],[Endeudamiento
Oferente]]&lt;=74,2,1)))))</f>
        <v>6</v>
      </c>
      <c r="AF26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67" s="10">
        <f>IF(Proponentes[[#This Row],[Cap Op en SMMLV]]&lt;=500,1,IF(Proponentes[[#This Row],[Cap Op en SMMLV]]&lt;=1000,2,IF(Proponentes[[#This Row],[Cap Op en SMMLV]]&lt;=1500,3,IF(Proponentes[[#This Row],[Cap Op en SMMLV]]&lt;=2000,4,IF(Proponentes[[#This Row],[Cap Op en SMMLV]]&lt;=2500,5,6)))))</f>
        <v>1</v>
      </c>
      <c r="AH267" s="10">
        <f>MIN(Proponentes[[#This Row],[a]:[d]])</f>
        <v>1</v>
      </c>
      <c r="AI267" s="87">
        <f>IF(Proponentes[[#This Row],[e]]=Proponentes[[#This Row],[d]],Proponentes[[#This Row],[Cap Op en SMMLV]],VLOOKUP(Proponentes[[#This Row],[e]],Base!$D$1:$E$6,2,FALSE))</f>
        <v>488.04752505565779</v>
      </c>
      <c r="AJ267" s="101" t="str">
        <f>VLOOKUP(Proponentes[[#This Row],[Propuesta]],Hoja2!$A$2:$D$329,4,FALSE)</f>
        <v>CUMPLE</v>
      </c>
      <c r="AK267" s="101"/>
    </row>
    <row r="268" spans="1:37" ht="16" x14ac:dyDescent="0.2">
      <c r="A268" s="10">
        <v>267</v>
      </c>
      <c r="B268" s="11">
        <v>828000775</v>
      </c>
      <c r="C268" s="12" t="s">
        <v>374</v>
      </c>
      <c r="D268" s="13">
        <v>18600425</v>
      </c>
      <c r="E268" s="13">
        <v>338935471</v>
      </c>
      <c r="F268" s="25">
        <f>Proponentes[[#This Row],[Activo Corriente]]+Proponentes[[#This Row],[Activo NO Corriente]]</f>
        <v>357535896</v>
      </c>
      <c r="G268" s="13">
        <v>1376000</v>
      </c>
      <c r="H268" s="13">
        <v>112790535</v>
      </c>
      <c r="I268" s="25">
        <f>Proponentes[[#This Row],[Pasivo Corriente]]+Proponentes[[#This Row],[Pasivo NO Corriente]]</f>
        <v>114166535</v>
      </c>
      <c r="J268" s="14">
        <f>Proponentes[[#This Row],[Total ACTIVO]]-Proponentes[[#This Row],[Total Pasivo]]</f>
        <v>243369361</v>
      </c>
      <c r="K268" s="48" t="e">
        <f>VLOOKUP(Proponentes[[#This Row],[Propuesta]],Hoja2!$A$2:$G$239,7,FALSE)</f>
        <v>#N/A</v>
      </c>
      <c r="L268" s="15" t="s">
        <v>86</v>
      </c>
      <c r="M268" s="15" t="s">
        <v>279</v>
      </c>
      <c r="N268" s="55">
        <f>IFERROR(VLOOKUP(Proponentes[[#This Row],[Cap Op en SMMLV]],Base!$A$15:$F$20,3),0)</f>
        <v>1.3</v>
      </c>
      <c r="O268" s="16">
        <f>IFERROR(VLOOKUP(Proponentes[[#This Row],[Cap Op en SMMLV]],Base!$A$15:$F$20,4),0)</f>
        <v>0.7</v>
      </c>
      <c r="P268" s="17">
        <f>IFERROR(VLOOKUP(Proponentes[[#This Row],[Cap Op en SMMLV]],Tabla2[],6),0)</f>
        <v>50</v>
      </c>
      <c r="Q268" s="18">
        <f>IFERROR(VLOOKUP(Proponentes[[#This Row],[Cap Op en SMMLV]],Base!$A$15:$F$20,5),0)</f>
        <v>41405800</v>
      </c>
      <c r="R268" s="18">
        <f>IFERROR(VLOOKUP(Proponentes[[#This Row],[Cap Op en SMMLV]],Tabla2[[DE]:[HASTA]],2),0)</f>
        <v>2000</v>
      </c>
      <c r="S268" s="19">
        <f>IFERROR(Proponentes[[#This Row],[Activo Corriente]]/Proponentes[[#This Row],[Pasivo Corriente]],"INDETERMINADO")</f>
        <v>13.517750726744186</v>
      </c>
      <c r="T268" s="20">
        <f>IFERROR(Proponentes[[#This Row],[Total Pasivo]]/Proponentes[[#This Row],[Total ACTIVO]],0)</f>
        <v>0.31931488915451445</v>
      </c>
      <c r="U268" s="21">
        <f>(Proponentes[[#This Row],[Activo Corriente]]-Proponentes[[#This Row],[Pasivo Corriente]])/Base!$B$3</f>
        <v>20.799531708118188</v>
      </c>
      <c r="V268" s="22">
        <f>Proponentes[[#This Row],[Activo Corriente]]-Proponentes[[#This Row],[Pasivo Corriente]]</f>
        <v>17224425</v>
      </c>
      <c r="W268" s="13">
        <f>IFERROR(VLOOKUP(Proponentes[[#This Row],[Propuesta]],Hoja2!$A$2:$G$329,7,FALSE),0)</f>
        <v>1326170001.4631803</v>
      </c>
      <c r="X268" s="83">
        <f>IF(Proponentes[[#This Row],[Cap Op en Pesos]]=0,0,IF(Proponentes[[#This Row],[Cap Op en Pesos]]=0,1,Proponentes[[#This Row],[Cap Op en Pesos]]/Base!B$3))</f>
        <v>1601.4302361784826</v>
      </c>
      <c r="Y26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6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6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68" s="23" t="str">
        <f>IF(AND(Proponentes[[#This Row],[Cumple
Liquidez]]="CUMPLE",Proponentes[[#This Row],[Cumple
Endeudamiento]]="CUMPLE",Proponentes[[#This Row],[Cumple
Capital de Trabajo]]="CUMPLE"),"CUMPLE","NO CUMPLE")</f>
        <v>NO CUMPLE</v>
      </c>
      <c r="AC268" s="24"/>
      <c r="AD268" s="10">
        <f>IF(Proponentes[[#This Row],[Liquidez
Oferente]]&lt;=1,1,IF(Proponentes[[#This Row],[Liquidez
Oferente]]&lt;=1.1,2,IF(Proponentes[[#This Row],[Liquidez
Oferente]]&lt;=1.2,3,IF(Proponentes[[#This Row],[Liquidez
Oferente]]&lt;=1.3,4,IF(Proponentes[[#This Row],[Liquidez
Oferente]]&lt;=1.4,5,6)))))</f>
        <v>6</v>
      </c>
      <c r="AE268" s="10">
        <f>IF(Proponentes[[#This Row],[Endeudamiento
Oferente]]&lt;=66%,6,IF(Proponentes[[#This Row],[Endeudamiento
Oferente]]&lt;=58,5,IF(Proponentes[[#This Row],[Endeudamiento
Oferente]]&lt;=70,4,IF(Proponentes[[#This Row],[Endeudamiento
Oferente]]&lt;=72,3,IF(Proponentes[[#This Row],[Endeudamiento
Oferente]]&lt;=74,2,1)))))</f>
        <v>6</v>
      </c>
      <c r="AF26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268" s="10">
        <f>IF(Proponentes[[#This Row],[Cap Op en SMMLV]]&lt;=500,1,IF(Proponentes[[#This Row],[Cap Op en SMMLV]]&lt;=1000,2,IF(Proponentes[[#This Row],[Cap Op en SMMLV]]&lt;=1500,3,IF(Proponentes[[#This Row],[Cap Op en SMMLV]]&lt;=2000,4,IF(Proponentes[[#This Row],[Cap Op en SMMLV]]&lt;=2500,5,6)))))</f>
        <v>4</v>
      </c>
      <c r="AH268" s="10">
        <f>MIN(Proponentes[[#This Row],[a]:[d]])</f>
        <v>2</v>
      </c>
      <c r="AI268" s="87">
        <f>IF(Proponentes[[#This Row],[e]]=Proponentes[[#This Row],[d]],Proponentes[[#This Row],[Cap Op en SMMLV]],VLOOKUP(Proponentes[[#This Row],[e]],Base!$D$1:$E$6,2,FALSE))</f>
        <v>1000</v>
      </c>
      <c r="AJ268" s="101" t="str">
        <f>VLOOKUP(Proponentes[[#This Row],[Propuesta]],Hoja2!$A$2:$D$329,4,FALSE)</f>
        <v>CUMPLE</v>
      </c>
      <c r="AK268" s="101"/>
    </row>
    <row r="269" spans="1:37" ht="16" x14ac:dyDescent="0.2">
      <c r="A269" s="10">
        <v>268</v>
      </c>
      <c r="B269" s="11">
        <v>900548374</v>
      </c>
      <c r="C269" s="12" t="s">
        <v>375</v>
      </c>
      <c r="D269" s="13">
        <v>625175000</v>
      </c>
      <c r="E269" s="13">
        <v>550800000</v>
      </c>
      <c r="F269" s="25">
        <f>Proponentes[[#This Row],[Activo Corriente]]+Proponentes[[#This Row],[Activo NO Corriente]]</f>
        <v>1175975000</v>
      </c>
      <c r="G269" s="13">
        <v>19500000</v>
      </c>
      <c r="H269" s="13">
        <v>0</v>
      </c>
      <c r="I269" s="25">
        <f>Proponentes[[#This Row],[Pasivo Corriente]]+Proponentes[[#This Row],[Pasivo NO Corriente]]</f>
        <v>19500000</v>
      </c>
      <c r="J269" s="14">
        <f>Proponentes[[#This Row],[Total ACTIVO]]-Proponentes[[#This Row],[Total Pasivo]]</f>
        <v>1156475000</v>
      </c>
      <c r="K269" s="48" t="e">
        <f>VLOOKUP(Proponentes[[#This Row],[Propuesta]],Hoja2!$A$2:$G$239,7,FALSE)</f>
        <v>#N/A</v>
      </c>
      <c r="L269" s="15"/>
      <c r="M269" s="15" t="s">
        <v>279</v>
      </c>
      <c r="N269" s="55">
        <f>IFERROR(VLOOKUP(Proponentes[[#This Row],[Cap Op en SMMLV]],Base!$A$15:$F$20,3),0)</f>
        <v>1</v>
      </c>
      <c r="O269" s="16">
        <f>IFERROR(VLOOKUP(Proponentes[[#This Row],[Cap Op en SMMLV]],Base!$A$15:$F$20,4),0)</f>
        <v>0.76</v>
      </c>
      <c r="P269" s="17">
        <f>IFERROR(VLOOKUP(Proponentes[[#This Row],[Cap Op en SMMLV]],Tabla2[],6),0)</f>
        <v>12.5</v>
      </c>
      <c r="Q269" s="18">
        <f>IFERROR(VLOOKUP(Proponentes[[#This Row],[Cap Op en SMMLV]],Base!$A$15:$F$20,5),0)</f>
        <v>10351450</v>
      </c>
      <c r="R269" s="18">
        <f>IFERROR(VLOOKUP(Proponentes[[#This Row],[Cap Op en SMMLV]],Tabla2[[DE]:[HASTA]],2),0)</f>
        <v>500</v>
      </c>
      <c r="S269" s="19">
        <f>IFERROR(Proponentes[[#This Row],[Activo Corriente]]/Proponentes[[#This Row],[Pasivo Corriente]],"INDETERMINADO")</f>
        <v>32.060256410256407</v>
      </c>
      <c r="T269" s="20">
        <f>IFERROR(Proponentes[[#This Row],[Total Pasivo]]/Proponentes[[#This Row],[Total ACTIVO]],0)</f>
        <v>1.6581985161249178E-2</v>
      </c>
      <c r="U269" s="21">
        <f>(Proponentes[[#This Row],[Activo Corriente]]-Proponentes[[#This Row],[Pasivo Corriente]])/Base!$B$3</f>
        <v>731.38908075680217</v>
      </c>
      <c r="V269" s="22">
        <f>Proponentes[[#This Row],[Activo Corriente]]-Proponentes[[#This Row],[Pasivo Corriente]]</f>
        <v>605675000</v>
      </c>
      <c r="W269" s="13">
        <f>IFERROR(VLOOKUP(Proponentes[[#This Row],[Propuesta]],Hoja2!$A$2:$G$329,7,FALSE),0)</f>
        <v>25709458.949013274</v>
      </c>
      <c r="X269" s="83">
        <f>IF(Proponentes[[#This Row],[Cap Op en Pesos]]=0,0,IF(Proponentes[[#This Row],[Cap Op en Pesos]]=0,1,Proponentes[[#This Row],[Cap Op en Pesos]]/Base!B$3))</f>
        <v>31.045721793822693</v>
      </c>
      <c r="Y26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6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6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69" s="23" t="str">
        <f>IF(AND(Proponentes[[#This Row],[Cumple
Liquidez]]="CUMPLE",Proponentes[[#This Row],[Cumple
Endeudamiento]]="CUMPLE",Proponentes[[#This Row],[Cumple
Capital de Trabajo]]="CUMPLE"),"CUMPLE","NO CUMPLE")</f>
        <v>CUMPLE</v>
      </c>
      <c r="AC269" s="24"/>
      <c r="AD269" s="10">
        <f>IF(Proponentes[[#This Row],[Liquidez
Oferente]]&lt;=1,1,IF(Proponentes[[#This Row],[Liquidez
Oferente]]&lt;=1.1,2,IF(Proponentes[[#This Row],[Liquidez
Oferente]]&lt;=1.2,3,IF(Proponentes[[#This Row],[Liquidez
Oferente]]&lt;=1.3,4,IF(Proponentes[[#This Row],[Liquidez
Oferente]]&lt;=1.4,5,6)))))</f>
        <v>6</v>
      </c>
      <c r="AE269" s="10">
        <f>IF(Proponentes[[#This Row],[Endeudamiento
Oferente]]&lt;=66%,6,IF(Proponentes[[#This Row],[Endeudamiento
Oferente]]&lt;=58,5,IF(Proponentes[[#This Row],[Endeudamiento
Oferente]]&lt;=70,4,IF(Proponentes[[#This Row],[Endeudamiento
Oferente]]&lt;=72,3,IF(Proponentes[[#This Row],[Endeudamiento
Oferente]]&lt;=74,2,1)))))</f>
        <v>6</v>
      </c>
      <c r="AF26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69" s="10">
        <f>IF(Proponentes[[#This Row],[Cap Op en SMMLV]]&lt;=500,1,IF(Proponentes[[#This Row],[Cap Op en SMMLV]]&lt;=1000,2,IF(Proponentes[[#This Row],[Cap Op en SMMLV]]&lt;=1500,3,IF(Proponentes[[#This Row],[Cap Op en SMMLV]]&lt;=2000,4,IF(Proponentes[[#This Row],[Cap Op en SMMLV]]&lt;=2500,5,6)))))</f>
        <v>1</v>
      </c>
      <c r="AH269" s="10">
        <f>MIN(Proponentes[[#This Row],[a]:[d]])</f>
        <v>1</v>
      </c>
      <c r="AI269" s="87">
        <f>IF(Proponentes[[#This Row],[e]]=Proponentes[[#This Row],[d]],Proponentes[[#This Row],[Cap Op en SMMLV]],VLOOKUP(Proponentes[[#This Row],[e]],Base!$D$1:$E$6,2,FALSE))</f>
        <v>31.045721793822693</v>
      </c>
      <c r="AJ269" s="101" t="str">
        <f>VLOOKUP(Proponentes[[#This Row],[Propuesta]],Hoja2!$A$2:$D$329,4,FALSE)</f>
        <v>NO CUMPLE</v>
      </c>
      <c r="AK269" s="101"/>
    </row>
    <row r="270" spans="1:37" ht="32" x14ac:dyDescent="0.2">
      <c r="A270" s="10">
        <v>269</v>
      </c>
      <c r="B270" s="11">
        <v>830093333</v>
      </c>
      <c r="C270" s="12" t="s">
        <v>376</v>
      </c>
      <c r="D270" s="13">
        <v>2574900667</v>
      </c>
      <c r="E270" s="13">
        <v>205113523</v>
      </c>
      <c r="F270" s="25">
        <f>Proponentes[[#This Row],[Activo Corriente]]+Proponentes[[#This Row],[Activo NO Corriente]]</f>
        <v>2780014190</v>
      </c>
      <c r="G270" s="13">
        <v>1578633170</v>
      </c>
      <c r="H270" s="13">
        <v>217500000</v>
      </c>
      <c r="I270" s="25">
        <f>Proponentes[[#This Row],[Pasivo Corriente]]+Proponentes[[#This Row],[Pasivo NO Corriente]]</f>
        <v>1796133170</v>
      </c>
      <c r="J270" s="14">
        <f>Proponentes[[#This Row],[Total ACTIVO]]-Proponentes[[#This Row],[Total Pasivo]]</f>
        <v>983881020</v>
      </c>
      <c r="K270" s="48" t="e">
        <f>VLOOKUP(Proponentes[[#This Row],[Propuesta]],Hoja2!$A$2:$G$239,7,FALSE)</f>
        <v>#N/A</v>
      </c>
      <c r="L270" s="15"/>
      <c r="M270" s="15" t="s">
        <v>279</v>
      </c>
      <c r="N270" s="55">
        <f>IFERROR(VLOOKUP(Proponentes[[#This Row],[Cap Op en SMMLV]],Base!$A$15:$F$20,3),0)</f>
        <v>1.3</v>
      </c>
      <c r="O270" s="16">
        <f>IFERROR(VLOOKUP(Proponentes[[#This Row],[Cap Op en SMMLV]],Base!$A$15:$F$20,4),0)</f>
        <v>0.7</v>
      </c>
      <c r="P270" s="17">
        <f>IFERROR(VLOOKUP(Proponentes[[#This Row],[Cap Op en SMMLV]],Tabla2[],6),0)</f>
        <v>50</v>
      </c>
      <c r="Q270" s="18">
        <f>IFERROR(VLOOKUP(Proponentes[[#This Row],[Cap Op en SMMLV]],Base!$A$15:$F$20,5),0)</f>
        <v>41405800</v>
      </c>
      <c r="R270" s="18">
        <f>IFERROR(VLOOKUP(Proponentes[[#This Row],[Cap Op en SMMLV]],Tabla2[[DE]:[HASTA]],2),0)</f>
        <v>2000</v>
      </c>
      <c r="S270" s="19">
        <f>IFERROR(Proponentes[[#This Row],[Activo Corriente]]/Proponentes[[#This Row],[Pasivo Corriente]],"INDETERMINADO")</f>
        <v>1.6310949978328404</v>
      </c>
      <c r="T270" s="20">
        <f>IFERROR(Proponentes[[#This Row],[Total Pasivo]]/Proponentes[[#This Row],[Total ACTIVO]],0)</f>
        <v>0.64608777050882604</v>
      </c>
      <c r="U270" s="21">
        <f>(Proponentes[[#This Row],[Activo Corriente]]-Proponentes[[#This Row],[Pasivo Corriente]])/Base!$B$3</f>
        <v>1203.0530710673384</v>
      </c>
      <c r="V270" s="22">
        <f>Proponentes[[#This Row],[Activo Corriente]]-Proponentes[[#This Row],[Pasivo Corriente]]</f>
        <v>996267497</v>
      </c>
      <c r="W270" s="13">
        <f>IFERROR(VLOOKUP(Proponentes[[#This Row],[Propuesta]],Hoja2!$A$2:$G$329,7,FALSE),0)</f>
        <v>1445177123.1424665</v>
      </c>
      <c r="X270" s="83">
        <f>IF(Proponentes[[#This Row],[Cap Op en Pesos]]=0,0,IF(Proponentes[[#This Row],[Cap Op en Pesos]]=0,1,Proponentes[[#This Row],[Cap Op en Pesos]]/Base!B$3))</f>
        <v>1745.1385109603807</v>
      </c>
      <c r="Y27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7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7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70" s="23" t="str">
        <f>IF(AND(Proponentes[[#This Row],[Cumple
Liquidez]]="CUMPLE",Proponentes[[#This Row],[Cumple
Endeudamiento]]="CUMPLE",Proponentes[[#This Row],[Cumple
Capital de Trabajo]]="CUMPLE"),"CUMPLE","NO CUMPLE")</f>
        <v>CUMPLE</v>
      </c>
      <c r="AC270" s="24"/>
      <c r="AD270" s="10">
        <f>IF(Proponentes[[#This Row],[Liquidez
Oferente]]&lt;=1,1,IF(Proponentes[[#This Row],[Liquidez
Oferente]]&lt;=1.1,2,IF(Proponentes[[#This Row],[Liquidez
Oferente]]&lt;=1.2,3,IF(Proponentes[[#This Row],[Liquidez
Oferente]]&lt;=1.3,4,IF(Proponentes[[#This Row],[Liquidez
Oferente]]&lt;=1.4,5,6)))))</f>
        <v>6</v>
      </c>
      <c r="AE270" s="10">
        <f>IF(Proponentes[[#This Row],[Endeudamiento
Oferente]]&lt;=66%,6,IF(Proponentes[[#This Row],[Endeudamiento
Oferente]]&lt;=58,5,IF(Proponentes[[#This Row],[Endeudamiento
Oferente]]&lt;=70,4,IF(Proponentes[[#This Row],[Endeudamiento
Oferente]]&lt;=72,3,IF(Proponentes[[#This Row],[Endeudamiento
Oferente]]&lt;=74,2,1)))))</f>
        <v>6</v>
      </c>
      <c r="AF27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70" s="10">
        <f>IF(Proponentes[[#This Row],[Cap Op en SMMLV]]&lt;=500,1,IF(Proponentes[[#This Row],[Cap Op en SMMLV]]&lt;=1000,2,IF(Proponentes[[#This Row],[Cap Op en SMMLV]]&lt;=1500,3,IF(Proponentes[[#This Row],[Cap Op en SMMLV]]&lt;=2000,4,IF(Proponentes[[#This Row],[Cap Op en SMMLV]]&lt;=2500,5,6)))))</f>
        <v>4</v>
      </c>
      <c r="AH270" s="10">
        <f>MIN(Proponentes[[#This Row],[a]:[d]])</f>
        <v>4</v>
      </c>
      <c r="AI270" s="87">
        <f>IF(Proponentes[[#This Row],[e]]=Proponentes[[#This Row],[d]],Proponentes[[#This Row],[Cap Op en SMMLV]],VLOOKUP(Proponentes[[#This Row],[e]],Base!$D$1:$E$6,2,FALSE))</f>
        <v>1745.1385109603807</v>
      </c>
      <c r="AJ270" s="101" t="str">
        <f>VLOOKUP(Proponentes[[#This Row],[Propuesta]],Hoja2!$A$2:$D$329,4,FALSE)</f>
        <v>CUMPLE</v>
      </c>
      <c r="AK270" s="101"/>
    </row>
    <row r="271" spans="1:37" ht="16" x14ac:dyDescent="0.2">
      <c r="A271" s="10">
        <v>270</v>
      </c>
      <c r="B271" s="11">
        <v>900576662</v>
      </c>
      <c r="C271" s="12" t="s">
        <v>377</v>
      </c>
      <c r="D271" s="13">
        <v>163000000</v>
      </c>
      <c r="E271" s="13">
        <v>34000000</v>
      </c>
      <c r="F271" s="25">
        <f>Proponentes[[#This Row],[Activo Corriente]]+Proponentes[[#This Row],[Activo NO Corriente]]</f>
        <v>197000000</v>
      </c>
      <c r="G271" s="13">
        <v>13864000</v>
      </c>
      <c r="H271" s="13">
        <v>28001000</v>
      </c>
      <c r="I271" s="25">
        <f>Proponentes[[#This Row],[Pasivo Corriente]]+Proponentes[[#This Row],[Pasivo NO Corriente]]</f>
        <v>41865000</v>
      </c>
      <c r="J271" s="14">
        <f>Proponentes[[#This Row],[Total ACTIVO]]-Proponentes[[#This Row],[Total Pasivo]]</f>
        <v>155135000</v>
      </c>
      <c r="K271" s="48" t="e">
        <f>VLOOKUP(Proponentes[[#This Row],[Propuesta]],Hoja2!$A$2:$G$239,7,FALSE)</f>
        <v>#N/A</v>
      </c>
      <c r="L271" s="15"/>
      <c r="M271" s="15" t="s">
        <v>378</v>
      </c>
      <c r="N271" s="55">
        <f>IFERROR(VLOOKUP(Proponentes[[#This Row],[Cap Op en SMMLV]],Base!$A$15:$F$20,3),0)</f>
        <v>1.5</v>
      </c>
      <c r="O271" s="16">
        <f>IFERROR(VLOOKUP(Proponentes[[#This Row],[Cap Op en SMMLV]],Base!$A$15:$F$20,4),0)</f>
        <v>0.66</v>
      </c>
      <c r="P271" s="17">
        <f>IFERROR(VLOOKUP(Proponentes[[#This Row],[Cap Op en SMMLV]],Tabla2[],6),0)</f>
        <v>90.075000362268085</v>
      </c>
      <c r="Q271" s="18">
        <f>IFERROR(VLOOKUP(Proponentes[[#This Row],[Cap Op en SMMLV]],Base!$A$15:$F$20,5),0)</f>
        <v>74592549</v>
      </c>
      <c r="R271" s="18">
        <f>IFERROR(VLOOKUP(Proponentes[[#This Row],[Cap Op en SMMLV]],Tabla2[[DE]:[HASTA]],2),0)</f>
        <v>1000000</v>
      </c>
      <c r="S271" s="19">
        <f>IFERROR(Proponentes[[#This Row],[Activo Corriente]]/Proponentes[[#This Row],[Pasivo Corriente]],"INDETERMINADO")</f>
        <v>11.757068667051357</v>
      </c>
      <c r="T271" s="20">
        <f>IFERROR(Proponentes[[#This Row],[Total Pasivo]]/Proponentes[[#This Row],[Total ACTIVO]],0)</f>
        <v>0.21251269035532994</v>
      </c>
      <c r="U271" s="21">
        <f>(Proponentes[[#This Row],[Activo Corriente]]-Proponentes[[#This Row],[Pasivo Corriente]])/Base!$B$3</f>
        <v>180.09071192924662</v>
      </c>
      <c r="V271" s="22">
        <f>Proponentes[[#This Row],[Activo Corriente]]-Proponentes[[#This Row],[Pasivo Corriente]]</f>
        <v>149136000</v>
      </c>
      <c r="W271" s="13">
        <f>IFERROR(VLOOKUP(Proponentes[[#This Row],[Propuesta]],Hoja2!$A$2:$G$329,7,FALSE),0)</f>
        <v>2892852388.5727401</v>
      </c>
      <c r="X271" s="83">
        <f>IF(Proponentes[[#This Row],[Cap Op en Pesos]]=0,0,IF(Proponentes[[#This Row],[Cap Op en Pesos]]=0,1,Proponentes[[#This Row],[Cap Op en Pesos]]/Base!B$3))</f>
        <v>3493.2936793549939</v>
      </c>
      <c r="Y27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7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7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71" s="23" t="str">
        <f>IF(AND(Proponentes[[#This Row],[Cumple
Liquidez]]="CUMPLE",Proponentes[[#This Row],[Cumple
Endeudamiento]]="CUMPLE",Proponentes[[#This Row],[Cumple
Capital de Trabajo]]="CUMPLE"),"CUMPLE","NO CUMPLE")</f>
        <v>CUMPLE</v>
      </c>
      <c r="AC271" s="24"/>
      <c r="AD271" s="10">
        <f>IF(Proponentes[[#This Row],[Liquidez
Oferente]]&lt;=1,1,IF(Proponentes[[#This Row],[Liquidez
Oferente]]&lt;=1.1,2,IF(Proponentes[[#This Row],[Liquidez
Oferente]]&lt;=1.2,3,IF(Proponentes[[#This Row],[Liquidez
Oferente]]&lt;=1.3,4,IF(Proponentes[[#This Row],[Liquidez
Oferente]]&lt;=1.4,5,6)))))</f>
        <v>6</v>
      </c>
      <c r="AE271" s="10">
        <f>IF(Proponentes[[#This Row],[Endeudamiento
Oferente]]&lt;=66%,6,IF(Proponentes[[#This Row],[Endeudamiento
Oferente]]&lt;=58,5,IF(Proponentes[[#This Row],[Endeudamiento
Oferente]]&lt;=70,4,IF(Proponentes[[#This Row],[Endeudamiento
Oferente]]&lt;=72,3,IF(Proponentes[[#This Row],[Endeudamiento
Oferente]]&lt;=74,2,1)))))</f>
        <v>6</v>
      </c>
      <c r="AF27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71" s="10">
        <f>IF(Proponentes[[#This Row],[Cap Op en SMMLV]]&lt;=500,1,IF(Proponentes[[#This Row],[Cap Op en SMMLV]]&lt;=1000,2,IF(Proponentes[[#This Row],[Cap Op en SMMLV]]&lt;=1500,3,IF(Proponentes[[#This Row],[Cap Op en SMMLV]]&lt;=2000,4,IF(Proponentes[[#This Row],[Cap Op en SMMLV]]&lt;=2500,5,6)))))</f>
        <v>6</v>
      </c>
      <c r="AH271" s="10">
        <f>MIN(Proponentes[[#This Row],[a]:[d]])</f>
        <v>6</v>
      </c>
      <c r="AI271" s="87">
        <f>IF(Proponentes[[#This Row],[e]]=Proponentes[[#This Row],[d]],Proponentes[[#This Row],[Cap Op en SMMLV]],VLOOKUP(Proponentes[[#This Row],[e]],Base!$D$1:$E$6,2,FALSE))</f>
        <v>3493.2936793549939</v>
      </c>
      <c r="AJ271" s="101" t="str">
        <f>VLOOKUP(Proponentes[[#This Row],[Propuesta]],Hoja2!$A$2:$D$329,4,FALSE)</f>
        <v>NO CUMPLE</v>
      </c>
      <c r="AK271" s="101"/>
    </row>
    <row r="272" spans="1:37" ht="32" x14ac:dyDescent="0.2">
      <c r="A272" s="10">
        <v>271</v>
      </c>
      <c r="B272" s="11">
        <v>860066093</v>
      </c>
      <c r="C272" s="12" t="s">
        <v>379</v>
      </c>
      <c r="D272" s="13">
        <v>2876958000</v>
      </c>
      <c r="E272" s="13">
        <v>11929999000</v>
      </c>
      <c r="F272" s="25">
        <f>Proponentes[[#This Row],[Activo Corriente]]+Proponentes[[#This Row],[Activo NO Corriente]]</f>
        <v>14806957000</v>
      </c>
      <c r="G272" s="13">
        <v>1919014000</v>
      </c>
      <c r="H272" s="13">
        <v>0</v>
      </c>
      <c r="I272" s="25">
        <f>Proponentes[[#This Row],[Pasivo Corriente]]+Proponentes[[#This Row],[Pasivo NO Corriente]]</f>
        <v>1919014000</v>
      </c>
      <c r="J272" s="14">
        <f>Proponentes[[#This Row],[Total ACTIVO]]-Proponentes[[#This Row],[Total Pasivo]]</f>
        <v>12887943000</v>
      </c>
      <c r="K272" s="48" t="e">
        <f>VLOOKUP(Proponentes[[#This Row],[Propuesta]],Hoja2!$A$2:$G$239,7,FALSE)</f>
        <v>#N/A</v>
      </c>
      <c r="L272" s="15"/>
      <c r="M272" s="15" t="s">
        <v>380</v>
      </c>
      <c r="N272" s="55">
        <f>IFERROR(VLOOKUP(Proponentes[[#This Row],[Cap Op en SMMLV]],Base!$A$15:$F$20,3),0)</f>
        <v>0</v>
      </c>
      <c r="O272" s="16">
        <f>IFERROR(VLOOKUP(Proponentes[[#This Row],[Cap Op en SMMLV]],Base!$A$15:$F$20,4),0)</f>
        <v>0</v>
      </c>
      <c r="P272" s="17">
        <f>IFERROR(VLOOKUP(Proponentes[[#This Row],[Cap Op en SMMLV]],Tabla2[],6),0)</f>
        <v>0</v>
      </c>
      <c r="Q272" s="18">
        <f>IFERROR(VLOOKUP(Proponentes[[#This Row],[Cap Op en SMMLV]],Base!$A$15:$F$20,5),0)</f>
        <v>0</v>
      </c>
      <c r="R272" s="18">
        <f>IFERROR(VLOOKUP(Proponentes[[#This Row],[Cap Op en SMMLV]],Tabla2[[DE]:[HASTA]],2),0)</f>
        <v>0</v>
      </c>
      <c r="S272" s="19">
        <f>IFERROR(Proponentes[[#This Row],[Activo Corriente]]/Proponentes[[#This Row],[Pasivo Corriente]],"INDETERMINADO")</f>
        <v>1.4991855192301879</v>
      </c>
      <c r="T272" s="20">
        <f>IFERROR(Proponentes[[#This Row],[Total Pasivo]]/Proponentes[[#This Row],[Total ACTIVO]],0)</f>
        <v>0.12960218632363152</v>
      </c>
      <c r="U272" s="21">
        <f>(Proponentes[[#This Row],[Activo Corriente]]-Proponentes[[#This Row],[Pasivo Corriente]])/Base!$B$3</f>
        <v>1156.7751377826296</v>
      </c>
      <c r="V272" s="22">
        <f>Proponentes[[#This Row],[Activo Corriente]]-Proponentes[[#This Row],[Pasivo Corriente]]</f>
        <v>957944000</v>
      </c>
      <c r="W272" s="13">
        <f>IFERROR(VLOOKUP(Proponentes[[#This Row],[Propuesta]],Hoja2!$A$2:$G$329,7,FALSE),0)</f>
        <v>0</v>
      </c>
      <c r="X272" s="83">
        <f>IF(Proponentes[[#This Row],[Cap Op en Pesos]]=0,0,IF(Proponentes[[#This Row],[Cap Op en Pesos]]=0,1,Proponentes[[#This Row],[Cap Op en Pesos]]/Base!B$3))</f>
        <v>0</v>
      </c>
      <c r="Y27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7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7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72" s="23" t="str">
        <f>IF(AND(Proponentes[[#This Row],[Cumple
Liquidez]]="CUMPLE",Proponentes[[#This Row],[Cumple
Endeudamiento]]="CUMPLE",Proponentes[[#This Row],[Cumple
Capital de Trabajo]]="CUMPLE"),"CUMPLE","NO CUMPLE")</f>
        <v>NO CUMPLE</v>
      </c>
      <c r="AC272" s="24"/>
      <c r="AD272" s="10">
        <f>IF(Proponentes[[#This Row],[Liquidez
Oferente]]&lt;=1,1,IF(Proponentes[[#This Row],[Liquidez
Oferente]]&lt;=1.1,2,IF(Proponentes[[#This Row],[Liquidez
Oferente]]&lt;=1.2,3,IF(Proponentes[[#This Row],[Liquidez
Oferente]]&lt;=1.3,4,IF(Proponentes[[#This Row],[Liquidez
Oferente]]&lt;=1.4,5,6)))))</f>
        <v>6</v>
      </c>
      <c r="AE272" s="10">
        <f>IF(Proponentes[[#This Row],[Endeudamiento
Oferente]]&lt;=66%,6,IF(Proponentes[[#This Row],[Endeudamiento
Oferente]]&lt;=58,5,IF(Proponentes[[#This Row],[Endeudamiento
Oferente]]&lt;=70,4,IF(Proponentes[[#This Row],[Endeudamiento
Oferente]]&lt;=72,3,IF(Proponentes[[#This Row],[Endeudamiento
Oferente]]&lt;=74,2,1)))))</f>
        <v>6</v>
      </c>
      <c r="AF27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72" s="10">
        <f>IF(Proponentes[[#This Row],[Cap Op en SMMLV]]&lt;=500,1,IF(Proponentes[[#This Row],[Cap Op en SMMLV]]&lt;=1000,2,IF(Proponentes[[#This Row],[Cap Op en SMMLV]]&lt;=1500,3,IF(Proponentes[[#This Row],[Cap Op en SMMLV]]&lt;=2000,4,IF(Proponentes[[#This Row],[Cap Op en SMMLV]]&lt;=2500,5,6)))))</f>
        <v>1</v>
      </c>
      <c r="AH272" s="10">
        <f>MIN(Proponentes[[#This Row],[a]:[d]])</f>
        <v>1</v>
      </c>
      <c r="AI272" s="87">
        <f>IF(Proponentes[[#This Row],[e]]=Proponentes[[#This Row],[d]],Proponentes[[#This Row],[Cap Op en SMMLV]],VLOOKUP(Proponentes[[#This Row],[e]],Base!$D$1:$E$6,2,FALSE))</f>
        <v>0</v>
      </c>
      <c r="AJ272" s="101" t="str">
        <f>VLOOKUP(Proponentes[[#This Row],[Propuesta]],Hoja2!$A$2:$D$329,4,FALSE)</f>
        <v>NO CUMPLE</v>
      </c>
      <c r="AK272" s="101"/>
    </row>
    <row r="273" spans="1:37" ht="16" x14ac:dyDescent="0.2">
      <c r="A273" s="10">
        <v>272</v>
      </c>
      <c r="B273" s="11">
        <v>813010867</v>
      </c>
      <c r="C273" s="12" t="s">
        <v>381</v>
      </c>
      <c r="D273" s="13">
        <v>4392806689</v>
      </c>
      <c r="E273" s="13">
        <v>2635581449</v>
      </c>
      <c r="F273" s="25">
        <f>Proponentes[[#This Row],[Activo Corriente]]+Proponentes[[#This Row],[Activo NO Corriente]]</f>
        <v>7028388138</v>
      </c>
      <c r="G273" s="13">
        <v>880864578</v>
      </c>
      <c r="H273" s="13">
        <v>0</v>
      </c>
      <c r="I273" s="25">
        <f>Proponentes[[#This Row],[Pasivo Corriente]]+Proponentes[[#This Row],[Pasivo NO Corriente]]</f>
        <v>880864578</v>
      </c>
      <c r="J273" s="14">
        <f>Proponentes[[#This Row],[Total ACTIVO]]-Proponentes[[#This Row],[Total Pasivo]]</f>
        <v>6147523560</v>
      </c>
      <c r="K273" s="48" t="e">
        <f>VLOOKUP(Proponentes[[#This Row],[Propuesta]],Hoja2!$A$2:$G$239,7,FALSE)</f>
        <v>#N/A</v>
      </c>
      <c r="L273" s="15"/>
      <c r="M273" s="15" t="s">
        <v>279</v>
      </c>
      <c r="N273" s="55">
        <f>IFERROR(VLOOKUP(Proponentes[[#This Row],[Cap Op en SMMLV]],Base!$A$15:$F$20,3),0)</f>
        <v>0</v>
      </c>
      <c r="O273" s="16">
        <f>IFERROR(VLOOKUP(Proponentes[[#This Row],[Cap Op en SMMLV]],Base!$A$15:$F$20,4),0)</f>
        <v>0</v>
      </c>
      <c r="P273" s="17">
        <f>IFERROR(VLOOKUP(Proponentes[[#This Row],[Cap Op en SMMLV]],Tabla2[],6),0)</f>
        <v>0</v>
      </c>
      <c r="Q273" s="18">
        <f>IFERROR(VLOOKUP(Proponentes[[#This Row],[Cap Op en SMMLV]],Base!$A$15:$F$20,5),0)</f>
        <v>0</v>
      </c>
      <c r="R273" s="18">
        <f>IFERROR(VLOOKUP(Proponentes[[#This Row],[Cap Op en SMMLV]],Tabla2[[DE]:[HASTA]],2),0)</f>
        <v>0</v>
      </c>
      <c r="S273" s="19">
        <f>IFERROR(Proponentes[[#This Row],[Activo Corriente]]/Proponentes[[#This Row],[Pasivo Corriente]],"INDETERMINADO")</f>
        <v>4.9869262525845377</v>
      </c>
      <c r="T273" s="20">
        <f>IFERROR(Proponentes[[#This Row],[Total Pasivo]]/Proponentes[[#This Row],[Total ACTIVO]],0)</f>
        <v>0.12532952943185904</v>
      </c>
      <c r="U273" s="21">
        <f>(Proponentes[[#This Row],[Activo Corriente]]-Proponentes[[#This Row],[Pasivo Corriente]])/Base!$B$3</f>
        <v>4240.8818462630843</v>
      </c>
      <c r="V273" s="22">
        <f>Proponentes[[#This Row],[Activo Corriente]]-Proponentes[[#This Row],[Pasivo Corriente]]</f>
        <v>3511942111</v>
      </c>
      <c r="W273" s="13">
        <f>IFERROR(VLOOKUP(Proponentes[[#This Row],[Propuesta]],Hoja2!$A$2:$G$329,7,FALSE),0)</f>
        <v>0</v>
      </c>
      <c r="X273" s="83">
        <f>IF(Proponentes[[#This Row],[Cap Op en Pesos]]=0,0,IF(Proponentes[[#This Row],[Cap Op en Pesos]]=0,1,Proponentes[[#This Row],[Cap Op en Pesos]]/Base!B$3))</f>
        <v>0</v>
      </c>
      <c r="Y27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7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7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73" s="23" t="str">
        <f>IF(AND(Proponentes[[#This Row],[Cumple
Liquidez]]="CUMPLE",Proponentes[[#This Row],[Cumple
Endeudamiento]]="CUMPLE",Proponentes[[#This Row],[Cumple
Capital de Trabajo]]="CUMPLE"),"CUMPLE","NO CUMPLE")</f>
        <v>NO CUMPLE</v>
      </c>
      <c r="AC273" s="24"/>
      <c r="AD273" s="10">
        <f>IF(Proponentes[[#This Row],[Liquidez
Oferente]]&lt;=1,1,IF(Proponentes[[#This Row],[Liquidez
Oferente]]&lt;=1.1,2,IF(Proponentes[[#This Row],[Liquidez
Oferente]]&lt;=1.2,3,IF(Proponentes[[#This Row],[Liquidez
Oferente]]&lt;=1.3,4,IF(Proponentes[[#This Row],[Liquidez
Oferente]]&lt;=1.4,5,6)))))</f>
        <v>6</v>
      </c>
      <c r="AE273" s="10">
        <f>IF(Proponentes[[#This Row],[Endeudamiento
Oferente]]&lt;=66%,6,IF(Proponentes[[#This Row],[Endeudamiento
Oferente]]&lt;=58,5,IF(Proponentes[[#This Row],[Endeudamiento
Oferente]]&lt;=70,4,IF(Proponentes[[#This Row],[Endeudamiento
Oferente]]&lt;=72,3,IF(Proponentes[[#This Row],[Endeudamiento
Oferente]]&lt;=74,2,1)))))</f>
        <v>6</v>
      </c>
      <c r="AF27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73" s="10">
        <f>IF(Proponentes[[#This Row],[Cap Op en SMMLV]]&lt;=500,1,IF(Proponentes[[#This Row],[Cap Op en SMMLV]]&lt;=1000,2,IF(Proponentes[[#This Row],[Cap Op en SMMLV]]&lt;=1500,3,IF(Proponentes[[#This Row],[Cap Op en SMMLV]]&lt;=2000,4,IF(Proponentes[[#This Row],[Cap Op en SMMLV]]&lt;=2500,5,6)))))</f>
        <v>1</v>
      </c>
      <c r="AH273" s="10">
        <f>MIN(Proponentes[[#This Row],[a]:[d]])</f>
        <v>1</v>
      </c>
      <c r="AI273" s="87">
        <f>IF(Proponentes[[#This Row],[e]]=Proponentes[[#This Row],[d]],Proponentes[[#This Row],[Cap Op en SMMLV]],VLOOKUP(Proponentes[[#This Row],[e]],Base!$D$1:$E$6,2,FALSE))</f>
        <v>0</v>
      </c>
      <c r="AJ273" s="101" t="str">
        <f>VLOOKUP(Proponentes[[#This Row],[Propuesta]],Hoja2!$A$2:$D$329,4,FALSE)</f>
        <v>NO CUMPLE</v>
      </c>
      <c r="AK273" s="101"/>
    </row>
    <row r="274" spans="1:37" ht="16" x14ac:dyDescent="0.2">
      <c r="A274" s="10">
        <v>273</v>
      </c>
      <c r="B274" s="11">
        <v>806013684</v>
      </c>
      <c r="C274" s="12" t="s">
        <v>382</v>
      </c>
      <c r="D274" s="13">
        <v>49152565</v>
      </c>
      <c r="E274" s="13">
        <v>40320000</v>
      </c>
      <c r="F274" s="25">
        <f>Proponentes[[#This Row],[Activo Corriente]]+Proponentes[[#This Row],[Activo NO Corriente]]</f>
        <v>89472565</v>
      </c>
      <c r="G274" s="13">
        <v>0</v>
      </c>
      <c r="H274" s="13">
        <v>5050000</v>
      </c>
      <c r="I274" s="25">
        <f>Proponentes[[#This Row],[Pasivo Corriente]]+Proponentes[[#This Row],[Pasivo NO Corriente]]</f>
        <v>5050000</v>
      </c>
      <c r="J274" s="14">
        <f>Proponentes[[#This Row],[Total ACTIVO]]-Proponentes[[#This Row],[Total Pasivo]]</f>
        <v>84422565</v>
      </c>
      <c r="K274" s="48" t="e">
        <f>VLOOKUP(Proponentes[[#This Row],[Propuesta]],Hoja2!$A$2:$G$239,7,FALSE)</f>
        <v>#N/A</v>
      </c>
      <c r="L274" s="15"/>
      <c r="M274" s="15" t="s">
        <v>279</v>
      </c>
      <c r="N274" s="55">
        <f>IFERROR(VLOOKUP(Proponentes[[#This Row],[Cap Op en SMMLV]],Base!$A$15:$F$20,3),0)</f>
        <v>1</v>
      </c>
      <c r="O274" s="16">
        <f>IFERROR(VLOOKUP(Proponentes[[#This Row],[Cap Op en SMMLV]],Base!$A$15:$F$20,4),0)</f>
        <v>0.76</v>
      </c>
      <c r="P274" s="17">
        <f>IFERROR(VLOOKUP(Proponentes[[#This Row],[Cap Op en SMMLV]],Tabla2[],6),0)</f>
        <v>12.5</v>
      </c>
      <c r="Q274" s="18">
        <f>IFERROR(VLOOKUP(Proponentes[[#This Row],[Cap Op en SMMLV]],Base!$A$15:$F$20,5),0)</f>
        <v>10351450</v>
      </c>
      <c r="R274" s="18">
        <f>IFERROR(VLOOKUP(Proponentes[[#This Row],[Cap Op en SMMLV]],Tabla2[[DE]:[HASTA]],2),0)</f>
        <v>500</v>
      </c>
      <c r="S274" s="19" t="str">
        <f>IFERROR(Proponentes[[#This Row],[Activo Corriente]]/Proponentes[[#This Row],[Pasivo Corriente]],"INDETERMINADO")</f>
        <v>INDETERMINADO</v>
      </c>
      <c r="T274" s="20">
        <f>IFERROR(Proponentes[[#This Row],[Total Pasivo]]/Proponentes[[#This Row],[Total ACTIVO]],0)</f>
        <v>5.6441882492135997E-2</v>
      </c>
      <c r="U274" s="21">
        <f>(Proponentes[[#This Row],[Activo Corriente]]-Proponentes[[#This Row],[Pasivo Corriente]])/Base!$B$3</f>
        <v>59.354685816962842</v>
      </c>
      <c r="V274" s="22">
        <f>Proponentes[[#This Row],[Activo Corriente]]-Proponentes[[#This Row],[Pasivo Corriente]]</f>
        <v>49152565</v>
      </c>
      <c r="W274" s="13">
        <f>IFERROR(VLOOKUP(Proponentes[[#This Row],[Propuesta]],Hoja2!$A$2:$G$329,7,FALSE),0)</f>
        <v>38253796.309468709</v>
      </c>
      <c r="X274" s="83">
        <f>IF(Proponentes[[#This Row],[Cap Op en Pesos]]=0,0,IF(Proponentes[[#This Row],[Cap Op en Pesos]]=0,1,Proponentes[[#This Row],[Cap Op en Pesos]]/Base!B$3))</f>
        <v>46.193765498394804</v>
      </c>
      <c r="Y27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7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7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74" s="23" t="str">
        <f>IF(AND(Proponentes[[#This Row],[Cumple
Liquidez]]="CUMPLE",Proponentes[[#This Row],[Cumple
Endeudamiento]]="CUMPLE",Proponentes[[#This Row],[Cumple
Capital de Trabajo]]="CUMPLE"),"CUMPLE","NO CUMPLE")</f>
        <v>CUMPLE</v>
      </c>
      <c r="AC274" s="24"/>
      <c r="AD274" s="10">
        <f>IF(Proponentes[[#This Row],[Liquidez
Oferente]]&lt;=1,1,IF(Proponentes[[#This Row],[Liquidez
Oferente]]&lt;=1.1,2,IF(Proponentes[[#This Row],[Liquidez
Oferente]]&lt;=1.2,3,IF(Proponentes[[#This Row],[Liquidez
Oferente]]&lt;=1.3,4,IF(Proponentes[[#This Row],[Liquidez
Oferente]]&lt;=1.4,5,6)))))</f>
        <v>6</v>
      </c>
      <c r="AE274" s="10">
        <f>IF(Proponentes[[#This Row],[Endeudamiento
Oferente]]&lt;=66%,6,IF(Proponentes[[#This Row],[Endeudamiento
Oferente]]&lt;=58,5,IF(Proponentes[[#This Row],[Endeudamiento
Oferente]]&lt;=70,4,IF(Proponentes[[#This Row],[Endeudamiento
Oferente]]&lt;=72,3,IF(Proponentes[[#This Row],[Endeudamiento
Oferente]]&lt;=74,2,1)))))</f>
        <v>6</v>
      </c>
      <c r="AF27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5</v>
      </c>
      <c r="AG274" s="10">
        <f>IF(Proponentes[[#This Row],[Cap Op en SMMLV]]&lt;=500,1,IF(Proponentes[[#This Row],[Cap Op en SMMLV]]&lt;=1000,2,IF(Proponentes[[#This Row],[Cap Op en SMMLV]]&lt;=1500,3,IF(Proponentes[[#This Row],[Cap Op en SMMLV]]&lt;=2000,4,IF(Proponentes[[#This Row],[Cap Op en SMMLV]]&lt;=2500,5,6)))))</f>
        <v>1</v>
      </c>
      <c r="AH274" s="10">
        <f>MIN(Proponentes[[#This Row],[a]:[d]])</f>
        <v>1</v>
      </c>
      <c r="AI274" s="87">
        <f>IF(Proponentes[[#This Row],[e]]=Proponentes[[#This Row],[d]],Proponentes[[#This Row],[Cap Op en SMMLV]],VLOOKUP(Proponentes[[#This Row],[e]],Base!$D$1:$E$6,2,FALSE))</f>
        <v>46.193765498394804</v>
      </c>
      <c r="AJ274" s="101" t="str">
        <f>VLOOKUP(Proponentes[[#This Row],[Propuesta]],Hoja2!$A$2:$D$329,4,FALSE)</f>
        <v>CUMPLE</v>
      </c>
      <c r="AK274" s="101"/>
    </row>
    <row r="275" spans="1:37" ht="16" x14ac:dyDescent="0.2">
      <c r="A275" s="10">
        <v>274</v>
      </c>
      <c r="B275" s="11">
        <v>800196208</v>
      </c>
      <c r="C275" s="12" t="s">
        <v>383</v>
      </c>
      <c r="D275" s="13">
        <v>207417926</v>
      </c>
      <c r="E275" s="13">
        <v>1975297702</v>
      </c>
      <c r="F275" s="25">
        <f>Proponentes[[#This Row],[Activo Corriente]]+Proponentes[[#This Row],[Activo NO Corriente]]</f>
        <v>2182715628</v>
      </c>
      <c r="G275" s="13">
        <v>152686126</v>
      </c>
      <c r="H275" s="13">
        <v>223339671</v>
      </c>
      <c r="I275" s="25">
        <f>Proponentes[[#This Row],[Pasivo Corriente]]+Proponentes[[#This Row],[Pasivo NO Corriente]]</f>
        <v>376025797</v>
      </c>
      <c r="J275" s="14">
        <f>Proponentes[[#This Row],[Total ACTIVO]]-Proponentes[[#This Row],[Total Pasivo]]</f>
        <v>1806689831</v>
      </c>
      <c r="K275" s="48" t="e">
        <f>VLOOKUP(Proponentes[[#This Row],[Propuesta]],Hoja2!$A$2:$G$239,7,FALSE)</f>
        <v>#N/A</v>
      </c>
      <c r="L275" s="15"/>
      <c r="M275" s="15" t="s">
        <v>279</v>
      </c>
      <c r="N275" s="55">
        <f>IFERROR(VLOOKUP(Proponentes[[#This Row],[Cap Op en SMMLV]],Base!$A$15:$F$20,3),0)</f>
        <v>1.1000000000000001</v>
      </c>
      <c r="O275" s="16">
        <f>IFERROR(VLOOKUP(Proponentes[[#This Row],[Cap Op en SMMLV]],Base!$A$15:$F$20,4),0)</f>
        <v>0.74</v>
      </c>
      <c r="P275" s="17">
        <f>IFERROR(VLOOKUP(Proponentes[[#This Row],[Cap Op en SMMLV]],Tabla2[],6),0)</f>
        <v>25</v>
      </c>
      <c r="Q275" s="18">
        <f>IFERROR(VLOOKUP(Proponentes[[#This Row],[Cap Op en SMMLV]],Base!$A$15:$F$20,5),0)</f>
        <v>20702900</v>
      </c>
      <c r="R275" s="18">
        <f>IFERROR(VLOOKUP(Proponentes[[#This Row],[Cap Op en SMMLV]],Tabla2[[DE]:[HASTA]],2),0)</f>
        <v>1000</v>
      </c>
      <c r="S275" s="19">
        <f>IFERROR(Proponentes[[#This Row],[Activo Corriente]]/Proponentes[[#This Row],[Pasivo Corriente]],"INDETERMINADO")</f>
        <v>1.3584595498873291</v>
      </c>
      <c r="T275" s="20">
        <f>IFERROR(Proponentes[[#This Row],[Total Pasivo]]/Proponentes[[#This Row],[Total ACTIVO]],0)</f>
        <v>0.17227429545851952</v>
      </c>
      <c r="U275" s="21">
        <f>(Proponentes[[#This Row],[Activo Corriente]]-Proponentes[[#This Row],[Pasivo Corriente]])/Base!$B$3</f>
        <v>66.091948470987163</v>
      </c>
      <c r="V275" s="22">
        <f>Proponentes[[#This Row],[Activo Corriente]]-Proponentes[[#This Row],[Pasivo Corriente]]</f>
        <v>54731800</v>
      </c>
      <c r="W275" s="13">
        <f>IFERROR(VLOOKUP(Proponentes[[#This Row],[Propuesta]],Hoja2!$A$2:$G$329,7,FALSE),0)</f>
        <v>699484927.51753163</v>
      </c>
      <c r="X275" s="83">
        <f>IF(Proponentes[[#This Row],[Cap Op en Pesos]]=0,0,IF(Proponentes[[#This Row],[Cap Op en Pesos]]=0,1,Proponentes[[#This Row],[Cap Op en Pesos]]/Base!B$3))</f>
        <v>844.67022436172181</v>
      </c>
      <c r="Y27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7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7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75" s="23" t="str">
        <f>IF(AND(Proponentes[[#This Row],[Cumple
Liquidez]]="CUMPLE",Proponentes[[#This Row],[Cumple
Endeudamiento]]="CUMPLE",Proponentes[[#This Row],[Cumple
Capital de Trabajo]]="CUMPLE"),"CUMPLE","NO CUMPLE")</f>
        <v>CUMPLE</v>
      </c>
      <c r="AC275" s="24"/>
      <c r="AD275" s="10">
        <f>IF(Proponentes[[#This Row],[Liquidez
Oferente]]&lt;=1,1,IF(Proponentes[[#This Row],[Liquidez
Oferente]]&lt;=1.1,2,IF(Proponentes[[#This Row],[Liquidez
Oferente]]&lt;=1.2,3,IF(Proponentes[[#This Row],[Liquidez
Oferente]]&lt;=1.3,4,IF(Proponentes[[#This Row],[Liquidez
Oferente]]&lt;=1.4,5,6)))))</f>
        <v>5</v>
      </c>
      <c r="AE275" s="10">
        <f>IF(Proponentes[[#This Row],[Endeudamiento
Oferente]]&lt;=66%,6,IF(Proponentes[[#This Row],[Endeudamiento
Oferente]]&lt;=58,5,IF(Proponentes[[#This Row],[Endeudamiento
Oferente]]&lt;=70,4,IF(Proponentes[[#This Row],[Endeudamiento
Oferente]]&lt;=72,3,IF(Proponentes[[#This Row],[Endeudamiento
Oferente]]&lt;=74,2,1)))))</f>
        <v>6</v>
      </c>
      <c r="AF27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75" s="10">
        <f>IF(Proponentes[[#This Row],[Cap Op en SMMLV]]&lt;=500,1,IF(Proponentes[[#This Row],[Cap Op en SMMLV]]&lt;=1000,2,IF(Proponentes[[#This Row],[Cap Op en SMMLV]]&lt;=1500,3,IF(Proponentes[[#This Row],[Cap Op en SMMLV]]&lt;=2000,4,IF(Proponentes[[#This Row],[Cap Op en SMMLV]]&lt;=2500,5,6)))))</f>
        <v>2</v>
      </c>
      <c r="AH275" s="10">
        <f>MIN(Proponentes[[#This Row],[a]:[d]])</f>
        <v>2</v>
      </c>
      <c r="AI275" s="87">
        <f>IF(Proponentes[[#This Row],[e]]=Proponentes[[#This Row],[d]],Proponentes[[#This Row],[Cap Op en SMMLV]],VLOOKUP(Proponentes[[#This Row],[e]],Base!$D$1:$E$6,2,FALSE))</f>
        <v>844.67022436172181</v>
      </c>
      <c r="AJ275" s="101" t="str">
        <f>VLOOKUP(Proponentes[[#This Row],[Propuesta]],Hoja2!$A$2:$D$329,4,FALSE)</f>
        <v>NO CUMPLE</v>
      </c>
      <c r="AK275" s="101"/>
    </row>
    <row r="276" spans="1:37" ht="32" x14ac:dyDescent="0.2">
      <c r="A276" s="10">
        <v>275</v>
      </c>
      <c r="B276" s="11">
        <v>900631966</v>
      </c>
      <c r="C276" s="12" t="s">
        <v>384</v>
      </c>
      <c r="D276" s="13">
        <v>106884638</v>
      </c>
      <c r="E276" s="13">
        <v>16603555</v>
      </c>
      <c r="F276" s="25">
        <f>Proponentes[[#This Row],[Activo Corriente]]+Proponentes[[#This Row],[Activo NO Corriente]]</f>
        <v>123488193</v>
      </c>
      <c r="G276" s="13">
        <v>3402130</v>
      </c>
      <c r="H276" s="13">
        <v>0</v>
      </c>
      <c r="I276" s="25">
        <f>Proponentes[[#This Row],[Pasivo Corriente]]+Proponentes[[#This Row],[Pasivo NO Corriente]]</f>
        <v>3402130</v>
      </c>
      <c r="J276" s="14">
        <f>Proponentes[[#This Row],[Total ACTIVO]]-Proponentes[[#This Row],[Total Pasivo]]</f>
        <v>120086063</v>
      </c>
      <c r="K276" s="48" t="e">
        <f>VLOOKUP(Proponentes[[#This Row],[Propuesta]],Hoja2!$A$2:$G$239,7,FALSE)</f>
        <v>#N/A</v>
      </c>
      <c r="L276" s="15"/>
      <c r="M276" s="15" t="s">
        <v>385</v>
      </c>
      <c r="N276" s="55">
        <f>IFERROR(VLOOKUP(Proponentes[[#This Row],[Cap Op en SMMLV]],Base!$A$15:$F$20,3),0)</f>
        <v>1</v>
      </c>
      <c r="O276" s="16">
        <f>IFERROR(VLOOKUP(Proponentes[[#This Row],[Cap Op en SMMLV]],Base!$A$15:$F$20,4),0)</f>
        <v>0.76</v>
      </c>
      <c r="P276" s="17">
        <f>IFERROR(VLOOKUP(Proponentes[[#This Row],[Cap Op en SMMLV]],Tabla2[],6),0)</f>
        <v>12.5</v>
      </c>
      <c r="Q276" s="18">
        <f>IFERROR(VLOOKUP(Proponentes[[#This Row],[Cap Op en SMMLV]],Base!$A$15:$F$20,5),0)</f>
        <v>10351450</v>
      </c>
      <c r="R276" s="18">
        <f>IFERROR(VLOOKUP(Proponentes[[#This Row],[Cap Op en SMMLV]],Tabla2[[DE]:[HASTA]],2),0)</f>
        <v>500</v>
      </c>
      <c r="S276" s="19">
        <f>IFERROR(Proponentes[[#This Row],[Activo Corriente]]/Proponentes[[#This Row],[Pasivo Corriente]],"INDETERMINADO")</f>
        <v>31.416976423593454</v>
      </c>
      <c r="T276" s="20">
        <f>IFERROR(Proponentes[[#This Row],[Total Pasivo]]/Proponentes[[#This Row],[Total ACTIVO]],0)</f>
        <v>2.7550245228707818E-2</v>
      </c>
      <c r="U276" s="21">
        <f>(Proponentes[[#This Row],[Activo Corriente]]-Proponentes[[#This Row],[Pasivo Corriente]])/Base!$B$3</f>
        <v>124.96136773109082</v>
      </c>
      <c r="V276" s="22">
        <f>Proponentes[[#This Row],[Activo Corriente]]-Proponentes[[#This Row],[Pasivo Corriente]]</f>
        <v>103482508</v>
      </c>
      <c r="W276" s="13">
        <f>IFERROR(VLOOKUP(Proponentes[[#This Row],[Propuesta]],Hoja2!$A$2:$G$329,7,FALSE),0)</f>
        <v>20883187.572263725</v>
      </c>
      <c r="X276" s="83">
        <f>IF(Proponentes[[#This Row],[Cap Op en Pesos]]=0,0,IF(Proponentes[[#This Row],[Cap Op en Pesos]]=0,1,Proponentes[[#This Row],[Cap Op en Pesos]]/Base!B$3))</f>
        <v>25.217708113674565</v>
      </c>
      <c r="Y27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7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7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76" s="23" t="str">
        <f>IF(AND(Proponentes[[#This Row],[Cumple
Liquidez]]="CUMPLE",Proponentes[[#This Row],[Cumple
Endeudamiento]]="CUMPLE",Proponentes[[#This Row],[Cumple
Capital de Trabajo]]="CUMPLE"),"CUMPLE","NO CUMPLE")</f>
        <v>CUMPLE</v>
      </c>
      <c r="AC276" s="24"/>
      <c r="AD276" s="10">
        <f>IF(Proponentes[[#This Row],[Liquidez
Oferente]]&lt;=1,1,IF(Proponentes[[#This Row],[Liquidez
Oferente]]&lt;=1.1,2,IF(Proponentes[[#This Row],[Liquidez
Oferente]]&lt;=1.2,3,IF(Proponentes[[#This Row],[Liquidez
Oferente]]&lt;=1.3,4,IF(Proponentes[[#This Row],[Liquidez
Oferente]]&lt;=1.4,5,6)))))</f>
        <v>6</v>
      </c>
      <c r="AE276" s="10">
        <f>IF(Proponentes[[#This Row],[Endeudamiento
Oferente]]&lt;=66%,6,IF(Proponentes[[#This Row],[Endeudamiento
Oferente]]&lt;=58,5,IF(Proponentes[[#This Row],[Endeudamiento
Oferente]]&lt;=70,4,IF(Proponentes[[#This Row],[Endeudamiento
Oferente]]&lt;=72,3,IF(Proponentes[[#This Row],[Endeudamiento
Oferente]]&lt;=74,2,1)))))</f>
        <v>6</v>
      </c>
      <c r="AF27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76" s="10">
        <f>IF(Proponentes[[#This Row],[Cap Op en SMMLV]]&lt;=500,1,IF(Proponentes[[#This Row],[Cap Op en SMMLV]]&lt;=1000,2,IF(Proponentes[[#This Row],[Cap Op en SMMLV]]&lt;=1500,3,IF(Proponentes[[#This Row],[Cap Op en SMMLV]]&lt;=2000,4,IF(Proponentes[[#This Row],[Cap Op en SMMLV]]&lt;=2500,5,6)))))</f>
        <v>1</v>
      </c>
      <c r="AH276" s="10">
        <f>MIN(Proponentes[[#This Row],[a]:[d]])</f>
        <v>1</v>
      </c>
      <c r="AI276" s="87">
        <f>IF(Proponentes[[#This Row],[e]]=Proponentes[[#This Row],[d]],Proponentes[[#This Row],[Cap Op en SMMLV]],VLOOKUP(Proponentes[[#This Row],[e]],Base!$D$1:$E$6,2,FALSE))</f>
        <v>25.217708113674565</v>
      </c>
      <c r="AJ276" s="101" t="str">
        <f>VLOOKUP(Proponentes[[#This Row],[Propuesta]],Hoja2!$A$2:$D$329,4,FALSE)</f>
        <v>CUMPLE</v>
      </c>
      <c r="AK276" s="101"/>
    </row>
    <row r="277" spans="1:37" ht="32" x14ac:dyDescent="0.2">
      <c r="A277" s="10">
        <v>276</v>
      </c>
      <c r="B277" s="11">
        <v>801001664</v>
      </c>
      <c r="C277" s="12" t="s">
        <v>386</v>
      </c>
      <c r="D277" s="13">
        <v>106721486</v>
      </c>
      <c r="E277" s="13">
        <v>223655056</v>
      </c>
      <c r="F277" s="25">
        <f>Proponentes[[#This Row],[Activo Corriente]]+Proponentes[[#This Row],[Activo NO Corriente]]</f>
        <v>330376542</v>
      </c>
      <c r="G277" s="13">
        <v>1927744</v>
      </c>
      <c r="H277" s="13">
        <v>13456000</v>
      </c>
      <c r="I277" s="25">
        <f>Proponentes[[#This Row],[Pasivo Corriente]]+Proponentes[[#This Row],[Pasivo NO Corriente]]</f>
        <v>15383744</v>
      </c>
      <c r="J277" s="14">
        <f>Proponentes[[#This Row],[Total ACTIVO]]-Proponentes[[#This Row],[Total Pasivo]]</f>
        <v>314992798</v>
      </c>
      <c r="K277" s="48" t="e">
        <f>VLOOKUP(Proponentes[[#This Row],[Propuesta]],Hoja2!$A$2:$G$239,7,FALSE)</f>
        <v>#N/A</v>
      </c>
      <c r="L277" s="15"/>
      <c r="M277" s="15" t="s">
        <v>279</v>
      </c>
      <c r="N277" s="55">
        <f>IFERROR(VLOOKUP(Proponentes[[#This Row],[Cap Op en SMMLV]],Base!$A$15:$F$20,3),0)</f>
        <v>1.1000000000000001</v>
      </c>
      <c r="O277" s="16">
        <f>IFERROR(VLOOKUP(Proponentes[[#This Row],[Cap Op en SMMLV]],Base!$A$15:$F$20,4),0)</f>
        <v>0.74</v>
      </c>
      <c r="P277" s="17">
        <f>IFERROR(VLOOKUP(Proponentes[[#This Row],[Cap Op en SMMLV]],Tabla2[],6),0)</f>
        <v>25</v>
      </c>
      <c r="Q277" s="18">
        <f>IFERROR(VLOOKUP(Proponentes[[#This Row],[Cap Op en SMMLV]],Base!$A$15:$F$20,5),0)</f>
        <v>20702900</v>
      </c>
      <c r="R277" s="18">
        <f>IFERROR(VLOOKUP(Proponentes[[#This Row],[Cap Op en SMMLV]],Tabla2[[DE]:[HASTA]],2),0)</f>
        <v>1000</v>
      </c>
      <c r="S277" s="19">
        <f>IFERROR(Proponentes[[#This Row],[Activo Corriente]]/Proponentes[[#This Row],[Pasivo Corriente]],"INDETERMINADO")</f>
        <v>55.360818656419113</v>
      </c>
      <c r="T277" s="20">
        <f>IFERROR(Proponentes[[#This Row],[Total Pasivo]]/Proponentes[[#This Row],[Total ACTIVO]],0)</f>
        <v>4.6564274530120846E-2</v>
      </c>
      <c r="U277" s="21">
        <f>(Proponentes[[#This Row],[Activo Corriente]]-Proponentes[[#This Row],[Pasivo Corriente]])/Base!$B$3</f>
        <v>126.54476184495891</v>
      </c>
      <c r="V277" s="22">
        <f>Proponentes[[#This Row],[Activo Corriente]]-Proponentes[[#This Row],[Pasivo Corriente]]</f>
        <v>104793742</v>
      </c>
      <c r="W277" s="13">
        <f>IFERROR(VLOOKUP(Proponentes[[#This Row],[Propuesta]],Hoja2!$A$2:$G$329,7,FALSE),0)</f>
        <v>612342423.89542007</v>
      </c>
      <c r="X277" s="83">
        <f>IF(Proponentes[[#This Row],[Cap Op en Pesos]]=0,0,IF(Proponentes[[#This Row],[Cap Op en Pesos]]=0,1,Proponentes[[#This Row],[Cap Op en Pesos]]/Base!B$3))</f>
        <v>739.44039711274763</v>
      </c>
      <c r="Y27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7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7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77" s="23" t="str">
        <f>IF(AND(Proponentes[[#This Row],[Cumple
Liquidez]]="CUMPLE",Proponentes[[#This Row],[Cumple
Endeudamiento]]="CUMPLE",Proponentes[[#This Row],[Cumple
Capital de Trabajo]]="CUMPLE"),"CUMPLE","NO CUMPLE")</f>
        <v>CUMPLE</v>
      </c>
      <c r="AC277" s="24"/>
      <c r="AD277" s="10">
        <f>IF(Proponentes[[#This Row],[Liquidez
Oferente]]&lt;=1,1,IF(Proponentes[[#This Row],[Liquidez
Oferente]]&lt;=1.1,2,IF(Proponentes[[#This Row],[Liquidez
Oferente]]&lt;=1.2,3,IF(Proponentes[[#This Row],[Liquidez
Oferente]]&lt;=1.3,4,IF(Proponentes[[#This Row],[Liquidez
Oferente]]&lt;=1.4,5,6)))))</f>
        <v>6</v>
      </c>
      <c r="AE277" s="10">
        <f>IF(Proponentes[[#This Row],[Endeudamiento
Oferente]]&lt;=66%,6,IF(Proponentes[[#This Row],[Endeudamiento
Oferente]]&lt;=58,5,IF(Proponentes[[#This Row],[Endeudamiento
Oferente]]&lt;=70,4,IF(Proponentes[[#This Row],[Endeudamiento
Oferente]]&lt;=72,3,IF(Proponentes[[#This Row],[Endeudamiento
Oferente]]&lt;=74,2,1)))))</f>
        <v>6</v>
      </c>
      <c r="AF27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77" s="10">
        <f>IF(Proponentes[[#This Row],[Cap Op en SMMLV]]&lt;=500,1,IF(Proponentes[[#This Row],[Cap Op en SMMLV]]&lt;=1000,2,IF(Proponentes[[#This Row],[Cap Op en SMMLV]]&lt;=1500,3,IF(Proponentes[[#This Row],[Cap Op en SMMLV]]&lt;=2000,4,IF(Proponentes[[#This Row],[Cap Op en SMMLV]]&lt;=2500,5,6)))))</f>
        <v>2</v>
      </c>
      <c r="AH277" s="10">
        <f>MIN(Proponentes[[#This Row],[a]:[d]])</f>
        <v>2</v>
      </c>
      <c r="AI277" s="87">
        <f>IF(Proponentes[[#This Row],[e]]=Proponentes[[#This Row],[d]],Proponentes[[#This Row],[Cap Op en SMMLV]],VLOOKUP(Proponentes[[#This Row],[e]],Base!$D$1:$E$6,2,FALSE))</f>
        <v>739.44039711274763</v>
      </c>
      <c r="AJ277" s="101" t="str">
        <f>VLOOKUP(Proponentes[[#This Row],[Propuesta]],Hoja2!$A$2:$D$329,4,FALSE)</f>
        <v>CUMPLE</v>
      </c>
      <c r="AK277" s="101"/>
    </row>
    <row r="278" spans="1:37" ht="32" x14ac:dyDescent="0.2">
      <c r="A278" s="10">
        <v>277</v>
      </c>
      <c r="B278" s="11">
        <v>900268395</v>
      </c>
      <c r="C278" s="12" t="s">
        <v>387</v>
      </c>
      <c r="D278" s="13">
        <v>800000000</v>
      </c>
      <c r="E278" s="13">
        <v>400000000</v>
      </c>
      <c r="F278" s="25">
        <f>Proponentes[[#This Row],[Activo Corriente]]+Proponentes[[#This Row],[Activo NO Corriente]]</f>
        <v>1200000000</v>
      </c>
      <c r="G278" s="13">
        <v>160000000</v>
      </c>
      <c r="H278" s="13">
        <v>444000000</v>
      </c>
      <c r="I278" s="25">
        <f>Proponentes[[#This Row],[Pasivo Corriente]]+Proponentes[[#This Row],[Pasivo NO Corriente]]</f>
        <v>604000000</v>
      </c>
      <c r="J278" s="14">
        <f>Proponentes[[#This Row],[Total ACTIVO]]-Proponentes[[#This Row],[Total Pasivo]]</f>
        <v>596000000</v>
      </c>
      <c r="K278" s="48" t="e">
        <f>VLOOKUP(Proponentes[[#This Row],[Propuesta]],Hoja2!$A$2:$G$239,7,FALSE)</f>
        <v>#N/A</v>
      </c>
      <c r="L278" s="15"/>
      <c r="M278" s="15" t="s">
        <v>388</v>
      </c>
      <c r="N278" s="55">
        <f>IFERROR(VLOOKUP(Proponentes[[#This Row],[Cap Op en SMMLV]],Base!$A$15:$F$20,3),0)</f>
        <v>0</v>
      </c>
      <c r="O278" s="16">
        <f>IFERROR(VLOOKUP(Proponentes[[#This Row],[Cap Op en SMMLV]],Base!$A$15:$F$20,4),0)</f>
        <v>0</v>
      </c>
      <c r="P278" s="17">
        <f>IFERROR(VLOOKUP(Proponentes[[#This Row],[Cap Op en SMMLV]],Tabla2[],6),0)</f>
        <v>0</v>
      </c>
      <c r="Q278" s="18">
        <f>IFERROR(VLOOKUP(Proponentes[[#This Row],[Cap Op en SMMLV]],Base!$A$15:$F$20,5),0)</f>
        <v>0</v>
      </c>
      <c r="R278" s="18">
        <f>IFERROR(VLOOKUP(Proponentes[[#This Row],[Cap Op en SMMLV]],Tabla2[[DE]:[HASTA]],2),0)</f>
        <v>0</v>
      </c>
      <c r="S278" s="19">
        <f>IFERROR(Proponentes[[#This Row],[Activo Corriente]]/Proponentes[[#This Row],[Pasivo Corriente]],"INDETERMINADO")</f>
        <v>5</v>
      </c>
      <c r="T278" s="20">
        <f>IFERROR(Proponentes[[#This Row],[Total Pasivo]]/Proponentes[[#This Row],[Total ACTIVO]],0)</f>
        <v>0.5033333333333333</v>
      </c>
      <c r="U278" s="21">
        <f>(Proponentes[[#This Row],[Activo Corriente]]-Proponentes[[#This Row],[Pasivo Corriente]])/Base!$B$3</f>
        <v>772.83858783069036</v>
      </c>
      <c r="V278" s="22">
        <f>Proponentes[[#This Row],[Activo Corriente]]-Proponentes[[#This Row],[Pasivo Corriente]]</f>
        <v>640000000</v>
      </c>
      <c r="W278" s="13">
        <f>IFERROR(VLOOKUP(Proponentes[[#This Row],[Propuesta]],Hoja2!$A$2:$G$329,7,FALSE),0)</f>
        <v>0</v>
      </c>
      <c r="X278" s="83">
        <f>IF(Proponentes[[#This Row],[Cap Op en Pesos]]=0,0,IF(Proponentes[[#This Row],[Cap Op en Pesos]]=0,1,Proponentes[[#This Row],[Cap Op en Pesos]]/Base!B$3))</f>
        <v>0</v>
      </c>
      <c r="Y27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7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7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78" s="23" t="str">
        <f>IF(AND(Proponentes[[#This Row],[Cumple
Liquidez]]="CUMPLE",Proponentes[[#This Row],[Cumple
Endeudamiento]]="CUMPLE",Proponentes[[#This Row],[Cumple
Capital de Trabajo]]="CUMPLE"),"CUMPLE","NO CUMPLE")</f>
        <v>NO CUMPLE</v>
      </c>
      <c r="AC278" s="24"/>
      <c r="AD278" s="10">
        <f>IF(Proponentes[[#This Row],[Liquidez
Oferente]]&lt;=1,1,IF(Proponentes[[#This Row],[Liquidez
Oferente]]&lt;=1.1,2,IF(Proponentes[[#This Row],[Liquidez
Oferente]]&lt;=1.2,3,IF(Proponentes[[#This Row],[Liquidez
Oferente]]&lt;=1.3,4,IF(Proponentes[[#This Row],[Liquidez
Oferente]]&lt;=1.4,5,6)))))</f>
        <v>6</v>
      </c>
      <c r="AE278" s="10">
        <f>IF(Proponentes[[#This Row],[Endeudamiento
Oferente]]&lt;=66%,6,IF(Proponentes[[#This Row],[Endeudamiento
Oferente]]&lt;=58,5,IF(Proponentes[[#This Row],[Endeudamiento
Oferente]]&lt;=70,4,IF(Proponentes[[#This Row],[Endeudamiento
Oferente]]&lt;=72,3,IF(Proponentes[[#This Row],[Endeudamiento
Oferente]]&lt;=74,2,1)))))</f>
        <v>6</v>
      </c>
      <c r="AF27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78" s="10">
        <f>IF(Proponentes[[#This Row],[Cap Op en SMMLV]]&lt;=500,1,IF(Proponentes[[#This Row],[Cap Op en SMMLV]]&lt;=1000,2,IF(Proponentes[[#This Row],[Cap Op en SMMLV]]&lt;=1500,3,IF(Proponentes[[#This Row],[Cap Op en SMMLV]]&lt;=2000,4,IF(Proponentes[[#This Row],[Cap Op en SMMLV]]&lt;=2500,5,6)))))</f>
        <v>1</v>
      </c>
      <c r="AH278" s="10">
        <f>MIN(Proponentes[[#This Row],[a]:[d]])</f>
        <v>1</v>
      </c>
      <c r="AI278" s="87">
        <f>IF(Proponentes[[#This Row],[e]]=Proponentes[[#This Row],[d]],Proponentes[[#This Row],[Cap Op en SMMLV]],VLOOKUP(Proponentes[[#This Row],[e]],Base!$D$1:$E$6,2,FALSE))</f>
        <v>0</v>
      </c>
      <c r="AJ278" s="101" t="str">
        <f>VLOOKUP(Proponentes[[#This Row],[Propuesta]],Hoja2!$A$2:$D$329,4,FALSE)</f>
        <v>NO CUMPLE</v>
      </c>
      <c r="AK278" s="101"/>
    </row>
    <row r="279" spans="1:37" ht="32" x14ac:dyDescent="0.2">
      <c r="A279" s="10">
        <v>278</v>
      </c>
      <c r="B279" s="11">
        <v>900915653</v>
      </c>
      <c r="C279" s="12" t="s">
        <v>389</v>
      </c>
      <c r="D279" s="13">
        <v>95160964</v>
      </c>
      <c r="E279" s="13">
        <v>20568814.100000001</v>
      </c>
      <c r="F279" s="25">
        <f>Proponentes[[#This Row],[Activo Corriente]]+Proponentes[[#This Row],[Activo NO Corriente]]</f>
        <v>115729778.09999999</v>
      </c>
      <c r="G279" s="13">
        <v>1013398.7</v>
      </c>
      <c r="H279" s="13">
        <v>0</v>
      </c>
      <c r="I279" s="25">
        <f>Proponentes[[#This Row],[Pasivo Corriente]]+Proponentes[[#This Row],[Pasivo NO Corriente]]</f>
        <v>1013398.7</v>
      </c>
      <c r="J279" s="14">
        <f>Proponentes[[#This Row],[Total ACTIVO]]-Proponentes[[#This Row],[Total Pasivo]]</f>
        <v>114716379.39999999</v>
      </c>
      <c r="K279" s="48" t="e">
        <f>VLOOKUP(Proponentes[[#This Row],[Propuesta]],Hoja2!$A$2:$G$239,7,FALSE)</f>
        <v>#N/A</v>
      </c>
      <c r="L279" s="15"/>
      <c r="M279" s="15" t="s">
        <v>390</v>
      </c>
      <c r="N279" s="55">
        <f>IFERROR(VLOOKUP(Proponentes[[#This Row],[Cap Op en SMMLV]],Base!$A$15:$F$20,3),0)</f>
        <v>1</v>
      </c>
      <c r="O279" s="16">
        <f>IFERROR(VLOOKUP(Proponentes[[#This Row],[Cap Op en SMMLV]],Base!$A$15:$F$20,4),0)</f>
        <v>0.76</v>
      </c>
      <c r="P279" s="17">
        <f>IFERROR(VLOOKUP(Proponentes[[#This Row],[Cap Op en SMMLV]],Tabla2[],6),0)</f>
        <v>12.5</v>
      </c>
      <c r="Q279" s="18">
        <f>IFERROR(VLOOKUP(Proponentes[[#This Row],[Cap Op en SMMLV]],Base!$A$15:$F$20,5),0)</f>
        <v>10351450</v>
      </c>
      <c r="R279" s="18">
        <f>IFERROR(VLOOKUP(Proponentes[[#This Row],[Cap Op en SMMLV]],Tabla2[[DE]:[HASTA]],2),0)</f>
        <v>500</v>
      </c>
      <c r="S279" s="19">
        <f>IFERROR(Proponentes[[#This Row],[Activo Corriente]]/Proponentes[[#This Row],[Pasivo Corriente]],"INDETERMINADO")</f>
        <v>93.902788704978605</v>
      </c>
      <c r="T279" s="20">
        <f>IFERROR(Proponentes[[#This Row],[Total Pasivo]]/Proponentes[[#This Row],[Total ACTIVO]],0)</f>
        <v>8.7565941682212559E-3</v>
      </c>
      <c r="U279" s="21">
        <f>(Proponentes[[#This Row],[Activo Corriente]]-Proponentes[[#This Row],[Pasivo Corriente]])/Base!$B$3</f>
        <v>113.68886158460892</v>
      </c>
      <c r="V279" s="22">
        <f>Proponentes[[#This Row],[Activo Corriente]]-Proponentes[[#This Row],[Pasivo Corriente]]</f>
        <v>94147565.299999997</v>
      </c>
      <c r="W279" s="13">
        <f>IFERROR(VLOOKUP(Proponentes[[#This Row],[Propuesta]],Hoja2!$A$2:$G$329,7,FALSE),0)</f>
        <v>19011853.755877618</v>
      </c>
      <c r="X279" s="83">
        <f>IF(Proponentes[[#This Row],[Cap Op en Pesos]]=0,0,IF(Proponentes[[#This Row],[Cap Op en Pesos]]=0,1,Proponentes[[#This Row],[Cap Op en Pesos]]/Base!B$3))</f>
        <v>22.957959701150102</v>
      </c>
      <c r="Y27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7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7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79" s="23" t="str">
        <f>IF(AND(Proponentes[[#This Row],[Cumple
Liquidez]]="CUMPLE",Proponentes[[#This Row],[Cumple
Endeudamiento]]="CUMPLE",Proponentes[[#This Row],[Cumple
Capital de Trabajo]]="CUMPLE"),"CUMPLE","NO CUMPLE")</f>
        <v>CUMPLE</v>
      </c>
      <c r="AC279" s="24"/>
      <c r="AD279" s="10">
        <f>IF(Proponentes[[#This Row],[Liquidez
Oferente]]&lt;=1,1,IF(Proponentes[[#This Row],[Liquidez
Oferente]]&lt;=1.1,2,IF(Proponentes[[#This Row],[Liquidez
Oferente]]&lt;=1.2,3,IF(Proponentes[[#This Row],[Liquidez
Oferente]]&lt;=1.3,4,IF(Proponentes[[#This Row],[Liquidez
Oferente]]&lt;=1.4,5,6)))))</f>
        <v>6</v>
      </c>
      <c r="AE279" s="10">
        <f>IF(Proponentes[[#This Row],[Endeudamiento
Oferente]]&lt;=66%,6,IF(Proponentes[[#This Row],[Endeudamiento
Oferente]]&lt;=58,5,IF(Proponentes[[#This Row],[Endeudamiento
Oferente]]&lt;=70,4,IF(Proponentes[[#This Row],[Endeudamiento
Oferente]]&lt;=72,3,IF(Proponentes[[#This Row],[Endeudamiento
Oferente]]&lt;=74,2,1)))))</f>
        <v>6</v>
      </c>
      <c r="AF27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79" s="10">
        <f>IF(Proponentes[[#This Row],[Cap Op en SMMLV]]&lt;=500,1,IF(Proponentes[[#This Row],[Cap Op en SMMLV]]&lt;=1000,2,IF(Proponentes[[#This Row],[Cap Op en SMMLV]]&lt;=1500,3,IF(Proponentes[[#This Row],[Cap Op en SMMLV]]&lt;=2000,4,IF(Proponentes[[#This Row],[Cap Op en SMMLV]]&lt;=2500,5,6)))))</f>
        <v>1</v>
      </c>
      <c r="AH279" s="10">
        <f>MIN(Proponentes[[#This Row],[a]:[d]])</f>
        <v>1</v>
      </c>
      <c r="AI279" s="87">
        <f>IF(Proponentes[[#This Row],[e]]=Proponentes[[#This Row],[d]],Proponentes[[#This Row],[Cap Op en SMMLV]],VLOOKUP(Proponentes[[#This Row],[e]],Base!$D$1:$E$6,2,FALSE))</f>
        <v>22.957959701150102</v>
      </c>
      <c r="AJ279" s="101" t="str">
        <f>VLOOKUP(Proponentes[[#This Row],[Propuesta]],Hoja2!$A$2:$D$329,4,FALSE)</f>
        <v>CUMPLE</v>
      </c>
      <c r="AK279" s="101"/>
    </row>
    <row r="280" spans="1:37" ht="16" x14ac:dyDescent="0.2">
      <c r="A280" s="10">
        <v>279</v>
      </c>
      <c r="B280" s="11">
        <v>900593622</v>
      </c>
      <c r="C280" s="12" t="s">
        <v>391</v>
      </c>
      <c r="D280" s="13">
        <v>22410739</v>
      </c>
      <c r="E280" s="13">
        <v>45728353</v>
      </c>
      <c r="F280" s="25">
        <f>Proponentes[[#This Row],[Activo Corriente]]+Proponentes[[#This Row],[Activo NO Corriente]]</f>
        <v>68139092</v>
      </c>
      <c r="G280" s="13">
        <v>0</v>
      </c>
      <c r="H280" s="13">
        <v>0</v>
      </c>
      <c r="I280" s="25">
        <f>Proponentes[[#This Row],[Pasivo Corriente]]+Proponentes[[#This Row],[Pasivo NO Corriente]]</f>
        <v>0</v>
      </c>
      <c r="J280" s="14">
        <f>Proponentes[[#This Row],[Total ACTIVO]]-Proponentes[[#This Row],[Total Pasivo]]</f>
        <v>68139092</v>
      </c>
      <c r="K280" s="48" t="e">
        <f>VLOOKUP(Proponentes[[#This Row],[Propuesta]],Hoja2!$A$2:$G$239,7,FALSE)</f>
        <v>#N/A</v>
      </c>
      <c r="L280" s="15"/>
      <c r="M280" s="15" t="s">
        <v>279</v>
      </c>
      <c r="N280" s="55">
        <f>IFERROR(VLOOKUP(Proponentes[[#This Row],[Cap Op en SMMLV]],Base!$A$15:$F$20,3),0)</f>
        <v>0</v>
      </c>
      <c r="O280" s="16">
        <f>IFERROR(VLOOKUP(Proponentes[[#This Row],[Cap Op en SMMLV]],Base!$A$15:$F$20,4),0)</f>
        <v>0</v>
      </c>
      <c r="P280" s="17">
        <f>IFERROR(VLOOKUP(Proponentes[[#This Row],[Cap Op en SMMLV]],Tabla2[],6),0)</f>
        <v>0</v>
      </c>
      <c r="Q280" s="18">
        <f>IFERROR(VLOOKUP(Proponentes[[#This Row],[Cap Op en SMMLV]],Base!$A$15:$F$20,5),0)</f>
        <v>0</v>
      </c>
      <c r="R280" s="18">
        <f>IFERROR(VLOOKUP(Proponentes[[#This Row],[Cap Op en SMMLV]],Tabla2[[DE]:[HASTA]],2),0)</f>
        <v>0</v>
      </c>
      <c r="S280" s="19" t="str">
        <f>IFERROR(Proponentes[[#This Row],[Activo Corriente]]/Proponentes[[#This Row],[Pasivo Corriente]],"INDETERMINADO")</f>
        <v>INDETERMINADO</v>
      </c>
      <c r="T280" s="20">
        <f>IFERROR(Proponentes[[#This Row],[Total Pasivo]]/Proponentes[[#This Row],[Total ACTIVO]],0)</f>
        <v>0</v>
      </c>
      <c r="U280" s="21">
        <f>(Proponentes[[#This Row],[Activo Corriente]]-Proponentes[[#This Row],[Pasivo Corriente]])/Base!$B$3</f>
        <v>27.062318564065905</v>
      </c>
      <c r="V280" s="22">
        <f>Proponentes[[#This Row],[Activo Corriente]]-Proponentes[[#This Row],[Pasivo Corriente]]</f>
        <v>22410739</v>
      </c>
      <c r="W280" s="13">
        <f>IFERROR(VLOOKUP(Proponentes[[#This Row],[Propuesta]],Hoja2!$A$2:$G$329,7,FALSE),0)</f>
        <v>0</v>
      </c>
      <c r="X280" s="83">
        <f>IF(Proponentes[[#This Row],[Cap Op en Pesos]]=0,0,IF(Proponentes[[#This Row],[Cap Op en Pesos]]=0,1,Proponentes[[#This Row],[Cap Op en Pesos]]/Base!B$3))</f>
        <v>0</v>
      </c>
      <c r="Y28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8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8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80" s="23" t="str">
        <f>IF(AND(Proponentes[[#This Row],[Cumple
Liquidez]]="CUMPLE",Proponentes[[#This Row],[Cumple
Endeudamiento]]="CUMPLE",Proponentes[[#This Row],[Cumple
Capital de Trabajo]]="CUMPLE"),"CUMPLE","NO CUMPLE")</f>
        <v>CUMPLE</v>
      </c>
      <c r="AC280" s="24"/>
      <c r="AD280" s="10">
        <f>IF(Proponentes[[#This Row],[Liquidez
Oferente]]&lt;=1,1,IF(Proponentes[[#This Row],[Liquidez
Oferente]]&lt;=1.1,2,IF(Proponentes[[#This Row],[Liquidez
Oferente]]&lt;=1.2,3,IF(Proponentes[[#This Row],[Liquidez
Oferente]]&lt;=1.3,4,IF(Proponentes[[#This Row],[Liquidez
Oferente]]&lt;=1.4,5,6)))))</f>
        <v>6</v>
      </c>
      <c r="AE280" s="10">
        <f>IF(Proponentes[[#This Row],[Endeudamiento
Oferente]]&lt;=66%,6,IF(Proponentes[[#This Row],[Endeudamiento
Oferente]]&lt;=58,5,IF(Proponentes[[#This Row],[Endeudamiento
Oferente]]&lt;=70,4,IF(Proponentes[[#This Row],[Endeudamiento
Oferente]]&lt;=72,3,IF(Proponentes[[#This Row],[Endeudamiento
Oferente]]&lt;=74,2,1)))))</f>
        <v>6</v>
      </c>
      <c r="AF28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280" s="10">
        <f>IF(Proponentes[[#This Row],[Cap Op en SMMLV]]&lt;=500,1,IF(Proponentes[[#This Row],[Cap Op en SMMLV]]&lt;=1000,2,IF(Proponentes[[#This Row],[Cap Op en SMMLV]]&lt;=1500,3,IF(Proponentes[[#This Row],[Cap Op en SMMLV]]&lt;=2000,4,IF(Proponentes[[#This Row],[Cap Op en SMMLV]]&lt;=2500,5,6)))))</f>
        <v>1</v>
      </c>
      <c r="AH280" s="10">
        <f>MIN(Proponentes[[#This Row],[a]:[d]])</f>
        <v>1</v>
      </c>
      <c r="AI280" s="87">
        <f>IF(Proponentes[[#This Row],[e]]=Proponentes[[#This Row],[d]],Proponentes[[#This Row],[Cap Op en SMMLV]],VLOOKUP(Proponentes[[#This Row],[e]],Base!$D$1:$E$6,2,FALSE))</f>
        <v>0</v>
      </c>
      <c r="AJ280" s="101" t="str">
        <f>VLOOKUP(Proponentes[[#This Row],[Propuesta]],Hoja2!$A$2:$D$329,4,FALSE)</f>
        <v>NO CUMPLE</v>
      </c>
      <c r="AK280" s="101"/>
    </row>
    <row r="281" spans="1:37" ht="32" x14ac:dyDescent="0.2">
      <c r="A281" s="10">
        <v>280</v>
      </c>
      <c r="B281" s="11">
        <v>804006708</v>
      </c>
      <c r="C281" s="12" t="s">
        <v>392</v>
      </c>
      <c r="D281" s="13">
        <v>1047679690</v>
      </c>
      <c r="E281" s="13"/>
      <c r="F281" s="25">
        <f>Proponentes[[#This Row],[Activo Corriente]]+Proponentes[[#This Row],[Activo NO Corriente]]</f>
        <v>1047679690</v>
      </c>
      <c r="G281" s="13">
        <v>32460651</v>
      </c>
      <c r="H281" s="13">
        <v>0</v>
      </c>
      <c r="I281" s="25">
        <f>Proponentes[[#This Row],[Pasivo Corriente]]+Proponentes[[#This Row],[Pasivo NO Corriente]]</f>
        <v>32460651</v>
      </c>
      <c r="J281" s="14">
        <f>Proponentes[[#This Row],[Total ACTIVO]]-Proponentes[[#This Row],[Total Pasivo]]</f>
        <v>1015219039</v>
      </c>
      <c r="K281" s="48" t="e">
        <f>VLOOKUP(Proponentes[[#This Row],[Propuesta]],Hoja2!$A$2:$G$239,7,FALSE)</f>
        <v>#N/A</v>
      </c>
      <c r="L281" s="15" t="s">
        <v>86</v>
      </c>
      <c r="M281" s="15" t="s">
        <v>59</v>
      </c>
      <c r="N281" s="55">
        <f>IFERROR(VLOOKUP(Proponentes[[#This Row],[Cap Op en SMMLV]],Base!$A$15:$F$20,3),0)</f>
        <v>1</v>
      </c>
      <c r="O281" s="16">
        <f>IFERROR(VLOOKUP(Proponentes[[#This Row],[Cap Op en SMMLV]],Base!$A$15:$F$20,4),0)</f>
        <v>0.76</v>
      </c>
      <c r="P281" s="17">
        <f>IFERROR(VLOOKUP(Proponentes[[#This Row],[Cap Op en SMMLV]],Tabla2[],6),0)</f>
        <v>12.5</v>
      </c>
      <c r="Q281" s="18">
        <f>IFERROR(VLOOKUP(Proponentes[[#This Row],[Cap Op en SMMLV]],Base!$A$15:$F$20,5),0)</f>
        <v>10351450</v>
      </c>
      <c r="R281" s="18">
        <f>IFERROR(VLOOKUP(Proponentes[[#This Row],[Cap Op en SMMLV]],Tabla2[[DE]:[HASTA]],2),0)</f>
        <v>500</v>
      </c>
      <c r="S281" s="19">
        <f>IFERROR(Proponentes[[#This Row],[Activo Corriente]]/Proponentes[[#This Row],[Pasivo Corriente]],"INDETERMINADO")</f>
        <v>32.275375191951632</v>
      </c>
      <c r="T281" s="20">
        <f>IFERROR(Proponentes[[#This Row],[Total Pasivo]]/Proponentes[[#This Row],[Total ACTIVO]],0)</f>
        <v>3.098337336290255E-2</v>
      </c>
      <c r="U281" s="21">
        <f>(Proponentes[[#This Row],[Activo Corriente]]-Proponentes[[#This Row],[Pasivo Corriente]])/Base!$B$3</f>
        <v>1225.9382006868602</v>
      </c>
      <c r="V281" s="22">
        <f>Proponentes[[#This Row],[Activo Corriente]]-Proponentes[[#This Row],[Pasivo Corriente]]</f>
        <v>1015219039</v>
      </c>
      <c r="W281" s="13">
        <f>IFERROR(VLOOKUP(Proponentes[[#This Row],[Propuesta]],Hoja2!$A$2:$G$329,7,FALSE),0)</f>
        <v>74298541.592536464</v>
      </c>
      <c r="X281" s="83">
        <f>IF(Proponentes[[#This Row],[Cap Op en Pesos]]=0,0,IF(Proponentes[[#This Row],[Cap Op en Pesos]]=0,1,Proponentes[[#This Row],[Cap Op en Pesos]]/Base!B$3))</f>
        <v>89.719968691024519</v>
      </c>
      <c r="Y28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8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8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81" s="23" t="str">
        <f>IF(AND(Proponentes[[#This Row],[Cumple
Liquidez]]="CUMPLE",Proponentes[[#This Row],[Cumple
Endeudamiento]]="CUMPLE",Proponentes[[#This Row],[Cumple
Capital de Trabajo]]="CUMPLE"),"CUMPLE","NO CUMPLE")</f>
        <v>CUMPLE</v>
      </c>
      <c r="AC281" s="24"/>
      <c r="AD281" s="10">
        <f>IF(Proponentes[[#This Row],[Liquidez
Oferente]]&lt;=1,1,IF(Proponentes[[#This Row],[Liquidez
Oferente]]&lt;=1.1,2,IF(Proponentes[[#This Row],[Liquidez
Oferente]]&lt;=1.2,3,IF(Proponentes[[#This Row],[Liquidez
Oferente]]&lt;=1.3,4,IF(Proponentes[[#This Row],[Liquidez
Oferente]]&lt;=1.4,5,6)))))</f>
        <v>6</v>
      </c>
      <c r="AE281" s="10">
        <f>IF(Proponentes[[#This Row],[Endeudamiento
Oferente]]&lt;=66%,6,IF(Proponentes[[#This Row],[Endeudamiento
Oferente]]&lt;=58,5,IF(Proponentes[[#This Row],[Endeudamiento
Oferente]]&lt;=70,4,IF(Proponentes[[#This Row],[Endeudamiento
Oferente]]&lt;=72,3,IF(Proponentes[[#This Row],[Endeudamiento
Oferente]]&lt;=74,2,1)))))</f>
        <v>6</v>
      </c>
      <c r="AF28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81" s="10">
        <f>IF(Proponentes[[#This Row],[Cap Op en SMMLV]]&lt;=500,1,IF(Proponentes[[#This Row],[Cap Op en SMMLV]]&lt;=1000,2,IF(Proponentes[[#This Row],[Cap Op en SMMLV]]&lt;=1500,3,IF(Proponentes[[#This Row],[Cap Op en SMMLV]]&lt;=2000,4,IF(Proponentes[[#This Row],[Cap Op en SMMLV]]&lt;=2500,5,6)))))</f>
        <v>1</v>
      </c>
      <c r="AH281" s="10">
        <f>MIN(Proponentes[[#This Row],[a]:[d]])</f>
        <v>1</v>
      </c>
      <c r="AI281" s="87">
        <f>IF(Proponentes[[#This Row],[e]]=Proponentes[[#This Row],[d]],Proponentes[[#This Row],[Cap Op en SMMLV]],VLOOKUP(Proponentes[[#This Row],[e]],Base!$D$1:$E$6,2,FALSE))</f>
        <v>89.719968691024519</v>
      </c>
      <c r="AJ281" s="101" t="str">
        <f>VLOOKUP(Proponentes[[#This Row],[Propuesta]],Hoja2!$A$2:$D$329,4,FALSE)</f>
        <v>CUMPLE</v>
      </c>
      <c r="AK281" s="101"/>
    </row>
    <row r="282" spans="1:37" ht="16" x14ac:dyDescent="0.2">
      <c r="A282" s="10">
        <v>281</v>
      </c>
      <c r="B282" s="11">
        <v>830144521</v>
      </c>
      <c r="C282" s="12" t="s">
        <v>393</v>
      </c>
      <c r="D282" s="13">
        <v>2622224522</v>
      </c>
      <c r="E282" s="13"/>
      <c r="F282" s="25">
        <f>Proponentes[[#This Row],[Activo Corriente]]+Proponentes[[#This Row],[Activo NO Corriente]]</f>
        <v>2622224522</v>
      </c>
      <c r="G282" s="13">
        <v>754715692</v>
      </c>
      <c r="H282" s="13">
        <v>0</v>
      </c>
      <c r="I282" s="25">
        <f>Proponentes[[#This Row],[Pasivo Corriente]]+Proponentes[[#This Row],[Pasivo NO Corriente]]</f>
        <v>754715692</v>
      </c>
      <c r="J282" s="14">
        <f>Proponentes[[#This Row],[Total ACTIVO]]-Proponentes[[#This Row],[Total Pasivo]]</f>
        <v>1867508830</v>
      </c>
      <c r="K282" s="48" t="e">
        <f>VLOOKUP(Proponentes[[#This Row],[Propuesta]],Hoja2!$A$2:$G$239,7,FALSE)</f>
        <v>#N/A</v>
      </c>
      <c r="L282" s="15"/>
      <c r="M282" s="15" t="s">
        <v>59</v>
      </c>
      <c r="N282" s="55">
        <f>IFERROR(VLOOKUP(Proponentes[[#This Row],[Cap Op en SMMLV]],Base!$A$15:$F$20,3),0)</f>
        <v>1.3</v>
      </c>
      <c r="O282" s="16">
        <f>IFERROR(VLOOKUP(Proponentes[[#This Row],[Cap Op en SMMLV]],Base!$A$15:$F$20,4),0)</f>
        <v>0.7</v>
      </c>
      <c r="P282" s="17">
        <f>IFERROR(VLOOKUP(Proponentes[[#This Row],[Cap Op en SMMLV]],Tabla2[],6),0)</f>
        <v>50</v>
      </c>
      <c r="Q282" s="18">
        <f>IFERROR(VLOOKUP(Proponentes[[#This Row],[Cap Op en SMMLV]],Base!$A$15:$F$20,5),0)</f>
        <v>41405800</v>
      </c>
      <c r="R282" s="18">
        <f>IFERROR(VLOOKUP(Proponentes[[#This Row],[Cap Op en SMMLV]],Tabla2[[DE]:[HASTA]],2),0)</f>
        <v>2000</v>
      </c>
      <c r="S282" s="19">
        <f>IFERROR(Proponentes[[#This Row],[Activo Corriente]]/Proponentes[[#This Row],[Pasivo Corriente]],"INDETERMINADO")</f>
        <v>3.4744534263638975</v>
      </c>
      <c r="T282" s="20">
        <f>IFERROR(Proponentes[[#This Row],[Total Pasivo]]/Proponentes[[#This Row],[Total ACTIVO]],0)</f>
        <v>0.28781505384762779</v>
      </c>
      <c r="U282" s="21">
        <f>(Proponentes[[#This Row],[Activo Corriente]]-Proponentes[[#This Row],[Pasivo Corriente]])/Base!$B$3</f>
        <v>2255.1295108414765</v>
      </c>
      <c r="V282" s="22">
        <f>Proponentes[[#This Row],[Activo Corriente]]-Proponentes[[#This Row],[Pasivo Corriente]]</f>
        <v>1867508830</v>
      </c>
      <c r="W282" s="13">
        <f>IFERROR(VLOOKUP(Proponentes[[#This Row],[Propuesta]],Hoja2!$A$2:$G$329,7,FALSE),0)</f>
        <v>1513123149.4120288</v>
      </c>
      <c r="X282" s="83">
        <f>IF(Proponentes[[#This Row],[Cap Op en Pesos]]=0,0,IF(Proponentes[[#This Row],[Cap Op en Pesos]]=0,1,Proponentes[[#This Row],[Cap Op en Pesos]]/Base!B$3))</f>
        <v>1827.1874343836234</v>
      </c>
      <c r="Y28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8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8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82" s="23" t="str">
        <f>IF(AND(Proponentes[[#This Row],[Cumple
Liquidez]]="CUMPLE",Proponentes[[#This Row],[Cumple
Endeudamiento]]="CUMPLE",Proponentes[[#This Row],[Cumple
Capital de Trabajo]]="CUMPLE"),"CUMPLE","NO CUMPLE")</f>
        <v>CUMPLE</v>
      </c>
      <c r="AC282" s="24"/>
      <c r="AD282" s="10">
        <f>IF(Proponentes[[#This Row],[Liquidez
Oferente]]&lt;=1,1,IF(Proponentes[[#This Row],[Liquidez
Oferente]]&lt;=1.1,2,IF(Proponentes[[#This Row],[Liquidez
Oferente]]&lt;=1.2,3,IF(Proponentes[[#This Row],[Liquidez
Oferente]]&lt;=1.3,4,IF(Proponentes[[#This Row],[Liquidez
Oferente]]&lt;=1.4,5,6)))))</f>
        <v>6</v>
      </c>
      <c r="AE282" s="10">
        <f>IF(Proponentes[[#This Row],[Endeudamiento
Oferente]]&lt;=66%,6,IF(Proponentes[[#This Row],[Endeudamiento
Oferente]]&lt;=58,5,IF(Proponentes[[#This Row],[Endeudamiento
Oferente]]&lt;=70,4,IF(Proponentes[[#This Row],[Endeudamiento
Oferente]]&lt;=72,3,IF(Proponentes[[#This Row],[Endeudamiento
Oferente]]&lt;=74,2,1)))))</f>
        <v>6</v>
      </c>
      <c r="AF28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82" s="10">
        <f>IF(Proponentes[[#This Row],[Cap Op en SMMLV]]&lt;=500,1,IF(Proponentes[[#This Row],[Cap Op en SMMLV]]&lt;=1000,2,IF(Proponentes[[#This Row],[Cap Op en SMMLV]]&lt;=1500,3,IF(Proponentes[[#This Row],[Cap Op en SMMLV]]&lt;=2000,4,IF(Proponentes[[#This Row],[Cap Op en SMMLV]]&lt;=2500,5,6)))))</f>
        <v>4</v>
      </c>
      <c r="AH282" s="10">
        <f>MIN(Proponentes[[#This Row],[a]:[d]])</f>
        <v>4</v>
      </c>
      <c r="AI282" s="87">
        <f>IF(Proponentes[[#This Row],[e]]=Proponentes[[#This Row],[d]],Proponentes[[#This Row],[Cap Op en SMMLV]],VLOOKUP(Proponentes[[#This Row],[e]],Base!$D$1:$E$6,2,FALSE))</f>
        <v>1827.1874343836234</v>
      </c>
      <c r="AJ282" s="101" t="str">
        <f>VLOOKUP(Proponentes[[#This Row],[Propuesta]],Hoja2!$A$2:$D$329,4,FALSE)</f>
        <v>NO CUMPLE</v>
      </c>
      <c r="AK282" s="101"/>
    </row>
    <row r="283" spans="1:37" ht="16" x14ac:dyDescent="0.2">
      <c r="A283" s="10">
        <v>282</v>
      </c>
      <c r="B283" s="11">
        <v>900656736</v>
      </c>
      <c r="C283" s="12" t="s">
        <v>394</v>
      </c>
      <c r="D283" s="13">
        <v>0</v>
      </c>
      <c r="E283" s="13">
        <v>0</v>
      </c>
      <c r="F283" s="25">
        <f>Proponentes[[#This Row],[Activo Corriente]]+Proponentes[[#This Row],[Activo NO Corriente]]</f>
        <v>0</v>
      </c>
      <c r="G283" s="13">
        <v>0</v>
      </c>
      <c r="H283" s="13">
        <v>0</v>
      </c>
      <c r="I283" s="25">
        <f>Proponentes[[#This Row],[Pasivo Corriente]]+Proponentes[[#This Row],[Pasivo NO Corriente]]</f>
        <v>0</v>
      </c>
      <c r="J283" s="14">
        <f>Proponentes[[#This Row],[Total ACTIVO]]-Proponentes[[#This Row],[Total Pasivo]]</f>
        <v>0</v>
      </c>
      <c r="K283" s="48" t="e">
        <f>VLOOKUP(Proponentes[[#This Row],[Propuesta]],Hoja2!$A$2:$G$239,7,FALSE)</f>
        <v>#N/A</v>
      </c>
      <c r="L283" s="15"/>
      <c r="M283" s="15" t="s">
        <v>395</v>
      </c>
      <c r="N283" s="55">
        <f>IFERROR(VLOOKUP(Proponentes[[#This Row],[Cap Op en SMMLV]],Base!$A$15:$F$20,3),0)</f>
        <v>0</v>
      </c>
      <c r="O283" s="16">
        <f>IFERROR(VLOOKUP(Proponentes[[#This Row],[Cap Op en SMMLV]],Base!$A$15:$F$20,4),0)</f>
        <v>0</v>
      </c>
      <c r="P283" s="17">
        <f>IFERROR(VLOOKUP(Proponentes[[#This Row],[Cap Op en SMMLV]],Tabla2[],6),0)</f>
        <v>0</v>
      </c>
      <c r="Q283" s="18">
        <f>IFERROR(VLOOKUP(Proponentes[[#This Row],[Cap Op en SMMLV]],Base!$A$15:$F$20,5),0)</f>
        <v>0</v>
      </c>
      <c r="R283" s="18">
        <f>IFERROR(VLOOKUP(Proponentes[[#This Row],[Cap Op en SMMLV]],Tabla2[[DE]:[HASTA]],2),0)</f>
        <v>0</v>
      </c>
      <c r="S283" s="19" t="str">
        <f>IFERROR(Proponentes[[#This Row],[Activo Corriente]]/Proponentes[[#This Row],[Pasivo Corriente]],"INDETERMINADO")</f>
        <v>INDETERMINADO</v>
      </c>
      <c r="T283" s="20">
        <f>IFERROR(Proponentes[[#This Row],[Total Pasivo]]/Proponentes[[#This Row],[Total ACTIVO]],0)</f>
        <v>0</v>
      </c>
      <c r="U283" s="21">
        <f>(Proponentes[[#This Row],[Activo Corriente]]-Proponentes[[#This Row],[Pasivo Corriente]])/Base!$B$3</f>
        <v>0</v>
      </c>
      <c r="V283" s="22">
        <f>Proponentes[[#This Row],[Activo Corriente]]-Proponentes[[#This Row],[Pasivo Corriente]]</f>
        <v>0</v>
      </c>
      <c r="W283" s="13">
        <f>IFERROR(VLOOKUP(Proponentes[[#This Row],[Propuesta]],Hoja2!$A$2:$G$329,7,FALSE),0)</f>
        <v>0</v>
      </c>
      <c r="X283" s="83">
        <f>IF(Proponentes[[#This Row],[Cap Op en Pesos]]=0,0,IF(Proponentes[[#This Row],[Cap Op en Pesos]]=0,1,Proponentes[[#This Row],[Cap Op en Pesos]]/Base!B$3))</f>
        <v>0</v>
      </c>
      <c r="Y28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28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8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83" s="23" t="str">
        <f>IF(AND(Proponentes[[#This Row],[Cumple
Liquidez]]="CUMPLE",Proponentes[[#This Row],[Cumple
Endeudamiento]]="CUMPLE",Proponentes[[#This Row],[Cumple
Capital de Trabajo]]="CUMPLE"),"CUMPLE","NO CUMPLE")</f>
        <v>NO CUMPLE</v>
      </c>
      <c r="AC283" s="24"/>
      <c r="AD283" s="10">
        <f>IF(Proponentes[[#This Row],[Liquidez
Oferente]]&lt;=1,1,IF(Proponentes[[#This Row],[Liquidez
Oferente]]&lt;=1.1,2,IF(Proponentes[[#This Row],[Liquidez
Oferente]]&lt;=1.2,3,IF(Proponentes[[#This Row],[Liquidez
Oferente]]&lt;=1.3,4,IF(Proponentes[[#This Row],[Liquidez
Oferente]]&lt;=1.4,5,6)))))</f>
        <v>6</v>
      </c>
      <c r="AE283" s="10">
        <f>IF(Proponentes[[#This Row],[Endeudamiento
Oferente]]&lt;=66%,6,IF(Proponentes[[#This Row],[Endeudamiento
Oferente]]&lt;=58,5,IF(Proponentes[[#This Row],[Endeudamiento
Oferente]]&lt;=70,4,IF(Proponentes[[#This Row],[Endeudamiento
Oferente]]&lt;=72,3,IF(Proponentes[[#This Row],[Endeudamiento
Oferente]]&lt;=74,2,1)))))</f>
        <v>6</v>
      </c>
      <c r="AF28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83" s="10">
        <f>IF(Proponentes[[#This Row],[Cap Op en SMMLV]]&lt;=500,1,IF(Proponentes[[#This Row],[Cap Op en SMMLV]]&lt;=1000,2,IF(Proponentes[[#This Row],[Cap Op en SMMLV]]&lt;=1500,3,IF(Proponentes[[#This Row],[Cap Op en SMMLV]]&lt;=2000,4,IF(Proponentes[[#This Row],[Cap Op en SMMLV]]&lt;=2500,5,6)))))</f>
        <v>1</v>
      </c>
      <c r="AH283" s="10">
        <f>MIN(Proponentes[[#This Row],[a]:[d]])</f>
        <v>1</v>
      </c>
      <c r="AI283" s="87">
        <f>IF(Proponentes[[#This Row],[e]]=Proponentes[[#This Row],[d]],Proponentes[[#This Row],[Cap Op en SMMLV]],VLOOKUP(Proponentes[[#This Row],[e]],Base!$D$1:$E$6,2,FALSE))</f>
        <v>0</v>
      </c>
      <c r="AJ283" s="101" t="str">
        <f>VLOOKUP(Proponentes[[#This Row],[Propuesta]],Hoja2!$A$2:$D$329,4,FALSE)</f>
        <v>NO CUMPLE</v>
      </c>
      <c r="AK283" s="101"/>
    </row>
    <row r="284" spans="1:37" ht="16" x14ac:dyDescent="0.2">
      <c r="A284" s="10">
        <v>283</v>
      </c>
      <c r="B284" s="11">
        <v>800007880</v>
      </c>
      <c r="C284" s="12" t="s">
        <v>396</v>
      </c>
      <c r="D284" s="13">
        <v>374634980</v>
      </c>
      <c r="E284" s="13"/>
      <c r="F284" s="25">
        <f>Proponentes[[#This Row],[Activo Corriente]]+Proponentes[[#This Row],[Activo NO Corriente]]</f>
        <v>374634980</v>
      </c>
      <c r="G284" s="13">
        <v>223135539</v>
      </c>
      <c r="H284" s="13">
        <v>0</v>
      </c>
      <c r="I284" s="25">
        <f>Proponentes[[#This Row],[Pasivo Corriente]]+Proponentes[[#This Row],[Pasivo NO Corriente]]</f>
        <v>223135539</v>
      </c>
      <c r="J284" s="14">
        <f>Proponentes[[#This Row],[Total ACTIVO]]-Proponentes[[#This Row],[Total Pasivo]]</f>
        <v>151499441</v>
      </c>
      <c r="K284" s="48" t="e">
        <f>VLOOKUP(Proponentes[[#This Row],[Propuesta]],Hoja2!$A$2:$G$239,7,FALSE)</f>
        <v>#N/A</v>
      </c>
      <c r="L284" s="15"/>
      <c r="M284" s="15" t="s">
        <v>59</v>
      </c>
      <c r="N284" s="55">
        <f>IFERROR(VLOOKUP(Proponentes[[#This Row],[Cap Op en SMMLV]],Base!$A$15:$F$20,3),0)</f>
        <v>1</v>
      </c>
      <c r="O284" s="16">
        <f>IFERROR(VLOOKUP(Proponentes[[#This Row],[Cap Op en SMMLV]],Base!$A$15:$F$20,4),0)</f>
        <v>0.76</v>
      </c>
      <c r="P284" s="17">
        <f>IFERROR(VLOOKUP(Proponentes[[#This Row],[Cap Op en SMMLV]],Tabla2[],6),0)</f>
        <v>12.5</v>
      </c>
      <c r="Q284" s="18">
        <f>IFERROR(VLOOKUP(Proponentes[[#This Row],[Cap Op en SMMLV]],Base!$A$15:$F$20,5),0)</f>
        <v>10351450</v>
      </c>
      <c r="R284" s="18">
        <f>IFERROR(VLOOKUP(Proponentes[[#This Row],[Cap Op en SMMLV]],Tabla2[[DE]:[HASTA]],2),0)</f>
        <v>500</v>
      </c>
      <c r="S284" s="19">
        <f>IFERROR(Proponentes[[#This Row],[Activo Corriente]]/Proponentes[[#This Row],[Pasivo Corriente]],"INDETERMINADO")</f>
        <v>1.6789570217230165</v>
      </c>
      <c r="T284" s="20">
        <f>IFERROR(Proponentes[[#This Row],[Total Pasivo]]/Proponentes[[#This Row],[Total ACTIVO]],0)</f>
        <v>0.5956078607502161</v>
      </c>
      <c r="U284" s="21">
        <f>(Proponentes[[#This Row],[Activo Corriente]]-Proponentes[[#This Row],[Pasivo Corriente]])/Base!$B$3</f>
        <v>182.94470943684217</v>
      </c>
      <c r="V284" s="22">
        <f>Proponentes[[#This Row],[Activo Corriente]]-Proponentes[[#This Row],[Pasivo Corriente]]</f>
        <v>151499441</v>
      </c>
      <c r="W284" s="13">
        <f>IFERROR(VLOOKUP(Proponentes[[#This Row],[Propuesta]],Hoja2!$A$2:$G$329,7,FALSE),0)</f>
        <v>284505473.15247184</v>
      </c>
      <c r="X284" s="83">
        <f>IF(Proponentes[[#This Row],[Cap Op en Pesos]]=0,0,IF(Proponentes[[#This Row],[Cap Op en Pesos]]=0,1,Proponentes[[#This Row],[Cap Op en Pesos]]/Base!B$3))</f>
        <v>343.55751265821675</v>
      </c>
      <c r="Y28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8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8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84" s="23" t="str">
        <f>IF(AND(Proponentes[[#This Row],[Cumple
Liquidez]]="CUMPLE",Proponentes[[#This Row],[Cumple
Endeudamiento]]="CUMPLE",Proponentes[[#This Row],[Cumple
Capital de Trabajo]]="CUMPLE"),"CUMPLE","NO CUMPLE")</f>
        <v>CUMPLE</v>
      </c>
      <c r="AC284" s="24"/>
      <c r="AD284" s="10">
        <f>IF(Proponentes[[#This Row],[Liquidez
Oferente]]&lt;=1,1,IF(Proponentes[[#This Row],[Liquidez
Oferente]]&lt;=1.1,2,IF(Proponentes[[#This Row],[Liquidez
Oferente]]&lt;=1.2,3,IF(Proponentes[[#This Row],[Liquidez
Oferente]]&lt;=1.3,4,IF(Proponentes[[#This Row],[Liquidez
Oferente]]&lt;=1.4,5,6)))))</f>
        <v>6</v>
      </c>
      <c r="AE284" s="10">
        <f>IF(Proponentes[[#This Row],[Endeudamiento
Oferente]]&lt;=66%,6,IF(Proponentes[[#This Row],[Endeudamiento
Oferente]]&lt;=58,5,IF(Proponentes[[#This Row],[Endeudamiento
Oferente]]&lt;=70,4,IF(Proponentes[[#This Row],[Endeudamiento
Oferente]]&lt;=72,3,IF(Proponentes[[#This Row],[Endeudamiento
Oferente]]&lt;=74,2,1)))))</f>
        <v>6</v>
      </c>
      <c r="AF28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84" s="10">
        <f>IF(Proponentes[[#This Row],[Cap Op en SMMLV]]&lt;=500,1,IF(Proponentes[[#This Row],[Cap Op en SMMLV]]&lt;=1000,2,IF(Proponentes[[#This Row],[Cap Op en SMMLV]]&lt;=1500,3,IF(Proponentes[[#This Row],[Cap Op en SMMLV]]&lt;=2000,4,IF(Proponentes[[#This Row],[Cap Op en SMMLV]]&lt;=2500,5,6)))))</f>
        <v>1</v>
      </c>
      <c r="AH284" s="10">
        <f>MIN(Proponentes[[#This Row],[a]:[d]])</f>
        <v>1</v>
      </c>
      <c r="AI284" s="87">
        <f>IF(Proponentes[[#This Row],[e]]=Proponentes[[#This Row],[d]],Proponentes[[#This Row],[Cap Op en SMMLV]],VLOOKUP(Proponentes[[#This Row],[e]],Base!$D$1:$E$6,2,FALSE))</f>
        <v>343.55751265821675</v>
      </c>
      <c r="AJ284" s="101" t="str">
        <f>VLOOKUP(Proponentes[[#This Row],[Propuesta]],Hoja2!$A$2:$D$329,4,FALSE)</f>
        <v>NO CUMPLE</v>
      </c>
      <c r="AK284" s="101"/>
    </row>
    <row r="285" spans="1:37" ht="16" x14ac:dyDescent="0.2">
      <c r="A285" s="10">
        <v>284</v>
      </c>
      <c r="B285" s="11">
        <v>900228992</v>
      </c>
      <c r="C285" s="12" t="s">
        <v>397</v>
      </c>
      <c r="D285" s="13">
        <v>211830755</v>
      </c>
      <c r="E285" s="13">
        <v>161431208</v>
      </c>
      <c r="F285" s="25">
        <f>Proponentes[[#This Row],[Activo Corriente]]+Proponentes[[#This Row],[Activo NO Corriente]]</f>
        <v>373261963</v>
      </c>
      <c r="G285" s="13">
        <v>184080926</v>
      </c>
      <c r="H285" s="13">
        <v>0</v>
      </c>
      <c r="I285" s="25">
        <f>Proponentes[[#This Row],[Pasivo Corriente]]+Proponentes[[#This Row],[Pasivo NO Corriente]]</f>
        <v>184080926</v>
      </c>
      <c r="J285" s="14">
        <f>Proponentes[[#This Row],[Total ACTIVO]]-Proponentes[[#This Row],[Total Pasivo]]</f>
        <v>189181037</v>
      </c>
      <c r="K285" s="48" t="e">
        <f>VLOOKUP(Proponentes[[#This Row],[Propuesta]],Hoja2!$A$2:$G$239,7,FALSE)</f>
        <v>#N/A</v>
      </c>
      <c r="L285" s="15"/>
      <c r="M285" s="15" t="s">
        <v>398</v>
      </c>
      <c r="N285" s="55">
        <f>IFERROR(VLOOKUP(Proponentes[[#This Row],[Cap Op en SMMLV]],Base!$A$15:$F$20,3),0)</f>
        <v>1.3</v>
      </c>
      <c r="O285" s="16">
        <f>IFERROR(VLOOKUP(Proponentes[[#This Row],[Cap Op en SMMLV]],Base!$A$15:$F$20,4),0)</f>
        <v>0.7</v>
      </c>
      <c r="P285" s="17">
        <f>IFERROR(VLOOKUP(Proponentes[[#This Row],[Cap Op en SMMLV]],Tabla2[],6),0)</f>
        <v>50</v>
      </c>
      <c r="Q285" s="18">
        <f>IFERROR(VLOOKUP(Proponentes[[#This Row],[Cap Op en SMMLV]],Base!$A$15:$F$20,5),0)</f>
        <v>41405800</v>
      </c>
      <c r="R285" s="18">
        <f>IFERROR(VLOOKUP(Proponentes[[#This Row],[Cap Op en SMMLV]],Tabla2[[DE]:[HASTA]],2),0)</f>
        <v>2000</v>
      </c>
      <c r="S285" s="19">
        <f>IFERROR(Proponentes[[#This Row],[Activo Corriente]]/Proponentes[[#This Row],[Pasivo Corriente]],"INDETERMINADO")</f>
        <v>1.1507479867848991</v>
      </c>
      <c r="T285" s="20">
        <f>IFERROR(Proponentes[[#This Row],[Total Pasivo]]/Proponentes[[#This Row],[Total ACTIVO]],0)</f>
        <v>0.49316818815529834</v>
      </c>
      <c r="U285" s="21">
        <f>(Proponentes[[#This Row],[Activo Corriente]]-Proponentes[[#This Row],[Pasivo Corriente]])/Base!$B$3</f>
        <v>33.509591651411156</v>
      </c>
      <c r="V285" s="22">
        <f>Proponentes[[#This Row],[Activo Corriente]]-Proponentes[[#This Row],[Pasivo Corriente]]</f>
        <v>27749829</v>
      </c>
      <c r="W285" s="13">
        <f>IFERROR(VLOOKUP(Proponentes[[#This Row],[Propuesta]],Hoja2!$A$2:$G$329,7,FALSE),0)</f>
        <v>1337346931.5286233</v>
      </c>
      <c r="X285" s="83">
        <f>IF(Proponentes[[#This Row],[Cap Op en Pesos]]=0,0,IF(Proponentes[[#This Row],[Cap Op en Pesos]]=0,1,Proponentes[[#This Row],[Cap Op en Pesos]]/Base!B$3))</f>
        <v>1614.9270531285754</v>
      </c>
      <c r="Y28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28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8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85" s="23" t="str">
        <f>IF(AND(Proponentes[[#This Row],[Cumple
Liquidez]]="CUMPLE",Proponentes[[#This Row],[Cumple
Endeudamiento]]="CUMPLE",Proponentes[[#This Row],[Cumple
Capital de Trabajo]]="CUMPLE"),"CUMPLE","NO CUMPLE")</f>
        <v>NO CUMPLE</v>
      </c>
      <c r="AC285" s="24" t="s">
        <v>809</v>
      </c>
      <c r="AD285" s="10">
        <f>IF(Proponentes[[#This Row],[Liquidez
Oferente]]&lt;=1,1,IF(Proponentes[[#This Row],[Liquidez
Oferente]]&lt;=1.1,2,IF(Proponentes[[#This Row],[Liquidez
Oferente]]&lt;=1.2,3,IF(Proponentes[[#This Row],[Liquidez
Oferente]]&lt;=1.3,4,IF(Proponentes[[#This Row],[Liquidez
Oferente]]&lt;=1.4,5,6)))))</f>
        <v>3</v>
      </c>
      <c r="AE285" s="10">
        <f>IF(Proponentes[[#This Row],[Endeudamiento
Oferente]]&lt;=66%,6,IF(Proponentes[[#This Row],[Endeudamiento
Oferente]]&lt;=58,5,IF(Proponentes[[#This Row],[Endeudamiento
Oferente]]&lt;=70,4,IF(Proponentes[[#This Row],[Endeudamiento
Oferente]]&lt;=72,3,IF(Proponentes[[#This Row],[Endeudamiento
Oferente]]&lt;=74,2,1)))))</f>
        <v>6</v>
      </c>
      <c r="AF28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3</v>
      </c>
      <c r="AG285" s="10">
        <f>IF(Proponentes[[#This Row],[Cap Op en SMMLV]]&lt;=500,1,IF(Proponentes[[#This Row],[Cap Op en SMMLV]]&lt;=1000,2,IF(Proponentes[[#This Row],[Cap Op en SMMLV]]&lt;=1500,3,IF(Proponentes[[#This Row],[Cap Op en SMMLV]]&lt;=2000,4,IF(Proponentes[[#This Row],[Cap Op en SMMLV]]&lt;=2500,5,6)))))</f>
        <v>4</v>
      </c>
      <c r="AH285" s="10">
        <f>MIN(Proponentes[[#This Row],[a]:[d]])</f>
        <v>3</v>
      </c>
      <c r="AI285" s="87">
        <f>IF(Proponentes[[#This Row],[e]]=Proponentes[[#This Row],[d]],Proponentes[[#This Row],[Cap Op en SMMLV]],VLOOKUP(Proponentes[[#This Row],[e]],Base!$D$1:$E$6,2,FALSE))</f>
        <v>1500</v>
      </c>
      <c r="AJ285" s="101" t="str">
        <f>VLOOKUP(Proponentes[[#This Row],[Propuesta]],Hoja2!$A$2:$D$329,4,FALSE)</f>
        <v>NO CUMPLE</v>
      </c>
      <c r="AK285" s="101"/>
    </row>
    <row r="286" spans="1:37" ht="32" x14ac:dyDescent="0.2">
      <c r="A286" s="10">
        <v>285</v>
      </c>
      <c r="B286" s="11">
        <v>901000607</v>
      </c>
      <c r="C286" s="12" t="s">
        <v>399</v>
      </c>
      <c r="D286" s="13">
        <v>21473562</v>
      </c>
      <c r="E286" s="13">
        <v>6611675</v>
      </c>
      <c r="F286" s="25">
        <f>Proponentes[[#This Row],[Activo Corriente]]+Proponentes[[#This Row],[Activo NO Corriente]]</f>
        <v>28085237</v>
      </c>
      <c r="G286" s="13">
        <v>5232963</v>
      </c>
      <c r="H286" s="13">
        <v>0</v>
      </c>
      <c r="I286" s="25">
        <f>Proponentes[[#This Row],[Pasivo Corriente]]+Proponentes[[#This Row],[Pasivo NO Corriente]]</f>
        <v>5232963</v>
      </c>
      <c r="J286" s="14">
        <f>Proponentes[[#This Row],[Total ACTIVO]]-Proponentes[[#This Row],[Total Pasivo]]</f>
        <v>22852274</v>
      </c>
      <c r="K286" s="48" t="e">
        <f>VLOOKUP(Proponentes[[#This Row],[Propuesta]],Hoja2!$A$2:$G$239,7,FALSE)</f>
        <v>#N/A</v>
      </c>
      <c r="L286" s="15"/>
      <c r="M286" s="15" t="s">
        <v>400</v>
      </c>
      <c r="N286" s="55">
        <f>IFERROR(VLOOKUP(Proponentes[[#This Row],[Cap Op en SMMLV]],Base!$A$15:$F$20,3),0)</f>
        <v>1</v>
      </c>
      <c r="O286" s="16">
        <f>IFERROR(VLOOKUP(Proponentes[[#This Row],[Cap Op en SMMLV]],Base!$A$15:$F$20,4),0)</f>
        <v>0.76</v>
      </c>
      <c r="P286" s="17">
        <f>IFERROR(VLOOKUP(Proponentes[[#This Row],[Cap Op en SMMLV]],Tabla2[],6),0)</f>
        <v>12.5</v>
      </c>
      <c r="Q286" s="18">
        <f>IFERROR(VLOOKUP(Proponentes[[#This Row],[Cap Op en SMMLV]],Base!$A$15:$F$20,5),0)</f>
        <v>10351450</v>
      </c>
      <c r="R286" s="18">
        <f>IFERROR(VLOOKUP(Proponentes[[#This Row],[Cap Op en SMMLV]],Tabla2[[DE]:[HASTA]],2),0)</f>
        <v>500</v>
      </c>
      <c r="S286" s="19">
        <f>IFERROR(Proponentes[[#This Row],[Activo Corriente]]/Proponentes[[#This Row],[Pasivo Corriente]],"INDETERMINADO")</f>
        <v>4.1035187904061239</v>
      </c>
      <c r="T286" s="20">
        <f>IFERROR(Proponentes[[#This Row],[Total Pasivo]]/Proponentes[[#This Row],[Total ACTIVO]],0)</f>
        <v>0.18632433117797795</v>
      </c>
      <c r="U286" s="21">
        <f>(Proponentes[[#This Row],[Activo Corriente]]-Proponentes[[#This Row],[Pasivo Corriente]])/Base!$B$3</f>
        <v>19.611502494819565</v>
      </c>
      <c r="V286" s="22">
        <f>Proponentes[[#This Row],[Activo Corriente]]-Proponentes[[#This Row],[Pasivo Corriente]]</f>
        <v>16240599</v>
      </c>
      <c r="W286" s="13">
        <f>IFERROR(VLOOKUP(Proponentes[[#This Row],[Propuesta]],Hoja2!$A$2:$G$329,7,FALSE),0)</f>
        <v>91284878.636024117</v>
      </c>
      <c r="X286" s="83">
        <f>IF(Proponentes[[#This Row],[Cap Op en Pesos]]=0,0,IF(Proponentes[[#This Row],[Cap Op en Pesos]]=0,1,Proponentes[[#This Row],[Cap Op en Pesos]]/Base!B$3))</f>
        <v>110.23199483650131</v>
      </c>
      <c r="Y28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8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8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86" s="23" t="str">
        <f>IF(AND(Proponentes[[#This Row],[Cumple
Liquidez]]="CUMPLE",Proponentes[[#This Row],[Cumple
Endeudamiento]]="CUMPLE",Proponentes[[#This Row],[Cumple
Capital de Trabajo]]="CUMPLE"),"CUMPLE","NO CUMPLE")</f>
        <v>CUMPLE</v>
      </c>
      <c r="AC286" s="24" t="s">
        <v>810</v>
      </c>
      <c r="AD286" s="10">
        <f>IF(Proponentes[[#This Row],[Liquidez
Oferente]]&lt;=1,1,IF(Proponentes[[#This Row],[Liquidez
Oferente]]&lt;=1.1,2,IF(Proponentes[[#This Row],[Liquidez
Oferente]]&lt;=1.2,3,IF(Proponentes[[#This Row],[Liquidez
Oferente]]&lt;=1.3,4,IF(Proponentes[[#This Row],[Liquidez
Oferente]]&lt;=1.4,5,6)))))</f>
        <v>6</v>
      </c>
      <c r="AE286" s="10">
        <f>IF(Proponentes[[#This Row],[Endeudamiento
Oferente]]&lt;=66%,6,IF(Proponentes[[#This Row],[Endeudamiento
Oferente]]&lt;=58,5,IF(Proponentes[[#This Row],[Endeudamiento
Oferente]]&lt;=70,4,IF(Proponentes[[#This Row],[Endeudamiento
Oferente]]&lt;=72,3,IF(Proponentes[[#This Row],[Endeudamiento
Oferente]]&lt;=74,2,1)))))</f>
        <v>6</v>
      </c>
      <c r="AF28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286" s="10">
        <f>IF(Proponentes[[#This Row],[Cap Op en SMMLV]]&lt;=500,1,IF(Proponentes[[#This Row],[Cap Op en SMMLV]]&lt;=1000,2,IF(Proponentes[[#This Row],[Cap Op en SMMLV]]&lt;=1500,3,IF(Proponentes[[#This Row],[Cap Op en SMMLV]]&lt;=2000,4,IF(Proponentes[[#This Row],[Cap Op en SMMLV]]&lt;=2500,5,6)))))</f>
        <v>1</v>
      </c>
      <c r="AH286" s="10">
        <f>MIN(Proponentes[[#This Row],[a]:[d]])</f>
        <v>1</v>
      </c>
      <c r="AI286" s="87">
        <f>IF(Proponentes[[#This Row],[e]]=Proponentes[[#This Row],[d]],Proponentes[[#This Row],[Cap Op en SMMLV]],VLOOKUP(Proponentes[[#This Row],[e]],Base!$D$1:$E$6,2,FALSE))</f>
        <v>110.23199483650131</v>
      </c>
      <c r="AJ286" s="101" t="str">
        <f>VLOOKUP(Proponentes[[#This Row],[Propuesta]],Hoja2!$A$2:$D$329,4,FALSE)</f>
        <v>NO CUMPLE</v>
      </c>
      <c r="AK286" s="101"/>
    </row>
    <row r="287" spans="1:37" ht="16" x14ac:dyDescent="0.2">
      <c r="A287" s="10">
        <v>286</v>
      </c>
      <c r="B287" s="11">
        <v>900597666</v>
      </c>
      <c r="C287" s="12" t="s">
        <v>401</v>
      </c>
      <c r="D287" s="13">
        <v>218637000</v>
      </c>
      <c r="E287" s="13"/>
      <c r="F287" s="25">
        <f>Proponentes[[#This Row],[Activo Corriente]]+Proponentes[[#This Row],[Activo NO Corriente]]</f>
        <v>218637000</v>
      </c>
      <c r="G287" s="13">
        <v>1150000</v>
      </c>
      <c r="H287" s="13">
        <v>0</v>
      </c>
      <c r="I287" s="25">
        <f>Proponentes[[#This Row],[Pasivo Corriente]]+Proponentes[[#This Row],[Pasivo NO Corriente]]</f>
        <v>1150000</v>
      </c>
      <c r="J287" s="14">
        <f>Proponentes[[#This Row],[Total ACTIVO]]-Proponentes[[#This Row],[Total Pasivo]]</f>
        <v>217487000</v>
      </c>
      <c r="K287" s="48" t="e">
        <f>VLOOKUP(Proponentes[[#This Row],[Propuesta]],Hoja2!$A$2:$G$239,7,FALSE)</f>
        <v>#N/A</v>
      </c>
      <c r="L287" s="15"/>
      <c r="M287" s="15" t="s">
        <v>59</v>
      </c>
      <c r="N287" s="55">
        <f>IFERROR(VLOOKUP(Proponentes[[#This Row],[Cap Op en SMMLV]],Base!$A$15:$F$20,3),0)</f>
        <v>0</v>
      </c>
      <c r="O287" s="16">
        <f>IFERROR(VLOOKUP(Proponentes[[#This Row],[Cap Op en SMMLV]],Base!$A$15:$F$20,4),0)</f>
        <v>0</v>
      </c>
      <c r="P287" s="17">
        <f>IFERROR(VLOOKUP(Proponentes[[#This Row],[Cap Op en SMMLV]],Tabla2[],6),0)</f>
        <v>0</v>
      </c>
      <c r="Q287" s="18">
        <f>IFERROR(VLOOKUP(Proponentes[[#This Row],[Cap Op en SMMLV]],Base!$A$15:$F$20,5),0)</f>
        <v>0</v>
      </c>
      <c r="R287" s="18">
        <f>IFERROR(VLOOKUP(Proponentes[[#This Row],[Cap Op en SMMLV]],Tabla2[[DE]:[HASTA]],2),0)</f>
        <v>0</v>
      </c>
      <c r="S287" s="19">
        <f>IFERROR(Proponentes[[#This Row],[Activo Corriente]]/Proponentes[[#This Row],[Pasivo Corriente]],"INDETERMINADO")</f>
        <v>190.11913043478262</v>
      </c>
      <c r="T287" s="20">
        <f>IFERROR(Proponentes[[#This Row],[Total Pasivo]]/Proponentes[[#This Row],[Total ACTIVO]],0)</f>
        <v>5.2598599505115787E-3</v>
      </c>
      <c r="U287" s="21">
        <f>(Proponentes[[#This Row],[Activo Corriente]]-Proponentes[[#This Row],[Pasivo Corriente]])/Base!$B$3</f>
        <v>262.62866554927086</v>
      </c>
      <c r="V287" s="22">
        <f>Proponentes[[#This Row],[Activo Corriente]]-Proponentes[[#This Row],[Pasivo Corriente]]</f>
        <v>217487000</v>
      </c>
      <c r="W287" s="13">
        <f>IFERROR(VLOOKUP(Proponentes[[#This Row],[Propuesta]],Hoja2!$A$2:$G$329,7,FALSE),0)</f>
        <v>0</v>
      </c>
      <c r="X287" s="83">
        <f>IF(Proponentes[[#This Row],[Cap Op en Pesos]]=0,0,IF(Proponentes[[#This Row],[Cap Op en Pesos]]=0,1,Proponentes[[#This Row],[Cap Op en Pesos]]/Base!B$3))</f>
        <v>0</v>
      </c>
      <c r="Y28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8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8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87" s="23" t="str">
        <f>IF(AND(Proponentes[[#This Row],[Cumple
Liquidez]]="CUMPLE",Proponentes[[#This Row],[Cumple
Endeudamiento]]="CUMPLE",Proponentes[[#This Row],[Cumple
Capital de Trabajo]]="CUMPLE"),"CUMPLE","NO CUMPLE")</f>
        <v>NO CUMPLE</v>
      </c>
      <c r="AC287" s="24"/>
      <c r="AD287" s="10">
        <f>IF(Proponentes[[#This Row],[Liquidez
Oferente]]&lt;=1,1,IF(Proponentes[[#This Row],[Liquidez
Oferente]]&lt;=1.1,2,IF(Proponentes[[#This Row],[Liquidez
Oferente]]&lt;=1.2,3,IF(Proponentes[[#This Row],[Liquidez
Oferente]]&lt;=1.3,4,IF(Proponentes[[#This Row],[Liquidez
Oferente]]&lt;=1.4,5,6)))))</f>
        <v>6</v>
      </c>
      <c r="AE287" s="10">
        <f>IF(Proponentes[[#This Row],[Endeudamiento
Oferente]]&lt;=66%,6,IF(Proponentes[[#This Row],[Endeudamiento
Oferente]]&lt;=58,5,IF(Proponentes[[#This Row],[Endeudamiento
Oferente]]&lt;=70,4,IF(Proponentes[[#This Row],[Endeudamiento
Oferente]]&lt;=72,3,IF(Proponentes[[#This Row],[Endeudamiento
Oferente]]&lt;=74,2,1)))))</f>
        <v>6</v>
      </c>
      <c r="AF28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87" s="10">
        <f>IF(Proponentes[[#This Row],[Cap Op en SMMLV]]&lt;=500,1,IF(Proponentes[[#This Row],[Cap Op en SMMLV]]&lt;=1000,2,IF(Proponentes[[#This Row],[Cap Op en SMMLV]]&lt;=1500,3,IF(Proponentes[[#This Row],[Cap Op en SMMLV]]&lt;=2000,4,IF(Proponentes[[#This Row],[Cap Op en SMMLV]]&lt;=2500,5,6)))))</f>
        <v>1</v>
      </c>
      <c r="AH287" s="10">
        <f>MIN(Proponentes[[#This Row],[a]:[d]])</f>
        <v>1</v>
      </c>
      <c r="AI287" s="87">
        <f>IF(Proponentes[[#This Row],[e]]=Proponentes[[#This Row],[d]],Proponentes[[#This Row],[Cap Op en SMMLV]],VLOOKUP(Proponentes[[#This Row],[e]],Base!$D$1:$E$6,2,FALSE))</f>
        <v>0</v>
      </c>
      <c r="AJ287" s="101" t="str">
        <f>VLOOKUP(Proponentes[[#This Row],[Propuesta]],Hoja2!$A$2:$D$329,4,FALSE)</f>
        <v>NO CUMPLE</v>
      </c>
      <c r="AK287" s="101"/>
    </row>
    <row r="288" spans="1:37" ht="16" x14ac:dyDescent="0.2">
      <c r="A288" s="10">
        <v>287</v>
      </c>
      <c r="B288" s="11">
        <v>900886573</v>
      </c>
      <c r="C288" s="12" t="s">
        <v>402</v>
      </c>
      <c r="D288" s="13">
        <v>36600000</v>
      </c>
      <c r="E288" s="13">
        <v>73776000</v>
      </c>
      <c r="F288" s="25">
        <f>Proponentes[[#This Row],[Activo Corriente]]+Proponentes[[#This Row],[Activo NO Corriente]]</f>
        <v>110376000</v>
      </c>
      <c r="G288" s="13">
        <v>1176000</v>
      </c>
      <c r="H288" s="13">
        <v>0</v>
      </c>
      <c r="I288" s="25">
        <f>Proponentes[[#This Row],[Pasivo Corriente]]+Proponentes[[#This Row],[Pasivo NO Corriente]]</f>
        <v>1176000</v>
      </c>
      <c r="J288" s="14">
        <f>Proponentes[[#This Row],[Total ACTIVO]]-Proponentes[[#This Row],[Total Pasivo]]</f>
        <v>109200000</v>
      </c>
      <c r="K288" s="48" t="e">
        <f>VLOOKUP(Proponentes[[#This Row],[Propuesta]],Hoja2!$A$2:$G$239,7,FALSE)</f>
        <v>#N/A</v>
      </c>
      <c r="L288" s="15"/>
      <c r="M288" s="15" t="s">
        <v>403</v>
      </c>
      <c r="N288" s="55">
        <f>IFERROR(VLOOKUP(Proponentes[[#This Row],[Cap Op en SMMLV]],Base!$A$15:$F$20,3),0)</f>
        <v>0</v>
      </c>
      <c r="O288" s="16">
        <f>IFERROR(VLOOKUP(Proponentes[[#This Row],[Cap Op en SMMLV]],Base!$A$15:$F$20,4),0)</f>
        <v>0</v>
      </c>
      <c r="P288" s="17">
        <f>IFERROR(VLOOKUP(Proponentes[[#This Row],[Cap Op en SMMLV]],Tabla2[],6),0)</f>
        <v>0</v>
      </c>
      <c r="Q288" s="18">
        <f>IFERROR(VLOOKUP(Proponentes[[#This Row],[Cap Op en SMMLV]],Base!$A$15:$F$20,5),0)</f>
        <v>0</v>
      </c>
      <c r="R288" s="18">
        <f>IFERROR(VLOOKUP(Proponentes[[#This Row],[Cap Op en SMMLV]],Tabla2[[DE]:[HASTA]],2),0)</f>
        <v>0</v>
      </c>
      <c r="S288" s="19">
        <f>IFERROR(Proponentes[[#This Row],[Activo Corriente]]/Proponentes[[#This Row],[Pasivo Corriente]],"INDETERMINADO")</f>
        <v>31.122448979591837</v>
      </c>
      <c r="T288" s="20">
        <f>IFERROR(Proponentes[[#This Row],[Total Pasivo]]/Proponentes[[#This Row],[Total ACTIVO]],0)</f>
        <v>1.06544901065449E-2</v>
      </c>
      <c r="U288" s="21">
        <f>(Proponentes[[#This Row],[Activo Corriente]]-Proponentes[[#This Row],[Pasivo Corriente]])/Base!$B$3</f>
        <v>42.776615836428711</v>
      </c>
      <c r="V288" s="22">
        <f>Proponentes[[#This Row],[Activo Corriente]]-Proponentes[[#This Row],[Pasivo Corriente]]</f>
        <v>35424000</v>
      </c>
      <c r="W288" s="13">
        <f>IFERROR(VLOOKUP(Proponentes[[#This Row],[Propuesta]],Hoja2!$A$2:$G$329,7,FALSE),0)</f>
        <v>0</v>
      </c>
      <c r="X288" s="83">
        <f>IF(Proponentes[[#This Row],[Cap Op en Pesos]]=0,0,IF(Proponentes[[#This Row],[Cap Op en Pesos]]=0,1,Proponentes[[#This Row],[Cap Op en Pesos]]/Base!B$3))</f>
        <v>0</v>
      </c>
      <c r="Y28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8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8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88" s="23" t="str">
        <f>IF(AND(Proponentes[[#This Row],[Cumple
Liquidez]]="CUMPLE",Proponentes[[#This Row],[Cumple
Endeudamiento]]="CUMPLE",Proponentes[[#This Row],[Cumple
Capital de Trabajo]]="CUMPLE"),"CUMPLE","NO CUMPLE")</f>
        <v>NO CUMPLE</v>
      </c>
      <c r="AC288" s="24"/>
      <c r="AD288" s="10">
        <f>IF(Proponentes[[#This Row],[Liquidez
Oferente]]&lt;=1,1,IF(Proponentes[[#This Row],[Liquidez
Oferente]]&lt;=1.1,2,IF(Proponentes[[#This Row],[Liquidez
Oferente]]&lt;=1.2,3,IF(Proponentes[[#This Row],[Liquidez
Oferente]]&lt;=1.3,4,IF(Proponentes[[#This Row],[Liquidez
Oferente]]&lt;=1.4,5,6)))))</f>
        <v>6</v>
      </c>
      <c r="AE288" s="10">
        <f>IF(Proponentes[[#This Row],[Endeudamiento
Oferente]]&lt;=66%,6,IF(Proponentes[[#This Row],[Endeudamiento
Oferente]]&lt;=58,5,IF(Proponentes[[#This Row],[Endeudamiento
Oferente]]&lt;=70,4,IF(Proponentes[[#This Row],[Endeudamiento
Oferente]]&lt;=72,3,IF(Proponentes[[#This Row],[Endeudamiento
Oferente]]&lt;=74,2,1)))))</f>
        <v>6</v>
      </c>
      <c r="AF28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4</v>
      </c>
      <c r="AG288" s="10">
        <f>IF(Proponentes[[#This Row],[Cap Op en SMMLV]]&lt;=500,1,IF(Proponentes[[#This Row],[Cap Op en SMMLV]]&lt;=1000,2,IF(Proponentes[[#This Row],[Cap Op en SMMLV]]&lt;=1500,3,IF(Proponentes[[#This Row],[Cap Op en SMMLV]]&lt;=2000,4,IF(Proponentes[[#This Row],[Cap Op en SMMLV]]&lt;=2500,5,6)))))</f>
        <v>1</v>
      </c>
      <c r="AH288" s="10">
        <f>MIN(Proponentes[[#This Row],[a]:[d]])</f>
        <v>1</v>
      </c>
      <c r="AI288" s="87">
        <f>IF(Proponentes[[#This Row],[e]]=Proponentes[[#This Row],[d]],Proponentes[[#This Row],[Cap Op en SMMLV]],VLOOKUP(Proponentes[[#This Row],[e]],Base!$D$1:$E$6,2,FALSE))</f>
        <v>0</v>
      </c>
      <c r="AJ288" s="101" t="str">
        <f>VLOOKUP(Proponentes[[#This Row],[Propuesta]],Hoja2!$A$2:$D$329,4,FALSE)</f>
        <v>NO CUMPLE</v>
      </c>
      <c r="AK288" s="101"/>
    </row>
    <row r="289" spans="1:37" ht="16" x14ac:dyDescent="0.2">
      <c r="A289" s="10">
        <v>288</v>
      </c>
      <c r="B289" s="11">
        <v>804002245</v>
      </c>
      <c r="C289" s="12" t="s">
        <v>404</v>
      </c>
      <c r="D289" s="13">
        <v>286007000</v>
      </c>
      <c r="E289" s="13">
        <v>194825000</v>
      </c>
      <c r="F289" s="25">
        <f>Proponentes[[#This Row],[Activo Corriente]]+Proponentes[[#This Row],[Activo NO Corriente]]</f>
        <v>480832000</v>
      </c>
      <c r="G289" s="13">
        <v>69402000</v>
      </c>
      <c r="H289" s="13">
        <v>240877000</v>
      </c>
      <c r="I289" s="25">
        <f>Proponentes[[#This Row],[Pasivo Corriente]]+Proponentes[[#This Row],[Pasivo NO Corriente]]</f>
        <v>310279000</v>
      </c>
      <c r="J289" s="14">
        <f>Proponentes[[#This Row],[Total ACTIVO]]-Proponentes[[#This Row],[Total Pasivo]]</f>
        <v>170553000</v>
      </c>
      <c r="K289" s="48" t="e">
        <f>VLOOKUP(Proponentes[[#This Row],[Propuesta]],Hoja2!$A$2:$G$239,7,FALSE)</f>
        <v>#N/A</v>
      </c>
      <c r="L289" s="15"/>
      <c r="M289" s="15" t="s">
        <v>405</v>
      </c>
      <c r="N289" s="55">
        <f>IFERROR(VLOOKUP(Proponentes[[#This Row],[Cap Op en SMMLV]],Base!$A$15:$F$20,3),0)</f>
        <v>1</v>
      </c>
      <c r="O289" s="16">
        <f>IFERROR(VLOOKUP(Proponentes[[#This Row],[Cap Op en SMMLV]],Base!$A$15:$F$20,4),0)</f>
        <v>0.76</v>
      </c>
      <c r="P289" s="17">
        <f>IFERROR(VLOOKUP(Proponentes[[#This Row],[Cap Op en SMMLV]],Tabla2[],6),0)</f>
        <v>12.5</v>
      </c>
      <c r="Q289" s="18">
        <f>IFERROR(VLOOKUP(Proponentes[[#This Row],[Cap Op en SMMLV]],Base!$A$15:$F$20,5),0)</f>
        <v>10351450</v>
      </c>
      <c r="R289" s="18">
        <f>IFERROR(VLOOKUP(Proponentes[[#This Row],[Cap Op en SMMLV]],Tabla2[[DE]:[HASTA]],2),0)</f>
        <v>500</v>
      </c>
      <c r="S289" s="19">
        <f>IFERROR(Proponentes[[#This Row],[Activo Corriente]]/Proponentes[[#This Row],[Pasivo Corriente]],"INDETERMINADO")</f>
        <v>4.1210195671594478</v>
      </c>
      <c r="T289" s="20">
        <f>IFERROR(Proponentes[[#This Row],[Total Pasivo]]/Proponentes[[#This Row],[Total ACTIVO]],0)</f>
        <v>0.64529607014508183</v>
      </c>
      <c r="U289" s="21">
        <f>(Proponentes[[#This Row],[Activo Corriente]]-Proponentes[[#This Row],[Pasivo Corriente]])/Base!$B$3</f>
        <v>261.56359737041669</v>
      </c>
      <c r="V289" s="22">
        <f>Proponentes[[#This Row],[Activo Corriente]]-Proponentes[[#This Row],[Pasivo Corriente]]</f>
        <v>216605000</v>
      </c>
      <c r="W289" s="13">
        <f>IFERROR(VLOOKUP(Proponentes[[#This Row],[Propuesta]],Hoja2!$A$2:$G$329,7,FALSE),0)</f>
        <v>333067095.59758133</v>
      </c>
      <c r="X289" s="83">
        <f>IF(Proponentes[[#This Row],[Cap Op en Pesos]]=0,0,IF(Proponentes[[#This Row],[Cap Op en Pesos]]=0,1,Proponentes[[#This Row],[Cap Op en Pesos]]/Base!B$3))</f>
        <v>402.19859971016297</v>
      </c>
      <c r="Y28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8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8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89" s="23" t="str">
        <f>IF(AND(Proponentes[[#This Row],[Cumple
Liquidez]]="CUMPLE",Proponentes[[#This Row],[Cumple
Endeudamiento]]="CUMPLE",Proponentes[[#This Row],[Cumple
Capital de Trabajo]]="CUMPLE"),"CUMPLE","NO CUMPLE")</f>
        <v>CUMPLE</v>
      </c>
      <c r="AC289" s="24"/>
      <c r="AD289" s="10">
        <f>IF(Proponentes[[#This Row],[Liquidez
Oferente]]&lt;=1,1,IF(Proponentes[[#This Row],[Liquidez
Oferente]]&lt;=1.1,2,IF(Proponentes[[#This Row],[Liquidez
Oferente]]&lt;=1.2,3,IF(Proponentes[[#This Row],[Liquidez
Oferente]]&lt;=1.3,4,IF(Proponentes[[#This Row],[Liquidez
Oferente]]&lt;=1.4,5,6)))))</f>
        <v>6</v>
      </c>
      <c r="AE289" s="10">
        <f>IF(Proponentes[[#This Row],[Endeudamiento
Oferente]]&lt;=66%,6,IF(Proponentes[[#This Row],[Endeudamiento
Oferente]]&lt;=58,5,IF(Proponentes[[#This Row],[Endeudamiento
Oferente]]&lt;=70,4,IF(Proponentes[[#This Row],[Endeudamiento
Oferente]]&lt;=72,3,IF(Proponentes[[#This Row],[Endeudamiento
Oferente]]&lt;=74,2,1)))))</f>
        <v>6</v>
      </c>
      <c r="AF28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89" s="10">
        <f>IF(Proponentes[[#This Row],[Cap Op en SMMLV]]&lt;=500,1,IF(Proponentes[[#This Row],[Cap Op en SMMLV]]&lt;=1000,2,IF(Proponentes[[#This Row],[Cap Op en SMMLV]]&lt;=1500,3,IF(Proponentes[[#This Row],[Cap Op en SMMLV]]&lt;=2000,4,IF(Proponentes[[#This Row],[Cap Op en SMMLV]]&lt;=2500,5,6)))))</f>
        <v>1</v>
      </c>
      <c r="AH289" s="10">
        <f>MIN(Proponentes[[#This Row],[a]:[d]])</f>
        <v>1</v>
      </c>
      <c r="AI289" s="87">
        <f>IF(Proponentes[[#This Row],[e]]=Proponentes[[#This Row],[d]],Proponentes[[#This Row],[Cap Op en SMMLV]],VLOOKUP(Proponentes[[#This Row],[e]],Base!$D$1:$E$6,2,FALSE))</f>
        <v>402.19859971016297</v>
      </c>
      <c r="AJ289" s="101" t="str">
        <f>VLOOKUP(Proponentes[[#This Row],[Propuesta]],Hoja2!$A$2:$D$329,4,FALSE)</f>
        <v>NO CUMPLE</v>
      </c>
      <c r="AK289" s="101"/>
    </row>
    <row r="290" spans="1:37" ht="16" x14ac:dyDescent="0.2">
      <c r="A290" s="10">
        <v>289</v>
      </c>
      <c r="B290" s="11">
        <v>900088061</v>
      </c>
      <c r="C290" s="12" t="s">
        <v>406</v>
      </c>
      <c r="D290" s="13">
        <v>543301410</v>
      </c>
      <c r="E290" s="13"/>
      <c r="F290" s="25">
        <f>Proponentes[[#This Row],[Activo Corriente]]+Proponentes[[#This Row],[Activo NO Corriente]]</f>
        <v>543301410</v>
      </c>
      <c r="G290" s="13">
        <v>34373203</v>
      </c>
      <c r="H290" s="13">
        <v>0</v>
      </c>
      <c r="I290" s="25">
        <f>Proponentes[[#This Row],[Pasivo Corriente]]+Proponentes[[#This Row],[Pasivo NO Corriente]]</f>
        <v>34373203</v>
      </c>
      <c r="J290" s="14">
        <f>Proponentes[[#This Row],[Total ACTIVO]]-Proponentes[[#This Row],[Total Pasivo]]</f>
        <v>508928207</v>
      </c>
      <c r="K290" s="48" t="e">
        <f>VLOOKUP(Proponentes[[#This Row],[Propuesta]],Hoja2!$A$2:$G$239,7,FALSE)</f>
        <v>#N/A</v>
      </c>
      <c r="L290" s="15"/>
      <c r="M290" s="15" t="s">
        <v>59</v>
      </c>
      <c r="N290" s="55">
        <f>IFERROR(VLOOKUP(Proponentes[[#This Row],[Cap Op en SMMLV]],Base!$A$15:$F$20,3),0)</f>
        <v>0</v>
      </c>
      <c r="O290" s="16">
        <f>IFERROR(VLOOKUP(Proponentes[[#This Row],[Cap Op en SMMLV]],Base!$A$15:$F$20,4),0)</f>
        <v>0</v>
      </c>
      <c r="P290" s="17">
        <f>IFERROR(VLOOKUP(Proponentes[[#This Row],[Cap Op en SMMLV]],Tabla2[],6),0)</f>
        <v>0</v>
      </c>
      <c r="Q290" s="18">
        <f>IFERROR(VLOOKUP(Proponentes[[#This Row],[Cap Op en SMMLV]],Base!$A$15:$F$20,5),0)</f>
        <v>0</v>
      </c>
      <c r="R290" s="18">
        <f>IFERROR(VLOOKUP(Proponentes[[#This Row],[Cap Op en SMMLV]],Tabla2[[DE]:[HASTA]],2),0)</f>
        <v>0</v>
      </c>
      <c r="S290" s="19">
        <f>IFERROR(Proponentes[[#This Row],[Activo Corriente]]/Proponentes[[#This Row],[Pasivo Corriente]],"INDETERMINADO")</f>
        <v>15.805958205291489</v>
      </c>
      <c r="T290" s="20">
        <f>IFERROR(Proponentes[[#This Row],[Total Pasivo]]/Proponentes[[#This Row],[Total ACTIVO]],0)</f>
        <v>6.3267281047549653E-2</v>
      </c>
      <c r="U290" s="21">
        <f>(Proponentes[[#This Row],[Activo Corriente]]-Proponentes[[#This Row],[Pasivo Corriente]])/Base!$B$3</f>
        <v>614.56149500794572</v>
      </c>
      <c r="V290" s="22">
        <f>Proponentes[[#This Row],[Activo Corriente]]-Proponentes[[#This Row],[Pasivo Corriente]]</f>
        <v>508928207</v>
      </c>
      <c r="W290" s="13">
        <f>IFERROR(VLOOKUP(Proponentes[[#This Row],[Propuesta]],Hoja2!$A$2:$G$329,7,FALSE),0)</f>
        <v>0</v>
      </c>
      <c r="X290" s="83">
        <f>IF(Proponentes[[#This Row],[Cap Op en Pesos]]=0,0,IF(Proponentes[[#This Row],[Cap Op en Pesos]]=0,1,Proponentes[[#This Row],[Cap Op en Pesos]]/Base!B$3))</f>
        <v>0</v>
      </c>
      <c r="Y29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9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9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90" s="23" t="str">
        <f>IF(AND(Proponentes[[#This Row],[Cumple
Liquidez]]="CUMPLE",Proponentes[[#This Row],[Cumple
Endeudamiento]]="CUMPLE",Proponentes[[#This Row],[Cumple
Capital de Trabajo]]="CUMPLE"),"CUMPLE","NO CUMPLE")</f>
        <v>NO CUMPLE</v>
      </c>
      <c r="AC290" s="24"/>
      <c r="AD290" s="10">
        <f>IF(Proponentes[[#This Row],[Liquidez
Oferente]]&lt;=1,1,IF(Proponentes[[#This Row],[Liquidez
Oferente]]&lt;=1.1,2,IF(Proponentes[[#This Row],[Liquidez
Oferente]]&lt;=1.2,3,IF(Proponentes[[#This Row],[Liquidez
Oferente]]&lt;=1.3,4,IF(Proponentes[[#This Row],[Liquidez
Oferente]]&lt;=1.4,5,6)))))</f>
        <v>6</v>
      </c>
      <c r="AE290" s="10">
        <f>IF(Proponentes[[#This Row],[Endeudamiento
Oferente]]&lt;=66%,6,IF(Proponentes[[#This Row],[Endeudamiento
Oferente]]&lt;=58,5,IF(Proponentes[[#This Row],[Endeudamiento
Oferente]]&lt;=70,4,IF(Proponentes[[#This Row],[Endeudamiento
Oferente]]&lt;=72,3,IF(Proponentes[[#This Row],[Endeudamiento
Oferente]]&lt;=74,2,1)))))</f>
        <v>6</v>
      </c>
      <c r="AF29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90" s="10">
        <f>IF(Proponentes[[#This Row],[Cap Op en SMMLV]]&lt;=500,1,IF(Proponentes[[#This Row],[Cap Op en SMMLV]]&lt;=1000,2,IF(Proponentes[[#This Row],[Cap Op en SMMLV]]&lt;=1500,3,IF(Proponentes[[#This Row],[Cap Op en SMMLV]]&lt;=2000,4,IF(Proponentes[[#This Row],[Cap Op en SMMLV]]&lt;=2500,5,6)))))</f>
        <v>1</v>
      </c>
      <c r="AH290" s="10">
        <f>MIN(Proponentes[[#This Row],[a]:[d]])</f>
        <v>1</v>
      </c>
      <c r="AI290" s="87">
        <f>IF(Proponentes[[#This Row],[e]]=Proponentes[[#This Row],[d]],Proponentes[[#This Row],[Cap Op en SMMLV]],VLOOKUP(Proponentes[[#This Row],[e]],Base!$D$1:$E$6,2,FALSE))</f>
        <v>0</v>
      </c>
      <c r="AJ290" s="101" t="str">
        <f>VLOOKUP(Proponentes[[#This Row],[Propuesta]],Hoja2!$A$2:$D$329,4,FALSE)</f>
        <v>NO CUMPLE</v>
      </c>
      <c r="AK290" s="101"/>
    </row>
    <row r="291" spans="1:37" ht="16" x14ac:dyDescent="0.2">
      <c r="A291" s="10">
        <v>290</v>
      </c>
      <c r="B291" s="11">
        <v>900869649</v>
      </c>
      <c r="C291" s="12" t="s">
        <v>407</v>
      </c>
      <c r="D291" s="13">
        <v>468904300</v>
      </c>
      <c r="E291" s="13"/>
      <c r="F291" s="25">
        <f>Proponentes[[#This Row],[Activo Corriente]]+Proponentes[[#This Row],[Activo NO Corriente]]</f>
        <v>468904300</v>
      </c>
      <c r="G291" s="13">
        <v>21200000</v>
      </c>
      <c r="H291" s="13">
        <v>0</v>
      </c>
      <c r="I291" s="25">
        <f>Proponentes[[#This Row],[Pasivo Corriente]]+Proponentes[[#This Row],[Pasivo NO Corriente]]</f>
        <v>21200000</v>
      </c>
      <c r="J291" s="14">
        <f>Proponentes[[#This Row],[Total ACTIVO]]-Proponentes[[#This Row],[Total Pasivo]]</f>
        <v>447704300</v>
      </c>
      <c r="K291" s="48" t="e">
        <f>VLOOKUP(Proponentes[[#This Row],[Propuesta]],Hoja2!$A$2:$G$239,7,FALSE)</f>
        <v>#N/A</v>
      </c>
      <c r="L291" s="15"/>
      <c r="M291" s="15" t="s">
        <v>59</v>
      </c>
      <c r="N291" s="55">
        <f>IFERROR(VLOOKUP(Proponentes[[#This Row],[Cap Op en SMMLV]],Base!$A$15:$F$20,3),0)</f>
        <v>0</v>
      </c>
      <c r="O291" s="16">
        <f>IFERROR(VLOOKUP(Proponentes[[#This Row],[Cap Op en SMMLV]],Base!$A$15:$F$20,4),0)</f>
        <v>0</v>
      </c>
      <c r="P291" s="17">
        <f>IFERROR(VLOOKUP(Proponentes[[#This Row],[Cap Op en SMMLV]],Tabla2[],6),0)</f>
        <v>0</v>
      </c>
      <c r="Q291" s="18">
        <f>IFERROR(VLOOKUP(Proponentes[[#This Row],[Cap Op en SMMLV]],Base!$A$15:$F$20,5),0)</f>
        <v>0</v>
      </c>
      <c r="R291" s="18">
        <f>IFERROR(VLOOKUP(Proponentes[[#This Row],[Cap Op en SMMLV]],Tabla2[[DE]:[HASTA]],2),0)</f>
        <v>0</v>
      </c>
      <c r="S291" s="19">
        <f>IFERROR(Proponentes[[#This Row],[Activo Corriente]]/Proponentes[[#This Row],[Pasivo Corriente]],"INDETERMINADO")</f>
        <v>22.118127358490565</v>
      </c>
      <c r="T291" s="20">
        <f>IFERROR(Proponentes[[#This Row],[Total Pasivo]]/Proponentes[[#This Row],[Total ACTIVO]],0)</f>
        <v>4.5211784152971085E-2</v>
      </c>
      <c r="U291" s="21">
        <f>(Proponentes[[#This Row],[Activo Corriente]]-Proponentes[[#This Row],[Pasivo Corriente]])/Base!$B$3</f>
        <v>540.62993590269957</v>
      </c>
      <c r="V291" s="22">
        <f>Proponentes[[#This Row],[Activo Corriente]]-Proponentes[[#This Row],[Pasivo Corriente]]</f>
        <v>447704300</v>
      </c>
      <c r="W291" s="13">
        <f>IFERROR(VLOOKUP(Proponentes[[#This Row],[Propuesta]],Hoja2!$A$2:$G$329,7,FALSE),0)</f>
        <v>0</v>
      </c>
      <c r="X291" s="83">
        <f>IF(Proponentes[[#This Row],[Cap Op en Pesos]]=0,0,IF(Proponentes[[#This Row],[Cap Op en Pesos]]=0,1,Proponentes[[#This Row],[Cap Op en Pesos]]/Base!B$3))</f>
        <v>0</v>
      </c>
      <c r="Y29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9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9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91" s="23" t="str">
        <f>IF(AND(Proponentes[[#This Row],[Cumple
Liquidez]]="CUMPLE",Proponentes[[#This Row],[Cumple
Endeudamiento]]="CUMPLE",Proponentes[[#This Row],[Cumple
Capital de Trabajo]]="CUMPLE"),"CUMPLE","NO CUMPLE")</f>
        <v>NO CUMPLE</v>
      </c>
      <c r="AC291" s="24"/>
      <c r="AD291" s="10">
        <f>IF(Proponentes[[#This Row],[Liquidez
Oferente]]&lt;=1,1,IF(Proponentes[[#This Row],[Liquidez
Oferente]]&lt;=1.1,2,IF(Proponentes[[#This Row],[Liquidez
Oferente]]&lt;=1.2,3,IF(Proponentes[[#This Row],[Liquidez
Oferente]]&lt;=1.3,4,IF(Proponentes[[#This Row],[Liquidez
Oferente]]&lt;=1.4,5,6)))))</f>
        <v>6</v>
      </c>
      <c r="AE291" s="10">
        <f>IF(Proponentes[[#This Row],[Endeudamiento
Oferente]]&lt;=66%,6,IF(Proponentes[[#This Row],[Endeudamiento
Oferente]]&lt;=58,5,IF(Proponentes[[#This Row],[Endeudamiento
Oferente]]&lt;=70,4,IF(Proponentes[[#This Row],[Endeudamiento
Oferente]]&lt;=72,3,IF(Proponentes[[#This Row],[Endeudamiento
Oferente]]&lt;=74,2,1)))))</f>
        <v>6</v>
      </c>
      <c r="AF29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91" s="10">
        <f>IF(Proponentes[[#This Row],[Cap Op en SMMLV]]&lt;=500,1,IF(Proponentes[[#This Row],[Cap Op en SMMLV]]&lt;=1000,2,IF(Proponentes[[#This Row],[Cap Op en SMMLV]]&lt;=1500,3,IF(Proponentes[[#This Row],[Cap Op en SMMLV]]&lt;=2000,4,IF(Proponentes[[#This Row],[Cap Op en SMMLV]]&lt;=2500,5,6)))))</f>
        <v>1</v>
      </c>
      <c r="AH291" s="10">
        <f>MIN(Proponentes[[#This Row],[a]:[d]])</f>
        <v>1</v>
      </c>
      <c r="AI291" s="87">
        <f>IF(Proponentes[[#This Row],[e]]=Proponentes[[#This Row],[d]],Proponentes[[#This Row],[Cap Op en SMMLV]],VLOOKUP(Proponentes[[#This Row],[e]],Base!$D$1:$E$6,2,FALSE))</f>
        <v>0</v>
      </c>
      <c r="AJ291" s="101" t="str">
        <f>VLOOKUP(Proponentes[[#This Row],[Propuesta]],Hoja2!$A$2:$D$329,4,FALSE)</f>
        <v>NO CUMPLE</v>
      </c>
      <c r="AK291" s="101"/>
    </row>
    <row r="292" spans="1:37" ht="16" x14ac:dyDescent="0.2">
      <c r="A292" s="10">
        <v>291</v>
      </c>
      <c r="B292" s="11">
        <v>805024569</v>
      </c>
      <c r="C292" s="12" t="s">
        <v>408</v>
      </c>
      <c r="D292" s="13">
        <v>1429559803</v>
      </c>
      <c r="E292" s="13">
        <v>316474570</v>
      </c>
      <c r="F292" s="25">
        <f>Proponentes[[#This Row],[Activo Corriente]]+Proponentes[[#This Row],[Activo NO Corriente]]</f>
        <v>1746034373</v>
      </c>
      <c r="G292" s="13">
        <v>756014153</v>
      </c>
      <c r="H292" s="13">
        <v>0</v>
      </c>
      <c r="I292" s="25">
        <f>Proponentes[[#This Row],[Pasivo Corriente]]+Proponentes[[#This Row],[Pasivo NO Corriente]]</f>
        <v>756014153</v>
      </c>
      <c r="J292" s="14">
        <f>Proponentes[[#This Row],[Total ACTIVO]]-Proponentes[[#This Row],[Total Pasivo]]</f>
        <v>990020220</v>
      </c>
      <c r="K292" s="48" t="e">
        <f>VLOOKUP(Proponentes[[#This Row],[Propuesta]],Hoja2!$A$2:$G$239,7,FALSE)</f>
        <v>#N/A</v>
      </c>
      <c r="L292" s="15" t="s">
        <v>86</v>
      </c>
      <c r="M292" s="15" t="s">
        <v>28</v>
      </c>
      <c r="N292" s="55">
        <f>IFERROR(VLOOKUP(Proponentes[[#This Row],[Cap Op en SMMLV]],Base!$A$15:$F$20,3),0)</f>
        <v>1.1000000000000001</v>
      </c>
      <c r="O292" s="16">
        <f>IFERROR(VLOOKUP(Proponentes[[#This Row],[Cap Op en SMMLV]],Base!$A$15:$F$20,4),0)</f>
        <v>0.74</v>
      </c>
      <c r="P292" s="17">
        <f>IFERROR(VLOOKUP(Proponentes[[#This Row],[Cap Op en SMMLV]],Tabla2[],6),0)</f>
        <v>25</v>
      </c>
      <c r="Q292" s="18">
        <f>IFERROR(VLOOKUP(Proponentes[[#This Row],[Cap Op en SMMLV]],Base!$A$15:$F$20,5),0)</f>
        <v>20702900</v>
      </c>
      <c r="R292" s="18">
        <f>IFERROR(VLOOKUP(Proponentes[[#This Row],[Cap Op en SMMLV]],Tabla2[[DE]:[HASTA]],2),0)</f>
        <v>1000</v>
      </c>
      <c r="S292" s="19">
        <f>IFERROR(Proponentes[[#This Row],[Activo Corriente]]/Proponentes[[#This Row],[Pasivo Corriente]],"INDETERMINADO")</f>
        <v>1.8909167207085342</v>
      </c>
      <c r="T292" s="20">
        <f>IFERROR(Proponentes[[#This Row],[Total Pasivo]]/Proponentes[[#This Row],[Total ACTIVO]],0)</f>
        <v>0.4329892725428035</v>
      </c>
      <c r="U292" s="21">
        <f>(Proponentes[[#This Row],[Activo Corriente]]-Proponentes[[#This Row],[Pasivo Corriente]])/Base!$B$3</f>
        <v>813.3469827898507</v>
      </c>
      <c r="V292" s="22">
        <f>Proponentes[[#This Row],[Activo Corriente]]-Proponentes[[#This Row],[Pasivo Corriente]]</f>
        <v>673545650</v>
      </c>
      <c r="W292" s="13">
        <f>IFERROR(VLOOKUP(Proponentes[[#This Row],[Propuesta]],Hoja2!$A$2:$G$329,7,FALSE),0)</f>
        <v>443724540.13673383</v>
      </c>
      <c r="X292" s="83">
        <f>IF(Proponentes[[#This Row],[Cap Op en Pesos]]=0,0,IF(Proponentes[[#This Row],[Cap Op en Pesos]]=0,1,Proponentes[[#This Row],[Cap Op en Pesos]]/Base!B$3))</f>
        <v>535.82413591421232</v>
      </c>
      <c r="Y29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9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9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92" s="23" t="str">
        <f>IF(AND(Proponentes[[#This Row],[Cumple
Liquidez]]="CUMPLE",Proponentes[[#This Row],[Cumple
Endeudamiento]]="CUMPLE",Proponentes[[#This Row],[Cumple
Capital de Trabajo]]="CUMPLE"),"CUMPLE","NO CUMPLE")</f>
        <v>CUMPLE</v>
      </c>
      <c r="AC292" s="24"/>
      <c r="AD292" s="10">
        <f>IF(Proponentes[[#This Row],[Liquidez
Oferente]]&lt;=1,1,IF(Proponentes[[#This Row],[Liquidez
Oferente]]&lt;=1.1,2,IF(Proponentes[[#This Row],[Liquidez
Oferente]]&lt;=1.2,3,IF(Proponentes[[#This Row],[Liquidez
Oferente]]&lt;=1.3,4,IF(Proponentes[[#This Row],[Liquidez
Oferente]]&lt;=1.4,5,6)))))</f>
        <v>6</v>
      </c>
      <c r="AE292" s="10">
        <f>IF(Proponentes[[#This Row],[Endeudamiento
Oferente]]&lt;=66%,6,IF(Proponentes[[#This Row],[Endeudamiento
Oferente]]&lt;=58,5,IF(Proponentes[[#This Row],[Endeudamiento
Oferente]]&lt;=70,4,IF(Proponentes[[#This Row],[Endeudamiento
Oferente]]&lt;=72,3,IF(Proponentes[[#This Row],[Endeudamiento
Oferente]]&lt;=74,2,1)))))</f>
        <v>6</v>
      </c>
      <c r="AF29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92" s="10">
        <f>IF(Proponentes[[#This Row],[Cap Op en SMMLV]]&lt;=500,1,IF(Proponentes[[#This Row],[Cap Op en SMMLV]]&lt;=1000,2,IF(Proponentes[[#This Row],[Cap Op en SMMLV]]&lt;=1500,3,IF(Proponentes[[#This Row],[Cap Op en SMMLV]]&lt;=2000,4,IF(Proponentes[[#This Row],[Cap Op en SMMLV]]&lt;=2500,5,6)))))</f>
        <v>2</v>
      </c>
      <c r="AH292" s="10">
        <f>MIN(Proponentes[[#This Row],[a]:[d]])</f>
        <v>2</v>
      </c>
      <c r="AI292" s="87">
        <f>IF(Proponentes[[#This Row],[e]]=Proponentes[[#This Row],[d]],Proponentes[[#This Row],[Cap Op en SMMLV]],VLOOKUP(Proponentes[[#This Row],[e]],Base!$D$1:$E$6,2,FALSE))</f>
        <v>535.82413591421232</v>
      </c>
      <c r="AJ292" s="101" t="str">
        <f>VLOOKUP(Proponentes[[#This Row],[Propuesta]],Hoja2!$A$2:$D$329,4,FALSE)</f>
        <v>NO CUMPLE</v>
      </c>
      <c r="AK292" s="101"/>
    </row>
    <row r="293" spans="1:37" ht="16" x14ac:dyDescent="0.2">
      <c r="A293" s="10">
        <v>292</v>
      </c>
      <c r="B293" s="11">
        <v>900067446</v>
      </c>
      <c r="C293" s="12" t="s">
        <v>409</v>
      </c>
      <c r="D293" s="13">
        <v>177078463</v>
      </c>
      <c r="E293" s="13">
        <v>122420640</v>
      </c>
      <c r="F293" s="25">
        <f>Proponentes[[#This Row],[Activo Corriente]]+Proponentes[[#This Row],[Activo NO Corriente]]</f>
        <v>299499103</v>
      </c>
      <c r="G293" s="13">
        <v>161036205</v>
      </c>
      <c r="H293" s="13">
        <v>26920894</v>
      </c>
      <c r="I293" s="25">
        <f>Proponentes[[#This Row],[Pasivo Corriente]]+Proponentes[[#This Row],[Pasivo NO Corriente]]</f>
        <v>187957099</v>
      </c>
      <c r="J293" s="14">
        <f>Proponentes[[#This Row],[Total ACTIVO]]-Proponentes[[#This Row],[Total Pasivo]]</f>
        <v>111542004</v>
      </c>
      <c r="K293" s="48" t="e">
        <f>VLOOKUP(Proponentes[[#This Row],[Propuesta]],Hoja2!$A$2:$G$239,7,FALSE)</f>
        <v>#N/A</v>
      </c>
      <c r="L293" s="15"/>
      <c r="M293" s="15" t="s">
        <v>36</v>
      </c>
      <c r="N293" s="55">
        <f>IFERROR(VLOOKUP(Proponentes[[#This Row],[Cap Op en SMMLV]],Base!$A$15:$F$20,3),0)</f>
        <v>0</v>
      </c>
      <c r="O293" s="16">
        <f>IFERROR(VLOOKUP(Proponentes[[#This Row],[Cap Op en SMMLV]],Base!$A$15:$F$20,4),0)</f>
        <v>0</v>
      </c>
      <c r="P293" s="17">
        <f>IFERROR(VLOOKUP(Proponentes[[#This Row],[Cap Op en SMMLV]],Tabla2[],6),0)</f>
        <v>0</v>
      </c>
      <c r="Q293" s="18">
        <f>IFERROR(VLOOKUP(Proponentes[[#This Row],[Cap Op en SMMLV]],Base!$A$15:$F$20,5),0)</f>
        <v>0</v>
      </c>
      <c r="R293" s="18">
        <f>IFERROR(VLOOKUP(Proponentes[[#This Row],[Cap Op en SMMLV]],Tabla2[[DE]:[HASTA]],2),0)</f>
        <v>0</v>
      </c>
      <c r="S293" s="19">
        <f>IFERROR(Proponentes[[#This Row],[Activo Corriente]]/Proponentes[[#This Row],[Pasivo Corriente]],"INDETERMINADO")</f>
        <v>1.0996189521480588</v>
      </c>
      <c r="T293" s="20">
        <f>IFERROR(Proponentes[[#This Row],[Total Pasivo]]/Proponentes[[#This Row],[Total ACTIVO]],0)</f>
        <v>0.62757149225919384</v>
      </c>
      <c r="U293" s="21">
        <f>(Proponentes[[#This Row],[Activo Corriente]]-Proponentes[[#This Row],[Pasivo Corriente]])/Base!$B$3</f>
        <v>19.371993778649369</v>
      </c>
      <c r="V293" s="22">
        <f>Proponentes[[#This Row],[Activo Corriente]]-Proponentes[[#This Row],[Pasivo Corriente]]</f>
        <v>16042258</v>
      </c>
      <c r="W293" s="13">
        <f>IFERROR(VLOOKUP(Proponentes[[#This Row],[Propuesta]],Hoja2!$A$2:$G$329,7,FALSE),0)</f>
        <v>0</v>
      </c>
      <c r="X293" s="83">
        <f>IF(Proponentes[[#This Row],[Cap Op en Pesos]]=0,0,IF(Proponentes[[#This Row],[Cap Op en Pesos]]=0,1,Proponentes[[#This Row],[Cap Op en Pesos]]/Base!B$3))</f>
        <v>0</v>
      </c>
      <c r="Y29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9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9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93" s="23" t="str">
        <f>IF(AND(Proponentes[[#This Row],[Cumple
Liquidez]]="CUMPLE",Proponentes[[#This Row],[Cumple
Endeudamiento]]="CUMPLE",Proponentes[[#This Row],[Cumple
Capital de Trabajo]]="CUMPLE"),"CUMPLE","NO CUMPLE")</f>
        <v>NO CUMPLE</v>
      </c>
      <c r="AC293" s="24"/>
      <c r="AD293" s="10">
        <f>IF(Proponentes[[#This Row],[Liquidez
Oferente]]&lt;=1,1,IF(Proponentes[[#This Row],[Liquidez
Oferente]]&lt;=1.1,2,IF(Proponentes[[#This Row],[Liquidez
Oferente]]&lt;=1.2,3,IF(Proponentes[[#This Row],[Liquidez
Oferente]]&lt;=1.3,4,IF(Proponentes[[#This Row],[Liquidez
Oferente]]&lt;=1.4,5,6)))))</f>
        <v>2</v>
      </c>
      <c r="AE293" s="10">
        <f>IF(Proponentes[[#This Row],[Endeudamiento
Oferente]]&lt;=66%,6,IF(Proponentes[[#This Row],[Endeudamiento
Oferente]]&lt;=58,5,IF(Proponentes[[#This Row],[Endeudamiento
Oferente]]&lt;=70,4,IF(Proponentes[[#This Row],[Endeudamiento
Oferente]]&lt;=72,3,IF(Proponentes[[#This Row],[Endeudamiento
Oferente]]&lt;=74,2,1)))))</f>
        <v>6</v>
      </c>
      <c r="AF29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293" s="10">
        <f>IF(Proponentes[[#This Row],[Cap Op en SMMLV]]&lt;=500,1,IF(Proponentes[[#This Row],[Cap Op en SMMLV]]&lt;=1000,2,IF(Proponentes[[#This Row],[Cap Op en SMMLV]]&lt;=1500,3,IF(Proponentes[[#This Row],[Cap Op en SMMLV]]&lt;=2000,4,IF(Proponentes[[#This Row],[Cap Op en SMMLV]]&lt;=2500,5,6)))))</f>
        <v>1</v>
      </c>
      <c r="AH293" s="10">
        <f>MIN(Proponentes[[#This Row],[a]:[d]])</f>
        <v>1</v>
      </c>
      <c r="AI293" s="87">
        <f>IF(Proponentes[[#This Row],[e]]=Proponentes[[#This Row],[d]],Proponentes[[#This Row],[Cap Op en SMMLV]],VLOOKUP(Proponentes[[#This Row],[e]],Base!$D$1:$E$6,2,FALSE))</f>
        <v>0</v>
      </c>
      <c r="AJ293" s="101" t="str">
        <f>VLOOKUP(Proponentes[[#This Row],[Propuesta]],Hoja2!$A$2:$D$329,4,FALSE)</f>
        <v>NO CUMPLE</v>
      </c>
      <c r="AK293" s="101"/>
    </row>
    <row r="294" spans="1:37" ht="16" x14ac:dyDescent="0.2">
      <c r="A294" s="10">
        <v>293</v>
      </c>
      <c r="B294" s="11">
        <v>900100850</v>
      </c>
      <c r="C294" s="12" t="s">
        <v>410</v>
      </c>
      <c r="D294" s="13">
        <v>0</v>
      </c>
      <c r="E294" s="13">
        <v>0</v>
      </c>
      <c r="F294" s="25">
        <f>Proponentes[[#This Row],[Activo Corriente]]+Proponentes[[#This Row],[Activo NO Corriente]]</f>
        <v>0</v>
      </c>
      <c r="G294" s="13">
        <v>0</v>
      </c>
      <c r="H294" s="13">
        <v>0</v>
      </c>
      <c r="I294" s="25">
        <f>Proponentes[[#This Row],[Pasivo Corriente]]+Proponentes[[#This Row],[Pasivo NO Corriente]]</f>
        <v>0</v>
      </c>
      <c r="J294" s="14">
        <f>Proponentes[[#This Row],[Total ACTIVO]]-Proponentes[[#This Row],[Total Pasivo]]</f>
        <v>0</v>
      </c>
      <c r="K294" s="48" t="e">
        <f>VLOOKUP(Proponentes[[#This Row],[Propuesta]],Hoja2!$A$2:$G$239,7,FALSE)</f>
        <v>#N/A</v>
      </c>
      <c r="L294" s="15"/>
      <c r="M294" s="15" t="s">
        <v>188</v>
      </c>
      <c r="N294" s="55">
        <f>IFERROR(VLOOKUP(Proponentes[[#This Row],[Cap Op en SMMLV]],Base!$A$15:$F$20,3),0)</f>
        <v>0</v>
      </c>
      <c r="O294" s="16">
        <f>IFERROR(VLOOKUP(Proponentes[[#This Row],[Cap Op en SMMLV]],Base!$A$15:$F$20,4),0)</f>
        <v>0</v>
      </c>
      <c r="P294" s="17">
        <f>IFERROR(VLOOKUP(Proponentes[[#This Row],[Cap Op en SMMLV]],Tabla2[],6),0)</f>
        <v>0</v>
      </c>
      <c r="Q294" s="18">
        <f>IFERROR(VLOOKUP(Proponentes[[#This Row],[Cap Op en SMMLV]],Base!$A$15:$F$20,5),0)</f>
        <v>0</v>
      </c>
      <c r="R294" s="18">
        <f>IFERROR(VLOOKUP(Proponentes[[#This Row],[Cap Op en SMMLV]],Tabla2[[DE]:[HASTA]],2),0)</f>
        <v>0</v>
      </c>
      <c r="S294" s="19" t="str">
        <f>IFERROR(Proponentes[[#This Row],[Activo Corriente]]/Proponentes[[#This Row],[Pasivo Corriente]],"INDETERMINADO")</f>
        <v>INDETERMINADO</v>
      </c>
      <c r="T294" s="20">
        <f>IFERROR(Proponentes[[#This Row],[Total Pasivo]]/Proponentes[[#This Row],[Total ACTIVO]],0)</f>
        <v>0</v>
      </c>
      <c r="U294" s="21">
        <f>(Proponentes[[#This Row],[Activo Corriente]]-Proponentes[[#This Row],[Pasivo Corriente]])/Base!$B$3</f>
        <v>0</v>
      </c>
      <c r="V294" s="22">
        <f>Proponentes[[#This Row],[Activo Corriente]]-Proponentes[[#This Row],[Pasivo Corriente]]</f>
        <v>0</v>
      </c>
      <c r="W294" s="13">
        <f>IFERROR(VLOOKUP(Proponentes[[#This Row],[Propuesta]],Hoja2!$A$2:$G$329,7,FALSE),0)</f>
        <v>0</v>
      </c>
      <c r="X294" s="83">
        <f>IF(Proponentes[[#This Row],[Cap Op en Pesos]]=0,0,IF(Proponentes[[#This Row],[Cap Op en Pesos]]=0,1,Proponentes[[#This Row],[Cap Op en Pesos]]/Base!B$3))</f>
        <v>0</v>
      </c>
      <c r="Y29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29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9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94" s="23" t="str">
        <f>IF(AND(Proponentes[[#This Row],[Cumple
Liquidez]]="CUMPLE",Proponentes[[#This Row],[Cumple
Endeudamiento]]="CUMPLE",Proponentes[[#This Row],[Cumple
Capital de Trabajo]]="CUMPLE"),"CUMPLE","NO CUMPLE")</f>
        <v>NO CUMPLE</v>
      </c>
      <c r="AC294" s="24"/>
      <c r="AD294" s="10">
        <f>IF(Proponentes[[#This Row],[Liquidez
Oferente]]&lt;=1,1,IF(Proponentes[[#This Row],[Liquidez
Oferente]]&lt;=1.1,2,IF(Proponentes[[#This Row],[Liquidez
Oferente]]&lt;=1.2,3,IF(Proponentes[[#This Row],[Liquidez
Oferente]]&lt;=1.3,4,IF(Proponentes[[#This Row],[Liquidez
Oferente]]&lt;=1.4,5,6)))))</f>
        <v>6</v>
      </c>
      <c r="AE294" s="10">
        <f>IF(Proponentes[[#This Row],[Endeudamiento
Oferente]]&lt;=66%,6,IF(Proponentes[[#This Row],[Endeudamiento
Oferente]]&lt;=58,5,IF(Proponentes[[#This Row],[Endeudamiento
Oferente]]&lt;=70,4,IF(Proponentes[[#This Row],[Endeudamiento
Oferente]]&lt;=72,3,IF(Proponentes[[#This Row],[Endeudamiento
Oferente]]&lt;=74,2,1)))))</f>
        <v>6</v>
      </c>
      <c r="AF29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94" s="10">
        <f>IF(Proponentes[[#This Row],[Cap Op en SMMLV]]&lt;=500,1,IF(Proponentes[[#This Row],[Cap Op en SMMLV]]&lt;=1000,2,IF(Proponentes[[#This Row],[Cap Op en SMMLV]]&lt;=1500,3,IF(Proponentes[[#This Row],[Cap Op en SMMLV]]&lt;=2000,4,IF(Proponentes[[#This Row],[Cap Op en SMMLV]]&lt;=2500,5,6)))))</f>
        <v>1</v>
      </c>
      <c r="AH294" s="10">
        <f>MIN(Proponentes[[#This Row],[a]:[d]])</f>
        <v>1</v>
      </c>
      <c r="AI294" s="87">
        <f>IF(Proponentes[[#This Row],[e]]=Proponentes[[#This Row],[d]],Proponentes[[#This Row],[Cap Op en SMMLV]],VLOOKUP(Proponentes[[#This Row],[e]],Base!$D$1:$E$6,2,FALSE))</f>
        <v>0</v>
      </c>
      <c r="AJ294" s="101" t="str">
        <f>VLOOKUP(Proponentes[[#This Row],[Propuesta]],Hoja2!$A$2:$D$329,4,FALSE)</f>
        <v>NO CUMPLE</v>
      </c>
      <c r="AK294" s="101"/>
    </row>
    <row r="295" spans="1:37" ht="16" x14ac:dyDescent="0.2">
      <c r="A295" s="10">
        <v>294</v>
      </c>
      <c r="B295" s="11">
        <v>816006359</v>
      </c>
      <c r="C295" s="12" t="s">
        <v>411</v>
      </c>
      <c r="D295" s="13">
        <v>14991247000</v>
      </c>
      <c r="E295" s="13">
        <v>5104611000</v>
      </c>
      <c r="F295" s="25">
        <f>Proponentes[[#This Row],[Activo Corriente]]+Proponentes[[#This Row],[Activo NO Corriente]]</f>
        <v>20095858000</v>
      </c>
      <c r="G295" s="13">
        <v>2747499000</v>
      </c>
      <c r="H295" s="13">
        <v>4737619000</v>
      </c>
      <c r="I295" s="25">
        <f>Proponentes[[#This Row],[Pasivo Corriente]]+Proponentes[[#This Row],[Pasivo NO Corriente]]</f>
        <v>7485118000</v>
      </c>
      <c r="J295" s="14">
        <f>Proponentes[[#This Row],[Total ACTIVO]]-Proponentes[[#This Row],[Total Pasivo]]</f>
        <v>12610740000</v>
      </c>
      <c r="K295" s="48" t="e">
        <f>VLOOKUP(Proponentes[[#This Row],[Propuesta]],Hoja2!$A$2:$G$239,7,FALSE)</f>
        <v>#N/A</v>
      </c>
      <c r="L295" s="15" t="s">
        <v>86</v>
      </c>
      <c r="M295" s="15" t="s">
        <v>28</v>
      </c>
      <c r="N295" s="55">
        <f>IFERROR(VLOOKUP(Proponentes[[#This Row],[Cap Op en SMMLV]],Base!$A$15:$F$20,3),0)</f>
        <v>1.1000000000000001</v>
      </c>
      <c r="O295" s="16">
        <f>IFERROR(VLOOKUP(Proponentes[[#This Row],[Cap Op en SMMLV]],Base!$A$15:$F$20,4),0)</f>
        <v>0.74</v>
      </c>
      <c r="P295" s="17">
        <f>IFERROR(VLOOKUP(Proponentes[[#This Row],[Cap Op en SMMLV]],Tabla2[],6),0)</f>
        <v>25</v>
      </c>
      <c r="Q295" s="18">
        <f>IFERROR(VLOOKUP(Proponentes[[#This Row],[Cap Op en SMMLV]],Base!$A$15:$F$20,5),0)</f>
        <v>20702900</v>
      </c>
      <c r="R295" s="18">
        <f>IFERROR(VLOOKUP(Proponentes[[#This Row],[Cap Op en SMMLV]],Tabla2[[DE]:[HASTA]],2),0)</f>
        <v>1000</v>
      </c>
      <c r="S295" s="19">
        <f>IFERROR(Proponentes[[#This Row],[Activo Corriente]]/Proponentes[[#This Row],[Pasivo Corriente]],"INDETERMINADO")</f>
        <v>5.4563248248679983</v>
      </c>
      <c r="T295" s="20">
        <f>IFERROR(Proponentes[[#This Row],[Total Pasivo]]/Proponentes[[#This Row],[Total ACTIVO]],0)</f>
        <v>0.37247068525265259</v>
      </c>
      <c r="U295" s="21">
        <f>(Proponentes[[#This Row],[Activo Corriente]]-Proponentes[[#This Row],[Pasivo Corriente]])/Base!$B$3</f>
        <v>14785.063928241938</v>
      </c>
      <c r="V295" s="22">
        <f>Proponentes[[#This Row],[Activo Corriente]]-Proponentes[[#This Row],[Pasivo Corriente]]</f>
        <v>12243748000</v>
      </c>
      <c r="W295" s="13">
        <f>IFERROR(VLOOKUP(Proponentes[[#This Row],[Propuesta]],Hoja2!$A$2:$G$329,7,FALSE),0)</f>
        <v>424439765.89352089</v>
      </c>
      <c r="X295" s="83">
        <f>IF(Proponentes[[#This Row],[Cap Op en Pesos]]=0,0,IF(Proponentes[[#This Row],[Cap Op en Pesos]]=0,1,Proponentes[[#This Row],[Cap Op en Pesos]]/Base!B$3))</f>
        <v>512.53660826927739</v>
      </c>
      <c r="Y29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9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9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95" s="23" t="str">
        <f>IF(AND(Proponentes[[#This Row],[Cumple
Liquidez]]="CUMPLE",Proponentes[[#This Row],[Cumple
Endeudamiento]]="CUMPLE",Proponentes[[#This Row],[Cumple
Capital de Trabajo]]="CUMPLE"),"CUMPLE","NO CUMPLE")</f>
        <v>CUMPLE</v>
      </c>
      <c r="AC295" s="24"/>
      <c r="AD295" s="10">
        <f>IF(Proponentes[[#This Row],[Liquidez
Oferente]]&lt;=1,1,IF(Proponentes[[#This Row],[Liquidez
Oferente]]&lt;=1.1,2,IF(Proponentes[[#This Row],[Liquidez
Oferente]]&lt;=1.2,3,IF(Proponentes[[#This Row],[Liquidez
Oferente]]&lt;=1.3,4,IF(Proponentes[[#This Row],[Liquidez
Oferente]]&lt;=1.4,5,6)))))</f>
        <v>6</v>
      </c>
      <c r="AE295" s="10">
        <f>IF(Proponentes[[#This Row],[Endeudamiento
Oferente]]&lt;=66%,6,IF(Proponentes[[#This Row],[Endeudamiento
Oferente]]&lt;=58,5,IF(Proponentes[[#This Row],[Endeudamiento
Oferente]]&lt;=70,4,IF(Proponentes[[#This Row],[Endeudamiento
Oferente]]&lt;=72,3,IF(Proponentes[[#This Row],[Endeudamiento
Oferente]]&lt;=74,2,1)))))</f>
        <v>6</v>
      </c>
      <c r="AF29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95" s="10">
        <f>IF(Proponentes[[#This Row],[Cap Op en SMMLV]]&lt;=500,1,IF(Proponentes[[#This Row],[Cap Op en SMMLV]]&lt;=1000,2,IF(Proponentes[[#This Row],[Cap Op en SMMLV]]&lt;=1500,3,IF(Proponentes[[#This Row],[Cap Op en SMMLV]]&lt;=2000,4,IF(Proponentes[[#This Row],[Cap Op en SMMLV]]&lt;=2500,5,6)))))</f>
        <v>2</v>
      </c>
      <c r="AH295" s="10">
        <f>MIN(Proponentes[[#This Row],[a]:[d]])</f>
        <v>2</v>
      </c>
      <c r="AI295" s="87">
        <f>IF(Proponentes[[#This Row],[e]]=Proponentes[[#This Row],[d]],Proponentes[[#This Row],[Cap Op en SMMLV]],VLOOKUP(Proponentes[[#This Row],[e]],Base!$D$1:$E$6,2,FALSE))</f>
        <v>512.53660826927739</v>
      </c>
      <c r="AJ295" s="101" t="str">
        <f>VLOOKUP(Proponentes[[#This Row],[Propuesta]],Hoja2!$A$2:$D$329,4,FALSE)</f>
        <v>CUMPLE</v>
      </c>
      <c r="AK295" s="101"/>
    </row>
    <row r="296" spans="1:37" ht="16" x14ac:dyDescent="0.2">
      <c r="A296" s="10">
        <v>295</v>
      </c>
      <c r="B296" s="11">
        <v>900237637</v>
      </c>
      <c r="C296" s="12" t="s">
        <v>412</v>
      </c>
      <c r="D296" s="13">
        <v>1650556051</v>
      </c>
      <c r="E296" s="13">
        <v>219509808</v>
      </c>
      <c r="F296" s="25">
        <f>Proponentes[[#This Row],[Activo Corriente]]+Proponentes[[#This Row],[Activo NO Corriente]]</f>
        <v>1870065859</v>
      </c>
      <c r="G296" s="13">
        <v>45542184</v>
      </c>
      <c r="H296" s="13">
        <v>611138475</v>
      </c>
      <c r="I296" s="25">
        <f>Proponentes[[#This Row],[Pasivo Corriente]]+Proponentes[[#This Row],[Pasivo NO Corriente]]</f>
        <v>656680659</v>
      </c>
      <c r="J296" s="14">
        <f>Proponentes[[#This Row],[Total ACTIVO]]-Proponentes[[#This Row],[Total Pasivo]]</f>
        <v>1213385200</v>
      </c>
      <c r="K296" s="48" t="e">
        <f>VLOOKUP(Proponentes[[#This Row],[Propuesta]],Hoja2!$A$2:$G$239,7,FALSE)</f>
        <v>#N/A</v>
      </c>
      <c r="L296" s="15" t="s">
        <v>86</v>
      </c>
      <c r="M296" s="15" t="s">
        <v>28</v>
      </c>
      <c r="N296" s="55">
        <f>IFERROR(VLOOKUP(Proponentes[[#This Row],[Cap Op en SMMLV]],Base!$A$15:$F$20,3),0)</f>
        <v>1</v>
      </c>
      <c r="O296" s="16">
        <f>IFERROR(VLOOKUP(Proponentes[[#This Row],[Cap Op en SMMLV]],Base!$A$15:$F$20,4),0)</f>
        <v>0.76</v>
      </c>
      <c r="P296" s="17">
        <f>IFERROR(VLOOKUP(Proponentes[[#This Row],[Cap Op en SMMLV]],Tabla2[],6),0)</f>
        <v>12.5</v>
      </c>
      <c r="Q296" s="18">
        <f>IFERROR(VLOOKUP(Proponentes[[#This Row],[Cap Op en SMMLV]],Base!$A$15:$F$20,5),0)</f>
        <v>10351450</v>
      </c>
      <c r="R296" s="18">
        <f>IFERROR(VLOOKUP(Proponentes[[#This Row],[Cap Op en SMMLV]],Tabla2[[DE]:[HASTA]],2),0)</f>
        <v>500</v>
      </c>
      <c r="S296" s="19">
        <f>IFERROR(Proponentes[[#This Row],[Activo Corriente]]/Proponentes[[#This Row],[Pasivo Corriente]],"INDETERMINADO")</f>
        <v>36.24235611976799</v>
      </c>
      <c r="T296" s="20">
        <f>IFERROR(Proponentes[[#This Row],[Total Pasivo]]/Proponentes[[#This Row],[Total ACTIVO]],0)</f>
        <v>0.35115376062271614</v>
      </c>
      <c r="U296" s="21">
        <f>(Proponentes[[#This Row],[Activo Corriente]]-Proponentes[[#This Row],[Pasivo Corriente]])/Base!$B$3</f>
        <v>1938.1510162827431</v>
      </c>
      <c r="V296" s="22">
        <f>Proponentes[[#This Row],[Activo Corriente]]-Proponentes[[#This Row],[Pasivo Corriente]]</f>
        <v>1605013867</v>
      </c>
      <c r="W296" s="13">
        <f>IFERROR(VLOOKUP(Proponentes[[#This Row],[Propuesta]],Hoja2!$A$2:$G$329,7,FALSE),0)</f>
        <v>80138356.85831818</v>
      </c>
      <c r="X296" s="83">
        <f>IF(Proponentes[[#This Row],[Cap Op en Pesos]]=0,0,IF(Proponentes[[#This Row],[Cap Op en Pesos]]=0,1,Proponentes[[#This Row],[Cap Op en Pesos]]/Base!B$3))</f>
        <v>96.77189772727273</v>
      </c>
      <c r="Y29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9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29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96" s="23" t="str">
        <f>IF(AND(Proponentes[[#This Row],[Cumple
Liquidez]]="CUMPLE",Proponentes[[#This Row],[Cumple
Endeudamiento]]="CUMPLE",Proponentes[[#This Row],[Cumple
Capital de Trabajo]]="CUMPLE"),"CUMPLE","NO CUMPLE")</f>
        <v>CUMPLE</v>
      </c>
      <c r="AC296" s="24"/>
      <c r="AD296" s="10">
        <f>IF(Proponentes[[#This Row],[Liquidez
Oferente]]&lt;=1,1,IF(Proponentes[[#This Row],[Liquidez
Oferente]]&lt;=1.1,2,IF(Proponentes[[#This Row],[Liquidez
Oferente]]&lt;=1.2,3,IF(Proponentes[[#This Row],[Liquidez
Oferente]]&lt;=1.3,4,IF(Proponentes[[#This Row],[Liquidez
Oferente]]&lt;=1.4,5,6)))))</f>
        <v>6</v>
      </c>
      <c r="AE296" s="10">
        <f>IF(Proponentes[[#This Row],[Endeudamiento
Oferente]]&lt;=66%,6,IF(Proponentes[[#This Row],[Endeudamiento
Oferente]]&lt;=58,5,IF(Proponentes[[#This Row],[Endeudamiento
Oferente]]&lt;=70,4,IF(Proponentes[[#This Row],[Endeudamiento
Oferente]]&lt;=72,3,IF(Proponentes[[#This Row],[Endeudamiento
Oferente]]&lt;=74,2,1)))))</f>
        <v>6</v>
      </c>
      <c r="AF29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96" s="10">
        <f>IF(Proponentes[[#This Row],[Cap Op en SMMLV]]&lt;=500,1,IF(Proponentes[[#This Row],[Cap Op en SMMLV]]&lt;=1000,2,IF(Proponentes[[#This Row],[Cap Op en SMMLV]]&lt;=1500,3,IF(Proponentes[[#This Row],[Cap Op en SMMLV]]&lt;=2000,4,IF(Proponentes[[#This Row],[Cap Op en SMMLV]]&lt;=2500,5,6)))))</f>
        <v>1</v>
      </c>
      <c r="AH296" s="10">
        <f>MIN(Proponentes[[#This Row],[a]:[d]])</f>
        <v>1</v>
      </c>
      <c r="AI296" s="87">
        <f>IF(Proponentes[[#This Row],[e]]=Proponentes[[#This Row],[d]],Proponentes[[#This Row],[Cap Op en SMMLV]],VLOOKUP(Proponentes[[#This Row],[e]],Base!$D$1:$E$6,2,FALSE))</f>
        <v>96.77189772727273</v>
      </c>
      <c r="AJ296" s="101" t="str">
        <f>VLOOKUP(Proponentes[[#This Row],[Propuesta]],Hoja2!$A$2:$D$329,4,FALSE)</f>
        <v>NO CUMPLE</v>
      </c>
      <c r="AK296" s="101"/>
    </row>
    <row r="297" spans="1:37" ht="32" x14ac:dyDescent="0.2">
      <c r="A297" s="10">
        <v>296</v>
      </c>
      <c r="B297" s="11">
        <v>825001418</v>
      </c>
      <c r="C297" s="12" t="s">
        <v>413</v>
      </c>
      <c r="D297" s="13">
        <v>303692000</v>
      </c>
      <c r="E297" s="13">
        <v>50069000</v>
      </c>
      <c r="F297" s="25">
        <f>Proponentes[[#This Row],[Activo Corriente]]+Proponentes[[#This Row],[Activo NO Corriente]]</f>
        <v>353761000</v>
      </c>
      <c r="G297" s="13">
        <v>1500000</v>
      </c>
      <c r="H297" s="13">
        <v>0</v>
      </c>
      <c r="I297" s="25">
        <f>Proponentes[[#This Row],[Pasivo Corriente]]+Proponentes[[#This Row],[Pasivo NO Corriente]]</f>
        <v>1500000</v>
      </c>
      <c r="J297" s="14">
        <f>Proponentes[[#This Row],[Total ACTIVO]]-Proponentes[[#This Row],[Total Pasivo]]</f>
        <v>352261000</v>
      </c>
      <c r="K297" s="48" t="e">
        <f>VLOOKUP(Proponentes[[#This Row],[Propuesta]],Hoja2!$A$2:$G$239,7,FALSE)</f>
        <v>#N/A</v>
      </c>
      <c r="L297" s="15" t="s">
        <v>86</v>
      </c>
      <c r="M297" s="15" t="s">
        <v>28</v>
      </c>
      <c r="N297" s="55">
        <f>IFERROR(VLOOKUP(Proponentes[[#This Row],[Cap Op en SMMLV]],Base!$A$15:$F$20,3),0)</f>
        <v>0</v>
      </c>
      <c r="O297" s="16">
        <f>IFERROR(VLOOKUP(Proponentes[[#This Row],[Cap Op en SMMLV]],Base!$A$15:$F$20,4),0)</f>
        <v>0</v>
      </c>
      <c r="P297" s="17">
        <f>IFERROR(VLOOKUP(Proponentes[[#This Row],[Cap Op en SMMLV]],Tabla2[],6),0)</f>
        <v>0</v>
      </c>
      <c r="Q297" s="18">
        <f>IFERROR(VLOOKUP(Proponentes[[#This Row],[Cap Op en SMMLV]],Base!$A$15:$F$20,5),0)</f>
        <v>0</v>
      </c>
      <c r="R297" s="18">
        <f>IFERROR(VLOOKUP(Proponentes[[#This Row],[Cap Op en SMMLV]],Tabla2[[DE]:[HASTA]],2),0)</f>
        <v>0</v>
      </c>
      <c r="S297" s="19">
        <f>IFERROR(Proponentes[[#This Row],[Activo Corriente]]/Proponentes[[#This Row],[Pasivo Corriente]],"INDETERMINADO")</f>
        <v>202.46133333333333</v>
      </c>
      <c r="T297" s="20">
        <f>IFERROR(Proponentes[[#This Row],[Total Pasivo]]/Proponentes[[#This Row],[Total ACTIVO]],0)</f>
        <v>4.2401508362990836E-3</v>
      </c>
      <c r="U297" s="21">
        <f>(Proponentes[[#This Row],[Activo Corriente]]-Proponentes[[#This Row],[Pasivo Corriente]])/Base!$B$3</f>
        <v>364.91506020895622</v>
      </c>
      <c r="V297" s="22">
        <f>Proponentes[[#This Row],[Activo Corriente]]-Proponentes[[#This Row],[Pasivo Corriente]]</f>
        <v>302192000</v>
      </c>
      <c r="W297" s="13">
        <f>IFERROR(VLOOKUP(Proponentes[[#This Row],[Propuesta]],Hoja2!$A$2:$G$329,7,FALSE),0)</f>
        <v>0</v>
      </c>
      <c r="X297" s="83">
        <f>IF(Proponentes[[#This Row],[Cap Op en Pesos]]=0,0,IF(Proponentes[[#This Row],[Cap Op en Pesos]]=0,1,Proponentes[[#This Row],[Cap Op en Pesos]]/Base!B$3))</f>
        <v>0</v>
      </c>
      <c r="Y29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9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9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97" s="23" t="str">
        <f>IF(AND(Proponentes[[#This Row],[Cumple
Liquidez]]="CUMPLE",Proponentes[[#This Row],[Cumple
Endeudamiento]]="CUMPLE",Proponentes[[#This Row],[Cumple
Capital de Trabajo]]="CUMPLE"),"CUMPLE","NO CUMPLE")</f>
        <v>NO CUMPLE</v>
      </c>
      <c r="AC297" s="24"/>
      <c r="AD297" s="10">
        <f>IF(Proponentes[[#This Row],[Liquidez
Oferente]]&lt;=1,1,IF(Proponentes[[#This Row],[Liquidez
Oferente]]&lt;=1.1,2,IF(Proponentes[[#This Row],[Liquidez
Oferente]]&lt;=1.2,3,IF(Proponentes[[#This Row],[Liquidez
Oferente]]&lt;=1.3,4,IF(Proponentes[[#This Row],[Liquidez
Oferente]]&lt;=1.4,5,6)))))</f>
        <v>6</v>
      </c>
      <c r="AE297" s="10">
        <f>IF(Proponentes[[#This Row],[Endeudamiento
Oferente]]&lt;=66%,6,IF(Proponentes[[#This Row],[Endeudamiento
Oferente]]&lt;=58,5,IF(Proponentes[[#This Row],[Endeudamiento
Oferente]]&lt;=70,4,IF(Proponentes[[#This Row],[Endeudamiento
Oferente]]&lt;=72,3,IF(Proponentes[[#This Row],[Endeudamiento
Oferente]]&lt;=74,2,1)))))</f>
        <v>6</v>
      </c>
      <c r="AF29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97" s="10">
        <f>IF(Proponentes[[#This Row],[Cap Op en SMMLV]]&lt;=500,1,IF(Proponentes[[#This Row],[Cap Op en SMMLV]]&lt;=1000,2,IF(Proponentes[[#This Row],[Cap Op en SMMLV]]&lt;=1500,3,IF(Proponentes[[#This Row],[Cap Op en SMMLV]]&lt;=2000,4,IF(Proponentes[[#This Row],[Cap Op en SMMLV]]&lt;=2500,5,6)))))</f>
        <v>1</v>
      </c>
      <c r="AH297" s="10">
        <f>MIN(Proponentes[[#This Row],[a]:[d]])</f>
        <v>1</v>
      </c>
      <c r="AI297" s="87">
        <f>IF(Proponentes[[#This Row],[e]]=Proponentes[[#This Row],[d]],Proponentes[[#This Row],[Cap Op en SMMLV]],VLOOKUP(Proponentes[[#This Row],[e]],Base!$D$1:$E$6,2,FALSE))</f>
        <v>0</v>
      </c>
      <c r="AJ297" s="101" t="str">
        <f>VLOOKUP(Proponentes[[#This Row],[Propuesta]],Hoja2!$A$2:$D$329,4,FALSE)</f>
        <v>NO CUMPLE</v>
      </c>
      <c r="AK297" s="101"/>
    </row>
    <row r="298" spans="1:37" ht="16" x14ac:dyDescent="0.2">
      <c r="A298" s="10">
        <v>297</v>
      </c>
      <c r="B298" s="11">
        <v>901297455</v>
      </c>
      <c r="C298" s="12" t="s">
        <v>414</v>
      </c>
      <c r="D298" s="13">
        <v>580000000</v>
      </c>
      <c r="E298" s="13">
        <v>5000000</v>
      </c>
      <c r="F298" s="25">
        <f>Proponentes[[#This Row],[Activo Corriente]]+Proponentes[[#This Row],[Activo NO Corriente]]</f>
        <v>585000000</v>
      </c>
      <c r="G298" s="13">
        <v>5000000</v>
      </c>
      <c r="H298" s="13">
        <v>0</v>
      </c>
      <c r="I298" s="25">
        <f>Proponentes[[#This Row],[Pasivo Corriente]]+Proponentes[[#This Row],[Pasivo NO Corriente]]</f>
        <v>5000000</v>
      </c>
      <c r="J298" s="14">
        <f>Proponentes[[#This Row],[Total ACTIVO]]-Proponentes[[#This Row],[Total Pasivo]]</f>
        <v>580000000</v>
      </c>
      <c r="K298" s="48" t="e">
        <f>VLOOKUP(Proponentes[[#This Row],[Propuesta]],Hoja2!$A$2:$G$239,7,FALSE)</f>
        <v>#N/A</v>
      </c>
      <c r="L298" s="15"/>
      <c r="M298" s="15" t="s">
        <v>36</v>
      </c>
      <c r="N298" s="55">
        <f>IFERROR(VLOOKUP(Proponentes[[#This Row],[Cap Op en SMMLV]],Base!$A$15:$F$20,3),0)</f>
        <v>0</v>
      </c>
      <c r="O298" s="16">
        <f>IFERROR(VLOOKUP(Proponentes[[#This Row],[Cap Op en SMMLV]],Base!$A$15:$F$20,4),0)</f>
        <v>0</v>
      </c>
      <c r="P298" s="17">
        <f>IFERROR(VLOOKUP(Proponentes[[#This Row],[Cap Op en SMMLV]],Tabla2[],6),0)</f>
        <v>0</v>
      </c>
      <c r="Q298" s="18">
        <f>IFERROR(VLOOKUP(Proponentes[[#This Row],[Cap Op en SMMLV]],Base!$A$15:$F$20,5),0)</f>
        <v>0</v>
      </c>
      <c r="R298" s="18">
        <f>IFERROR(VLOOKUP(Proponentes[[#This Row],[Cap Op en SMMLV]],Tabla2[[DE]:[HASTA]],2),0)</f>
        <v>0</v>
      </c>
      <c r="S298" s="19">
        <f>IFERROR(Proponentes[[#This Row],[Activo Corriente]]/Proponentes[[#This Row],[Pasivo Corriente]],"INDETERMINADO")</f>
        <v>116</v>
      </c>
      <c r="T298" s="20">
        <f>IFERROR(Proponentes[[#This Row],[Total Pasivo]]/Proponentes[[#This Row],[Total ACTIVO]],0)</f>
        <v>8.5470085470085479E-3</v>
      </c>
      <c r="U298" s="21">
        <f>(Proponentes[[#This Row],[Activo Corriente]]-Proponentes[[#This Row],[Pasivo Corriente]])/Base!$B$3</f>
        <v>694.34716875413585</v>
      </c>
      <c r="V298" s="22">
        <f>Proponentes[[#This Row],[Activo Corriente]]-Proponentes[[#This Row],[Pasivo Corriente]]</f>
        <v>575000000</v>
      </c>
      <c r="W298" s="13">
        <f>IFERROR(VLOOKUP(Proponentes[[#This Row],[Propuesta]],Hoja2!$A$2:$G$329,7,FALSE),0)</f>
        <v>0</v>
      </c>
      <c r="X298" s="83">
        <f>IF(Proponentes[[#This Row],[Cap Op en Pesos]]=0,0,IF(Proponentes[[#This Row],[Cap Op en Pesos]]=0,1,Proponentes[[#This Row],[Cap Op en Pesos]]/Base!B$3))</f>
        <v>0</v>
      </c>
      <c r="Y29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9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9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298" s="23" t="str">
        <f>IF(AND(Proponentes[[#This Row],[Cumple
Liquidez]]="CUMPLE",Proponentes[[#This Row],[Cumple
Endeudamiento]]="CUMPLE",Proponentes[[#This Row],[Cumple
Capital de Trabajo]]="CUMPLE"),"CUMPLE","NO CUMPLE")</f>
        <v>NO CUMPLE</v>
      </c>
      <c r="AC298" s="24" t="s">
        <v>811</v>
      </c>
      <c r="AD298" s="10">
        <f>IF(Proponentes[[#This Row],[Liquidez
Oferente]]&lt;=1,1,IF(Proponentes[[#This Row],[Liquidez
Oferente]]&lt;=1.1,2,IF(Proponentes[[#This Row],[Liquidez
Oferente]]&lt;=1.2,3,IF(Proponentes[[#This Row],[Liquidez
Oferente]]&lt;=1.3,4,IF(Proponentes[[#This Row],[Liquidez
Oferente]]&lt;=1.4,5,6)))))</f>
        <v>6</v>
      </c>
      <c r="AE298" s="10">
        <f>IF(Proponentes[[#This Row],[Endeudamiento
Oferente]]&lt;=66%,6,IF(Proponentes[[#This Row],[Endeudamiento
Oferente]]&lt;=58,5,IF(Proponentes[[#This Row],[Endeudamiento
Oferente]]&lt;=70,4,IF(Proponentes[[#This Row],[Endeudamiento
Oferente]]&lt;=72,3,IF(Proponentes[[#This Row],[Endeudamiento
Oferente]]&lt;=74,2,1)))))</f>
        <v>6</v>
      </c>
      <c r="AF29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298" s="10">
        <f>IF(Proponentes[[#This Row],[Cap Op en SMMLV]]&lt;=500,1,IF(Proponentes[[#This Row],[Cap Op en SMMLV]]&lt;=1000,2,IF(Proponentes[[#This Row],[Cap Op en SMMLV]]&lt;=1500,3,IF(Proponentes[[#This Row],[Cap Op en SMMLV]]&lt;=2000,4,IF(Proponentes[[#This Row],[Cap Op en SMMLV]]&lt;=2500,5,6)))))</f>
        <v>1</v>
      </c>
      <c r="AH298" s="10">
        <f>MIN(Proponentes[[#This Row],[a]:[d]])</f>
        <v>1</v>
      </c>
      <c r="AI298" s="87">
        <f>IF(Proponentes[[#This Row],[e]]=Proponentes[[#This Row],[d]],Proponentes[[#This Row],[Cap Op en SMMLV]],VLOOKUP(Proponentes[[#This Row],[e]],Base!$D$1:$E$6,2,FALSE))</f>
        <v>0</v>
      </c>
      <c r="AJ298" s="101" t="str">
        <f>VLOOKUP(Proponentes[[#This Row],[Propuesta]],Hoja2!$A$2:$D$329,4,FALSE)</f>
        <v>NO CUMPLE</v>
      </c>
      <c r="AK298" s="101"/>
    </row>
    <row r="299" spans="1:37" ht="16" x14ac:dyDescent="0.2">
      <c r="A299" s="10">
        <v>298</v>
      </c>
      <c r="B299" s="11">
        <v>900937582</v>
      </c>
      <c r="C299" s="12" t="s">
        <v>415</v>
      </c>
      <c r="D299" s="13">
        <v>1018000</v>
      </c>
      <c r="E299" s="13">
        <v>4900000</v>
      </c>
      <c r="F299" s="25">
        <f>Proponentes[[#This Row],[Activo Corriente]]+Proponentes[[#This Row],[Activo NO Corriente]]</f>
        <v>5918000</v>
      </c>
      <c r="G299" s="13">
        <v>60000</v>
      </c>
      <c r="H299" s="13">
        <v>0</v>
      </c>
      <c r="I299" s="25">
        <f>Proponentes[[#This Row],[Pasivo Corriente]]+Proponentes[[#This Row],[Pasivo NO Corriente]]</f>
        <v>60000</v>
      </c>
      <c r="J299" s="14">
        <f>Proponentes[[#This Row],[Total ACTIVO]]-Proponentes[[#This Row],[Total Pasivo]]</f>
        <v>5858000</v>
      </c>
      <c r="K299" s="48" t="e">
        <f>VLOOKUP(Proponentes[[#This Row],[Propuesta]],Hoja2!$A$2:$G$239,7,FALSE)</f>
        <v>#N/A</v>
      </c>
      <c r="L299" s="15"/>
      <c r="M299" s="15" t="s">
        <v>36</v>
      </c>
      <c r="N299" s="55">
        <f>IFERROR(VLOOKUP(Proponentes[[#This Row],[Cap Op en SMMLV]],Base!$A$15:$F$20,3),0)</f>
        <v>0</v>
      </c>
      <c r="O299" s="16">
        <f>IFERROR(VLOOKUP(Proponentes[[#This Row],[Cap Op en SMMLV]],Base!$A$15:$F$20,4),0)</f>
        <v>0</v>
      </c>
      <c r="P299" s="17">
        <f>IFERROR(VLOOKUP(Proponentes[[#This Row],[Cap Op en SMMLV]],Tabla2[],6),0)</f>
        <v>0</v>
      </c>
      <c r="Q299" s="18">
        <f>IFERROR(VLOOKUP(Proponentes[[#This Row],[Cap Op en SMMLV]],Base!$A$15:$F$20,5),0)</f>
        <v>0</v>
      </c>
      <c r="R299" s="18">
        <f>IFERROR(VLOOKUP(Proponentes[[#This Row],[Cap Op en SMMLV]],Tabla2[[DE]:[HASTA]],2),0)</f>
        <v>0</v>
      </c>
      <c r="S299" s="19">
        <f>IFERROR(Proponentes[[#This Row],[Activo Corriente]]/Proponentes[[#This Row],[Pasivo Corriente]],"INDETERMINADO")</f>
        <v>16.966666666666665</v>
      </c>
      <c r="T299" s="20">
        <f>IFERROR(Proponentes[[#This Row],[Total Pasivo]]/Proponentes[[#This Row],[Total ACTIVO]],0)</f>
        <v>1.0138560324433931E-2</v>
      </c>
      <c r="U299" s="21">
        <f>(Proponentes[[#This Row],[Activo Corriente]]-Proponentes[[#This Row],[Pasivo Corriente]])/Base!$B$3</f>
        <v>1.1568427611590646</v>
      </c>
      <c r="V299" s="22">
        <f>Proponentes[[#This Row],[Activo Corriente]]-Proponentes[[#This Row],[Pasivo Corriente]]</f>
        <v>958000</v>
      </c>
      <c r="W299" s="13">
        <f>IFERROR(VLOOKUP(Proponentes[[#This Row],[Propuesta]],Hoja2!$A$2:$G$329,7,FALSE),0)</f>
        <v>0</v>
      </c>
      <c r="X299" s="83">
        <f>IF(Proponentes[[#This Row],[Cap Op en Pesos]]=0,0,IF(Proponentes[[#This Row],[Cap Op en Pesos]]=0,1,Proponentes[[#This Row],[Cap Op en Pesos]]/Base!B$3))</f>
        <v>0</v>
      </c>
      <c r="Y29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29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29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299" s="23" t="str">
        <f>IF(AND(Proponentes[[#This Row],[Cumple
Liquidez]]="CUMPLE",Proponentes[[#This Row],[Cumple
Endeudamiento]]="CUMPLE",Proponentes[[#This Row],[Cumple
Capital de Trabajo]]="CUMPLE"),"CUMPLE","NO CUMPLE")</f>
        <v>NO CUMPLE</v>
      </c>
      <c r="AC299" s="24"/>
      <c r="AD299" s="10">
        <f>IF(Proponentes[[#This Row],[Liquidez
Oferente]]&lt;=1,1,IF(Proponentes[[#This Row],[Liquidez
Oferente]]&lt;=1.1,2,IF(Proponentes[[#This Row],[Liquidez
Oferente]]&lt;=1.2,3,IF(Proponentes[[#This Row],[Liquidez
Oferente]]&lt;=1.3,4,IF(Proponentes[[#This Row],[Liquidez
Oferente]]&lt;=1.4,5,6)))))</f>
        <v>6</v>
      </c>
      <c r="AE299" s="10">
        <f>IF(Proponentes[[#This Row],[Endeudamiento
Oferente]]&lt;=66%,6,IF(Proponentes[[#This Row],[Endeudamiento
Oferente]]&lt;=58,5,IF(Proponentes[[#This Row],[Endeudamiento
Oferente]]&lt;=70,4,IF(Proponentes[[#This Row],[Endeudamiento
Oferente]]&lt;=72,3,IF(Proponentes[[#This Row],[Endeudamiento
Oferente]]&lt;=74,2,1)))))</f>
        <v>6</v>
      </c>
      <c r="AF29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299" s="10">
        <f>IF(Proponentes[[#This Row],[Cap Op en SMMLV]]&lt;=500,1,IF(Proponentes[[#This Row],[Cap Op en SMMLV]]&lt;=1000,2,IF(Proponentes[[#This Row],[Cap Op en SMMLV]]&lt;=1500,3,IF(Proponentes[[#This Row],[Cap Op en SMMLV]]&lt;=2000,4,IF(Proponentes[[#This Row],[Cap Op en SMMLV]]&lt;=2500,5,6)))))</f>
        <v>1</v>
      </c>
      <c r="AH299" s="10">
        <f>MIN(Proponentes[[#This Row],[a]:[d]])</f>
        <v>1</v>
      </c>
      <c r="AI299" s="87">
        <f>IF(Proponentes[[#This Row],[e]]=Proponentes[[#This Row],[d]],Proponentes[[#This Row],[Cap Op en SMMLV]],VLOOKUP(Proponentes[[#This Row],[e]],Base!$D$1:$E$6,2,FALSE))</f>
        <v>0</v>
      </c>
      <c r="AJ299" s="101" t="str">
        <f>VLOOKUP(Proponentes[[#This Row],[Propuesta]],Hoja2!$A$2:$D$329,4,FALSE)</f>
        <v>NO CUMPLE</v>
      </c>
      <c r="AK299" s="101"/>
    </row>
    <row r="300" spans="1:37" ht="32" x14ac:dyDescent="0.2">
      <c r="A300" s="10">
        <v>299</v>
      </c>
      <c r="B300" s="11">
        <v>900053307</v>
      </c>
      <c r="C300" s="12" t="s">
        <v>416</v>
      </c>
      <c r="D300" s="13">
        <v>0</v>
      </c>
      <c r="E300" s="13">
        <v>0</v>
      </c>
      <c r="F300" s="25">
        <f>Proponentes[[#This Row],[Activo Corriente]]+Proponentes[[#This Row],[Activo NO Corriente]]</f>
        <v>0</v>
      </c>
      <c r="G300" s="13">
        <v>0</v>
      </c>
      <c r="H300" s="13">
        <v>0</v>
      </c>
      <c r="I300" s="25">
        <f>Proponentes[[#This Row],[Pasivo Corriente]]+Proponentes[[#This Row],[Pasivo NO Corriente]]</f>
        <v>0</v>
      </c>
      <c r="J300" s="14">
        <f>Proponentes[[#This Row],[Total ACTIVO]]-Proponentes[[#This Row],[Total Pasivo]]</f>
        <v>0</v>
      </c>
      <c r="K300" s="48" t="e">
        <f>VLOOKUP(Proponentes[[#This Row],[Propuesta]],Hoja2!$A$2:$G$239,7,FALSE)</f>
        <v>#N/A</v>
      </c>
      <c r="L300" s="15"/>
      <c r="M300" s="15" t="s">
        <v>88</v>
      </c>
      <c r="N300" s="55">
        <f>IFERROR(VLOOKUP(Proponentes[[#This Row],[Cap Op en SMMLV]],Base!$A$15:$F$20,3),0)</f>
        <v>0</v>
      </c>
      <c r="O300" s="16">
        <f>IFERROR(VLOOKUP(Proponentes[[#This Row],[Cap Op en SMMLV]],Base!$A$15:$F$20,4),0)</f>
        <v>0</v>
      </c>
      <c r="P300" s="17">
        <f>IFERROR(VLOOKUP(Proponentes[[#This Row],[Cap Op en SMMLV]],Tabla2[],6),0)</f>
        <v>0</v>
      </c>
      <c r="Q300" s="18">
        <f>IFERROR(VLOOKUP(Proponentes[[#This Row],[Cap Op en SMMLV]],Base!$A$15:$F$20,5),0)</f>
        <v>0</v>
      </c>
      <c r="R300" s="18">
        <f>IFERROR(VLOOKUP(Proponentes[[#This Row],[Cap Op en SMMLV]],Tabla2[[DE]:[HASTA]],2),0)</f>
        <v>0</v>
      </c>
      <c r="S300" s="19" t="str">
        <f>IFERROR(Proponentes[[#This Row],[Activo Corriente]]/Proponentes[[#This Row],[Pasivo Corriente]],"INDETERMINADO")</f>
        <v>INDETERMINADO</v>
      </c>
      <c r="T300" s="20">
        <f>IFERROR(Proponentes[[#This Row],[Total Pasivo]]/Proponentes[[#This Row],[Total ACTIVO]],0)</f>
        <v>0</v>
      </c>
      <c r="U300" s="21">
        <f>(Proponentes[[#This Row],[Activo Corriente]]-Proponentes[[#This Row],[Pasivo Corriente]])/Base!$B$3</f>
        <v>0</v>
      </c>
      <c r="V300" s="22">
        <f>Proponentes[[#This Row],[Activo Corriente]]-Proponentes[[#This Row],[Pasivo Corriente]]</f>
        <v>0</v>
      </c>
      <c r="W300" s="13">
        <f>IFERROR(VLOOKUP(Proponentes[[#This Row],[Propuesta]],Hoja2!$A$2:$G$329,7,FALSE),0)</f>
        <v>0</v>
      </c>
      <c r="X300" s="83">
        <f>IF(Proponentes[[#This Row],[Cap Op en Pesos]]=0,0,IF(Proponentes[[#This Row],[Cap Op en Pesos]]=0,1,Proponentes[[#This Row],[Cap Op en Pesos]]/Base!B$3))</f>
        <v>0</v>
      </c>
      <c r="Y30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30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0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300" s="23" t="str">
        <f>IF(AND(Proponentes[[#This Row],[Cumple
Liquidez]]="CUMPLE",Proponentes[[#This Row],[Cumple
Endeudamiento]]="CUMPLE",Proponentes[[#This Row],[Cumple
Capital de Trabajo]]="CUMPLE"),"CUMPLE","NO CUMPLE")</f>
        <v>NO CUMPLE</v>
      </c>
      <c r="AC300" s="24"/>
      <c r="AD300" s="10">
        <f>IF(Proponentes[[#This Row],[Liquidez
Oferente]]&lt;=1,1,IF(Proponentes[[#This Row],[Liquidez
Oferente]]&lt;=1.1,2,IF(Proponentes[[#This Row],[Liquidez
Oferente]]&lt;=1.2,3,IF(Proponentes[[#This Row],[Liquidez
Oferente]]&lt;=1.3,4,IF(Proponentes[[#This Row],[Liquidez
Oferente]]&lt;=1.4,5,6)))))</f>
        <v>6</v>
      </c>
      <c r="AE300" s="10">
        <f>IF(Proponentes[[#This Row],[Endeudamiento
Oferente]]&lt;=66%,6,IF(Proponentes[[#This Row],[Endeudamiento
Oferente]]&lt;=58,5,IF(Proponentes[[#This Row],[Endeudamiento
Oferente]]&lt;=70,4,IF(Proponentes[[#This Row],[Endeudamiento
Oferente]]&lt;=72,3,IF(Proponentes[[#This Row],[Endeudamiento
Oferente]]&lt;=74,2,1)))))</f>
        <v>6</v>
      </c>
      <c r="AF30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300" s="10">
        <f>IF(Proponentes[[#This Row],[Cap Op en SMMLV]]&lt;=500,1,IF(Proponentes[[#This Row],[Cap Op en SMMLV]]&lt;=1000,2,IF(Proponentes[[#This Row],[Cap Op en SMMLV]]&lt;=1500,3,IF(Proponentes[[#This Row],[Cap Op en SMMLV]]&lt;=2000,4,IF(Proponentes[[#This Row],[Cap Op en SMMLV]]&lt;=2500,5,6)))))</f>
        <v>1</v>
      </c>
      <c r="AH300" s="10">
        <f>MIN(Proponentes[[#This Row],[a]:[d]])</f>
        <v>1</v>
      </c>
      <c r="AI300" s="87">
        <f>IF(Proponentes[[#This Row],[e]]=Proponentes[[#This Row],[d]],Proponentes[[#This Row],[Cap Op en SMMLV]],VLOOKUP(Proponentes[[#This Row],[e]],Base!$D$1:$E$6,2,FALSE))</f>
        <v>0</v>
      </c>
      <c r="AJ300" s="101" t="str">
        <f>VLOOKUP(Proponentes[[#This Row],[Propuesta]],Hoja2!$A$2:$D$329,4,FALSE)</f>
        <v>NO CUMPLE</v>
      </c>
      <c r="AK300" s="101"/>
    </row>
    <row r="301" spans="1:37" ht="16" x14ac:dyDescent="0.2">
      <c r="A301" s="10">
        <v>300</v>
      </c>
      <c r="B301" s="11">
        <v>900198330</v>
      </c>
      <c r="C301" s="12" t="s">
        <v>417</v>
      </c>
      <c r="D301" s="13">
        <v>264287000</v>
      </c>
      <c r="E301" s="13"/>
      <c r="F301" s="25">
        <f>Proponentes[[#This Row],[Activo Corriente]]+Proponentes[[#This Row],[Activo NO Corriente]]</f>
        <v>264287000</v>
      </c>
      <c r="G301" s="13">
        <v>0</v>
      </c>
      <c r="H301" s="13">
        <v>0</v>
      </c>
      <c r="I301" s="25">
        <f>Proponentes[[#This Row],[Pasivo Corriente]]+Proponentes[[#This Row],[Pasivo NO Corriente]]</f>
        <v>0</v>
      </c>
      <c r="J301" s="14">
        <f>Proponentes[[#This Row],[Total ACTIVO]]-Proponentes[[#This Row],[Total Pasivo]]</f>
        <v>264287000</v>
      </c>
      <c r="K301" s="48" t="e">
        <f>VLOOKUP(Proponentes[[#This Row],[Propuesta]],Hoja2!$A$2:$G$239,7,FALSE)</f>
        <v>#N/A</v>
      </c>
      <c r="L301" s="15"/>
      <c r="M301" s="15" t="s">
        <v>59</v>
      </c>
      <c r="N301" s="55">
        <f>IFERROR(VLOOKUP(Proponentes[[#This Row],[Cap Op en SMMLV]],Base!$A$15:$F$20,3),0)</f>
        <v>1</v>
      </c>
      <c r="O301" s="16">
        <f>IFERROR(VLOOKUP(Proponentes[[#This Row],[Cap Op en SMMLV]],Base!$A$15:$F$20,4),0)</f>
        <v>0.76</v>
      </c>
      <c r="P301" s="17">
        <f>IFERROR(VLOOKUP(Proponentes[[#This Row],[Cap Op en SMMLV]],Tabla2[],6),0)</f>
        <v>12.5</v>
      </c>
      <c r="Q301" s="18">
        <f>IFERROR(VLOOKUP(Proponentes[[#This Row],[Cap Op en SMMLV]],Base!$A$15:$F$20,5),0)</f>
        <v>10351450</v>
      </c>
      <c r="R301" s="18">
        <f>IFERROR(VLOOKUP(Proponentes[[#This Row],[Cap Op en SMMLV]],Tabla2[[DE]:[HASTA]],2),0)</f>
        <v>500</v>
      </c>
      <c r="S301" s="19" t="str">
        <f>IFERROR(Proponentes[[#This Row],[Activo Corriente]]/Proponentes[[#This Row],[Pasivo Corriente]],"INDETERMINADO")</f>
        <v>INDETERMINADO</v>
      </c>
      <c r="T301" s="20">
        <f>IFERROR(Proponentes[[#This Row],[Total Pasivo]]/Proponentes[[#This Row],[Total ACTIVO]],0)</f>
        <v>0</v>
      </c>
      <c r="U301" s="21">
        <f>(Proponentes[[#This Row],[Activo Corriente]]-Proponentes[[#This Row],[Pasivo Corriente]])/Base!$B$3</f>
        <v>319.14248728439009</v>
      </c>
      <c r="V301" s="22">
        <f>Proponentes[[#This Row],[Activo Corriente]]-Proponentes[[#This Row],[Pasivo Corriente]]</f>
        <v>264287000</v>
      </c>
      <c r="W301" s="13">
        <f>IFERROR(VLOOKUP(Proponentes[[#This Row],[Propuesta]],Hoja2!$A$2:$G$329,7,FALSE),0)</f>
        <v>174056605.71700469</v>
      </c>
      <c r="X301" s="83">
        <f>IF(Proponentes[[#This Row],[Cap Op en Pesos]]=0,0,IF(Proponentes[[#This Row],[Cap Op en Pesos]]=0,1,Proponentes[[#This Row],[Cap Op en Pesos]]/Base!B$3))</f>
        <v>210.18384588270808</v>
      </c>
      <c r="Y30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0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0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01" s="23" t="str">
        <f>IF(AND(Proponentes[[#This Row],[Cumple
Liquidez]]="CUMPLE",Proponentes[[#This Row],[Cumple
Endeudamiento]]="CUMPLE",Proponentes[[#This Row],[Cumple
Capital de Trabajo]]="CUMPLE"),"CUMPLE","NO CUMPLE")</f>
        <v>CUMPLE</v>
      </c>
      <c r="AC301" s="24"/>
      <c r="AD301" s="10">
        <f>IF(Proponentes[[#This Row],[Liquidez
Oferente]]&lt;=1,1,IF(Proponentes[[#This Row],[Liquidez
Oferente]]&lt;=1.1,2,IF(Proponentes[[#This Row],[Liquidez
Oferente]]&lt;=1.2,3,IF(Proponentes[[#This Row],[Liquidez
Oferente]]&lt;=1.3,4,IF(Proponentes[[#This Row],[Liquidez
Oferente]]&lt;=1.4,5,6)))))</f>
        <v>6</v>
      </c>
      <c r="AE301" s="10">
        <f>IF(Proponentes[[#This Row],[Endeudamiento
Oferente]]&lt;=66%,6,IF(Proponentes[[#This Row],[Endeudamiento
Oferente]]&lt;=58,5,IF(Proponentes[[#This Row],[Endeudamiento
Oferente]]&lt;=70,4,IF(Proponentes[[#This Row],[Endeudamiento
Oferente]]&lt;=72,3,IF(Proponentes[[#This Row],[Endeudamiento
Oferente]]&lt;=74,2,1)))))</f>
        <v>6</v>
      </c>
      <c r="AF30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01" s="10">
        <f>IF(Proponentes[[#This Row],[Cap Op en SMMLV]]&lt;=500,1,IF(Proponentes[[#This Row],[Cap Op en SMMLV]]&lt;=1000,2,IF(Proponentes[[#This Row],[Cap Op en SMMLV]]&lt;=1500,3,IF(Proponentes[[#This Row],[Cap Op en SMMLV]]&lt;=2000,4,IF(Proponentes[[#This Row],[Cap Op en SMMLV]]&lt;=2500,5,6)))))</f>
        <v>1</v>
      </c>
      <c r="AH301" s="10">
        <f>MIN(Proponentes[[#This Row],[a]:[d]])</f>
        <v>1</v>
      </c>
      <c r="AI301" s="87">
        <f>IF(Proponentes[[#This Row],[e]]=Proponentes[[#This Row],[d]],Proponentes[[#This Row],[Cap Op en SMMLV]],VLOOKUP(Proponentes[[#This Row],[e]],Base!$D$1:$E$6,2,FALSE))</f>
        <v>210.18384588270808</v>
      </c>
      <c r="AJ301" s="101" t="str">
        <f>VLOOKUP(Proponentes[[#This Row],[Propuesta]],Hoja2!$A$2:$D$329,4,FALSE)</f>
        <v>NO CUMPLE</v>
      </c>
      <c r="AK301" s="101"/>
    </row>
    <row r="302" spans="1:37" ht="16" x14ac:dyDescent="0.2">
      <c r="A302" s="10">
        <v>301</v>
      </c>
      <c r="B302" s="11">
        <v>900034146</v>
      </c>
      <c r="C302" s="12" t="s">
        <v>418</v>
      </c>
      <c r="D302" s="13">
        <v>194624000</v>
      </c>
      <c r="E302" s="13"/>
      <c r="F302" s="25">
        <f>Proponentes[[#This Row],[Activo Corriente]]+Proponentes[[#This Row],[Activo NO Corriente]]</f>
        <v>194624000</v>
      </c>
      <c r="G302" s="13">
        <v>5740000</v>
      </c>
      <c r="H302" s="13">
        <v>0</v>
      </c>
      <c r="I302" s="25">
        <f>Proponentes[[#This Row],[Pasivo Corriente]]+Proponentes[[#This Row],[Pasivo NO Corriente]]</f>
        <v>5740000</v>
      </c>
      <c r="J302" s="14">
        <f>Proponentes[[#This Row],[Total ACTIVO]]-Proponentes[[#This Row],[Total Pasivo]]</f>
        <v>188884000</v>
      </c>
      <c r="K302" s="48" t="e">
        <f>VLOOKUP(Proponentes[[#This Row],[Propuesta]],Hoja2!$A$2:$G$239,7,FALSE)</f>
        <v>#N/A</v>
      </c>
      <c r="L302" s="15"/>
      <c r="M302" s="15" t="s">
        <v>59</v>
      </c>
      <c r="N302" s="55">
        <f>IFERROR(VLOOKUP(Proponentes[[#This Row],[Cap Op en SMMLV]],Base!$A$15:$F$20,3),0)</f>
        <v>1</v>
      </c>
      <c r="O302" s="16">
        <f>IFERROR(VLOOKUP(Proponentes[[#This Row],[Cap Op en SMMLV]],Base!$A$15:$F$20,4),0)</f>
        <v>0.76</v>
      </c>
      <c r="P302" s="17">
        <f>IFERROR(VLOOKUP(Proponentes[[#This Row],[Cap Op en SMMLV]],Tabla2[],6),0)</f>
        <v>12.5</v>
      </c>
      <c r="Q302" s="18">
        <f>IFERROR(VLOOKUP(Proponentes[[#This Row],[Cap Op en SMMLV]],Base!$A$15:$F$20,5),0)</f>
        <v>10351450</v>
      </c>
      <c r="R302" s="18">
        <f>IFERROR(VLOOKUP(Proponentes[[#This Row],[Cap Op en SMMLV]],Tabla2[[DE]:[HASTA]],2),0)</f>
        <v>500</v>
      </c>
      <c r="S302" s="19">
        <f>IFERROR(Proponentes[[#This Row],[Activo Corriente]]/Proponentes[[#This Row],[Pasivo Corriente]],"INDETERMINADO")</f>
        <v>33.906620209059234</v>
      </c>
      <c r="T302" s="20">
        <f>IFERROR(Proponentes[[#This Row],[Total Pasivo]]/Proponentes[[#This Row],[Total ACTIVO]],0)</f>
        <v>2.9492765537652087E-2</v>
      </c>
      <c r="U302" s="21">
        <f>(Proponentes[[#This Row],[Activo Corriente]]-Proponentes[[#This Row],[Pasivo Corriente]])/Base!$B$3</f>
        <v>228.08881847470644</v>
      </c>
      <c r="V302" s="22">
        <f>Proponentes[[#This Row],[Activo Corriente]]-Proponentes[[#This Row],[Pasivo Corriente]]</f>
        <v>188884000</v>
      </c>
      <c r="W302" s="13">
        <f>IFERROR(VLOOKUP(Proponentes[[#This Row],[Propuesta]],Hoja2!$A$2:$G$329,7,FALSE),0)</f>
        <v>212615692.5719406</v>
      </c>
      <c r="X302" s="83">
        <f>IF(Proponentes[[#This Row],[Cap Op en Pesos]]=0,0,IF(Proponentes[[#This Row],[Cap Op en Pesos]]=0,1,Proponentes[[#This Row],[Cap Op en Pesos]]/Base!B$3))</f>
        <v>256.74626812178559</v>
      </c>
      <c r="Y30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0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0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02" s="23" t="str">
        <f>IF(AND(Proponentes[[#This Row],[Cumple
Liquidez]]="CUMPLE",Proponentes[[#This Row],[Cumple
Endeudamiento]]="CUMPLE",Proponentes[[#This Row],[Cumple
Capital de Trabajo]]="CUMPLE"),"CUMPLE","NO CUMPLE")</f>
        <v>CUMPLE</v>
      </c>
      <c r="AC302" s="24"/>
      <c r="AD302" s="10">
        <f>IF(Proponentes[[#This Row],[Liquidez
Oferente]]&lt;=1,1,IF(Proponentes[[#This Row],[Liquidez
Oferente]]&lt;=1.1,2,IF(Proponentes[[#This Row],[Liquidez
Oferente]]&lt;=1.2,3,IF(Proponentes[[#This Row],[Liquidez
Oferente]]&lt;=1.3,4,IF(Proponentes[[#This Row],[Liquidez
Oferente]]&lt;=1.4,5,6)))))</f>
        <v>6</v>
      </c>
      <c r="AE302" s="10">
        <f>IF(Proponentes[[#This Row],[Endeudamiento
Oferente]]&lt;=66%,6,IF(Proponentes[[#This Row],[Endeudamiento
Oferente]]&lt;=58,5,IF(Proponentes[[#This Row],[Endeudamiento
Oferente]]&lt;=70,4,IF(Proponentes[[#This Row],[Endeudamiento
Oferente]]&lt;=72,3,IF(Proponentes[[#This Row],[Endeudamiento
Oferente]]&lt;=74,2,1)))))</f>
        <v>6</v>
      </c>
      <c r="AF30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02" s="10">
        <f>IF(Proponentes[[#This Row],[Cap Op en SMMLV]]&lt;=500,1,IF(Proponentes[[#This Row],[Cap Op en SMMLV]]&lt;=1000,2,IF(Proponentes[[#This Row],[Cap Op en SMMLV]]&lt;=1500,3,IF(Proponentes[[#This Row],[Cap Op en SMMLV]]&lt;=2000,4,IF(Proponentes[[#This Row],[Cap Op en SMMLV]]&lt;=2500,5,6)))))</f>
        <v>1</v>
      </c>
      <c r="AH302" s="10">
        <f>MIN(Proponentes[[#This Row],[a]:[d]])</f>
        <v>1</v>
      </c>
      <c r="AI302" s="87">
        <f>IF(Proponentes[[#This Row],[e]]=Proponentes[[#This Row],[d]],Proponentes[[#This Row],[Cap Op en SMMLV]],VLOOKUP(Proponentes[[#This Row],[e]],Base!$D$1:$E$6,2,FALSE))</f>
        <v>256.74626812178559</v>
      </c>
      <c r="AJ302" s="101" t="str">
        <f>VLOOKUP(Proponentes[[#This Row],[Propuesta]],Hoja2!$A$2:$D$329,4,FALSE)</f>
        <v>NO CUMPLE</v>
      </c>
      <c r="AK302" s="101"/>
    </row>
    <row r="303" spans="1:37" ht="16" x14ac:dyDescent="0.2">
      <c r="A303" s="10">
        <v>302</v>
      </c>
      <c r="B303" s="11">
        <v>860024041</v>
      </c>
      <c r="C303" s="12" t="s">
        <v>419</v>
      </c>
      <c r="D303" s="13">
        <v>7553702000</v>
      </c>
      <c r="E303" s="13">
        <v>0</v>
      </c>
      <c r="F303" s="25">
        <f>Proponentes[[#This Row],[Activo Corriente]]+Proponentes[[#This Row],[Activo NO Corriente]]</f>
        <v>7553702000</v>
      </c>
      <c r="G303" s="13">
        <v>3149426000</v>
      </c>
      <c r="H303" s="13">
        <v>0</v>
      </c>
      <c r="I303" s="25">
        <f>Proponentes[[#This Row],[Pasivo Corriente]]+Proponentes[[#This Row],[Pasivo NO Corriente]]</f>
        <v>3149426000</v>
      </c>
      <c r="J303" s="14">
        <f>Proponentes[[#This Row],[Total ACTIVO]]-Proponentes[[#This Row],[Total Pasivo]]</f>
        <v>4404276000</v>
      </c>
      <c r="K303" s="48" t="e">
        <f>VLOOKUP(Proponentes[[#This Row],[Propuesta]],Hoja2!$A$2:$G$239,7,FALSE)</f>
        <v>#N/A</v>
      </c>
      <c r="L303" s="15"/>
      <c r="M303" s="15" t="s">
        <v>420</v>
      </c>
      <c r="N303" s="55">
        <f>IFERROR(VLOOKUP(Proponentes[[#This Row],[Cap Op en SMMLV]],Base!$A$15:$F$20,3),0)</f>
        <v>1.2</v>
      </c>
      <c r="O303" s="16">
        <f>IFERROR(VLOOKUP(Proponentes[[#This Row],[Cap Op en SMMLV]],Base!$A$15:$F$20,4),0)</f>
        <v>0.72</v>
      </c>
      <c r="P303" s="17">
        <f>IFERROR(VLOOKUP(Proponentes[[#This Row],[Cap Op en SMMLV]],Tabla2[],6),0)</f>
        <v>37.5</v>
      </c>
      <c r="Q303" s="18">
        <f>IFERROR(VLOOKUP(Proponentes[[#This Row],[Cap Op en SMMLV]],Base!$A$15:$F$20,5),0)</f>
        <v>31054350</v>
      </c>
      <c r="R303" s="18">
        <f>IFERROR(VLOOKUP(Proponentes[[#This Row],[Cap Op en SMMLV]],Tabla2[[DE]:[HASTA]],2),0)</f>
        <v>1500</v>
      </c>
      <c r="S303" s="19">
        <f>IFERROR(Proponentes[[#This Row],[Activo Corriente]]/Proponentes[[#This Row],[Pasivo Corriente]],"INDETERMINADO")</f>
        <v>2.3984376835651955</v>
      </c>
      <c r="T303" s="20">
        <f>IFERROR(Proponentes[[#This Row],[Total Pasivo]]/Proponentes[[#This Row],[Total ACTIVO]],0)</f>
        <v>0.41693807883869394</v>
      </c>
      <c r="U303" s="21">
        <f>(Proponentes[[#This Row],[Activo Corriente]]-Proponentes[[#This Row],[Pasivo Corriente]])/Base!$B$3</f>
        <v>5318.4288191509404</v>
      </c>
      <c r="V303" s="22">
        <f>Proponentes[[#This Row],[Activo Corriente]]-Proponentes[[#This Row],[Pasivo Corriente]]</f>
        <v>4404276000</v>
      </c>
      <c r="W303" s="13">
        <f>IFERROR(VLOOKUP(Proponentes[[#This Row],[Propuesta]],Hoja2!$A$2:$G$329,7,FALSE),0)</f>
        <v>935088571.59078693</v>
      </c>
      <c r="X303" s="83">
        <f>IF(Proponentes[[#This Row],[Cap Op en Pesos]]=0,0,IF(Proponentes[[#This Row],[Cap Op en Pesos]]=0,1,Proponentes[[#This Row],[Cap Op en Pesos]]/Base!B$3))</f>
        <v>1129.1758299450644</v>
      </c>
      <c r="Y30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0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0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03" s="23" t="str">
        <f>IF(AND(Proponentes[[#This Row],[Cumple
Liquidez]]="CUMPLE",Proponentes[[#This Row],[Cumple
Endeudamiento]]="CUMPLE",Proponentes[[#This Row],[Cumple
Capital de Trabajo]]="CUMPLE"),"CUMPLE","NO CUMPLE")</f>
        <v>CUMPLE</v>
      </c>
      <c r="AC303" s="24"/>
      <c r="AD303" s="10">
        <f>IF(Proponentes[[#This Row],[Liquidez
Oferente]]&lt;=1,1,IF(Proponentes[[#This Row],[Liquidez
Oferente]]&lt;=1.1,2,IF(Proponentes[[#This Row],[Liquidez
Oferente]]&lt;=1.2,3,IF(Proponentes[[#This Row],[Liquidez
Oferente]]&lt;=1.3,4,IF(Proponentes[[#This Row],[Liquidez
Oferente]]&lt;=1.4,5,6)))))</f>
        <v>6</v>
      </c>
      <c r="AE303" s="10">
        <f>IF(Proponentes[[#This Row],[Endeudamiento
Oferente]]&lt;=66%,6,IF(Proponentes[[#This Row],[Endeudamiento
Oferente]]&lt;=58,5,IF(Proponentes[[#This Row],[Endeudamiento
Oferente]]&lt;=70,4,IF(Proponentes[[#This Row],[Endeudamiento
Oferente]]&lt;=72,3,IF(Proponentes[[#This Row],[Endeudamiento
Oferente]]&lt;=74,2,1)))))</f>
        <v>6</v>
      </c>
      <c r="AF30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03" s="10">
        <f>IF(Proponentes[[#This Row],[Cap Op en SMMLV]]&lt;=500,1,IF(Proponentes[[#This Row],[Cap Op en SMMLV]]&lt;=1000,2,IF(Proponentes[[#This Row],[Cap Op en SMMLV]]&lt;=1500,3,IF(Proponentes[[#This Row],[Cap Op en SMMLV]]&lt;=2000,4,IF(Proponentes[[#This Row],[Cap Op en SMMLV]]&lt;=2500,5,6)))))</f>
        <v>3</v>
      </c>
      <c r="AH303" s="10">
        <f>MIN(Proponentes[[#This Row],[a]:[d]])</f>
        <v>3</v>
      </c>
      <c r="AI303" s="87">
        <f>IF(Proponentes[[#This Row],[e]]=Proponentes[[#This Row],[d]],Proponentes[[#This Row],[Cap Op en SMMLV]],VLOOKUP(Proponentes[[#This Row],[e]],Base!$D$1:$E$6,2,FALSE))</f>
        <v>1129.1758299450644</v>
      </c>
      <c r="AJ303" s="101" t="str">
        <f>VLOOKUP(Proponentes[[#This Row],[Propuesta]],Hoja2!$A$2:$D$329,4,FALSE)</f>
        <v>CUMPLE</v>
      </c>
      <c r="AK303" s="101"/>
    </row>
    <row r="304" spans="1:37" ht="16" x14ac:dyDescent="0.2">
      <c r="A304" s="10">
        <v>303</v>
      </c>
      <c r="B304" s="11" t="s">
        <v>221</v>
      </c>
      <c r="C304" s="12" t="s">
        <v>421</v>
      </c>
      <c r="D304" s="13">
        <v>0</v>
      </c>
      <c r="E304" s="13">
        <v>0</v>
      </c>
      <c r="F304" s="25">
        <f>Proponentes[[#This Row],[Activo Corriente]]+Proponentes[[#This Row],[Activo NO Corriente]]</f>
        <v>0</v>
      </c>
      <c r="G304" s="13">
        <v>0</v>
      </c>
      <c r="H304" s="13">
        <v>0</v>
      </c>
      <c r="I304" s="25">
        <f>Proponentes[[#This Row],[Pasivo Corriente]]+Proponentes[[#This Row],[Pasivo NO Corriente]]</f>
        <v>0</v>
      </c>
      <c r="J304" s="14">
        <f>Proponentes[[#This Row],[Total ACTIVO]]-Proponentes[[#This Row],[Total Pasivo]]</f>
        <v>0</v>
      </c>
      <c r="K304" s="48" t="e">
        <f>VLOOKUP(Proponentes[[#This Row],[Propuesta]],Hoja2!$A$2:$G$239,7,FALSE)</f>
        <v>#N/A</v>
      </c>
      <c r="L304" s="15" t="s">
        <v>86</v>
      </c>
      <c r="M304" s="15" t="s">
        <v>28</v>
      </c>
      <c r="N304" s="55">
        <f>IFERROR(VLOOKUP(Proponentes[[#This Row],[Cap Op en SMMLV]],Base!$A$15:$F$20,3),0)</f>
        <v>0</v>
      </c>
      <c r="O304" s="16">
        <f>IFERROR(VLOOKUP(Proponentes[[#This Row],[Cap Op en SMMLV]],Base!$A$15:$F$20,4),0)</f>
        <v>0</v>
      </c>
      <c r="P304" s="17">
        <f>IFERROR(VLOOKUP(Proponentes[[#This Row],[Cap Op en SMMLV]],Tabla2[],6),0)</f>
        <v>0</v>
      </c>
      <c r="Q304" s="18">
        <f>IFERROR(VLOOKUP(Proponentes[[#This Row],[Cap Op en SMMLV]],Base!$A$15:$F$20,5),0)</f>
        <v>0</v>
      </c>
      <c r="R304" s="18">
        <f>IFERROR(VLOOKUP(Proponentes[[#This Row],[Cap Op en SMMLV]],Tabla2[[DE]:[HASTA]],2),0)</f>
        <v>0</v>
      </c>
      <c r="S304" s="19" t="str">
        <f>IFERROR(Proponentes[[#This Row],[Activo Corriente]]/Proponentes[[#This Row],[Pasivo Corriente]],"INDETERMINADO")</f>
        <v>INDETERMINADO</v>
      </c>
      <c r="T304" s="20">
        <f>IFERROR(Proponentes[[#This Row],[Total Pasivo]]/Proponentes[[#This Row],[Total ACTIVO]],0)</f>
        <v>0</v>
      </c>
      <c r="U304" s="21">
        <f>(Proponentes[[#This Row],[Activo Corriente]]-Proponentes[[#This Row],[Pasivo Corriente]])/Base!$B$3</f>
        <v>0</v>
      </c>
      <c r="V304" s="22">
        <f>Proponentes[[#This Row],[Activo Corriente]]-Proponentes[[#This Row],[Pasivo Corriente]]</f>
        <v>0</v>
      </c>
      <c r="W304" s="13">
        <f>IFERROR(VLOOKUP(Proponentes[[#This Row],[Propuesta]],Hoja2!$A$2:$G$329,7,FALSE),0)</f>
        <v>0</v>
      </c>
      <c r="X304" s="83">
        <f>IF(Proponentes[[#This Row],[Cap Op en Pesos]]=0,0,IF(Proponentes[[#This Row],[Cap Op en Pesos]]=0,1,Proponentes[[#This Row],[Cap Op en Pesos]]/Base!B$3))</f>
        <v>0</v>
      </c>
      <c r="Y30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30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0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304" s="23" t="str">
        <f>IF(AND(Proponentes[[#This Row],[Cumple
Liquidez]]="CUMPLE",Proponentes[[#This Row],[Cumple
Endeudamiento]]="CUMPLE",Proponentes[[#This Row],[Cumple
Capital de Trabajo]]="CUMPLE"),"CUMPLE","NO CUMPLE")</f>
        <v>NO CUMPLE</v>
      </c>
      <c r="AC304" s="24"/>
      <c r="AD304" s="10">
        <f>IF(Proponentes[[#This Row],[Liquidez
Oferente]]&lt;=1,1,IF(Proponentes[[#This Row],[Liquidez
Oferente]]&lt;=1.1,2,IF(Proponentes[[#This Row],[Liquidez
Oferente]]&lt;=1.2,3,IF(Proponentes[[#This Row],[Liquidez
Oferente]]&lt;=1.3,4,IF(Proponentes[[#This Row],[Liquidez
Oferente]]&lt;=1.4,5,6)))))</f>
        <v>6</v>
      </c>
      <c r="AE304" s="10">
        <f>IF(Proponentes[[#This Row],[Endeudamiento
Oferente]]&lt;=66%,6,IF(Proponentes[[#This Row],[Endeudamiento
Oferente]]&lt;=58,5,IF(Proponentes[[#This Row],[Endeudamiento
Oferente]]&lt;=70,4,IF(Proponentes[[#This Row],[Endeudamiento
Oferente]]&lt;=72,3,IF(Proponentes[[#This Row],[Endeudamiento
Oferente]]&lt;=74,2,1)))))</f>
        <v>6</v>
      </c>
      <c r="AF30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304" s="10">
        <f>IF(Proponentes[[#This Row],[Cap Op en SMMLV]]&lt;=500,1,IF(Proponentes[[#This Row],[Cap Op en SMMLV]]&lt;=1000,2,IF(Proponentes[[#This Row],[Cap Op en SMMLV]]&lt;=1500,3,IF(Proponentes[[#This Row],[Cap Op en SMMLV]]&lt;=2000,4,IF(Proponentes[[#This Row],[Cap Op en SMMLV]]&lt;=2500,5,6)))))</f>
        <v>1</v>
      </c>
      <c r="AH304" s="10">
        <f>MIN(Proponentes[[#This Row],[a]:[d]])</f>
        <v>1</v>
      </c>
      <c r="AI304" s="87">
        <f>IF(Proponentes[[#This Row],[e]]=Proponentes[[#This Row],[d]],Proponentes[[#This Row],[Cap Op en SMMLV]],VLOOKUP(Proponentes[[#This Row],[e]],Base!$D$1:$E$6,2,FALSE))</f>
        <v>0</v>
      </c>
      <c r="AJ304" s="101" t="str">
        <f>VLOOKUP(Proponentes[[#This Row],[Propuesta]],Hoja2!$A$2:$D$329,4,FALSE)</f>
        <v>NO CUMPLE</v>
      </c>
      <c r="AK304" s="101"/>
    </row>
    <row r="305" spans="1:37" ht="16" x14ac:dyDescent="0.2">
      <c r="A305" s="10">
        <v>304</v>
      </c>
      <c r="B305" s="11">
        <v>900801587</v>
      </c>
      <c r="C305" s="12" t="s">
        <v>422</v>
      </c>
      <c r="D305" s="13">
        <v>273655452</v>
      </c>
      <c r="E305" s="13"/>
      <c r="F305" s="25">
        <f>Proponentes[[#This Row],[Activo Corriente]]+Proponentes[[#This Row],[Activo NO Corriente]]</f>
        <v>273655452</v>
      </c>
      <c r="G305" s="13">
        <v>2960000</v>
      </c>
      <c r="H305" s="13">
        <v>0</v>
      </c>
      <c r="I305" s="25">
        <f>Proponentes[[#This Row],[Pasivo Corriente]]+Proponentes[[#This Row],[Pasivo NO Corriente]]</f>
        <v>2960000</v>
      </c>
      <c r="J305" s="14">
        <f>Proponentes[[#This Row],[Total ACTIVO]]-Proponentes[[#This Row],[Total Pasivo]]</f>
        <v>270695452</v>
      </c>
      <c r="K305" s="48" t="e">
        <f>VLOOKUP(Proponentes[[#This Row],[Propuesta]],Hoja2!$A$2:$G$239,7,FALSE)</f>
        <v>#N/A</v>
      </c>
      <c r="L305" s="15"/>
      <c r="M305" s="15" t="s">
        <v>59</v>
      </c>
      <c r="N305" s="55">
        <f>IFERROR(VLOOKUP(Proponentes[[#This Row],[Cap Op en SMMLV]],Base!$A$15:$F$20,3),0)</f>
        <v>1</v>
      </c>
      <c r="O305" s="16">
        <f>IFERROR(VLOOKUP(Proponentes[[#This Row],[Cap Op en SMMLV]],Base!$A$15:$F$20,4),0)</f>
        <v>0.76</v>
      </c>
      <c r="P305" s="17">
        <f>IFERROR(VLOOKUP(Proponentes[[#This Row],[Cap Op en SMMLV]],Tabla2[],6),0)</f>
        <v>12.5</v>
      </c>
      <c r="Q305" s="18">
        <f>IFERROR(VLOOKUP(Proponentes[[#This Row],[Cap Op en SMMLV]],Base!$A$15:$F$20,5),0)</f>
        <v>10351450</v>
      </c>
      <c r="R305" s="18">
        <f>IFERROR(VLOOKUP(Proponentes[[#This Row],[Cap Op en SMMLV]],Tabla2[[DE]:[HASTA]],2),0)</f>
        <v>500</v>
      </c>
      <c r="S305" s="19">
        <f>IFERROR(Proponentes[[#This Row],[Activo Corriente]]/Proponentes[[#This Row],[Pasivo Corriente]],"INDETERMINADO")</f>
        <v>92.451166216216222</v>
      </c>
      <c r="T305" s="20">
        <f>IFERROR(Proponentes[[#This Row],[Total Pasivo]]/Proponentes[[#This Row],[Total ACTIVO]],0)</f>
        <v>1.0816521207112658E-2</v>
      </c>
      <c r="U305" s="21">
        <f>(Proponentes[[#This Row],[Activo Corriente]]-Proponentes[[#This Row],[Pasivo Corriente]])/Base!$B$3</f>
        <v>326.88107946229758</v>
      </c>
      <c r="V305" s="22">
        <f>Proponentes[[#This Row],[Activo Corriente]]-Proponentes[[#This Row],[Pasivo Corriente]]</f>
        <v>270695452</v>
      </c>
      <c r="W305" s="13">
        <f>IFERROR(VLOOKUP(Proponentes[[#This Row],[Propuesta]],Hoja2!$A$2:$G$329,7,FALSE),0)</f>
        <v>53793632.487458371</v>
      </c>
      <c r="X305" s="83">
        <f>IF(Proponentes[[#This Row],[Cap Op en Pesos]]=0,0,IF(Proponentes[[#This Row],[Cap Op en Pesos]]=0,1,Proponentes[[#This Row],[Cap Op en Pesos]]/Base!B$3))</f>
        <v>64.959054634203866</v>
      </c>
      <c r="Y30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0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0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05" s="23" t="str">
        <f>IF(AND(Proponentes[[#This Row],[Cumple
Liquidez]]="CUMPLE",Proponentes[[#This Row],[Cumple
Endeudamiento]]="CUMPLE",Proponentes[[#This Row],[Cumple
Capital de Trabajo]]="CUMPLE"),"CUMPLE","NO CUMPLE")</f>
        <v>CUMPLE</v>
      </c>
      <c r="AC305" s="24"/>
      <c r="AD305" s="10">
        <f>IF(Proponentes[[#This Row],[Liquidez
Oferente]]&lt;=1,1,IF(Proponentes[[#This Row],[Liquidez
Oferente]]&lt;=1.1,2,IF(Proponentes[[#This Row],[Liquidez
Oferente]]&lt;=1.2,3,IF(Proponentes[[#This Row],[Liquidez
Oferente]]&lt;=1.3,4,IF(Proponentes[[#This Row],[Liquidez
Oferente]]&lt;=1.4,5,6)))))</f>
        <v>6</v>
      </c>
      <c r="AE305" s="10">
        <f>IF(Proponentes[[#This Row],[Endeudamiento
Oferente]]&lt;=66%,6,IF(Proponentes[[#This Row],[Endeudamiento
Oferente]]&lt;=58,5,IF(Proponentes[[#This Row],[Endeudamiento
Oferente]]&lt;=70,4,IF(Proponentes[[#This Row],[Endeudamiento
Oferente]]&lt;=72,3,IF(Proponentes[[#This Row],[Endeudamiento
Oferente]]&lt;=74,2,1)))))</f>
        <v>6</v>
      </c>
      <c r="AF30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05" s="10">
        <f>IF(Proponentes[[#This Row],[Cap Op en SMMLV]]&lt;=500,1,IF(Proponentes[[#This Row],[Cap Op en SMMLV]]&lt;=1000,2,IF(Proponentes[[#This Row],[Cap Op en SMMLV]]&lt;=1500,3,IF(Proponentes[[#This Row],[Cap Op en SMMLV]]&lt;=2000,4,IF(Proponentes[[#This Row],[Cap Op en SMMLV]]&lt;=2500,5,6)))))</f>
        <v>1</v>
      </c>
      <c r="AH305" s="10">
        <f>MIN(Proponentes[[#This Row],[a]:[d]])</f>
        <v>1</v>
      </c>
      <c r="AI305" s="87">
        <f>IF(Proponentes[[#This Row],[e]]=Proponentes[[#This Row],[d]],Proponentes[[#This Row],[Cap Op en SMMLV]],VLOOKUP(Proponentes[[#This Row],[e]],Base!$D$1:$E$6,2,FALSE))</f>
        <v>64.959054634203866</v>
      </c>
      <c r="AJ305" s="101" t="str">
        <f>VLOOKUP(Proponentes[[#This Row],[Propuesta]],Hoja2!$A$2:$D$329,4,FALSE)</f>
        <v>NO CUMPLE</v>
      </c>
      <c r="AK305" s="101"/>
    </row>
    <row r="306" spans="1:37" ht="16" x14ac:dyDescent="0.2">
      <c r="A306" s="10">
        <v>305</v>
      </c>
      <c r="B306" s="11">
        <v>900240336</v>
      </c>
      <c r="C306" s="12" t="s">
        <v>423</v>
      </c>
      <c r="D306" s="13">
        <v>701193792.40999997</v>
      </c>
      <c r="E306" s="13"/>
      <c r="F306" s="25">
        <f>Proponentes[[#This Row],[Activo Corriente]]+Proponentes[[#This Row],[Activo NO Corriente]]</f>
        <v>701193792.40999997</v>
      </c>
      <c r="G306" s="13">
        <v>65423937.640000001</v>
      </c>
      <c r="H306" s="13">
        <v>0</v>
      </c>
      <c r="I306" s="25">
        <f>Proponentes[[#This Row],[Pasivo Corriente]]+Proponentes[[#This Row],[Pasivo NO Corriente]]</f>
        <v>65423937.640000001</v>
      </c>
      <c r="J306" s="14">
        <f>Proponentes[[#This Row],[Total ACTIVO]]-Proponentes[[#This Row],[Total Pasivo]]</f>
        <v>635769854.76999998</v>
      </c>
      <c r="K306" s="48" t="e">
        <f>VLOOKUP(Proponentes[[#This Row],[Propuesta]],Hoja2!$A$2:$G$239,7,FALSE)</f>
        <v>#N/A</v>
      </c>
      <c r="L306" s="15"/>
      <c r="M306" s="15" t="s">
        <v>59</v>
      </c>
      <c r="N306" s="55">
        <f>IFERROR(VLOOKUP(Proponentes[[#This Row],[Cap Op en SMMLV]],Base!$A$15:$F$20,3),0)</f>
        <v>1.5</v>
      </c>
      <c r="O306" s="16">
        <f>IFERROR(VLOOKUP(Proponentes[[#This Row],[Cap Op en SMMLV]],Base!$A$15:$F$20,4),0)</f>
        <v>0.66</v>
      </c>
      <c r="P306" s="17">
        <f>IFERROR(VLOOKUP(Proponentes[[#This Row],[Cap Op en SMMLV]],Tabla2[],6),0)</f>
        <v>90.075000362268085</v>
      </c>
      <c r="Q306" s="18">
        <f>IFERROR(VLOOKUP(Proponentes[[#This Row],[Cap Op en SMMLV]],Base!$A$15:$F$20,5),0)</f>
        <v>74592549</v>
      </c>
      <c r="R306" s="18">
        <f>IFERROR(VLOOKUP(Proponentes[[#This Row],[Cap Op en SMMLV]],Tabla2[[DE]:[HASTA]],2),0)</f>
        <v>1000000</v>
      </c>
      <c r="S306" s="19">
        <f>IFERROR(Proponentes[[#This Row],[Activo Corriente]]/Proponentes[[#This Row],[Pasivo Corriente]],"INDETERMINADO")</f>
        <v>10.717694741462521</v>
      </c>
      <c r="T306" s="20">
        <f>IFERROR(Proponentes[[#This Row],[Total Pasivo]]/Proponentes[[#This Row],[Total ACTIVO]],0)</f>
        <v>9.3303646364492496E-2</v>
      </c>
      <c r="U306" s="21">
        <f>(Proponentes[[#This Row],[Activo Corriente]]-Proponentes[[#This Row],[Pasivo Corriente]])/Base!$B$3</f>
        <v>767.73043241526545</v>
      </c>
      <c r="V306" s="22">
        <f>Proponentes[[#This Row],[Activo Corriente]]-Proponentes[[#This Row],[Pasivo Corriente]]</f>
        <v>635769854.76999998</v>
      </c>
      <c r="W306" s="13">
        <f>IFERROR(VLOOKUP(Proponentes[[#This Row],[Propuesta]],Hoja2!$A$2:$G$329,7,FALSE),0)</f>
        <v>8511109415.493206</v>
      </c>
      <c r="X306" s="83">
        <f>IF(Proponentes[[#This Row],[Cap Op en Pesos]]=0,0,IF(Proponentes[[#This Row],[Cap Op en Pesos]]=0,1,Proponentes[[#This Row],[Cap Op en Pesos]]/Base!B$3))</f>
        <v>10277.677783659785</v>
      </c>
      <c r="Y30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0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0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06" s="23" t="str">
        <f>IF(AND(Proponentes[[#This Row],[Cumple
Liquidez]]="CUMPLE",Proponentes[[#This Row],[Cumple
Endeudamiento]]="CUMPLE",Proponentes[[#This Row],[Cumple
Capital de Trabajo]]="CUMPLE"),"CUMPLE","NO CUMPLE")</f>
        <v>CUMPLE</v>
      </c>
      <c r="AC306" s="24"/>
      <c r="AD306" s="10">
        <f>IF(Proponentes[[#This Row],[Liquidez
Oferente]]&lt;=1,1,IF(Proponentes[[#This Row],[Liquidez
Oferente]]&lt;=1.1,2,IF(Proponentes[[#This Row],[Liquidez
Oferente]]&lt;=1.2,3,IF(Proponentes[[#This Row],[Liquidez
Oferente]]&lt;=1.3,4,IF(Proponentes[[#This Row],[Liquidez
Oferente]]&lt;=1.4,5,6)))))</f>
        <v>6</v>
      </c>
      <c r="AE306" s="10">
        <f>IF(Proponentes[[#This Row],[Endeudamiento
Oferente]]&lt;=66%,6,IF(Proponentes[[#This Row],[Endeudamiento
Oferente]]&lt;=58,5,IF(Proponentes[[#This Row],[Endeudamiento
Oferente]]&lt;=70,4,IF(Proponentes[[#This Row],[Endeudamiento
Oferente]]&lt;=72,3,IF(Proponentes[[#This Row],[Endeudamiento
Oferente]]&lt;=74,2,1)))))</f>
        <v>6</v>
      </c>
      <c r="AF30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06" s="10">
        <f>IF(Proponentes[[#This Row],[Cap Op en SMMLV]]&lt;=500,1,IF(Proponentes[[#This Row],[Cap Op en SMMLV]]&lt;=1000,2,IF(Proponentes[[#This Row],[Cap Op en SMMLV]]&lt;=1500,3,IF(Proponentes[[#This Row],[Cap Op en SMMLV]]&lt;=2000,4,IF(Proponentes[[#This Row],[Cap Op en SMMLV]]&lt;=2500,5,6)))))</f>
        <v>6</v>
      </c>
      <c r="AH306" s="10">
        <f>MIN(Proponentes[[#This Row],[a]:[d]])</f>
        <v>6</v>
      </c>
      <c r="AI306" s="87">
        <f>IF(Proponentes[[#This Row],[e]]=Proponentes[[#This Row],[d]],Proponentes[[#This Row],[Cap Op en SMMLV]],VLOOKUP(Proponentes[[#This Row],[e]],Base!$D$1:$E$6,2,FALSE))</f>
        <v>10277.677783659785</v>
      </c>
      <c r="AJ306" s="101" t="str">
        <f>VLOOKUP(Proponentes[[#This Row],[Propuesta]],Hoja2!$A$2:$D$329,4,FALSE)</f>
        <v>NO CUMPLE</v>
      </c>
      <c r="AK306" s="101"/>
    </row>
    <row r="307" spans="1:37" ht="16" x14ac:dyDescent="0.2">
      <c r="A307" s="10">
        <v>306</v>
      </c>
      <c r="B307" s="11">
        <v>901012656</v>
      </c>
      <c r="C307" s="12" t="s">
        <v>424</v>
      </c>
      <c r="D307" s="13">
        <v>125739000</v>
      </c>
      <c r="E307" s="13">
        <v>25600000</v>
      </c>
      <c r="F307" s="25">
        <f>Proponentes[[#This Row],[Activo Corriente]]+Proponentes[[#This Row],[Activo NO Corriente]]</f>
        <v>151339000</v>
      </c>
      <c r="G307" s="13">
        <v>40190000</v>
      </c>
      <c r="H307" s="13">
        <v>0</v>
      </c>
      <c r="I307" s="25">
        <f>Proponentes[[#This Row],[Pasivo Corriente]]+Proponentes[[#This Row],[Pasivo NO Corriente]]</f>
        <v>40190000</v>
      </c>
      <c r="J307" s="14">
        <f>Proponentes[[#This Row],[Total ACTIVO]]-Proponentes[[#This Row],[Total Pasivo]]</f>
        <v>111149000</v>
      </c>
      <c r="K307" s="48" t="e">
        <f>VLOOKUP(Proponentes[[#This Row],[Propuesta]],Hoja2!$A$2:$G$239,7,FALSE)</f>
        <v>#N/A</v>
      </c>
      <c r="L307" s="15"/>
      <c r="M307" s="15" t="s">
        <v>425</v>
      </c>
      <c r="N307" s="55">
        <f>IFERROR(VLOOKUP(Proponentes[[#This Row],[Cap Op en SMMLV]],Base!$A$15:$F$20,3),0)</f>
        <v>1.1000000000000001</v>
      </c>
      <c r="O307" s="16">
        <f>IFERROR(VLOOKUP(Proponentes[[#This Row],[Cap Op en SMMLV]],Base!$A$15:$F$20,4),0)</f>
        <v>0.74</v>
      </c>
      <c r="P307" s="17">
        <f>IFERROR(VLOOKUP(Proponentes[[#This Row],[Cap Op en SMMLV]],Tabla2[],6),0)</f>
        <v>25</v>
      </c>
      <c r="Q307" s="18">
        <f>IFERROR(VLOOKUP(Proponentes[[#This Row],[Cap Op en SMMLV]],Base!$A$15:$F$20,5),0)</f>
        <v>20702900</v>
      </c>
      <c r="R307" s="18">
        <f>IFERROR(VLOOKUP(Proponentes[[#This Row],[Cap Op en SMMLV]],Tabla2[[DE]:[HASTA]],2),0)</f>
        <v>1000</v>
      </c>
      <c r="S307" s="19">
        <f>IFERROR(Proponentes[[#This Row],[Activo Corriente]]/Proponentes[[#This Row],[Pasivo Corriente]],"INDETERMINADO")</f>
        <v>3.12861408310525</v>
      </c>
      <c r="T307" s="20">
        <f>IFERROR(Proponentes[[#This Row],[Total Pasivo]]/Proponentes[[#This Row],[Total ACTIVO]],0)</f>
        <v>0.26556274324529699</v>
      </c>
      <c r="U307" s="21">
        <f>(Proponentes[[#This Row],[Activo Corriente]]-Proponentes[[#This Row],[Pasivo Corriente]])/Base!$B$3</f>
        <v>103.30557554738708</v>
      </c>
      <c r="V307" s="22">
        <f>Proponentes[[#This Row],[Activo Corriente]]-Proponentes[[#This Row],[Pasivo Corriente]]</f>
        <v>85549000</v>
      </c>
      <c r="W307" s="13">
        <f>IFERROR(VLOOKUP(Proponentes[[#This Row],[Propuesta]],Hoja2!$A$2:$G$329,7,FALSE),0)</f>
        <v>768003009.40007079</v>
      </c>
      <c r="X307" s="83">
        <f>IF(Proponentes[[#This Row],[Cap Op en Pesos]]=0,0,IF(Proponentes[[#This Row],[Cap Op en Pesos]]=0,1,Proponentes[[#This Row],[Cap Op en Pesos]]/Base!B$3))</f>
        <v>927.40993942886121</v>
      </c>
      <c r="Y30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0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0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07" s="23" t="str">
        <f>IF(AND(Proponentes[[#This Row],[Cumple
Liquidez]]="CUMPLE",Proponentes[[#This Row],[Cumple
Endeudamiento]]="CUMPLE",Proponentes[[#This Row],[Cumple
Capital de Trabajo]]="CUMPLE"),"CUMPLE","NO CUMPLE")</f>
        <v>CUMPLE</v>
      </c>
      <c r="AC307" s="24" t="s">
        <v>812</v>
      </c>
      <c r="AD307" s="10">
        <f>IF(Proponentes[[#This Row],[Liquidez
Oferente]]&lt;=1,1,IF(Proponentes[[#This Row],[Liquidez
Oferente]]&lt;=1.1,2,IF(Proponentes[[#This Row],[Liquidez
Oferente]]&lt;=1.2,3,IF(Proponentes[[#This Row],[Liquidez
Oferente]]&lt;=1.3,4,IF(Proponentes[[#This Row],[Liquidez
Oferente]]&lt;=1.4,5,6)))))</f>
        <v>6</v>
      </c>
      <c r="AE307" s="10">
        <f>IF(Proponentes[[#This Row],[Endeudamiento
Oferente]]&lt;=66%,6,IF(Proponentes[[#This Row],[Endeudamiento
Oferente]]&lt;=58,5,IF(Proponentes[[#This Row],[Endeudamiento
Oferente]]&lt;=70,4,IF(Proponentes[[#This Row],[Endeudamiento
Oferente]]&lt;=72,3,IF(Proponentes[[#This Row],[Endeudamiento
Oferente]]&lt;=74,2,1)))))</f>
        <v>6</v>
      </c>
      <c r="AF30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07" s="10">
        <f>IF(Proponentes[[#This Row],[Cap Op en SMMLV]]&lt;=500,1,IF(Proponentes[[#This Row],[Cap Op en SMMLV]]&lt;=1000,2,IF(Proponentes[[#This Row],[Cap Op en SMMLV]]&lt;=1500,3,IF(Proponentes[[#This Row],[Cap Op en SMMLV]]&lt;=2000,4,IF(Proponentes[[#This Row],[Cap Op en SMMLV]]&lt;=2500,5,6)))))</f>
        <v>2</v>
      </c>
      <c r="AH307" s="10">
        <f>MIN(Proponentes[[#This Row],[a]:[d]])</f>
        <v>2</v>
      </c>
      <c r="AI307" s="87">
        <f>IF(Proponentes[[#This Row],[e]]=Proponentes[[#This Row],[d]],Proponentes[[#This Row],[Cap Op en SMMLV]],VLOOKUP(Proponentes[[#This Row],[e]],Base!$D$1:$E$6,2,FALSE))</f>
        <v>927.40993942886121</v>
      </c>
      <c r="AJ307" s="101" t="str">
        <f>VLOOKUP(Proponentes[[#This Row],[Propuesta]],Hoja2!$A$2:$D$329,4,FALSE)</f>
        <v>NO CUMPLE</v>
      </c>
      <c r="AK307" s="101"/>
    </row>
    <row r="308" spans="1:37" ht="32" x14ac:dyDescent="0.2">
      <c r="A308" s="10">
        <v>307</v>
      </c>
      <c r="B308" s="11">
        <v>900260765</v>
      </c>
      <c r="C308" s="12" t="s">
        <v>426</v>
      </c>
      <c r="D308" s="13">
        <v>2816668896</v>
      </c>
      <c r="E308" s="13"/>
      <c r="F308" s="25">
        <f>Proponentes[[#This Row],[Activo Corriente]]+Proponentes[[#This Row],[Activo NO Corriente]]</f>
        <v>2816668896</v>
      </c>
      <c r="G308" s="13">
        <v>15340378</v>
      </c>
      <c r="H308" s="13">
        <v>0</v>
      </c>
      <c r="I308" s="25">
        <f>Proponentes[[#This Row],[Pasivo Corriente]]+Proponentes[[#This Row],[Pasivo NO Corriente]]</f>
        <v>15340378</v>
      </c>
      <c r="J308" s="14">
        <f>Proponentes[[#This Row],[Total ACTIVO]]-Proponentes[[#This Row],[Total Pasivo]]</f>
        <v>2801328518</v>
      </c>
      <c r="K308" s="48" t="e">
        <f>VLOOKUP(Proponentes[[#This Row],[Propuesta]],Hoja2!$A$2:$G$239,7,FALSE)</f>
        <v>#N/A</v>
      </c>
      <c r="L308" s="15"/>
      <c r="M308" s="15" t="s">
        <v>59</v>
      </c>
      <c r="N308" s="55">
        <f>IFERROR(VLOOKUP(Proponentes[[#This Row],[Cap Op en SMMLV]],Base!$A$15:$F$20,3),0)</f>
        <v>1</v>
      </c>
      <c r="O308" s="16">
        <f>IFERROR(VLOOKUP(Proponentes[[#This Row],[Cap Op en SMMLV]],Base!$A$15:$F$20,4),0)</f>
        <v>0.76</v>
      </c>
      <c r="P308" s="17">
        <f>IFERROR(VLOOKUP(Proponentes[[#This Row],[Cap Op en SMMLV]],Tabla2[],6),0)</f>
        <v>12.5</v>
      </c>
      <c r="Q308" s="18">
        <f>IFERROR(VLOOKUP(Proponentes[[#This Row],[Cap Op en SMMLV]],Base!$A$15:$F$20,5),0)</f>
        <v>10351450</v>
      </c>
      <c r="R308" s="18">
        <f>IFERROR(VLOOKUP(Proponentes[[#This Row],[Cap Op en SMMLV]],Tabla2[[DE]:[HASTA]],2),0)</f>
        <v>500</v>
      </c>
      <c r="S308" s="19">
        <f>IFERROR(Proponentes[[#This Row],[Activo Corriente]]/Proponentes[[#This Row],[Pasivo Corriente]],"INDETERMINADO")</f>
        <v>183.61144008315833</v>
      </c>
      <c r="T308" s="20">
        <f>IFERROR(Proponentes[[#This Row],[Total Pasivo]]/Proponentes[[#This Row],[Total ACTIVO]],0)</f>
        <v>5.446283736716493E-3</v>
      </c>
      <c r="U308" s="21">
        <f>(Proponentes[[#This Row],[Activo Corriente]]-Proponentes[[#This Row],[Pasivo Corriente]])/Base!$B$3</f>
        <v>3382.773087345251</v>
      </c>
      <c r="V308" s="22">
        <f>Proponentes[[#This Row],[Activo Corriente]]-Proponentes[[#This Row],[Pasivo Corriente]]</f>
        <v>2801328518</v>
      </c>
      <c r="W308" s="13">
        <f>IFERROR(VLOOKUP(Proponentes[[#This Row],[Propuesta]],Hoja2!$A$2:$G$329,7,FALSE),0)</f>
        <v>392950998.46792269</v>
      </c>
      <c r="X308" s="83">
        <f>IF(Proponentes[[#This Row],[Cap Op en Pesos]]=0,0,IF(Proponentes[[#This Row],[Cap Op en Pesos]]=0,1,Proponentes[[#This Row],[Cap Op en Pesos]]/Base!B$3))</f>
        <v>474.51202303532682</v>
      </c>
      <c r="Y30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0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0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08" s="23" t="str">
        <f>IF(AND(Proponentes[[#This Row],[Cumple
Liquidez]]="CUMPLE",Proponentes[[#This Row],[Cumple
Endeudamiento]]="CUMPLE",Proponentes[[#This Row],[Cumple
Capital de Trabajo]]="CUMPLE"),"CUMPLE","NO CUMPLE")</f>
        <v>CUMPLE</v>
      </c>
      <c r="AC308" s="24"/>
      <c r="AD308" s="10">
        <f>IF(Proponentes[[#This Row],[Liquidez
Oferente]]&lt;=1,1,IF(Proponentes[[#This Row],[Liquidez
Oferente]]&lt;=1.1,2,IF(Proponentes[[#This Row],[Liquidez
Oferente]]&lt;=1.2,3,IF(Proponentes[[#This Row],[Liquidez
Oferente]]&lt;=1.3,4,IF(Proponentes[[#This Row],[Liquidez
Oferente]]&lt;=1.4,5,6)))))</f>
        <v>6</v>
      </c>
      <c r="AE308" s="10">
        <f>IF(Proponentes[[#This Row],[Endeudamiento
Oferente]]&lt;=66%,6,IF(Proponentes[[#This Row],[Endeudamiento
Oferente]]&lt;=58,5,IF(Proponentes[[#This Row],[Endeudamiento
Oferente]]&lt;=70,4,IF(Proponentes[[#This Row],[Endeudamiento
Oferente]]&lt;=72,3,IF(Proponentes[[#This Row],[Endeudamiento
Oferente]]&lt;=74,2,1)))))</f>
        <v>6</v>
      </c>
      <c r="AF30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08" s="10">
        <f>IF(Proponentes[[#This Row],[Cap Op en SMMLV]]&lt;=500,1,IF(Proponentes[[#This Row],[Cap Op en SMMLV]]&lt;=1000,2,IF(Proponentes[[#This Row],[Cap Op en SMMLV]]&lt;=1500,3,IF(Proponentes[[#This Row],[Cap Op en SMMLV]]&lt;=2000,4,IF(Proponentes[[#This Row],[Cap Op en SMMLV]]&lt;=2500,5,6)))))</f>
        <v>1</v>
      </c>
      <c r="AH308" s="10">
        <f>MIN(Proponentes[[#This Row],[a]:[d]])</f>
        <v>1</v>
      </c>
      <c r="AI308" s="87">
        <f>IF(Proponentes[[#This Row],[e]]=Proponentes[[#This Row],[d]],Proponentes[[#This Row],[Cap Op en SMMLV]],VLOOKUP(Proponentes[[#This Row],[e]],Base!$D$1:$E$6,2,FALSE))</f>
        <v>474.51202303532682</v>
      </c>
      <c r="AJ308" s="101" t="str">
        <f>VLOOKUP(Proponentes[[#This Row],[Propuesta]],Hoja2!$A$2:$D$329,4,FALSE)</f>
        <v>CUMPLE</v>
      </c>
      <c r="AK308" s="101"/>
    </row>
    <row r="309" spans="1:37" ht="16" x14ac:dyDescent="0.2">
      <c r="A309" s="10">
        <v>308</v>
      </c>
      <c r="B309" s="11">
        <v>800063126</v>
      </c>
      <c r="C309" s="12" t="s">
        <v>427</v>
      </c>
      <c r="D309" s="13">
        <v>1493823105</v>
      </c>
      <c r="E309" s="13"/>
      <c r="F309" s="25">
        <f>Proponentes[[#This Row],[Activo Corriente]]+Proponentes[[#This Row],[Activo NO Corriente]]</f>
        <v>1493823105</v>
      </c>
      <c r="G309" s="13">
        <v>589165892</v>
      </c>
      <c r="H309" s="13">
        <v>0</v>
      </c>
      <c r="I309" s="25">
        <f>Proponentes[[#This Row],[Pasivo Corriente]]+Proponentes[[#This Row],[Pasivo NO Corriente]]</f>
        <v>589165892</v>
      </c>
      <c r="J309" s="14">
        <f>Proponentes[[#This Row],[Total ACTIVO]]-Proponentes[[#This Row],[Total Pasivo]]</f>
        <v>904657213</v>
      </c>
      <c r="K309" s="48" t="e">
        <f>VLOOKUP(Proponentes[[#This Row],[Propuesta]],Hoja2!$A$2:$G$239,7,FALSE)</f>
        <v>#N/A</v>
      </c>
      <c r="L309" s="15"/>
      <c r="M309" s="15" t="s">
        <v>59</v>
      </c>
      <c r="N309" s="55">
        <f>IFERROR(VLOOKUP(Proponentes[[#This Row],[Cap Op en SMMLV]],Base!$A$15:$F$20,3),0)</f>
        <v>1</v>
      </c>
      <c r="O309" s="16">
        <f>IFERROR(VLOOKUP(Proponentes[[#This Row],[Cap Op en SMMLV]],Base!$A$15:$F$20,4),0)</f>
        <v>0.76</v>
      </c>
      <c r="P309" s="17">
        <f>IFERROR(VLOOKUP(Proponentes[[#This Row],[Cap Op en SMMLV]],Tabla2[],6),0)</f>
        <v>12.5</v>
      </c>
      <c r="Q309" s="18">
        <f>IFERROR(VLOOKUP(Proponentes[[#This Row],[Cap Op en SMMLV]],Base!$A$15:$F$20,5),0)</f>
        <v>10351450</v>
      </c>
      <c r="R309" s="18">
        <f>IFERROR(VLOOKUP(Proponentes[[#This Row],[Cap Op en SMMLV]],Tabla2[[DE]:[HASTA]],2),0)</f>
        <v>500</v>
      </c>
      <c r="S309" s="19">
        <f>IFERROR(Proponentes[[#This Row],[Activo Corriente]]/Proponentes[[#This Row],[Pasivo Corriente]],"INDETERMINADO")</f>
        <v>2.5354880947520972</v>
      </c>
      <c r="T309" s="20">
        <f>IFERROR(Proponentes[[#This Row],[Total Pasivo]]/Proponentes[[#This Row],[Total ACTIVO]],0)</f>
        <v>0.39440137860232116</v>
      </c>
      <c r="U309" s="21">
        <f>(Proponentes[[#This Row],[Activo Corriente]]-Proponentes[[#This Row],[Pasivo Corriente]])/Base!$B$3</f>
        <v>1092.4281296340125</v>
      </c>
      <c r="V309" s="22">
        <f>Proponentes[[#This Row],[Activo Corriente]]-Proponentes[[#This Row],[Pasivo Corriente]]</f>
        <v>904657213</v>
      </c>
      <c r="W309" s="13">
        <f>IFERROR(VLOOKUP(Proponentes[[#This Row],[Propuesta]],Hoja2!$A$2:$G$329,7,FALSE),0)</f>
        <v>236253703.92085072</v>
      </c>
      <c r="X309" s="83">
        <f>IF(Proponentes[[#This Row],[Cap Op en Pesos]]=0,0,IF(Proponentes[[#This Row],[Cap Op en Pesos]]=0,1,Proponentes[[#This Row],[Cap Op en Pesos]]/Base!B$3))</f>
        <v>285.29059204368798</v>
      </c>
      <c r="Y30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0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0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09" s="23" t="str">
        <f>IF(AND(Proponentes[[#This Row],[Cumple
Liquidez]]="CUMPLE",Proponentes[[#This Row],[Cumple
Endeudamiento]]="CUMPLE",Proponentes[[#This Row],[Cumple
Capital de Trabajo]]="CUMPLE"),"CUMPLE","NO CUMPLE")</f>
        <v>CUMPLE</v>
      </c>
      <c r="AC309" s="24"/>
      <c r="AD309" s="10">
        <f>IF(Proponentes[[#This Row],[Liquidez
Oferente]]&lt;=1,1,IF(Proponentes[[#This Row],[Liquidez
Oferente]]&lt;=1.1,2,IF(Proponentes[[#This Row],[Liquidez
Oferente]]&lt;=1.2,3,IF(Proponentes[[#This Row],[Liquidez
Oferente]]&lt;=1.3,4,IF(Proponentes[[#This Row],[Liquidez
Oferente]]&lt;=1.4,5,6)))))</f>
        <v>6</v>
      </c>
      <c r="AE309" s="10">
        <f>IF(Proponentes[[#This Row],[Endeudamiento
Oferente]]&lt;=66%,6,IF(Proponentes[[#This Row],[Endeudamiento
Oferente]]&lt;=58,5,IF(Proponentes[[#This Row],[Endeudamiento
Oferente]]&lt;=70,4,IF(Proponentes[[#This Row],[Endeudamiento
Oferente]]&lt;=72,3,IF(Proponentes[[#This Row],[Endeudamiento
Oferente]]&lt;=74,2,1)))))</f>
        <v>6</v>
      </c>
      <c r="AF30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09" s="10">
        <f>IF(Proponentes[[#This Row],[Cap Op en SMMLV]]&lt;=500,1,IF(Proponentes[[#This Row],[Cap Op en SMMLV]]&lt;=1000,2,IF(Proponentes[[#This Row],[Cap Op en SMMLV]]&lt;=1500,3,IF(Proponentes[[#This Row],[Cap Op en SMMLV]]&lt;=2000,4,IF(Proponentes[[#This Row],[Cap Op en SMMLV]]&lt;=2500,5,6)))))</f>
        <v>1</v>
      </c>
      <c r="AH309" s="10">
        <f>MIN(Proponentes[[#This Row],[a]:[d]])</f>
        <v>1</v>
      </c>
      <c r="AI309" s="87">
        <f>IF(Proponentes[[#This Row],[e]]=Proponentes[[#This Row],[d]],Proponentes[[#This Row],[Cap Op en SMMLV]],VLOOKUP(Proponentes[[#This Row],[e]],Base!$D$1:$E$6,2,FALSE))</f>
        <v>285.29059204368798</v>
      </c>
      <c r="AJ309" s="101" t="str">
        <f>VLOOKUP(Proponentes[[#This Row],[Propuesta]],Hoja2!$A$2:$D$329,4,FALSE)</f>
        <v>CUMPLE</v>
      </c>
      <c r="AK309" s="101"/>
    </row>
    <row r="310" spans="1:37" ht="16" x14ac:dyDescent="0.2">
      <c r="A310" s="10">
        <v>309</v>
      </c>
      <c r="B310" s="11">
        <v>805029466</v>
      </c>
      <c r="C310" s="12" t="s">
        <v>428</v>
      </c>
      <c r="D310" s="13">
        <v>3804643010</v>
      </c>
      <c r="E310" s="13"/>
      <c r="F310" s="25">
        <f>Proponentes[[#This Row],[Activo Corriente]]+Proponentes[[#This Row],[Activo NO Corriente]]</f>
        <v>3804643010</v>
      </c>
      <c r="G310" s="13">
        <v>1435078123</v>
      </c>
      <c r="H310" s="13">
        <v>0</v>
      </c>
      <c r="I310" s="25">
        <f>Proponentes[[#This Row],[Pasivo Corriente]]+Proponentes[[#This Row],[Pasivo NO Corriente]]</f>
        <v>1435078123</v>
      </c>
      <c r="J310" s="14">
        <f>Proponentes[[#This Row],[Total ACTIVO]]-Proponentes[[#This Row],[Total Pasivo]]</f>
        <v>2369564887</v>
      </c>
      <c r="K310" s="48" t="e">
        <f>VLOOKUP(Proponentes[[#This Row],[Propuesta]],Hoja2!$A$2:$G$239,7,FALSE)</f>
        <v>#N/A</v>
      </c>
      <c r="L310" s="15"/>
      <c r="M310" s="15" t="s">
        <v>59</v>
      </c>
      <c r="N310" s="55">
        <f>IFERROR(VLOOKUP(Proponentes[[#This Row],[Cap Op en SMMLV]],Base!$A$15:$F$20,3),0)</f>
        <v>0</v>
      </c>
      <c r="O310" s="16">
        <f>IFERROR(VLOOKUP(Proponentes[[#This Row],[Cap Op en SMMLV]],Base!$A$15:$F$20,4),0)</f>
        <v>0</v>
      </c>
      <c r="P310" s="17">
        <f>IFERROR(VLOOKUP(Proponentes[[#This Row],[Cap Op en SMMLV]],Tabla2[],6),0)</f>
        <v>0</v>
      </c>
      <c r="Q310" s="18">
        <f>IFERROR(VLOOKUP(Proponentes[[#This Row],[Cap Op en SMMLV]],Base!$A$15:$F$20,5),0)</f>
        <v>0</v>
      </c>
      <c r="R310" s="18">
        <f>IFERROR(VLOOKUP(Proponentes[[#This Row],[Cap Op en SMMLV]],Tabla2[[DE]:[HASTA]],2),0)</f>
        <v>0</v>
      </c>
      <c r="S310" s="19">
        <f>IFERROR(Proponentes[[#This Row],[Activo Corriente]]/Proponentes[[#This Row],[Pasivo Corriente]],"INDETERMINADO")</f>
        <v>2.6511748378175226</v>
      </c>
      <c r="T310" s="20">
        <f>IFERROR(Proponentes[[#This Row],[Total Pasivo]]/Proponentes[[#This Row],[Total ACTIVO]],0)</f>
        <v>0.37719126846542167</v>
      </c>
      <c r="U310" s="21">
        <f>(Proponentes[[#This Row],[Activo Corriente]]-Proponentes[[#This Row],[Pasivo Corriente]])/Base!$B$3</f>
        <v>2861.392470378546</v>
      </c>
      <c r="V310" s="22">
        <f>Proponentes[[#This Row],[Activo Corriente]]-Proponentes[[#This Row],[Pasivo Corriente]]</f>
        <v>2369564887</v>
      </c>
      <c r="W310" s="13">
        <f>IFERROR(VLOOKUP(Proponentes[[#This Row],[Propuesta]],Hoja2!$A$2:$G$329,7,FALSE),0)</f>
        <v>0</v>
      </c>
      <c r="X310" s="83">
        <f>IF(Proponentes[[#This Row],[Cap Op en Pesos]]=0,0,IF(Proponentes[[#This Row],[Cap Op en Pesos]]=0,1,Proponentes[[#This Row],[Cap Op en Pesos]]/Base!B$3))</f>
        <v>0</v>
      </c>
      <c r="Y31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1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1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10" s="23" t="str">
        <f>IF(AND(Proponentes[[#This Row],[Cumple
Liquidez]]="CUMPLE",Proponentes[[#This Row],[Cumple
Endeudamiento]]="CUMPLE",Proponentes[[#This Row],[Cumple
Capital de Trabajo]]="CUMPLE"),"CUMPLE","NO CUMPLE")</f>
        <v>NO CUMPLE</v>
      </c>
      <c r="AC310" s="24"/>
      <c r="AD310" s="10">
        <f>IF(Proponentes[[#This Row],[Liquidez
Oferente]]&lt;=1,1,IF(Proponentes[[#This Row],[Liquidez
Oferente]]&lt;=1.1,2,IF(Proponentes[[#This Row],[Liquidez
Oferente]]&lt;=1.2,3,IF(Proponentes[[#This Row],[Liquidez
Oferente]]&lt;=1.3,4,IF(Proponentes[[#This Row],[Liquidez
Oferente]]&lt;=1.4,5,6)))))</f>
        <v>6</v>
      </c>
      <c r="AE310" s="10">
        <f>IF(Proponentes[[#This Row],[Endeudamiento
Oferente]]&lt;=66%,6,IF(Proponentes[[#This Row],[Endeudamiento
Oferente]]&lt;=58,5,IF(Proponentes[[#This Row],[Endeudamiento
Oferente]]&lt;=70,4,IF(Proponentes[[#This Row],[Endeudamiento
Oferente]]&lt;=72,3,IF(Proponentes[[#This Row],[Endeudamiento
Oferente]]&lt;=74,2,1)))))</f>
        <v>6</v>
      </c>
      <c r="AF31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10" s="10">
        <f>IF(Proponentes[[#This Row],[Cap Op en SMMLV]]&lt;=500,1,IF(Proponentes[[#This Row],[Cap Op en SMMLV]]&lt;=1000,2,IF(Proponentes[[#This Row],[Cap Op en SMMLV]]&lt;=1500,3,IF(Proponentes[[#This Row],[Cap Op en SMMLV]]&lt;=2000,4,IF(Proponentes[[#This Row],[Cap Op en SMMLV]]&lt;=2500,5,6)))))</f>
        <v>1</v>
      </c>
      <c r="AH310" s="10">
        <f>MIN(Proponentes[[#This Row],[a]:[d]])</f>
        <v>1</v>
      </c>
      <c r="AI310" s="87">
        <f>IF(Proponentes[[#This Row],[e]]=Proponentes[[#This Row],[d]],Proponentes[[#This Row],[Cap Op en SMMLV]],VLOOKUP(Proponentes[[#This Row],[e]],Base!$D$1:$E$6,2,FALSE))</f>
        <v>0</v>
      </c>
      <c r="AJ310" s="101" t="str">
        <f>VLOOKUP(Proponentes[[#This Row],[Propuesta]],Hoja2!$A$2:$D$329,4,FALSE)</f>
        <v>NO CUMPLE</v>
      </c>
      <c r="AK310" s="101"/>
    </row>
    <row r="311" spans="1:37" ht="48" x14ac:dyDescent="0.2">
      <c r="A311" s="10">
        <v>310</v>
      </c>
      <c r="B311" s="11">
        <v>800148631</v>
      </c>
      <c r="C311" s="12" t="s">
        <v>429</v>
      </c>
      <c r="D311" s="13">
        <v>3934121000</v>
      </c>
      <c r="E311" s="13">
        <v>7336149000</v>
      </c>
      <c r="F311" s="25">
        <f>Proponentes[[#This Row],[Activo Corriente]]+Proponentes[[#This Row],[Activo NO Corriente]]</f>
        <v>11270270000</v>
      </c>
      <c r="G311" s="13">
        <v>936059000</v>
      </c>
      <c r="H311" s="13">
        <v>0</v>
      </c>
      <c r="I311" s="25">
        <f>Proponentes[[#This Row],[Pasivo Corriente]]+Proponentes[[#This Row],[Pasivo NO Corriente]]</f>
        <v>936059000</v>
      </c>
      <c r="J311" s="14">
        <f>Proponentes[[#This Row],[Total ACTIVO]]-Proponentes[[#This Row],[Total Pasivo]]</f>
        <v>10334211000</v>
      </c>
      <c r="K311" s="48" t="e">
        <f>VLOOKUP(Proponentes[[#This Row],[Propuesta]],Hoja2!$A$2:$G$239,7,FALSE)</f>
        <v>#N/A</v>
      </c>
      <c r="L311" s="15"/>
      <c r="M311" s="15" t="s">
        <v>468</v>
      </c>
      <c r="N311" s="55">
        <f>IFERROR(VLOOKUP(Proponentes[[#This Row],[Cap Op en SMMLV]],Base!$A$15:$F$20,3),0)</f>
        <v>1.1000000000000001</v>
      </c>
      <c r="O311" s="16">
        <f>IFERROR(VLOOKUP(Proponentes[[#This Row],[Cap Op en SMMLV]],Base!$A$15:$F$20,4),0)</f>
        <v>0.74</v>
      </c>
      <c r="P311" s="17">
        <f>IFERROR(VLOOKUP(Proponentes[[#This Row],[Cap Op en SMMLV]],Tabla2[],6),0)</f>
        <v>25</v>
      </c>
      <c r="Q311" s="18">
        <f>IFERROR(VLOOKUP(Proponentes[[#This Row],[Cap Op en SMMLV]],Base!$A$15:$F$20,5),0)</f>
        <v>20702900</v>
      </c>
      <c r="R311" s="18">
        <f>IFERROR(VLOOKUP(Proponentes[[#This Row],[Cap Op en SMMLV]],Tabla2[[DE]:[HASTA]],2),0)</f>
        <v>1000</v>
      </c>
      <c r="S311" s="19">
        <f>IFERROR(Proponentes[[#This Row],[Activo Corriente]]/Proponentes[[#This Row],[Pasivo Corriente]],"INDETERMINADO")</f>
        <v>4.2028558028927661</v>
      </c>
      <c r="T311" s="20">
        <f>IFERROR(Proponentes[[#This Row],[Total Pasivo]]/Proponentes[[#This Row],[Total ACTIVO]],0)</f>
        <v>8.3055596715961549E-2</v>
      </c>
      <c r="U311" s="21">
        <f>(Proponentes[[#This Row],[Activo Corriente]]-Proponentes[[#This Row],[Pasivo Corriente]])/Base!$B$3</f>
        <v>3620.3406286075865</v>
      </c>
      <c r="V311" s="22">
        <f>Proponentes[[#This Row],[Activo Corriente]]-Proponentes[[#This Row],[Pasivo Corriente]]</f>
        <v>2998062000</v>
      </c>
      <c r="W311" s="13">
        <f>IFERROR(VLOOKUP(Proponentes[[#This Row],[Propuesta]],Hoja2!$A$2:$G$329,7,FALSE),0)</f>
        <v>603942229.6533922</v>
      </c>
      <c r="X311" s="83">
        <f>IF(Proponentes[[#This Row],[Cap Op en Pesos]]=0,0,IF(Proponentes[[#This Row],[Cap Op en Pesos]]=0,1,Proponentes[[#This Row],[Cap Op en Pesos]]/Base!B$3))</f>
        <v>729.29665608850962</v>
      </c>
      <c r="Y31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1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1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11" s="23" t="str">
        <f>IF(AND(Proponentes[[#This Row],[Cumple
Liquidez]]="CUMPLE",Proponentes[[#This Row],[Cumple
Endeudamiento]]="CUMPLE",Proponentes[[#This Row],[Cumple
Capital de Trabajo]]="CUMPLE"),"CUMPLE","NO CUMPLE")</f>
        <v>CUMPLE</v>
      </c>
      <c r="AC311" s="24"/>
      <c r="AD311" s="10">
        <f>IF(Proponentes[[#This Row],[Liquidez
Oferente]]&lt;=1,1,IF(Proponentes[[#This Row],[Liquidez
Oferente]]&lt;=1.1,2,IF(Proponentes[[#This Row],[Liquidez
Oferente]]&lt;=1.2,3,IF(Proponentes[[#This Row],[Liquidez
Oferente]]&lt;=1.3,4,IF(Proponentes[[#This Row],[Liquidez
Oferente]]&lt;=1.4,5,6)))))</f>
        <v>6</v>
      </c>
      <c r="AE311" s="10">
        <f>IF(Proponentes[[#This Row],[Endeudamiento
Oferente]]&lt;=66%,6,IF(Proponentes[[#This Row],[Endeudamiento
Oferente]]&lt;=58,5,IF(Proponentes[[#This Row],[Endeudamiento
Oferente]]&lt;=70,4,IF(Proponentes[[#This Row],[Endeudamiento
Oferente]]&lt;=72,3,IF(Proponentes[[#This Row],[Endeudamiento
Oferente]]&lt;=74,2,1)))))</f>
        <v>6</v>
      </c>
      <c r="AF31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11" s="10">
        <f>IF(Proponentes[[#This Row],[Cap Op en SMMLV]]&lt;=500,1,IF(Proponentes[[#This Row],[Cap Op en SMMLV]]&lt;=1000,2,IF(Proponentes[[#This Row],[Cap Op en SMMLV]]&lt;=1500,3,IF(Proponentes[[#This Row],[Cap Op en SMMLV]]&lt;=2000,4,IF(Proponentes[[#This Row],[Cap Op en SMMLV]]&lt;=2500,5,6)))))</f>
        <v>2</v>
      </c>
      <c r="AH311" s="10">
        <f>MIN(Proponentes[[#This Row],[a]:[d]])</f>
        <v>2</v>
      </c>
      <c r="AI311" s="87">
        <f>IF(Proponentes[[#This Row],[e]]=Proponentes[[#This Row],[d]],Proponentes[[#This Row],[Cap Op en SMMLV]],VLOOKUP(Proponentes[[#This Row],[e]],Base!$D$1:$E$6,2,FALSE))</f>
        <v>729.29665608850962</v>
      </c>
      <c r="AJ311" s="101" t="str">
        <f>VLOOKUP(Proponentes[[#This Row],[Propuesta]],Hoja2!$A$2:$D$329,4,FALSE)</f>
        <v>CUMPLE</v>
      </c>
      <c r="AK311" s="101"/>
    </row>
    <row r="312" spans="1:37" ht="16" x14ac:dyDescent="0.2">
      <c r="A312" s="10">
        <v>311</v>
      </c>
      <c r="B312" s="11">
        <v>901312959</v>
      </c>
      <c r="C312" s="12" t="s">
        <v>430</v>
      </c>
      <c r="D312" s="13">
        <v>60000000</v>
      </c>
      <c r="E312" s="13">
        <v>0</v>
      </c>
      <c r="F312" s="25">
        <f>Proponentes[[#This Row],[Activo Corriente]]+Proponentes[[#This Row],[Activo NO Corriente]]</f>
        <v>60000000</v>
      </c>
      <c r="G312" s="13">
        <v>0</v>
      </c>
      <c r="H312" s="13">
        <v>0</v>
      </c>
      <c r="I312" s="25">
        <f>Proponentes[[#This Row],[Pasivo Corriente]]+Proponentes[[#This Row],[Pasivo NO Corriente]]</f>
        <v>0</v>
      </c>
      <c r="J312" s="14">
        <f>Proponentes[[#This Row],[Total ACTIVO]]-Proponentes[[#This Row],[Total Pasivo]]</f>
        <v>60000000</v>
      </c>
      <c r="K312" s="48" t="e">
        <f>VLOOKUP(Proponentes[[#This Row],[Propuesta]],Hoja2!$A$2:$G$239,7,FALSE)</f>
        <v>#N/A</v>
      </c>
      <c r="L312" s="15" t="s">
        <v>86</v>
      </c>
      <c r="M312" s="15" t="s">
        <v>28</v>
      </c>
      <c r="N312" s="55">
        <f>IFERROR(VLOOKUP(Proponentes[[#This Row],[Cap Op en SMMLV]],Base!$A$15:$F$20,3),0)</f>
        <v>0</v>
      </c>
      <c r="O312" s="16">
        <f>IFERROR(VLOOKUP(Proponentes[[#This Row],[Cap Op en SMMLV]],Base!$A$15:$F$20,4),0)</f>
        <v>0</v>
      </c>
      <c r="P312" s="17">
        <f>IFERROR(VLOOKUP(Proponentes[[#This Row],[Cap Op en SMMLV]],Tabla2[],6),0)</f>
        <v>0</v>
      </c>
      <c r="Q312" s="18">
        <f>IFERROR(VLOOKUP(Proponentes[[#This Row],[Cap Op en SMMLV]],Base!$A$15:$F$20,5),0)</f>
        <v>0</v>
      </c>
      <c r="R312" s="18">
        <f>IFERROR(VLOOKUP(Proponentes[[#This Row],[Cap Op en SMMLV]],Tabla2[[DE]:[HASTA]],2),0)</f>
        <v>0</v>
      </c>
      <c r="S312" s="19" t="str">
        <f>IFERROR(Proponentes[[#This Row],[Activo Corriente]]/Proponentes[[#This Row],[Pasivo Corriente]],"INDETERMINADO")</f>
        <v>INDETERMINADO</v>
      </c>
      <c r="T312" s="20">
        <f>IFERROR(Proponentes[[#This Row],[Total Pasivo]]/Proponentes[[#This Row],[Total ACTIVO]],0)</f>
        <v>0</v>
      </c>
      <c r="U312" s="21">
        <f>(Proponentes[[#This Row],[Activo Corriente]]-Proponentes[[#This Row],[Pasivo Corriente]])/Base!$B$3</f>
        <v>72.453617609127221</v>
      </c>
      <c r="V312" s="22">
        <f>Proponentes[[#This Row],[Activo Corriente]]-Proponentes[[#This Row],[Pasivo Corriente]]</f>
        <v>60000000</v>
      </c>
      <c r="W312" s="13">
        <f>IFERROR(VLOOKUP(Proponentes[[#This Row],[Propuesta]],Hoja2!$A$2:$G$329,7,FALSE),0)</f>
        <v>0</v>
      </c>
      <c r="X312" s="83">
        <f>IF(Proponentes[[#This Row],[Cap Op en Pesos]]=0,0,IF(Proponentes[[#This Row],[Cap Op en Pesos]]=0,1,Proponentes[[#This Row],[Cap Op en Pesos]]/Base!B$3))</f>
        <v>0</v>
      </c>
      <c r="Y31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1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1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12" s="23" t="str">
        <f>IF(AND(Proponentes[[#This Row],[Cumple
Liquidez]]="CUMPLE",Proponentes[[#This Row],[Cumple
Endeudamiento]]="CUMPLE",Proponentes[[#This Row],[Cumple
Capital de Trabajo]]="CUMPLE"),"CUMPLE","NO CUMPLE")</f>
        <v>CUMPLE</v>
      </c>
      <c r="AC312" s="24"/>
      <c r="AD312" s="10">
        <f>IF(Proponentes[[#This Row],[Liquidez
Oferente]]&lt;=1,1,IF(Proponentes[[#This Row],[Liquidez
Oferente]]&lt;=1.1,2,IF(Proponentes[[#This Row],[Liquidez
Oferente]]&lt;=1.2,3,IF(Proponentes[[#This Row],[Liquidez
Oferente]]&lt;=1.3,4,IF(Proponentes[[#This Row],[Liquidez
Oferente]]&lt;=1.4,5,6)))))</f>
        <v>6</v>
      </c>
      <c r="AE312" s="10">
        <f>IF(Proponentes[[#This Row],[Endeudamiento
Oferente]]&lt;=66%,6,IF(Proponentes[[#This Row],[Endeudamiento
Oferente]]&lt;=58,5,IF(Proponentes[[#This Row],[Endeudamiento
Oferente]]&lt;=70,4,IF(Proponentes[[#This Row],[Endeudamiento
Oferente]]&lt;=72,3,IF(Proponentes[[#This Row],[Endeudamiento
Oferente]]&lt;=74,2,1)))))</f>
        <v>6</v>
      </c>
      <c r="AF31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12" s="10">
        <f>IF(Proponentes[[#This Row],[Cap Op en SMMLV]]&lt;=500,1,IF(Proponentes[[#This Row],[Cap Op en SMMLV]]&lt;=1000,2,IF(Proponentes[[#This Row],[Cap Op en SMMLV]]&lt;=1500,3,IF(Proponentes[[#This Row],[Cap Op en SMMLV]]&lt;=2000,4,IF(Proponentes[[#This Row],[Cap Op en SMMLV]]&lt;=2500,5,6)))))</f>
        <v>1</v>
      </c>
      <c r="AH312" s="10">
        <f>MIN(Proponentes[[#This Row],[a]:[d]])</f>
        <v>1</v>
      </c>
      <c r="AI312" s="87">
        <f>IF(Proponentes[[#This Row],[e]]=Proponentes[[#This Row],[d]],Proponentes[[#This Row],[Cap Op en SMMLV]],VLOOKUP(Proponentes[[#This Row],[e]],Base!$D$1:$E$6,2,FALSE))</f>
        <v>0</v>
      </c>
      <c r="AJ312" s="101" t="str">
        <f>VLOOKUP(Proponentes[[#This Row],[Propuesta]],Hoja2!$A$2:$D$329,4,FALSE)</f>
        <v>NO CUMPLE</v>
      </c>
      <c r="AK312" s="101"/>
    </row>
    <row r="313" spans="1:37" ht="32" x14ac:dyDescent="0.2">
      <c r="A313" s="10">
        <v>312</v>
      </c>
      <c r="B313" s="11">
        <v>800034694</v>
      </c>
      <c r="C313" s="12" t="s">
        <v>431</v>
      </c>
      <c r="D313" s="13">
        <v>892650972</v>
      </c>
      <c r="E313" s="13">
        <v>1818359402</v>
      </c>
      <c r="F313" s="25">
        <f>Proponentes[[#This Row],[Activo Corriente]]+Proponentes[[#This Row],[Activo NO Corriente]]</f>
        <v>2711010374</v>
      </c>
      <c r="G313" s="13">
        <v>366084099</v>
      </c>
      <c r="H313" s="13">
        <v>719648798</v>
      </c>
      <c r="I313" s="25">
        <f>Proponentes[[#This Row],[Pasivo Corriente]]+Proponentes[[#This Row],[Pasivo NO Corriente]]</f>
        <v>1085732897</v>
      </c>
      <c r="J313" s="14">
        <f>Proponentes[[#This Row],[Total ACTIVO]]-Proponentes[[#This Row],[Total Pasivo]]</f>
        <v>1625277477</v>
      </c>
      <c r="K313" s="48" t="e">
        <f>VLOOKUP(Proponentes[[#This Row],[Propuesta]],Hoja2!$A$2:$G$239,7,FALSE)</f>
        <v>#N/A</v>
      </c>
      <c r="L313" s="15" t="s">
        <v>86</v>
      </c>
      <c r="M313" s="15" t="s">
        <v>28</v>
      </c>
      <c r="N313" s="55">
        <f>IFERROR(VLOOKUP(Proponentes[[#This Row],[Cap Op en SMMLV]],Base!$A$15:$F$20,3),0)</f>
        <v>1.1000000000000001</v>
      </c>
      <c r="O313" s="16">
        <f>IFERROR(VLOOKUP(Proponentes[[#This Row],[Cap Op en SMMLV]],Base!$A$15:$F$20,4),0)</f>
        <v>0.74</v>
      </c>
      <c r="P313" s="17">
        <f>IFERROR(VLOOKUP(Proponentes[[#This Row],[Cap Op en SMMLV]],Tabla2[],6),0)</f>
        <v>25</v>
      </c>
      <c r="Q313" s="18">
        <f>IFERROR(VLOOKUP(Proponentes[[#This Row],[Cap Op en SMMLV]],Base!$A$15:$F$20,5),0)</f>
        <v>20702900</v>
      </c>
      <c r="R313" s="18">
        <f>IFERROR(VLOOKUP(Proponentes[[#This Row],[Cap Op en SMMLV]],Tabla2[[DE]:[HASTA]],2),0)</f>
        <v>1000</v>
      </c>
      <c r="S313" s="19">
        <f>IFERROR(Proponentes[[#This Row],[Activo Corriente]]/Proponentes[[#This Row],[Pasivo Corriente]],"INDETERMINADO")</f>
        <v>2.438376794945142</v>
      </c>
      <c r="T313" s="20">
        <f>IFERROR(Proponentes[[#This Row],[Total Pasivo]]/Proponentes[[#This Row],[Total ACTIVO]],0)</f>
        <v>0.40049012995772476</v>
      </c>
      <c r="U313" s="21">
        <f>(Proponentes[[#This Row],[Activo Corriente]]-Proponentes[[#This Row],[Pasivo Corriente]])/Base!$B$3</f>
        <v>635.8612476995977</v>
      </c>
      <c r="V313" s="22">
        <f>Proponentes[[#This Row],[Activo Corriente]]-Proponentes[[#This Row],[Pasivo Corriente]]</f>
        <v>526566873</v>
      </c>
      <c r="W313" s="13">
        <f>IFERROR(VLOOKUP(Proponentes[[#This Row],[Propuesta]],Hoja2!$A$2:$G$329,7,FALSE),0)</f>
        <v>806424845.20148015</v>
      </c>
      <c r="X313" s="83">
        <f>IF(Proponentes[[#This Row],[Cap Op en Pesos]]=0,0,IF(Proponentes[[#This Row],[Cap Op en Pesos]]=0,1,Proponentes[[#This Row],[Cap Op en Pesos]]/Base!B$3))</f>
        <v>973.80662274546091</v>
      </c>
      <c r="Y31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1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1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13" s="23" t="str">
        <f>IF(AND(Proponentes[[#This Row],[Cumple
Liquidez]]="CUMPLE",Proponentes[[#This Row],[Cumple
Endeudamiento]]="CUMPLE",Proponentes[[#This Row],[Cumple
Capital de Trabajo]]="CUMPLE"),"CUMPLE","NO CUMPLE")</f>
        <v>CUMPLE</v>
      </c>
      <c r="AC313" s="24"/>
      <c r="AD313" s="10">
        <f>IF(Proponentes[[#This Row],[Liquidez
Oferente]]&lt;=1,1,IF(Proponentes[[#This Row],[Liquidez
Oferente]]&lt;=1.1,2,IF(Proponentes[[#This Row],[Liquidez
Oferente]]&lt;=1.2,3,IF(Proponentes[[#This Row],[Liquidez
Oferente]]&lt;=1.3,4,IF(Proponentes[[#This Row],[Liquidez
Oferente]]&lt;=1.4,5,6)))))</f>
        <v>6</v>
      </c>
      <c r="AE313" s="10">
        <f>IF(Proponentes[[#This Row],[Endeudamiento
Oferente]]&lt;=66%,6,IF(Proponentes[[#This Row],[Endeudamiento
Oferente]]&lt;=58,5,IF(Proponentes[[#This Row],[Endeudamiento
Oferente]]&lt;=70,4,IF(Proponentes[[#This Row],[Endeudamiento
Oferente]]&lt;=72,3,IF(Proponentes[[#This Row],[Endeudamiento
Oferente]]&lt;=74,2,1)))))</f>
        <v>6</v>
      </c>
      <c r="AF31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13" s="10">
        <f>IF(Proponentes[[#This Row],[Cap Op en SMMLV]]&lt;=500,1,IF(Proponentes[[#This Row],[Cap Op en SMMLV]]&lt;=1000,2,IF(Proponentes[[#This Row],[Cap Op en SMMLV]]&lt;=1500,3,IF(Proponentes[[#This Row],[Cap Op en SMMLV]]&lt;=2000,4,IF(Proponentes[[#This Row],[Cap Op en SMMLV]]&lt;=2500,5,6)))))</f>
        <v>2</v>
      </c>
      <c r="AH313" s="10">
        <f>MIN(Proponentes[[#This Row],[a]:[d]])</f>
        <v>2</v>
      </c>
      <c r="AI313" s="87">
        <f>IF(Proponentes[[#This Row],[e]]=Proponentes[[#This Row],[d]],Proponentes[[#This Row],[Cap Op en SMMLV]],VLOOKUP(Proponentes[[#This Row],[e]],Base!$D$1:$E$6,2,FALSE))</f>
        <v>973.80662274546091</v>
      </c>
      <c r="AJ313" s="101" t="str">
        <f>VLOOKUP(Proponentes[[#This Row],[Propuesta]],Hoja2!$A$2:$D$329,4,FALSE)</f>
        <v>CUMPLE</v>
      </c>
      <c r="AK313" s="101"/>
    </row>
    <row r="314" spans="1:37" ht="16" x14ac:dyDescent="0.2">
      <c r="A314" s="10">
        <v>313</v>
      </c>
      <c r="B314" s="11">
        <v>800218607</v>
      </c>
      <c r="C314" s="12" t="s">
        <v>432</v>
      </c>
      <c r="D314" s="13">
        <v>441020000</v>
      </c>
      <c r="E314" s="13">
        <v>11121000</v>
      </c>
      <c r="F314" s="25">
        <f>Proponentes[[#This Row],[Activo Corriente]]+Proponentes[[#This Row],[Activo NO Corriente]]</f>
        <v>452141000</v>
      </c>
      <c r="G314" s="13">
        <v>48621000</v>
      </c>
      <c r="H314" s="13">
        <v>0</v>
      </c>
      <c r="I314" s="25">
        <f>Proponentes[[#This Row],[Pasivo Corriente]]+Proponentes[[#This Row],[Pasivo NO Corriente]]</f>
        <v>48621000</v>
      </c>
      <c r="J314" s="14">
        <f>Proponentes[[#This Row],[Total ACTIVO]]-Proponentes[[#This Row],[Total Pasivo]]</f>
        <v>403520000</v>
      </c>
      <c r="K314" s="48" t="e">
        <f>VLOOKUP(Proponentes[[#This Row],[Propuesta]],Hoja2!$A$2:$G$239,7,FALSE)</f>
        <v>#N/A</v>
      </c>
      <c r="L314" s="15"/>
      <c r="M314" s="15"/>
      <c r="N314" s="55">
        <f>IFERROR(VLOOKUP(Proponentes[[#This Row],[Cap Op en SMMLV]],Base!$A$15:$F$20,3),0)</f>
        <v>1</v>
      </c>
      <c r="O314" s="16">
        <f>IFERROR(VLOOKUP(Proponentes[[#This Row],[Cap Op en SMMLV]],Base!$A$15:$F$20,4),0)</f>
        <v>0.76</v>
      </c>
      <c r="P314" s="17">
        <f>IFERROR(VLOOKUP(Proponentes[[#This Row],[Cap Op en SMMLV]],Tabla2[],6),0)</f>
        <v>12.5</v>
      </c>
      <c r="Q314" s="18">
        <f>IFERROR(VLOOKUP(Proponentes[[#This Row],[Cap Op en SMMLV]],Base!$A$15:$F$20,5),0)</f>
        <v>10351450</v>
      </c>
      <c r="R314" s="18">
        <f>IFERROR(VLOOKUP(Proponentes[[#This Row],[Cap Op en SMMLV]],Tabla2[[DE]:[HASTA]],2),0)</f>
        <v>500</v>
      </c>
      <c r="S314" s="19">
        <f>IFERROR(Proponentes[[#This Row],[Activo Corriente]]/Proponentes[[#This Row],[Pasivo Corriente]],"INDETERMINADO")</f>
        <v>9.0705662162440106</v>
      </c>
      <c r="T314" s="20">
        <f>IFERROR(Proponentes[[#This Row],[Total Pasivo]]/Proponentes[[#This Row],[Total ACTIVO]],0)</f>
        <v>0.1075350388485008</v>
      </c>
      <c r="U314" s="21">
        <f>(Proponentes[[#This Row],[Activo Corriente]]-Proponentes[[#This Row],[Pasivo Corriente]])/Base!$B$3</f>
        <v>473.84545160339854</v>
      </c>
      <c r="V314" s="22">
        <f>Proponentes[[#This Row],[Activo Corriente]]-Proponentes[[#This Row],[Pasivo Corriente]]</f>
        <v>392399000</v>
      </c>
      <c r="W314" s="13">
        <f>IFERROR(VLOOKUP(Proponentes[[#This Row],[Propuesta]],Hoja2!$A$2:$G$329,7,FALSE),0)</f>
        <v>118391393.81489676</v>
      </c>
      <c r="X314" s="83">
        <f>IF(Proponentes[[#This Row],[Cap Op en Pesos]]=0,0,IF(Proponentes[[#This Row],[Cap Op en Pesos]]=0,1,Proponentes[[#This Row],[Cap Op en Pesos]]/Base!B$3))</f>
        <v>142.96474626126866</v>
      </c>
      <c r="Y31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1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1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14" s="23" t="str">
        <f>IF(AND(Proponentes[[#This Row],[Cumple
Liquidez]]="CUMPLE",Proponentes[[#This Row],[Cumple
Endeudamiento]]="CUMPLE",Proponentes[[#This Row],[Cumple
Capital de Trabajo]]="CUMPLE"),"CUMPLE","NO CUMPLE")</f>
        <v>CUMPLE</v>
      </c>
      <c r="AC314" s="24"/>
      <c r="AD314" s="10">
        <f>IF(Proponentes[[#This Row],[Liquidez
Oferente]]&lt;=1,1,IF(Proponentes[[#This Row],[Liquidez
Oferente]]&lt;=1.1,2,IF(Proponentes[[#This Row],[Liquidez
Oferente]]&lt;=1.2,3,IF(Proponentes[[#This Row],[Liquidez
Oferente]]&lt;=1.3,4,IF(Proponentes[[#This Row],[Liquidez
Oferente]]&lt;=1.4,5,6)))))</f>
        <v>6</v>
      </c>
      <c r="AE314" s="10">
        <f>IF(Proponentes[[#This Row],[Endeudamiento
Oferente]]&lt;=66%,6,IF(Proponentes[[#This Row],[Endeudamiento
Oferente]]&lt;=58,5,IF(Proponentes[[#This Row],[Endeudamiento
Oferente]]&lt;=70,4,IF(Proponentes[[#This Row],[Endeudamiento
Oferente]]&lt;=72,3,IF(Proponentes[[#This Row],[Endeudamiento
Oferente]]&lt;=74,2,1)))))</f>
        <v>6</v>
      </c>
      <c r="AF31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14" s="10">
        <f>IF(Proponentes[[#This Row],[Cap Op en SMMLV]]&lt;=500,1,IF(Proponentes[[#This Row],[Cap Op en SMMLV]]&lt;=1000,2,IF(Proponentes[[#This Row],[Cap Op en SMMLV]]&lt;=1500,3,IF(Proponentes[[#This Row],[Cap Op en SMMLV]]&lt;=2000,4,IF(Proponentes[[#This Row],[Cap Op en SMMLV]]&lt;=2500,5,6)))))</f>
        <v>1</v>
      </c>
      <c r="AH314" s="10">
        <f>MIN(Proponentes[[#This Row],[a]:[d]])</f>
        <v>1</v>
      </c>
      <c r="AI314" s="87">
        <f>IF(Proponentes[[#This Row],[e]]=Proponentes[[#This Row],[d]],Proponentes[[#This Row],[Cap Op en SMMLV]],VLOOKUP(Proponentes[[#This Row],[e]],Base!$D$1:$E$6,2,FALSE))</f>
        <v>142.96474626126866</v>
      </c>
      <c r="AJ314" s="101" t="str">
        <f>VLOOKUP(Proponentes[[#This Row],[Propuesta]],Hoja2!$A$2:$D$329,4,FALSE)</f>
        <v>CUMPLE</v>
      </c>
      <c r="AK314" s="101"/>
    </row>
    <row r="315" spans="1:37" ht="16" x14ac:dyDescent="0.2">
      <c r="A315" s="10">
        <v>314</v>
      </c>
      <c r="B315" s="11">
        <v>900748884</v>
      </c>
      <c r="C315" s="12" t="s">
        <v>433</v>
      </c>
      <c r="D315" s="13">
        <v>15666995</v>
      </c>
      <c r="E315" s="13">
        <v>28720500</v>
      </c>
      <c r="F315" s="25">
        <f>Proponentes[[#This Row],[Activo Corriente]]+Proponentes[[#This Row],[Activo NO Corriente]]</f>
        <v>44387495</v>
      </c>
      <c r="G315" s="13">
        <v>696004</v>
      </c>
      <c r="H315" s="13">
        <v>5793589</v>
      </c>
      <c r="I315" s="25">
        <f>Proponentes[[#This Row],[Pasivo Corriente]]+Proponentes[[#This Row],[Pasivo NO Corriente]]</f>
        <v>6489593</v>
      </c>
      <c r="J315" s="14">
        <f>Proponentes[[#This Row],[Total ACTIVO]]-Proponentes[[#This Row],[Total Pasivo]]</f>
        <v>37897902</v>
      </c>
      <c r="K315" s="48" t="e">
        <f>VLOOKUP(Proponentes[[#This Row],[Propuesta]],Hoja2!$A$2:$G$239,7,FALSE)</f>
        <v>#N/A</v>
      </c>
      <c r="L315" s="15" t="s">
        <v>86</v>
      </c>
      <c r="M315" s="15" t="s">
        <v>28</v>
      </c>
      <c r="N315" s="55">
        <f>IFERROR(VLOOKUP(Proponentes[[#This Row],[Cap Op en SMMLV]],Base!$A$15:$F$20,3),0)</f>
        <v>0</v>
      </c>
      <c r="O315" s="16">
        <f>IFERROR(VLOOKUP(Proponentes[[#This Row],[Cap Op en SMMLV]],Base!$A$15:$F$20,4),0)</f>
        <v>0</v>
      </c>
      <c r="P315" s="17">
        <f>IFERROR(VLOOKUP(Proponentes[[#This Row],[Cap Op en SMMLV]],Tabla2[],6),0)</f>
        <v>0</v>
      </c>
      <c r="Q315" s="18">
        <f>IFERROR(VLOOKUP(Proponentes[[#This Row],[Cap Op en SMMLV]],Base!$A$15:$F$20,5),0)</f>
        <v>0</v>
      </c>
      <c r="R315" s="18">
        <f>IFERROR(VLOOKUP(Proponentes[[#This Row],[Cap Op en SMMLV]],Tabla2[[DE]:[HASTA]],2),0)</f>
        <v>0</v>
      </c>
      <c r="S315" s="19">
        <f>IFERROR(Proponentes[[#This Row],[Activo Corriente]]/Proponentes[[#This Row],[Pasivo Corriente]],"INDETERMINADO")</f>
        <v>22.509920919994713</v>
      </c>
      <c r="T315" s="20">
        <f>IFERROR(Proponentes[[#This Row],[Total Pasivo]]/Proponentes[[#This Row],[Total ACTIVO]],0)</f>
        <v>0.14620318177450653</v>
      </c>
      <c r="U315" s="21">
        <f>(Proponentes[[#This Row],[Activo Corriente]]-Proponentes[[#This Row],[Pasivo Corriente]])/Base!$B$3</f>
        <v>18.078374285728085</v>
      </c>
      <c r="V315" s="22">
        <f>Proponentes[[#This Row],[Activo Corriente]]-Proponentes[[#This Row],[Pasivo Corriente]]</f>
        <v>14970991</v>
      </c>
      <c r="W315" s="13">
        <f>IFERROR(VLOOKUP(Proponentes[[#This Row],[Propuesta]],Hoja2!$A$2:$G$329,7,FALSE),0)</f>
        <v>0</v>
      </c>
      <c r="X315" s="83">
        <f>IF(Proponentes[[#This Row],[Cap Op en Pesos]]=0,0,IF(Proponentes[[#This Row],[Cap Op en Pesos]]=0,1,Proponentes[[#This Row],[Cap Op en Pesos]]/Base!B$3))</f>
        <v>0</v>
      </c>
      <c r="Y31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1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1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15" s="23" t="str">
        <f>IF(AND(Proponentes[[#This Row],[Cumple
Liquidez]]="CUMPLE",Proponentes[[#This Row],[Cumple
Endeudamiento]]="CUMPLE",Proponentes[[#This Row],[Cumple
Capital de Trabajo]]="CUMPLE"),"CUMPLE","NO CUMPLE")</f>
        <v>NO CUMPLE</v>
      </c>
      <c r="AC315" s="24"/>
      <c r="AD315" s="10">
        <f>IF(Proponentes[[#This Row],[Liquidez
Oferente]]&lt;=1,1,IF(Proponentes[[#This Row],[Liquidez
Oferente]]&lt;=1.1,2,IF(Proponentes[[#This Row],[Liquidez
Oferente]]&lt;=1.2,3,IF(Proponentes[[#This Row],[Liquidez
Oferente]]&lt;=1.3,4,IF(Proponentes[[#This Row],[Liquidez
Oferente]]&lt;=1.4,5,6)))))</f>
        <v>6</v>
      </c>
      <c r="AE315" s="10">
        <f>IF(Proponentes[[#This Row],[Endeudamiento
Oferente]]&lt;=66%,6,IF(Proponentes[[#This Row],[Endeudamiento
Oferente]]&lt;=58,5,IF(Proponentes[[#This Row],[Endeudamiento
Oferente]]&lt;=70,4,IF(Proponentes[[#This Row],[Endeudamiento
Oferente]]&lt;=72,3,IF(Proponentes[[#This Row],[Endeudamiento
Oferente]]&lt;=74,2,1)))))</f>
        <v>6</v>
      </c>
      <c r="AF31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315" s="10">
        <f>IF(Proponentes[[#This Row],[Cap Op en SMMLV]]&lt;=500,1,IF(Proponentes[[#This Row],[Cap Op en SMMLV]]&lt;=1000,2,IF(Proponentes[[#This Row],[Cap Op en SMMLV]]&lt;=1500,3,IF(Proponentes[[#This Row],[Cap Op en SMMLV]]&lt;=2000,4,IF(Proponentes[[#This Row],[Cap Op en SMMLV]]&lt;=2500,5,6)))))</f>
        <v>1</v>
      </c>
      <c r="AH315" s="10">
        <f>MIN(Proponentes[[#This Row],[a]:[d]])</f>
        <v>1</v>
      </c>
      <c r="AI315" s="87">
        <f>IF(Proponentes[[#This Row],[e]]=Proponentes[[#This Row],[d]],Proponentes[[#This Row],[Cap Op en SMMLV]],VLOOKUP(Proponentes[[#This Row],[e]],Base!$D$1:$E$6,2,FALSE))</f>
        <v>0</v>
      </c>
      <c r="AJ315" s="101" t="str">
        <f>VLOOKUP(Proponentes[[#This Row],[Propuesta]],Hoja2!$A$2:$D$329,4,FALSE)</f>
        <v>NO CUMPLE</v>
      </c>
      <c r="AK315" s="101"/>
    </row>
    <row r="316" spans="1:37" ht="16" x14ac:dyDescent="0.2">
      <c r="A316" s="10">
        <v>315</v>
      </c>
      <c r="B316" s="11">
        <v>806014866</v>
      </c>
      <c r="C316" s="12" t="s">
        <v>434</v>
      </c>
      <c r="D316" s="13">
        <v>1159357268</v>
      </c>
      <c r="E316" s="13">
        <v>299756800</v>
      </c>
      <c r="F316" s="25">
        <f>Proponentes[[#This Row],[Activo Corriente]]+Proponentes[[#This Row],[Activo NO Corriente]]</f>
        <v>1459114068</v>
      </c>
      <c r="G316" s="13">
        <v>88345479</v>
      </c>
      <c r="H316" s="13">
        <v>297222959</v>
      </c>
      <c r="I316" s="25">
        <f>Proponentes[[#This Row],[Pasivo Corriente]]+Proponentes[[#This Row],[Pasivo NO Corriente]]</f>
        <v>385568438</v>
      </c>
      <c r="J316" s="14">
        <f>Proponentes[[#This Row],[Total ACTIVO]]-Proponentes[[#This Row],[Total Pasivo]]</f>
        <v>1073545630</v>
      </c>
      <c r="K316" s="48" t="e">
        <f>VLOOKUP(Proponentes[[#This Row],[Propuesta]],Hoja2!$A$2:$G$239,7,FALSE)</f>
        <v>#N/A</v>
      </c>
      <c r="L316" s="15"/>
      <c r="M316" s="15" t="s">
        <v>435</v>
      </c>
      <c r="N316" s="55">
        <f>IFERROR(VLOOKUP(Proponentes[[#This Row],[Cap Op en SMMLV]],Base!$A$15:$F$20,3),0)</f>
        <v>1</v>
      </c>
      <c r="O316" s="16">
        <f>IFERROR(VLOOKUP(Proponentes[[#This Row],[Cap Op en SMMLV]],Base!$A$15:$F$20,4),0)</f>
        <v>0.76</v>
      </c>
      <c r="P316" s="17">
        <f>IFERROR(VLOOKUP(Proponentes[[#This Row],[Cap Op en SMMLV]],Tabla2[],6),0)</f>
        <v>12.5</v>
      </c>
      <c r="Q316" s="18">
        <f>IFERROR(VLOOKUP(Proponentes[[#This Row],[Cap Op en SMMLV]],Base!$A$15:$F$20,5),0)</f>
        <v>10351450</v>
      </c>
      <c r="R316" s="18">
        <f>IFERROR(VLOOKUP(Proponentes[[#This Row],[Cap Op en SMMLV]],Tabla2[[DE]:[HASTA]],2),0)</f>
        <v>500</v>
      </c>
      <c r="S316" s="19">
        <f>IFERROR(Proponentes[[#This Row],[Activo Corriente]]/Proponentes[[#This Row],[Pasivo Corriente]],"INDETERMINADO")</f>
        <v>13.122994873342641</v>
      </c>
      <c r="T316" s="20">
        <f>IFERROR(Proponentes[[#This Row],[Total Pasivo]]/Proponentes[[#This Row],[Total ACTIVO]],0)</f>
        <v>0.26424831783610764</v>
      </c>
      <c r="U316" s="21">
        <f>(Proponentes[[#This Row],[Activo Corriente]]-Proponentes[[#This Row],[Pasivo Corriente]])/Base!$B$3</f>
        <v>1293.3113102512209</v>
      </c>
      <c r="V316" s="22">
        <f>Proponentes[[#This Row],[Activo Corriente]]-Proponentes[[#This Row],[Pasivo Corriente]]</f>
        <v>1071011789</v>
      </c>
      <c r="W316" s="13">
        <f>IFERROR(VLOOKUP(Proponentes[[#This Row],[Propuesta]],Hoja2!$A$2:$G$329,7,FALSE),0)</f>
        <v>117709989.4033913</v>
      </c>
      <c r="X316" s="83">
        <f>IF(Proponentes[[#This Row],[Cap Op en Pesos]]=0,0,IF(Proponentes[[#This Row],[Cap Op en Pesos]]=0,1,Proponentes[[#This Row],[Cap Op en Pesos]]/Base!B$3))</f>
        <v>142.14190935012886</v>
      </c>
      <c r="Y31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1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1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16" s="23" t="str">
        <f>IF(AND(Proponentes[[#This Row],[Cumple
Liquidez]]="CUMPLE",Proponentes[[#This Row],[Cumple
Endeudamiento]]="CUMPLE",Proponentes[[#This Row],[Cumple
Capital de Trabajo]]="CUMPLE"),"CUMPLE","NO CUMPLE")</f>
        <v>CUMPLE</v>
      </c>
      <c r="AC316" s="24"/>
      <c r="AD316" s="10">
        <f>IF(Proponentes[[#This Row],[Liquidez
Oferente]]&lt;=1,1,IF(Proponentes[[#This Row],[Liquidez
Oferente]]&lt;=1.1,2,IF(Proponentes[[#This Row],[Liquidez
Oferente]]&lt;=1.2,3,IF(Proponentes[[#This Row],[Liquidez
Oferente]]&lt;=1.3,4,IF(Proponentes[[#This Row],[Liquidez
Oferente]]&lt;=1.4,5,6)))))</f>
        <v>6</v>
      </c>
      <c r="AE316" s="10">
        <f>IF(Proponentes[[#This Row],[Endeudamiento
Oferente]]&lt;=66%,6,IF(Proponentes[[#This Row],[Endeudamiento
Oferente]]&lt;=58,5,IF(Proponentes[[#This Row],[Endeudamiento
Oferente]]&lt;=70,4,IF(Proponentes[[#This Row],[Endeudamiento
Oferente]]&lt;=72,3,IF(Proponentes[[#This Row],[Endeudamiento
Oferente]]&lt;=74,2,1)))))</f>
        <v>6</v>
      </c>
      <c r="AF31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16" s="10">
        <f>IF(Proponentes[[#This Row],[Cap Op en SMMLV]]&lt;=500,1,IF(Proponentes[[#This Row],[Cap Op en SMMLV]]&lt;=1000,2,IF(Proponentes[[#This Row],[Cap Op en SMMLV]]&lt;=1500,3,IF(Proponentes[[#This Row],[Cap Op en SMMLV]]&lt;=2000,4,IF(Proponentes[[#This Row],[Cap Op en SMMLV]]&lt;=2500,5,6)))))</f>
        <v>1</v>
      </c>
      <c r="AH316" s="10">
        <f>MIN(Proponentes[[#This Row],[a]:[d]])</f>
        <v>1</v>
      </c>
      <c r="AI316" s="87">
        <f>IF(Proponentes[[#This Row],[e]]=Proponentes[[#This Row],[d]],Proponentes[[#This Row],[Cap Op en SMMLV]],VLOOKUP(Proponentes[[#This Row],[e]],Base!$D$1:$E$6,2,FALSE))</f>
        <v>142.14190935012886</v>
      </c>
      <c r="AJ316" s="101" t="str">
        <f>VLOOKUP(Proponentes[[#This Row],[Propuesta]],Hoja2!$A$2:$D$329,4,FALSE)</f>
        <v>NO CUMPLE</v>
      </c>
      <c r="AK316" s="101"/>
    </row>
    <row r="317" spans="1:37" ht="16" x14ac:dyDescent="0.2">
      <c r="A317" s="10">
        <v>316</v>
      </c>
      <c r="B317" s="11">
        <v>900512759</v>
      </c>
      <c r="C317" s="12" t="s">
        <v>436</v>
      </c>
      <c r="D317" s="13">
        <v>625174413</v>
      </c>
      <c r="E317" s="13">
        <v>5696793</v>
      </c>
      <c r="F317" s="25">
        <f>Proponentes[[#This Row],[Activo Corriente]]+Proponentes[[#This Row],[Activo NO Corriente]]</f>
        <v>630871206</v>
      </c>
      <c r="G317" s="13">
        <v>8217941</v>
      </c>
      <c r="H317" s="13">
        <v>0</v>
      </c>
      <c r="I317" s="25">
        <f>Proponentes[[#This Row],[Pasivo Corriente]]+Proponentes[[#This Row],[Pasivo NO Corriente]]</f>
        <v>8217941</v>
      </c>
      <c r="J317" s="14">
        <f>Proponentes[[#This Row],[Total ACTIVO]]-Proponentes[[#This Row],[Total Pasivo]]</f>
        <v>622653265</v>
      </c>
      <c r="K317" s="48" t="e">
        <f>VLOOKUP(Proponentes[[#This Row],[Propuesta]],Hoja2!$A$2:$G$239,7,FALSE)</f>
        <v>#N/A</v>
      </c>
      <c r="L317" s="15" t="s">
        <v>86</v>
      </c>
      <c r="M317" s="15" t="s">
        <v>28</v>
      </c>
      <c r="N317" s="55">
        <f>IFERROR(VLOOKUP(Proponentes[[#This Row],[Cap Op en SMMLV]],Base!$A$15:$F$20,3),0)</f>
        <v>1.1000000000000001</v>
      </c>
      <c r="O317" s="16">
        <f>IFERROR(VLOOKUP(Proponentes[[#This Row],[Cap Op en SMMLV]],Base!$A$15:$F$20,4),0)</f>
        <v>0.74</v>
      </c>
      <c r="P317" s="17">
        <f>IFERROR(VLOOKUP(Proponentes[[#This Row],[Cap Op en SMMLV]],Tabla2[],6),0)</f>
        <v>25</v>
      </c>
      <c r="Q317" s="18">
        <f>IFERROR(VLOOKUP(Proponentes[[#This Row],[Cap Op en SMMLV]],Base!$A$15:$F$20,5),0)</f>
        <v>20702900</v>
      </c>
      <c r="R317" s="18">
        <f>IFERROR(VLOOKUP(Proponentes[[#This Row],[Cap Op en SMMLV]],Tabla2[[DE]:[HASTA]],2),0)</f>
        <v>1000</v>
      </c>
      <c r="S317" s="19">
        <f>IFERROR(Proponentes[[#This Row],[Activo Corriente]]/Proponentes[[#This Row],[Pasivo Corriente]],"INDETERMINADO")</f>
        <v>76.07433699025097</v>
      </c>
      <c r="T317" s="20">
        <f>IFERROR(Proponentes[[#This Row],[Total Pasivo]]/Proponentes[[#This Row],[Total ACTIVO]],0)</f>
        <v>1.302633710627776E-2</v>
      </c>
      <c r="U317" s="21">
        <f>(Proponentes[[#This Row],[Activo Corriente]]-Proponentes[[#This Row],[Pasivo Corriente]])/Base!$B$3</f>
        <v>745.0121383960701</v>
      </c>
      <c r="V317" s="22">
        <f>Proponentes[[#This Row],[Activo Corriente]]-Proponentes[[#This Row],[Pasivo Corriente]]</f>
        <v>616956472</v>
      </c>
      <c r="W317" s="13">
        <f>IFERROR(VLOOKUP(Proponentes[[#This Row],[Propuesta]],Hoja2!$A$2:$G$329,7,FALSE),0)</f>
        <v>605107707.46906447</v>
      </c>
      <c r="X317" s="83">
        <f>IF(Proponentes[[#This Row],[Cap Op en Pesos]]=0,0,IF(Proponentes[[#This Row],[Cap Op en Pesos]]=0,1,Proponentes[[#This Row],[Cap Op en Pesos]]/Base!B$3))</f>
        <v>730.70404082165362</v>
      </c>
      <c r="Y31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1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1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17" s="23" t="str">
        <f>IF(AND(Proponentes[[#This Row],[Cumple
Liquidez]]="CUMPLE",Proponentes[[#This Row],[Cumple
Endeudamiento]]="CUMPLE",Proponentes[[#This Row],[Cumple
Capital de Trabajo]]="CUMPLE"),"CUMPLE","NO CUMPLE")</f>
        <v>CUMPLE</v>
      </c>
      <c r="AC317" s="24"/>
      <c r="AD317" s="10">
        <f>IF(Proponentes[[#This Row],[Liquidez
Oferente]]&lt;=1,1,IF(Proponentes[[#This Row],[Liquidez
Oferente]]&lt;=1.1,2,IF(Proponentes[[#This Row],[Liquidez
Oferente]]&lt;=1.2,3,IF(Proponentes[[#This Row],[Liquidez
Oferente]]&lt;=1.3,4,IF(Proponentes[[#This Row],[Liquidez
Oferente]]&lt;=1.4,5,6)))))</f>
        <v>6</v>
      </c>
      <c r="AE317" s="10">
        <f>IF(Proponentes[[#This Row],[Endeudamiento
Oferente]]&lt;=66%,6,IF(Proponentes[[#This Row],[Endeudamiento
Oferente]]&lt;=58,5,IF(Proponentes[[#This Row],[Endeudamiento
Oferente]]&lt;=70,4,IF(Proponentes[[#This Row],[Endeudamiento
Oferente]]&lt;=72,3,IF(Proponentes[[#This Row],[Endeudamiento
Oferente]]&lt;=74,2,1)))))</f>
        <v>6</v>
      </c>
      <c r="AF31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17" s="10">
        <f>IF(Proponentes[[#This Row],[Cap Op en SMMLV]]&lt;=500,1,IF(Proponentes[[#This Row],[Cap Op en SMMLV]]&lt;=1000,2,IF(Proponentes[[#This Row],[Cap Op en SMMLV]]&lt;=1500,3,IF(Proponentes[[#This Row],[Cap Op en SMMLV]]&lt;=2000,4,IF(Proponentes[[#This Row],[Cap Op en SMMLV]]&lt;=2500,5,6)))))</f>
        <v>2</v>
      </c>
      <c r="AH317" s="10">
        <f>MIN(Proponentes[[#This Row],[a]:[d]])</f>
        <v>2</v>
      </c>
      <c r="AI317" s="87">
        <f>IF(Proponentes[[#This Row],[e]]=Proponentes[[#This Row],[d]],Proponentes[[#This Row],[Cap Op en SMMLV]],VLOOKUP(Proponentes[[#This Row],[e]],Base!$D$1:$E$6,2,FALSE))</f>
        <v>730.70404082165362</v>
      </c>
      <c r="AJ317" s="101" t="str">
        <f>VLOOKUP(Proponentes[[#This Row],[Propuesta]],Hoja2!$A$2:$D$329,4,FALSE)</f>
        <v>NO CUMPLE</v>
      </c>
      <c r="AK317" s="101"/>
    </row>
    <row r="318" spans="1:37" ht="16" x14ac:dyDescent="0.2">
      <c r="A318" s="10">
        <v>317</v>
      </c>
      <c r="B318" s="11">
        <v>900054260</v>
      </c>
      <c r="C318" s="12" t="s">
        <v>437</v>
      </c>
      <c r="D318" s="13">
        <v>700355156</v>
      </c>
      <c r="E318" s="13">
        <v>3700055156</v>
      </c>
      <c r="F318" s="25">
        <f>Proponentes[[#This Row],[Activo Corriente]]+Proponentes[[#This Row],[Activo NO Corriente]]</f>
        <v>4400410312</v>
      </c>
      <c r="G318" s="13">
        <v>71500000</v>
      </c>
      <c r="H318" s="13">
        <v>0</v>
      </c>
      <c r="I318" s="25">
        <f>Proponentes[[#This Row],[Pasivo Corriente]]+Proponentes[[#This Row],[Pasivo NO Corriente]]</f>
        <v>71500000</v>
      </c>
      <c r="J318" s="14">
        <f>Proponentes[[#This Row],[Total ACTIVO]]-Proponentes[[#This Row],[Total Pasivo]]</f>
        <v>4328910312</v>
      </c>
      <c r="K318" s="48" t="e">
        <f>VLOOKUP(Proponentes[[#This Row],[Propuesta]],Hoja2!$A$2:$G$239,7,FALSE)</f>
        <v>#N/A</v>
      </c>
      <c r="L318" s="15"/>
      <c r="M318" s="15" t="s">
        <v>438</v>
      </c>
      <c r="N318" s="55">
        <f>IFERROR(VLOOKUP(Proponentes[[#This Row],[Cap Op en SMMLV]],Base!$A$15:$F$20,3),0)</f>
        <v>0</v>
      </c>
      <c r="O318" s="16">
        <f>IFERROR(VLOOKUP(Proponentes[[#This Row],[Cap Op en SMMLV]],Base!$A$15:$F$20,4),0)</f>
        <v>0</v>
      </c>
      <c r="P318" s="17">
        <f>IFERROR(VLOOKUP(Proponentes[[#This Row],[Cap Op en SMMLV]],Tabla2[],6),0)</f>
        <v>0</v>
      </c>
      <c r="Q318" s="18">
        <f>IFERROR(VLOOKUP(Proponentes[[#This Row],[Cap Op en SMMLV]],Base!$A$15:$F$20,5),0)</f>
        <v>0</v>
      </c>
      <c r="R318" s="18">
        <f>IFERROR(VLOOKUP(Proponentes[[#This Row],[Cap Op en SMMLV]],Tabla2[[DE]:[HASTA]],2),0)</f>
        <v>0</v>
      </c>
      <c r="S318" s="19">
        <f>IFERROR(Proponentes[[#This Row],[Activo Corriente]]/Proponentes[[#This Row],[Pasivo Corriente]],"INDETERMINADO")</f>
        <v>9.7951770069930078</v>
      </c>
      <c r="T318" s="20">
        <f>IFERROR(Proponentes[[#This Row],[Total Pasivo]]/Proponentes[[#This Row],[Total ACTIVO]],0)</f>
        <v>1.6248484784479798E-2</v>
      </c>
      <c r="U318" s="21">
        <f>(Proponentes[[#This Row],[Activo Corriente]]-Proponentes[[#This Row],[Pasivo Corriente]])/Base!$B$3</f>
        <v>759.38051673920074</v>
      </c>
      <c r="V318" s="22">
        <f>Proponentes[[#This Row],[Activo Corriente]]-Proponentes[[#This Row],[Pasivo Corriente]]</f>
        <v>628855156</v>
      </c>
      <c r="W318" s="13">
        <f>IFERROR(VLOOKUP(Proponentes[[#This Row],[Propuesta]],Hoja2!$A$2:$G$329,7,FALSE),0)</f>
        <v>0</v>
      </c>
      <c r="X318" s="83">
        <f>IF(Proponentes[[#This Row],[Cap Op en Pesos]]=0,0,IF(Proponentes[[#This Row],[Cap Op en Pesos]]=0,1,Proponentes[[#This Row],[Cap Op en Pesos]]/Base!B$3))</f>
        <v>0</v>
      </c>
      <c r="Y31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1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1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18" s="23" t="str">
        <f>IF(AND(Proponentes[[#This Row],[Cumple
Liquidez]]="CUMPLE",Proponentes[[#This Row],[Cumple
Endeudamiento]]="CUMPLE",Proponentes[[#This Row],[Cumple
Capital de Trabajo]]="CUMPLE"),"CUMPLE","NO CUMPLE")</f>
        <v>NO CUMPLE</v>
      </c>
      <c r="AC318" s="24"/>
      <c r="AD318" s="10">
        <f>IF(Proponentes[[#This Row],[Liquidez
Oferente]]&lt;=1,1,IF(Proponentes[[#This Row],[Liquidez
Oferente]]&lt;=1.1,2,IF(Proponentes[[#This Row],[Liquidez
Oferente]]&lt;=1.2,3,IF(Proponentes[[#This Row],[Liquidez
Oferente]]&lt;=1.3,4,IF(Proponentes[[#This Row],[Liquidez
Oferente]]&lt;=1.4,5,6)))))</f>
        <v>6</v>
      </c>
      <c r="AE318" s="10">
        <f>IF(Proponentes[[#This Row],[Endeudamiento
Oferente]]&lt;=66%,6,IF(Proponentes[[#This Row],[Endeudamiento
Oferente]]&lt;=58,5,IF(Proponentes[[#This Row],[Endeudamiento
Oferente]]&lt;=70,4,IF(Proponentes[[#This Row],[Endeudamiento
Oferente]]&lt;=72,3,IF(Proponentes[[#This Row],[Endeudamiento
Oferente]]&lt;=74,2,1)))))</f>
        <v>6</v>
      </c>
      <c r="AF31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18" s="10">
        <f>IF(Proponentes[[#This Row],[Cap Op en SMMLV]]&lt;=500,1,IF(Proponentes[[#This Row],[Cap Op en SMMLV]]&lt;=1000,2,IF(Proponentes[[#This Row],[Cap Op en SMMLV]]&lt;=1500,3,IF(Proponentes[[#This Row],[Cap Op en SMMLV]]&lt;=2000,4,IF(Proponentes[[#This Row],[Cap Op en SMMLV]]&lt;=2500,5,6)))))</f>
        <v>1</v>
      </c>
      <c r="AH318" s="10">
        <f>MIN(Proponentes[[#This Row],[a]:[d]])</f>
        <v>1</v>
      </c>
      <c r="AI318" s="87">
        <f>IF(Proponentes[[#This Row],[e]]=Proponentes[[#This Row],[d]],Proponentes[[#This Row],[Cap Op en SMMLV]],VLOOKUP(Proponentes[[#This Row],[e]],Base!$D$1:$E$6,2,FALSE))</f>
        <v>0</v>
      </c>
      <c r="AJ318" s="101" t="str">
        <f>VLOOKUP(Proponentes[[#This Row],[Propuesta]],Hoja2!$A$2:$D$329,4,FALSE)</f>
        <v>NO CUMPLE</v>
      </c>
      <c r="AK318" s="101"/>
    </row>
    <row r="319" spans="1:37" ht="16" x14ac:dyDescent="0.2">
      <c r="A319" s="10">
        <v>318</v>
      </c>
      <c r="B319" s="11">
        <v>900204863</v>
      </c>
      <c r="C319" s="12" t="s">
        <v>439</v>
      </c>
      <c r="D319" s="13">
        <v>469115707</v>
      </c>
      <c r="E319" s="13">
        <v>83809931</v>
      </c>
      <c r="F319" s="25">
        <f>Proponentes[[#This Row],[Activo Corriente]]+Proponentes[[#This Row],[Activo NO Corriente]]</f>
        <v>552925638</v>
      </c>
      <c r="G319" s="13">
        <v>29700000</v>
      </c>
      <c r="H319" s="13">
        <v>0</v>
      </c>
      <c r="I319" s="25">
        <f>Proponentes[[#This Row],[Pasivo Corriente]]+Proponentes[[#This Row],[Pasivo NO Corriente]]</f>
        <v>29700000</v>
      </c>
      <c r="J319" s="14">
        <f>Proponentes[[#This Row],[Total ACTIVO]]-Proponentes[[#This Row],[Total Pasivo]]</f>
        <v>523225638</v>
      </c>
      <c r="K319" s="48" t="e">
        <f>VLOOKUP(Proponentes[[#This Row],[Propuesta]],Hoja2!$A$2:$G$239,7,FALSE)</f>
        <v>#N/A</v>
      </c>
      <c r="L319" s="15" t="s">
        <v>86</v>
      </c>
      <c r="M319" s="15" t="s">
        <v>28</v>
      </c>
      <c r="N319" s="55">
        <f>IFERROR(VLOOKUP(Proponentes[[#This Row],[Cap Op en SMMLV]],Base!$A$15:$F$20,3),0)</f>
        <v>1.1000000000000001</v>
      </c>
      <c r="O319" s="16">
        <f>IFERROR(VLOOKUP(Proponentes[[#This Row],[Cap Op en SMMLV]],Base!$A$15:$F$20,4),0)</f>
        <v>0.74</v>
      </c>
      <c r="P319" s="17">
        <f>IFERROR(VLOOKUP(Proponentes[[#This Row],[Cap Op en SMMLV]],Tabla2[],6),0)</f>
        <v>25</v>
      </c>
      <c r="Q319" s="18">
        <f>IFERROR(VLOOKUP(Proponentes[[#This Row],[Cap Op en SMMLV]],Base!$A$15:$F$20,5),0)</f>
        <v>20702900</v>
      </c>
      <c r="R319" s="18">
        <f>IFERROR(VLOOKUP(Proponentes[[#This Row],[Cap Op en SMMLV]],Tabla2[[DE]:[HASTA]],2),0)</f>
        <v>1000</v>
      </c>
      <c r="S319" s="19">
        <f>IFERROR(Proponentes[[#This Row],[Activo Corriente]]/Proponentes[[#This Row],[Pasivo Corriente]],"INDETERMINADO")</f>
        <v>15.795141649831649</v>
      </c>
      <c r="T319" s="20">
        <f>IFERROR(Proponentes[[#This Row],[Total Pasivo]]/Proponentes[[#This Row],[Total ACTIVO]],0)</f>
        <v>5.3714275408585775E-2</v>
      </c>
      <c r="U319" s="21">
        <f>(Proponentes[[#This Row],[Activo Corriente]]-Proponentes[[#This Row],[Pasivo Corriente]])/Base!$B$3</f>
        <v>530.62096010703817</v>
      </c>
      <c r="V319" s="22">
        <f>Proponentes[[#This Row],[Activo Corriente]]-Proponentes[[#This Row],[Pasivo Corriente]]</f>
        <v>439415707</v>
      </c>
      <c r="W319" s="13">
        <f>IFERROR(VLOOKUP(Proponentes[[#This Row],[Propuesta]],Hoja2!$A$2:$G$329,7,FALSE),0)</f>
        <v>797350596.99134243</v>
      </c>
      <c r="X319" s="83">
        <f>IF(Proponentes[[#This Row],[Cap Op en Pesos]]=0,0,IF(Proponentes[[#This Row],[Cap Op en Pesos]]=0,1,Proponentes[[#This Row],[Cap Op en Pesos]]/Base!B$3))</f>
        <v>962.84892091366714</v>
      </c>
      <c r="Y31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1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1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19" s="23" t="str">
        <f>IF(AND(Proponentes[[#This Row],[Cumple
Liquidez]]="CUMPLE",Proponentes[[#This Row],[Cumple
Endeudamiento]]="CUMPLE",Proponentes[[#This Row],[Cumple
Capital de Trabajo]]="CUMPLE"),"CUMPLE","NO CUMPLE")</f>
        <v>CUMPLE</v>
      </c>
      <c r="AC319" s="24"/>
      <c r="AD319" s="10">
        <f>IF(Proponentes[[#This Row],[Liquidez
Oferente]]&lt;=1,1,IF(Proponentes[[#This Row],[Liquidez
Oferente]]&lt;=1.1,2,IF(Proponentes[[#This Row],[Liquidez
Oferente]]&lt;=1.2,3,IF(Proponentes[[#This Row],[Liquidez
Oferente]]&lt;=1.3,4,IF(Proponentes[[#This Row],[Liquidez
Oferente]]&lt;=1.4,5,6)))))</f>
        <v>6</v>
      </c>
      <c r="AE319" s="10">
        <f>IF(Proponentes[[#This Row],[Endeudamiento
Oferente]]&lt;=66%,6,IF(Proponentes[[#This Row],[Endeudamiento
Oferente]]&lt;=58,5,IF(Proponentes[[#This Row],[Endeudamiento
Oferente]]&lt;=70,4,IF(Proponentes[[#This Row],[Endeudamiento
Oferente]]&lt;=72,3,IF(Proponentes[[#This Row],[Endeudamiento
Oferente]]&lt;=74,2,1)))))</f>
        <v>6</v>
      </c>
      <c r="AF31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19" s="10">
        <f>IF(Proponentes[[#This Row],[Cap Op en SMMLV]]&lt;=500,1,IF(Proponentes[[#This Row],[Cap Op en SMMLV]]&lt;=1000,2,IF(Proponentes[[#This Row],[Cap Op en SMMLV]]&lt;=1500,3,IF(Proponentes[[#This Row],[Cap Op en SMMLV]]&lt;=2000,4,IF(Proponentes[[#This Row],[Cap Op en SMMLV]]&lt;=2500,5,6)))))</f>
        <v>2</v>
      </c>
      <c r="AH319" s="10">
        <f>MIN(Proponentes[[#This Row],[a]:[d]])</f>
        <v>2</v>
      </c>
      <c r="AI319" s="87">
        <f>IF(Proponentes[[#This Row],[e]]=Proponentes[[#This Row],[d]],Proponentes[[#This Row],[Cap Op en SMMLV]],VLOOKUP(Proponentes[[#This Row],[e]],Base!$D$1:$E$6,2,FALSE))</f>
        <v>962.84892091366714</v>
      </c>
      <c r="AJ319" s="101" t="str">
        <f>VLOOKUP(Proponentes[[#This Row],[Propuesta]],Hoja2!$A$2:$D$329,4,FALSE)</f>
        <v>CUMPLE</v>
      </c>
      <c r="AK319" s="101"/>
    </row>
    <row r="320" spans="1:37" ht="16" x14ac:dyDescent="0.2">
      <c r="A320" s="10">
        <v>319</v>
      </c>
      <c r="B320" s="11">
        <v>830075085</v>
      </c>
      <c r="C320" s="12" t="s">
        <v>440</v>
      </c>
      <c r="D320" s="13">
        <v>8784917000</v>
      </c>
      <c r="E320" s="13">
        <v>1030732000</v>
      </c>
      <c r="F320" s="25">
        <f>Proponentes[[#This Row],[Activo Corriente]]+Proponentes[[#This Row],[Activo NO Corriente]]</f>
        <v>9815649000</v>
      </c>
      <c r="G320" s="13">
        <v>366887000</v>
      </c>
      <c r="H320" s="13">
        <v>3166000</v>
      </c>
      <c r="I320" s="25">
        <f>Proponentes[[#This Row],[Pasivo Corriente]]+Proponentes[[#This Row],[Pasivo NO Corriente]]</f>
        <v>370053000</v>
      </c>
      <c r="J320" s="14">
        <f>Proponentes[[#This Row],[Total ACTIVO]]-Proponentes[[#This Row],[Total Pasivo]]</f>
        <v>9445596000</v>
      </c>
      <c r="K320" s="48" t="e">
        <f>VLOOKUP(Proponentes[[#This Row],[Propuesta]],Hoja2!$A$2:$G$239,7,FALSE)</f>
        <v>#N/A</v>
      </c>
      <c r="L320" s="15"/>
      <c r="M320" s="15" t="s">
        <v>59</v>
      </c>
      <c r="N320" s="55">
        <f>IFERROR(VLOOKUP(Proponentes[[#This Row],[Cap Op en SMMLV]],Base!$A$15:$F$20,3),0)</f>
        <v>1.1000000000000001</v>
      </c>
      <c r="O320" s="16">
        <f>IFERROR(VLOOKUP(Proponentes[[#This Row],[Cap Op en SMMLV]],Base!$A$15:$F$20,4),0)</f>
        <v>0.74</v>
      </c>
      <c r="P320" s="17">
        <f>IFERROR(VLOOKUP(Proponentes[[#This Row],[Cap Op en SMMLV]],Tabla2[],6),0)</f>
        <v>25</v>
      </c>
      <c r="Q320" s="18">
        <f>IFERROR(VLOOKUP(Proponentes[[#This Row],[Cap Op en SMMLV]],Base!$A$15:$F$20,5),0)</f>
        <v>20702900</v>
      </c>
      <c r="R320" s="18">
        <f>IFERROR(VLOOKUP(Proponentes[[#This Row],[Cap Op en SMMLV]],Tabla2[[DE]:[HASTA]],2),0)</f>
        <v>1000</v>
      </c>
      <c r="S320" s="19">
        <f>IFERROR(Proponentes[[#This Row],[Activo Corriente]]/Proponentes[[#This Row],[Pasivo Corriente]],"INDETERMINADO")</f>
        <v>23.944476092093751</v>
      </c>
      <c r="T320" s="20">
        <f>IFERROR(Proponentes[[#This Row],[Total Pasivo]]/Proponentes[[#This Row],[Total ACTIVO]],0)</f>
        <v>3.7700308965815707E-2</v>
      </c>
      <c r="U320" s="21">
        <f>(Proponentes[[#This Row],[Activo Corriente]]-Proponentes[[#This Row],[Pasivo Corriente]])/Base!$B$3</f>
        <v>10165.278777369354</v>
      </c>
      <c r="V320" s="22">
        <f>Proponentes[[#This Row],[Activo Corriente]]-Proponentes[[#This Row],[Pasivo Corriente]]</f>
        <v>8418030000</v>
      </c>
      <c r="W320" s="13">
        <f>IFERROR(VLOOKUP(Proponentes[[#This Row],[Propuesta]],Hoja2!$A$2:$G$329,7,FALSE),0)</f>
        <v>571573863.77578998</v>
      </c>
      <c r="X320" s="83">
        <f>IF(Proponentes[[#This Row],[Cap Op en Pesos]]=0,0,IF(Proponentes[[#This Row],[Cap Op en Pesos]]=0,1,Proponentes[[#This Row],[Cap Op en Pesos]]/Base!B$3))</f>
        <v>690.20990268970775</v>
      </c>
      <c r="Y320"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20"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20"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20" s="23" t="str">
        <f>IF(AND(Proponentes[[#This Row],[Cumple
Liquidez]]="CUMPLE",Proponentes[[#This Row],[Cumple
Endeudamiento]]="CUMPLE",Proponentes[[#This Row],[Cumple
Capital de Trabajo]]="CUMPLE"),"CUMPLE","NO CUMPLE")</f>
        <v>CUMPLE</v>
      </c>
      <c r="AC320" s="24"/>
      <c r="AD320" s="10">
        <f>IF(Proponentes[[#This Row],[Liquidez
Oferente]]&lt;=1,1,IF(Proponentes[[#This Row],[Liquidez
Oferente]]&lt;=1.1,2,IF(Proponentes[[#This Row],[Liquidez
Oferente]]&lt;=1.2,3,IF(Proponentes[[#This Row],[Liquidez
Oferente]]&lt;=1.3,4,IF(Proponentes[[#This Row],[Liquidez
Oferente]]&lt;=1.4,5,6)))))</f>
        <v>6</v>
      </c>
      <c r="AE320" s="10">
        <f>IF(Proponentes[[#This Row],[Endeudamiento
Oferente]]&lt;=66%,6,IF(Proponentes[[#This Row],[Endeudamiento
Oferente]]&lt;=58,5,IF(Proponentes[[#This Row],[Endeudamiento
Oferente]]&lt;=70,4,IF(Proponentes[[#This Row],[Endeudamiento
Oferente]]&lt;=72,3,IF(Proponentes[[#This Row],[Endeudamiento
Oferente]]&lt;=74,2,1)))))</f>
        <v>6</v>
      </c>
      <c r="AF320"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20" s="10">
        <f>IF(Proponentes[[#This Row],[Cap Op en SMMLV]]&lt;=500,1,IF(Proponentes[[#This Row],[Cap Op en SMMLV]]&lt;=1000,2,IF(Proponentes[[#This Row],[Cap Op en SMMLV]]&lt;=1500,3,IF(Proponentes[[#This Row],[Cap Op en SMMLV]]&lt;=2000,4,IF(Proponentes[[#This Row],[Cap Op en SMMLV]]&lt;=2500,5,6)))))</f>
        <v>2</v>
      </c>
      <c r="AH320" s="10">
        <f>MIN(Proponentes[[#This Row],[a]:[d]])</f>
        <v>2</v>
      </c>
      <c r="AI320" s="87">
        <f>IF(Proponentes[[#This Row],[e]]=Proponentes[[#This Row],[d]],Proponentes[[#This Row],[Cap Op en SMMLV]],VLOOKUP(Proponentes[[#This Row],[e]],Base!$D$1:$E$6,2,FALSE))</f>
        <v>690.20990268970775</v>
      </c>
      <c r="AJ320" s="101" t="str">
        <f>VLOOKUP(Proponentes[[#This Row],[Propuesta]],Hoja2!$A$2:$D$329,4,FALSE)</f>
        <v>CUMPLE</v>
      </c>
      <c r="AK320" s="101"/>
    </row>
    <row r="321" spans="1:37" ht="32" x14ac:dyDescent="0.2">
      <c r="A321" s="10">
        <v>320</v>
      </c>
      <c r="B321" s="11">
        <v>860018862</v>
      </c>
      <c r="C321" s="12" t="s">
        <v>441</v>
      </c>
      <c r="D321" s="13">
        <v>9910666282.1900005</v>
      </c>
      <c r="E321" s="13">
        <v>5630038259.6199989</v>
      </c>
      <c r="F321" s="25">
        <f>Proponentes[[#This Row],[Activo Corriente]]+Proponentes[[#This Row],[Activo NO Corriente]]</f>
        <v>15540704541.809999</v>
      </c>
      <c r="G321" s="13">
        <v>1230520546.6500001</v>
      </c>
      <c r="H321" s="13">
        <v>3451592302.6299996</v>
      </c>
      <c r="I321" s="25">
        <f>Proponentes[[#This Row],[Pasivo Corriente]]+Proponentes[[#This Row],[Pasivo NO Corriente]]</f>
        <v>4682112849.2799997</v>
      </c>
      <c r="J321" s="14">
        <f>Proponentes[[#This Row],[Total ACTIVO]]-Proponentes[[#This Row],[Total Pasivo]]</f>
        <v>10858591692.529999</v>
      </c>
      <c r="K321" s="48" t="e">
        <f>VLOOKUP(Proponentes[[#This Row],[Propuesta]],Hoja2!$A$2:$G$239,7,FALSE)</f>
        <v>#N/A</v>
      </c>
      <c r="L321" s="15"/>
      <c r="M321" s="15" t="s">
        <v>28</v>
      </c>
      <c r="N321" s="55">
        <f>IFERROR(VLOOKUP(Proponentes[[#This Row],[Cap Op en SMMLV]],Base!$A$15:$F$20,3),0)</f>
        <v>1.2</v>
      </c>
      <c r="O321" s="16">
        <f>IFERROR(VLOOKUP(Proponentes[[#This Row],[Cap Op en SMMLV]],Base!$A$15:$F$20,4),0)</f>
        <v>0.72</v>
      </c>
      <c r="P321" s="17">
        <f>IFERROR(VLOOKUP(Proponentes[[#This Row],[Cap Op en SMMLV]],Tabla2[],6),0)</f>
        <v>37.5</v>
      </c>
      <c r="Q321" s="18">
        <f>IFERROR(VLOOKUP(Proponentes[[#This Row],[Cap Op en SMMLV]],Base!$A$15:$F$20,5),0)</f>
        <v>31054350</v>
      </c>
      <c r="R321" s="18">
        <f>IFERROR(VLOOKUP(Proponentes[[#This Row],[Cap Op en SMMLV]],Tabla2[[DE]:[HASTA]],2),0)</f>
        <v>1500</v>
      </c>
      <c r="S321" s="19">
        <f>IFERROR(Proponentes[[#This Row],[Activo Corriente]]/Proponentes[[#This Row],[Pasivo Corriente]],"INDETERMINADO")</f>
        <v>8.0540437209041702</v>
      </c>
      <c r="T321" s="20">
        <f>IFERROR(Proponentes[[#This Row],[Total Pasivo]]/Proponentes[[#This Row],[Total ACTIVO]],0)</f>
        <v>0.30128060389305117</v>
      </c>
      <c r="U321" s="21">
        <f>(Proponentes[[#This Row],[Activo Corriente]]-Proponentes[[#This Row],[Pasivo Corriente]])/Base!$B$3</f>
        <v>10481.799331905193</v>
      </c>
      <c r="V321" s="22">
        <f>Proponentes[[#This Row],[Activo Corriente]]-Proponentes[[#This Row],[Pasivo Corriente]]</f>
        <v>8680145735.5400009</v>
      </c>
      <c r="W321" s="13">
        <f>IFERROR(VLOOKUP(Proponentes[[#This Row],[Propuesta]],Hoja2!$A$2:$G$329,7,FALSE),0)</f>
        <v>905808911.64791882</v>
      </c>
      <c r="X321" s="83">
        <f>IF(Proponentes[[#This Row],[Cap Op en Pesos]]=0,0,IF(Proponentes[[#This Row],[Cap Op en Pesos]]=0,1,Proponentes[[#This Row],[Cap Op en Pesos]]/Base!B$3))</f>
        <v>1093.8188751913003</v>
      </c>
      <c r="Y321"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21"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21"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21" s="23" t="str">
        <f>IF(AND(Proponentes[[#This Row],[Cumple
Liquidez]]="CUMPLE",Proponentes[[#This Row],[Cumple
Endeudamiento]]="CUMPLE",Proponentes[[#This Row],[Cumple
Capital de Trabajo]]="CUMPLE"),"CUMPLE","NO CUMPLE")</f>
        <v>CUMPLE</v>
      </c>
      <c r="AC321" s="24"/>
      <c r="AD321" s="10">
        <f>IF(Proponentes[[#This Row],[Liquidez
Oferente]]&lt;=1,1,IF(Proponentes[[#This Row],[Liquidez
Oferente]]&lt;=1.1,2,IF(Proponentes[[#This Row],[Liquidez
Oferente]]&lt;=1.2,3,IF(Proponentes[[#This Row],[Liquidez
Oferente]]&lt;=1.3,4,IF(Proponentes[[#This Row],[Liquidez
Oferente]]&lt;=1.4,5,6)))))</f>
        <v>6</v>
      </c>
      <c r="AE321" s="10">
        <f>IF(Proponentes[[#This Row],[Endeudamiento
Oferente]]&lt;=66%,6,IF(Proponentes[[#This Row],[Endeudamiento
Oferente]]&lt;=58,5,IF(Proponentes[[#This Row],[Endeudamiento
Oferente]]&lt;=70,4,IF(Proponentes[[#This Row],[Endeudamiento
Oferente]]&lt;=72,3,IF(Proponentes[[#This Row],[Endeudamiento
Oferente]]&lt;=74,2,1)))))</f>
        <v>6</v>
      </c>
      <c r="AF321"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21" s="10">
        <f>IF(Proponentes[[#This Row],[Cap Op en SMMLV]]&lt;=500,1,IF(Proponentes[[#This Row],[Cap Op en SMMLV]]&lt;=1000,2,IF(Proponentes[[#This Row],[Cap Op en SMMLV]]&lt;=1500,3,IF(Proponentes[[#This Row],[Cap Op en SMMLV]]&lt;=2000,4,IF(Proponentes[[#This Row],[Cap Op en SMMLV]]&lt;=2500,5,6)))))</f>
        <v>3</v>
      </c>
      <c r="AH321" s="10">
        <f>MIN(Proponentes[[#This Row],[a]:[d]])</f>
        <v>3</v>
      </c>
      <c r="AI321" s="87">
        <f>IF(Proponentes[[#This Row],[e]]=Proponentes[[#This Row],[d]],Proponentes[[#This Row],[Cap Op en SMMLV]],VLOOKUP(Proponentes[[#This Row],[e]],Base!$D$1:$E$6,2,FALSE))</f>
        <v>1093.8188751913003</v>
      </c>
      <c r="AJ321" s="101" t="str">
        <f>VLOOKUP(Proponentes[[#This Row],[Propuesta]],Hoja2!$A$2:$D$329,4,FALSE)</f>
        <v>CUMPLE</v>
      </c>
      <c r="AK321" s="101"/>
    </row>
    <row r="322" spans="1:37" ht="16" x14ac:dyDescent="0.2">
      <c r="A322" s="10">
        <v>321</v>
      </c>
      <c r="B322" s="11">
        <v>890807284</v>
      </c>
      <c r="C322" s="12" t="s">
        <v>442</v>
      </c>
      <c r="D322" s="13">
        <v>2512378746</v>
      </c>
      <c r="E322" s="13">
        <v>2873874909</v>
      </c>
      <c r="F322" s="25">
        <f>Proponentes[[#This Row],[Activo Corriente]]+Proponentes[[#This Row],[Activo NO Corriente]]</f>
        <v>5386253655</v>
      </c>
      <c r="G322" s="13">
        <v>706836125</v>
      </c>
      <c r="H322" s="13">
        <v>0</v>
      </c>
      <c r="I322" s="25">
        <f>Proponentes[[#This Row],[Pasivo Corriente]]+Proponentes[[#This Row],[Pasivo NO Corriente]]</f>
        <v>706836125</v>
      </c>
      <c r="J322" s="14">
        <f>Proponentes[[#This Row],[Total ACTIVO]]-Proponentes[[#This Row],[Total Pasivo]]</f>
        <v>4679417530</v>
      </c>
      <c r="K322" s="48" t="e">
        <f>VLOOKUP(Proponentes[[#This Row],[Propuesta]],Hoja2!$A$2:$G$239,7,FALSE)</f>
        <v>#N/A</v>
      </c>
      <c r="L322" s="15"/>
      <c r="M322" s="15" t="s">
        <v>28</v>
      </c>
      <c r="N322" s="55">
        <f>IFERROR(VLOOKUP(Proponentes[[#This Row],[Cap Op en SMMLV]],Base!$A$15:$F$20,3),0)</f>
        <v>1.5</v>
      </c>
      <c r="O322" s="16">
        <f>IFERROR(VLOOKUP(Proponentes[[#This Row],[Cap Op en SMMLV]],Base!$A$15:$F$20,4),0)</f>
        <v>0.66</v>
      </c>
      <c r="P322" s="17">
        <f>IFERROR(VLOOKUP(Proponentes[[#This Row],[Cap Op en SMMLV]],Tabla2[],6),0)</f>
        <v>90.075000362268085</v>
      </c>
      <c r="Q322" s="18">
        <f>IFERROR(VLOOKUP(Proponentes[[#This Row],[Cap Op en SMMLV]],Base!$A$15:$F$20,5),0)</f>
        <v>74592549</v>
      </c>
      <c r="R322" s="18">
        <f>IFERROR(VLOOKUP(Proponentes[[#This Row],[Cap Op en SMMLV]],Tabla2[[DE]:[HASTA]],2),0)</f>
        <v>1000000</v>
      </c>
      <c r="S322" s="19">
        <f>IFERROR(Proponentes[[#This Row],[Activo Corriente]]/Proponentes[[#This Row],[Pasivo Corriente]],"INDETERMINADO")</f>
        <v>3.554400598865826</v>
      </c>
      <c r="T322" s="20">
        <f>IFERROR(Proponentes[[#This Row],[Total Pasivo]]/Proponentes[[#This Row],[Total ACTIVO]],0)</f>
        <v>0.13122963942551272</v>
      </c>
      <c r="U322" s="21">
        <f>(Proponentes[[#This Row],[Activo Corriente]]-Proponentes[[#This Row],[Pasivo Corriente]])/Base!$B$3</f>
        <v>2180.3015773152551</v>
      </c>
      <c r="V322" s="22">
        <f>Proponentes[[#This Row],[Activo Corriente]]-Proponentes[[#This Row],[Pasivo Corriente]]</f>
        <v>1805542621</v>
      </c>
      <c r="W322" s="13">
        <f>IFERROR(VLOOKUP(Proponentes[[#This Row],[Propuesta]],Hoja2!$A$2:$G$329,7,FALSE),0)</f>
        <v>3463553040.0250735</v>
      </c>
      <c r="X322" s="83">
        <f>IF(Proponentes[[#This Row],[Cap Op en Pesos]]=0,0,IF(Proponentes[[#This Row],[Cap Op en Pesos]]=0,1,Proponentes[[#This Row],[Cap Op en Pesos]]/Base!B$3))</f>
        <v>4182.4491255151133</v>
      </c>
      <c r="Y322"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22"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22"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22" s="23" t="str">
        <f>IF(AND(Proponentes[[#This Row],[Cumple
Liquidez]]="CUMPLE",Proponentes[[#This Row],[Cumple
Endeudamiento]]="CUMPLE",Proponentes[[#This Row],[Cumple
Capital de Trabajo]]="CUMPLE"),"CUMPLE","NO CUMPLE")</f>
        <v>CUMPLE</v>
      </c>
      <c r="AC322" s="24"/>
      <c r="AD322" s="10">
        <f>IF(Proponentes[[#This Row],[Liquidez
Oferente]]&lt;=1,1,IF(Proponentes[[#This Row],[Liquidez
Oferente]]&lt;=1.1,2,IF(Proponentes[[#This Row],[Liquidez
Oferente]]&lt;=1.2,3,IF(Proponentes[[#This Row],[Liquidez
Oferente]]&lt;=1.3,4,IF(Proponentes[[#This Row],[Liquidez
Oferente]]&lt;=1.4,5,6)))))</f>
        <v>6</v>
      </c>
      <c r="AE322" s="10">
        <f>IF(Proponentes[[#This Row],[Endeudamiento
Oferente]]&lt;=66%,6,IF(Proponentes[[#This Row],[Endeudamiento
Oferente]]&lt;=58,5,IF(Proponentes[[#This Row],[Endeudamiento
Oferente]]&lt;=70,4,IF(Proponentes[[#This Row],[Endeudamiento
Oferente]]&lt;=72,3,IF(Proponentes[[#This Row],[Endeudamiento
Oferente]]&lt;=74,2,1)))))</f>
        <v>6</v>
      </c>
      <c r="AF322"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22" s="10">
        <f>IF(Proponentes[[#This Row],[Cap Op en SMMLV]]&lt;=500,1,IF(Proponentes[[#This Row],[Cap Op en SMMLV]]&lt;=1000,2,IF(Proponentes[[#This Row],[Cap Op en SMMLV]]&lt;=1500,3,IF(Proponentes[[#This Row],[Cap Op en SMMLV]]&lt;=2000,4,IF(Proponentes[[#This Row],[Cap Op en SMMLV]]&lt;=2500,5,6)))))</f>
        <v>6</v>
      </c>
      <c r="AH322" s="10">
        <f>MIN(Proponentes[[#This Row],[a]:[d]])</f>
        <v>6</v>
      </c>
      <c r="AI322" s="87">
        <f>IF(Proponentes[[#This Row],[e]]=Proponentes[[#This Row],[d]],Proponentes[[#This Row],[Cap Op en SMMLV]],VLOOKUP(Proponentes[[#This Row],[e]],Base!$D$1:$E$6,2,FALSE))</f>
        <v>4182.4491255151133</v>
      </c>
      <c r="AJ322" s="101" t="str">
        <f>VLOOKUP(Proponentes[[#This Row],[Propuesta]],Hoja2!$A$2:$D$329,4,FALSE)</f>
        <v>CUMPLE</v>
      </c>
      <c r="AK322" s="101"/>
    </row>
    <row r="323" spans="1:37" ht="16" x14ac:dyDescent="0.2">
      <c r="A323" s="10">
        <v>322</v>
      </c>
      <c r="B323" s="11">
        <v>901011895</v>
      </c>
      <c r="C323" s="12" t="s">
        <v>443</v>
      </c>
      <c r="D323" s="13">
        <v>9204773</v>
      </c>
      <c r="E323" s="13">
        <v>2000000</v>
      </c>
      <c r="F323" s="25">
        <f>Proponentes[[#This Row],[Activo Corriente]]+Proponentes[[#This Row],[Activo NO Corriente]]</f>
        <v>11204773</v>
      </c>
      <c r="G323" s="13">
        <v>0</v>
      </c>
      <c r="H323" s="13">
        <v>6516000</v>
      </c>
      <c r="I323" s="25">
        <f>Proponentes[[#This Row],[Pasivo Corriente]]+Proponentes[[#This Row],[Pasivo NO Corriente]]</f>
        <v>6516000</v>
      </c>
      <c r="J323" s="14">
        <f>Proponentes[[#This Row],[Total ACTIVO]]-Proponentes[[#This Row],[Total Pasivo]]</f>
        <v>4688773</v>
      </c>
      <c r="K323" s="48" t="e">
        <f>VLOOKUP(Proponentes[[#This Row],[Propuesta]],Hoja2!$A$2:$G$239,7,FALSE)</f>
        <v>#N/A</v>
      </c>
      <c r="L323" s="15"/>
      <c r="M323" s="15" t="s">
        <v>444</v>
      </c>
      <c r="N323" s="55">
        <f>IFERROR(VLOOKUP(Proponentes[[#This Row],[Cap Op en SMMLV]],Base!$A$15:$F$20,3),0)</f>
        <v>0</v>
      </c>
      <c r="O323" s="16">
        <f>IFERROR(VLOOKUP(Proponentes[[#This Row],[Cap Op en SMMLV]],Base!$A$15:$F$20,4),0)</f>
        <v>0</v>
      </c>
      <c r="P323" s="17">
        <f>IFERROR(VLOOKUP(Proponentes[[#This Row],[Cap Op en SMMLV]],Tabla2[],6),0)</f>
        <v>0</v>
      </c>
      <c r="Q323" s="18">
        <f>IFERROR(VLOOKUP(Proponentes[[#This Row],[Cap Op en SMMLV]],Base!$A$15:$F$20,5),0)</f>
        <v>0</v>
      </c>
      <c r="R323" s="18">
        <f>IFERROR(VLOOKUP(Proponentes[[#This Row],[Cap Op en SMMLV]],Tabla2[[DE]:[HASTA]],2),0)</f>
        <v>0</v>
      </c>
      <c r="S323" s="19" t="str">
        <f>IFERROR(Proponentes[[#This Row],[Activo Corriente]]/Proponentes[[#This Row],[Pasivo Corriente]],"INDETERMINADO")</f>
        <v>INDETERMINADO</v>
      </c>
      <c r="T323" s="20">
        <f>IFERROR(Proponentes[[#This Row],[Total Pasivo]]/Proponentes[[#This Row],[Total ACTIVO]],0)</f>
        <v>0.58153788568496656</v>
      </c>
      <c r="U323" s="21">
        <f>(Proponentes[[#This Row],[Activo Corriente]]-Proponentes[[#This Row],[Pasivo Corriente]])/Base!$B$3</f>
        <v>11.115318385346981</v>
      </c>
      <c r="V323" s="22">
        <f>Proponentes[[#This Row],[Activo Corriente]]-Proponentes[[#This Row],[Pasivo Corriente]]</f>
        <v>9204773</v>
      </c>
      <c r="W323" s="13">
        <f>IFERROR(VLOOKUP(Proponentes[[#This Row],[Propuesta]],Hoja2!$A$2:$G$329,7,FALSE),0)</f>
        <v>0</v>
      </c>
      <c r="X323" s="83">
        <f>IF(Proponentes[[#This Row],[Cap Op en Pesos]]=0,0,IF(Proponentes[[#This Row],[Cap Op en Pesos]]=0,1,Proponentes[[#This Row],[Cap Op en Pesos]]/Base!B$3))</f>
        <v>0</v>
      </c>
      <c r="Y323"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23"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23"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323" s="23" t="str">
        <f>IF(AND(Proponentes[[#This Row],[Cumple
Liquidez]]="CUMPLE",Proponentes[[#This Row],[Cumple
Endeudamiento]]="CUMPLE",Proponentes[[#This Row],[Cumple
Capital de Trabajo]]="CUMPLE"),"CUMPLE","NO CUMPLE")</f>
        <v>NO CUMPLE</v>
      </c>
      <c r="AC323" s="24" t="s">
        <v>813</v>
      </c>
      <c r="AD323" s="10">
        <f>IF(Proponentes[[#This Row],[Liquidez
Oferente]]&lt;=1,1,IF(Proponentes[[#This Row],[Liquidez
Oferente]]&lt;=1.1,2,IF(Proponentes[[#This Row],[Liquidez
Oferente]]&lt;=1.2,3,IF(Proponentes[[#This Row],[Liquidez
Oferente]]&lt;=1.3,4,IF(Proponentes[[#This Row],[Liquidez
Oferente]]&lt;=1.4,5,6)))))</f>
        <v>6</v>
      </c>
      <c r="AE323" s="10">
        <f>IF(Proponentes[[#This Row],[Endeudamiento
Oferente]]&lt;=66%,6,IF(Proponentes[[#This Row],[Endeudamiento
Oferente]]&lt;=58,5,IF(Proponentes[[#This Row],[Endeudamiento
Oferente]]&lt;=70,4,IF(Proponentes[[#This Row],[Endeudamiento
Oferente]]&lt;=72,3,IF(Proponentes[[#This Row],[Endeudamiento
Oferente]]&lt;=74,2,1)))))</f>
        <v>6</v>
      </c>
      <c r="AF323"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323" s="10">
        <f>IF(Proponentes[[#This Row],[Cap Op en SMMLV]]&lt;=500,1,IF(Proponentes[[#This Row],[Cap Op en SMMLV]]&lt;=1000,2,IF(Proponentes[[#This Row],[Cap Op en SMMLV]]&lt;=1500,3,IF(Proponentes[[#This Row],[Cap Op en SMMLV]]&lt;=2000,4,IF(Proponentes[[#This Row],[Cap Op en SMMLV]]&lt;=2500,5,6)))))</f>
        <v>1</v>
      </c>
      <c r="AH323" s="10">
        <f>MIN(Proponentes[[#This Row],[a]:[d]])</f>
        <v>1</v>
      </c>
      <c r="AI323" s="87">
        <f>IF(Proponentes[[#This Row],[e]]=Proponentes[[#This Row],[d]],Proponentes[[#This Row],[Cap Op en SMMLV]],VLOOKUP(Proponentes[[#This Row],[e]],Base!$D$1:$E$6,2,FALSE))</f>
        <v>0</v>
      </c>
      <c r="AJ323" s="101" t="str">
        <f>VLOOKUP(Proponentes[[#This Row],[Propuesta]],Hoja2!$A$2:$D$329,4,FALSE)</f>
        <v>NO CUMPLE</v>
      </c>
      <c r="AK323" s="101"/>
    </row>
    <row r="324" spans="1:37" ht="16" x14ac:dyDescent="0.2">
      <c r="A324" s="10">
        <v>323</v>
      </c>
      <c r="B324" s="11">
        <v>901123937</v>
      </c>
      <c r="C324" s="12" t="s">
        <v>445</v>
      </c>
      <c r="D324" s="13">
        <v>20000000</v>
      </c>
      <c r="E324" s="13">
        <v>52000000</v>
      </c>
      <c r="F324" s="25">
        <f>Proponentes[[#This Row],[Activo Corriente]]+Proponentes[[#This Row],[Activo NO Corriente]]</f>
        <v>72000000</v>
      </c>
      <c r="G324" s="13">
        <v>2000000</v>
      </c>
      <c r="H324" s="13">
        <v>0</v>
      </c>
      <c r="I324" s="25">
        <f>Proponentes[[#This Row],[Pasivo Corriente]]+Proponentes[[#This Row],[Pasivo NO Corriente]]</f>
        <v>2000000</v>
      </c>
      <c r="J324" s="14">
        <f>Proponentes[[#This Row],[Total ACTIVO]]-Proponentes[[#This Row],[Total Pasivo]]</f>
        <v>70000000</v>
      </c>
      <c r="K324" s="48" t="e">
        <f>VLOOKUP(Proponentes[[#This Row],[Propuesta]],Hoja2!$A$2:$G$239,7,FALSE)</f>
        <v>#N/A</v>
      </c>
      <c r="L324" s="15"/>
      <c r="M324" s="15" t="s">
        <v>446</v>
      </c>
      <c r="N324" s="55">
        <f>IFERROR(VLOOKUP(Proponentes[[#This Row],[Cap Op en SMMLV]],Base!$A$15:$F$20,3),0)</f>
        <v>1</v>
      </c>
      <c r="O324" s="16">
        <f>IFERROR(VLOOKUP(Proponentes[[#This Row],[Cap Op en SMMLV]],Base!$A$15:$F$20,4),0)</f>
        <v>0.76</v>
      </c>
      <c r="P324" s="17">
        <f>IFERROR(VLOOKUP(Proponentes[[#This Row],[Cap Op en SMMLV]],Tabla2[],6),0)</f>
        <v>12.5</v>
      </c>
      <c r="Q324" s="18">
        <f>IFERROR(VLOOKUP(Proponentes[[#This Row],[Cap Op en SMMLV]],Base!$A$15:$F$20,5),0)</f>
        <v>10351450</v>
      </c>
      <c r="R324" s="18">
        <f>IFERROR(VLOOKUP(Proponentes[[#This Row],[Cap Op en SMMLV]],Tabla2[[DE]:[HASTA]],2),0)</f>
        <v>500</v>
      </c>
      <c r="S324" s="19">
        <f>IFERROR(Proponentes[[#This Row],[Activo Corriente]]/Proponentes[[#This Row],[Pasivo Corriente]],"INDETERMINADO")</f>
        <v>10</v>
      </c>
      <c r="T324" s="20">
        <f>IFERROR(Proponentes[[#This Row],[Total Pasivo]]/Proponentes[[#This Row],[Total ACTIVO]],0)</f>
        <v>2.7777777777777776E-2</v>
      </c>
      <c r="U324" s="21">
        <f>(Proponentes[[#This Row],[Activo Corriente]]-Proponentes[[#This Row],[Pasivo Corriente]])/Base!$B$3</f>
        <v>21.736085282738166</v>
      </c>
      <c r="V324" s="22">
        <f>Proponentes[[#This Row],[Activo Corriente]]-Proponentes[[#This Row],[Pasivo Corriente]]</f>
        <v>18000000</v>
      </c>
      <c r="W324" s="13">
        <f>IFERROR(VLOOKUP(Proponentes[[#This Row],[Propuesta]],Hoja2!$A$2:$G$329,7,FALSE),0)</f>
        <v>42100005.26199498</v>
      </c>
      <c r="X324" s="83">
        <f>IF(Proponentes[[#This Row],[Cap Op en Pesos]]=0,0,IF(Proponentes[[#This Row],[Cap Op en Pesos]]=0,1,Proponentes[[#This Row],[Cap Op en Pesos]]/Base!B$3))</f>
        <v>50.838294709913804</v>
      </c>
      <c r="Y324"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24"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24"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24" s="23" t="str">
        <f>IF(AND(Proponentes[[#This Row],[Cumple
Liquidez]]="CUMPLE",Proponentes[[#This Row],[Cumple
Endeudamiento]]="CUMPLE",Proponentes[[#This Row],[Cumple
Capital de Trabajo]]="CUMPLE"),"CUMPLE","NO CUMPLE")</f>
        <v>CUMPLE</v>
      </c>
      <c r="AC324" s="24"/>
      <c r="AD324" s="10">
        <f>IF(Proponentes[[#This Row],[Liquidez
Oferente]]&lt;=1,1,IF(Proponentes[[#This Row],[Liquidez
Oferente]]&lt;=1.1,2,IF(Proponentes[[#This Row],[Liquidez
Oferente]]&lt;=1.2,3,IF(Proponentes[[#This Row],[Liquidez
Oferente]]&lt;=1.3,4,IF(Proponentes[[#This Row],[Liquidez
Oferente]]&lt;=1.4,5,6)))))</f>
        <v>6</v>
      </c>
      <c r="AE324" s="10">
        <f>IF(Proponentes[[#This Row],[Endeudamiento
Oferente]]&lt;=66%,6,IF(Proponentes[[#This Row],[Endeudamiento
Oferente]]&lt;=58,5,IF(Proponentes[[#This Row],[Endeudamiento
Oferente]]&lt;=70,4,IF(Proponentes[[#This Row],[Endeudamiento
Oferente]]&lt;=72,3,IF(Proponentes[[#This Row],[Endeudamiento
Oferente]]&lt;=74,2,1)))))</f>
        <v>6</v>
      </c>
      <c r="AF324"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2</v>
      </c>
      <c r="AG324" s="10">
        <f>IF(Proponentes[[#This Row],[Cap Op en SMMLV]]&lt;=500,1,IF(Proponentes[[#This Row],[Cap Op en SMMLV]]&lt;=1000,2,IF(Proponentes[[#This Row],[Cap Op en SMMLV]]&lt;=1500,3,IF(Proponentes[[#This Row],[Cap Op en SMMLV]]&lt;=2000,4,IF(Proponentes[[#This Row],[Cap Op en SMMLV]]&lt;=2500,5,6)))))</f>
        <v>1</v>
      </c>
      <c r="AH324" s="10">
        <f>MIN(Proponentes[[#This Row],[a]:[d]])</f>
        <v>1</v>
      </c>
      <c r="AI324" s="87">
        <f>IF(Proponentes[[#This Row],[e]]=Proponentes[[#This Row],[d]],Proponentes[[#This Row],[Cap Op en SMMLV]],VLOOKUP(Proponentes[[#This Row],[e]],Base!$D$1:$E$6,2,FALSE))</f>
        <v>50.838294709913804</v>
      </c>
      <c r="AJ324" s="101" t="str">
        <f>VLOOKUP(Proponentes[[#This Row],[Propuesta]],Hoja2!$A$2:$D$329,4,FALSE)</f>
        <v>NO CUMPLE</v>
      </c>
      <c r="AK324" s="101"/>
    </row>
    <row r="325" spans="1:37" ht="16" x14ac:dyDescent="0.2">
      <c r="A325" s="10">
        <v>324</v>
      </c>
      <c r="B325" s="11">
        <v>900198924</v>
      </c>
      <c r="C325" s="12" t="s">
        <v>447</v>
      </c>
      <c r="D325" s="13">
        <v>587736049</v>
      </c>
      <c r="E325" s="13">
        <v>37851850</v>
      </c>
      <c r="F325" s="25">
        <f>Proponentes[[#This Row],[Activo Corriente]]+Proponentes[[#This Row],[Activo NO Corriente]]</f>
        <v>625587899</v>
      </c>
      <c r="G325" s="13">
        <v>30636416</v>
      </c>
      <c r="H325" s="13">
        <v>0</v>
      </c>
      <c r="I325" s="25">
        <f>Proponentes[[#This Row],[Pasivo Corriente]]+Proponentes[[#This Row],[Pasivo NO Corriente]]</f>
        <v>30636416</v>
      </c>
      <c r="J325" s="14">
        <f>Proponentes[[#This Row],[Total ACTIVO]]-Proponentes[[#This Row],[Total Pasivo]]</f>
        <v>594951483</v>
      </c>
      <c r="K325" s="48" t="e">
        <f>VLOOKUP(Proponentes[[#This Row],[Propuesta]],Hoja2!$A$2:$G$239,7,FALSE)</f>
        <v>#N/A</v>
      </c>
      <c r="L325" s="15"/>
      <c r="M325" s="15" t="s">
        <v>59</v>
      </c>
      <c r="N325" s="55">
        <f>IFERROR(VLOOKUP(Proponentes[[#This Row],[Cap Op en SMMLV]],Base!$A$15:$F$20,3),0)</f>
        <v>1.1000000000000001</v>
      </c>
      <c r="O325" s="16">
        <f>IFERROR(VLOOKUP(Proponentes[[#This Row],[Cap Op en SMMLV]],Base!$A$15:$F$20,4),0)</f>
        <v>0.74</v>
      </c>
      <c r="P325" s="17">
        <f>IFERROR(VLOOKUP(Proponentes[[#This Row],[Cap Op en SMMLV]],Tabla2[],6),0)</f>
        <v>25</v>
      </c>
      <c r="Q325" s="18">
        <f>IFERROR(VLOOKUP(Proponentes[[#This Row],[Cap Op en SMMLV]],Base!$A$15:$F$20,5),0)</f>
        <v>20702900</v>
      </c>
      <c r="R325" s="18">
        <f>IFERROR(VLOOKUP(Proponentes[[#This Row],[Cap Op en SMMLV]],Tabla2[[DE]:[HASTA]],2),0)</f>
        <v>1000</v>
      </c>
      <c r="S325" s="19">
        <f>IFERROR(Proponentes[[#This Row],[Activo Corriente]]/Proponentes[[#This Row],[Pasivo Corriente]],"INDETERMINADO")</f>
        <v>19.184229937339929</v>
      </c>
      <c r="T325" s="20">
        <f>IFERROR(Proponentes[[#This Row],[Total Pasivo]]/Proponentes[[#This Row],[Total ACTIVO]],0)</f>
        <v>4.8972200467707575E-2</v>
      </c>
      <c r="U325" s="21">
        <f>(Proponentes[[#This Row],[Activo Corriente]]-Proponentes[[#This Row],[Pasivo Corriente]])/Base!$B$3</f>
        <v>672.73139632611856</v>
      </c>
      <c r="V325" s="22">
        <f>Proponentes[[#This Row],[Activo Corriente]]-Proponentes[[#This Row],[Pasivo Corriente]]</f>
        <v>557099633</v>
      </c>
      <c r="W325" s="13">
        <f>IFERROR(VLOOKUP(Proponentes[[#This Row],[Propuesta]],Hoja2!$A$2:$G$329,7,FALSE),0)</f>
        <v>430522894.80420512</v>
      </c>
      <c r="X325" s="83">
        <f>IF(Proponentes[[#This Row],[Cap Op en Pesos]]=0,0,IF(Proponentes[[#This Row],[Cap Op en Pesos]]=0,1,Proponentes[[#This Row],[Cap Op en Pesos]]/Base!B$3))</f>
        <v>519.88235320197305</v>
      </c>
      <c r="Y325"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25"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25"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25" s="23" t="str">
        <f>IF(AND(Proponentes[[#This Row],[Cumple
Liquidez]]="CUMPLE",Proponentes[[#This Row],[Cumple
Endeudamiento]]="CUMPLE",Proponentes[[#This Row],[Cumple
Capital de Trabajo]]="CUMPLE"),"CUMPLE","NO CUMPLE")</f>
        <v>CUMPLE</v>
      </c>
      <c r="AC325" s="24"/>
      <c r="AD325" s="10">
        <f>IF(Proponentes[[#This Row],[Liquidez
Oferente]]&lt;=1,1,IF(Proponentes[[#This Row],[Liquidez
Oferente]]&lt;=1.1,2,IF(Proponentes[[#This Row],[Liquidez
Oferente]]&lt;=1.2,3,IF(Proponentes[[#This Row],[Liquidez
Oferente]]&lt;=1.3,4,IF(Proponentes[[#This Row],[Liquidez
Oferente]]&lt;=1.4,5,6)))))</f>
        <v>6</v>
      </c>
      <c r="AE325" s="10">
        <f>IF(Proponentes[[#This Row],[Endeudamiento
Oferente]]&lt;=66%,6,IF(Proponentes[[#This Row],[Endeudamiento
Oferente]]&lt;=58,5,IF(Proponentes[[#This Row],[Endeudamiento
Oferente]]&lt;=70,4,IF(Proponentes[[#This Row],[Endeudamiento
Oferente]]&lt;=72,3,IF(Proponentes[[#This Row],[Endeudamiento
Oferente]]&lt;=74,2,1)))))</f>
        <v>6</v>
      </c>
      <c r="AF325"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25" s="10">
        <f>IF(Proponentes[[#This Row],[Cap Op en SMMLV]]&lt;=500,1,IF(Proponentes[[#This Row],[Cap Op en SMMLV]]&lt;=1000,2,IF(Proponentes[[#This Row],[Cap Op en SMMLV]]&lt;=1500,3,IF(Proponentes[[#This Row],[Cap Op en SMMLV]]&lt;=2000,4,IF(Proponentes[[#This Row],[Cap Op en SMMLV]]&lt;=2500,5,6)))))</f>
        <v>2</v>
      </c>
      <c r="AH325" s="10">
        <f>MIN(Proponentes[[#This Row],[a]:[d]])</f>
        <v>2</v>
      </c>
      <c r="AI325" s="87">
        <f>IF(Proponentes[[#This Row],[e]]=Proponentes[[#This Row],[d]],Proponentes[[#This Row],[Cap Op en SMMLV]],VLOOKUP(Proponentes[[#This Row],[e]],Base!$D$1:$E$6,2,FALSE))</f>
        <v>519.88235320197305</v>
      </c>
      <c r="AJ325" s="101" t="str">
        <f>VLOOKUP(Proponentes[[#This Row],[Propuesta]],Hoja2!$A$2:$D$329,4,FALSE)</f>
        <v>NO CUMPLE</v>
      </c>
      <c r="AK325" s="101"/>
    </row>
    <row r="326" spans="1:37" ht="16" x14ac:dyDescent="0.2">
      <c r="A326" s="10">
        <v>325</v>
      </c>
      <c r="B326" s="11">
        <v>800181165</v>
      </c>
      <c r="C326" s="12" t="s">
        <v>448</v>
      </c>
      <c r="D326" s="13">
        <v>1390922000</v>
      </c>
      <c r="E326" s="13">
        <v>7064557000</v>
      </c>
      <c r="F326" s="25">
        <f>Proponentes[[#This Row],[Activo Corriente]]+Proponentes[[#This Row],[Activo NO Corriente]]</f>
        <v>8455479000</v>
      </c>
      <c r="G326" s="13">
        <v>101418000</v>
      </c>
      <c r="H326" s="13">
        <v>221981000</v>
      </c>
      <c r="I326" s="25">
        <f>Proponentes[[#This Row],[Pasivo Corriente]]+Proponentes[[#This Row],[Pasivo NO Corriente]]</f>
        <v>323399000</v>
      </c>
      <c r="J326" s="14">
        <f>Proponentes[[#This Row],[Total ACTIVO]]-Proponentes[[#This Row],[Total Pasivo]]</f>
        <v>8132080000</v>
      </c>
      <c r="K326" s="48" t="e">
        <f>VLOOKUP(Proponentes[[#This Row],[Propuesta]],Hoja2!$A$2:$G$239,7,FALSE)</f>
        <v>#N/A</v>
      </c>
      <c r="L326" s="15"/>
      <c r="M326" s="15" t="s">
        <v>449</v>
      </c>
      <c r="N326" s="55">
        <f>IFERROR(VLOOKUP(Proponentes[[#This Row],[Cap Op en SMMLV]],Base!$A$15:$F$20,3),0)</f>
        <v>1.1000000000000001</v>
      </c>
      <c r="O326" s="16">
        <f>IFERROR(VLOOKUP(Proponentes[[#This Row],[Cap Op en SMMLV]],Base!$A$15:$F$20,4),0)</f>
        <v>0.74</v>
      </c>
      <c r="P326" s="17">
        <f>IFERROR(VLOOKUP(Proponentes[[#This Row],[Cap Op en SMMLV]],Tabla2[],6),0)</f>
        <v>25</v>
      </c>
      <c r="Q326" s="18">
        <f>IFERROR(VLOOKUP(Proponentes[[#This Row],[Cap Op en SMMLV]],Base!$A$15:$F$20,5),0)</f>
        <v>20702900</v>
      </c>
      <c r="R326" s="18">
        <f>IFERROR(VLOOKUP(Proponentes[[#This Row],[Cap Op en SMMLV]],Tabla2[[DE]:[HASTA]],2),0)</f>
        <v>1000</v>
      </c>
      <c r="S326" s="19">
        <f>IFERROR(Proponentes[[#This Row],[Activo Corriente]]/Proponentes[[#This Row],[Pasivo Corriente]],"INDETERMINADO")</f>
        <v>13.714744917075864</v>
      </c>
      <c r="T326" s="20">
        <f>IFERROR(Proponentes[[#This Row],[Total Pasivo]]/Proponentes[[#This Row],[Total ACTIVO]],0)</f>
        <v>3.8247271384625282E-2</v>
      </c>
      <c r="U326" s="21">
        <f>(Proponentes[[#This Row],[Activo Corriente]]-Proponentes[[#This Row],[Pasivo Corriente]])/Base!$B$3</f>
        <v>1557.1538286906666</v>
      </c>
      <c r="V326" s="22">
        <f>Proponentes[[#This Row],[Activo Corriente]]-Proponentes[[#This Row],[Pasivo Corriente]]</f>
        <v>1289504000</v>
      </c>
      <c r="W326" s="13">
        <f>IFERROR(VLOOKUP(Proponentes[[#This Row],[Propuesta]],Hoja2!$A$2:$G$329,7,FALSE),0)</f>
        <v>538693146.83275127</v>
      </c>
      <c r="X326" s="83">
        <f>IF(Proponentes[[#This Row],[Cap Op en Pesos]]=0,0,IF(Proponentes[[#This Row],[Cap Op en Pesos]]=0,1,Proponentes[[#This Row],[Cap Op en Pesos]]/Base!B$3))</f>
        <v>650.50445448795972</v>
      </c>
      <c r="Y326"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26"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26"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26" s="23" t="str">
        <f>IF(AND(Proponentes[[#This Row],[Cumple
Liquidez]]="CUMPLE",Proponentes[[#This Row],[Cumple
Endeudamiento]]="CUMPLE",Proponentes[[#This Row],[Cumple
Capital de Trabajo]]="CUMPLE"),"CUMPLE","NO CUMPLE")</f>
        <v>CUMPLE</v>
      </c>
      <c r="AC326" s="24"/>
      <c r="AD326" s="10">
        <f>IF(Proponentes[[#This Row],[Liquidez
Oferente]]&lt;=1,1,IF(Proponentes[[#This Row],[Liquidez
Oferente]]&lt;=1.1,2,IF(Proponentes[[#This Row],[Liquidez
Oferente]]&lt;=1.2,3,IF(Proponentes[[#This Row],[Liquidez
Oferente]]&lt;=1.3,4,IF(Proponentes[[#This Row],[Liquidez
Oferente]]&lt;=1.4,5,6)))))</f>
        <v>6</v>
      </c>
      <c r="AE326" s="10">
        <f>IF(Proponentes[[#This Row],[Endeudamiento
Oferente]]&lt;=66%,6,IF(Proponentes[[#This Row],[Endeudamiento
Oferente]]&lt;=58,5,IF(Proponentes[[#This Row],[Endeudamiento
Oferente]]&lt;=70,4,IF(Proponentes[[#This Row],[Endeudamiento
Oferente]]&lt;=72,3,IF(Proponentes[[#This Row],[Endeudamiento
Oferente]]&lt;=74,2,1)))))</f>
        <v>6</v>
      </c>
      <c r="AF326"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26" s="10">
        <f>IF(Proponentes[[#This Row],[Cap Op en SMMLV]]&lt;=500,1,IF(Proponentes[[#This Row],[Cap Op en SMMLV]]&lt;=1000,2,IF(Proponentes[[#This Row],[Cap Op en SMMLV]]&lt;=1500,3,IF(Proponentes[[#This Row],[Cap Op en SMMLV]]&lt;=2000,4,IF(Proponentes[[#This Row],[Cap Op en SMMLV]]&lt;=2500,5,6)))))</f>
        <v>2</v>
      </c>
      <c r="AH326" s="10">
        <f>MIN(Proponentes[[#This Row],[a]:[d]])</f>
        <v>2</v>
      </c>
      <c r="AI326" s="87">
        <f>IF(Proponentes[[#This Row],[e]]=Proponentes[[#This Row],[d]],Proponentes[[#This Row],[Cap Op en SMMLV]],VLOOKUP(Proponentes[[#This Row],[e]],Base!$D$1:$E$6,2,FALSE))</f>
        <v>650.50445448795972</v>
      </c>
      <c r="AJ326" s="101" t="str">
        <f>VLOOKUP(Proponentes[[#This Row],[Propuesta]],Hoja2!$A$2:$D$329,4,FALSE)</f>
        <v>CUMPLE</v>
      </c>
      <c r="AK326" s="101"/>
    </row>
    <row r="327" spans="1:37" ht="32" x14ac:dyDescent="0.2">
      <c r="A327" s="10">
        <v>326</v>
      </c>
      <c r="B327" s="11">
        <v>860013779</v>
      </c>
      <c r="C327" s="12" t="s">
        <v>450</v>
      </c>
      <c r="D327" s="13">
        <v>0</v>
      </c>
      <c r="E327" s="13">
        <v>0</v>
      </c>
      <c r="F327" s="25">
        <f>Proponentes[[#This Row],[Activo Corriente]]+Proponentes[[#This Row],[Activo NO Corriente]]</f>
        <v>0</v>
      </c>
      <c r="G327" s="13">
        <v>0</v>
      </c>
      <c r="H327" s="13">
        <v>0</v>
      </c>
      <c r="I327" s="25">
        <f>Proponentes[[#This Row],[Pasivo Corriente]]+Proponentes[[#This Row],[Pasivo NO Corriente]]</f>
        <v>0</v>
      </c>
      <c r="J327" s="14">
        <f>Proponentes[[#This Row],[Total ACTIVO]]-Proponentes[[#This Row],[Total Pasivo]]</f>
        <v>0</v>
      </c>
      <c r="K327" s="48" t="e">
        <f>VLOOKUP(Proponentes[[#This Row],[Propuesta]],Hoja2!$A$2:$G$239,7,FALSE)</f>
        <v>#N/A</v>
      </c>
      <c r="L327" s="15"/>
      <c r="M327" s="15" t="s">
        <v>451</v>
      </c>
      <c r="N327" s="55">
        <f>IFERROR(VLOOKUP(Proponentes[[#This Row],[Cap Op en SMMLV]],Base!$A$15:$F$20,3),0)</f>
        <v>1.3</v>
      </c>
      <c r="O327" s="16">
        <f>IFERROR(VLOOKUP(Proponentes[[#This Row],[Cap Op en SMMLV]],Base!$A$15:$F$20,4),0)</f>
        <v>0.7</v>
      </c>
      <c r="P327" s="17">
        <f>IFERROR(VLOOKUP(Proponentes[[#This Row],[Cap Op en SMMLV]],Tabla2[],6),0)</f>
        <v>50</v>
      </c>
      <c r="Q327" s="18">
        <f>IFERROR(VLOOKUP(Proponentes[[#This Row],[Cap Op en SMMLV]],Base!$A$15:$F$20,5),0)</f>
        <v>41405800</v>
      </c>
      <c r="R327" s="18">
        <f>IFERROR(VLOOKUP(Proponentes[[#This Row],[Cap Op en SMMLV]],Tabla2[[DE]:[HASTA]],2),0)</f>
        <v>2000</v>
      </c>
      <c r="S327" s="19" t="str">
        <f>IFERROR(Proponentes[[#This Row],[Activo Corriente]]/Proponentes[[#This Row],[Pasivo Corriente]],"INDETERMINADO")</f>
        <v>INDETERMINADO</v>
      </c>
      <c r="T327" s="20">
        <f>IFERROR(Proponentes[[#This Row],[Total Pasivo]]/Proponentes[[#This Row],[Total ACTIVO]],0)</f>
        <v>0</v>
      </c>
      <c r="U327" s="21">
        <f>(Proponentes[[#This Row],[Activo Corriente]]-Proponentes[[#This Row],[Pasivo Corriente]])/Base!$B$3</f>
        <v>0</v>
      </c>
      <c r="V327" s="22">
        <f>Proponentes[[#This Row],[Activo Corriente]]-Proponentes[[#This Row],[Pasivo Corriente]]</f>
        <v>0</v>
      </c>
      <c r="W327" s="13">
        <f>IFERROR(VLOOKUP(Proponentes[[#This Row],[Propuesta]],Hoja2!$A$2:$G$329,7,FALSE),0)</f>
        <v>1347738089.3015172</v>
      </c>
      <c r="X327" s="83">
        <f>IF(Proponentes[[#This Row],[Cap Op en Pesos]]=0,0,IF(Proponentes[[#This Row],[Cap Op en Pesos]]=0,1,Proponentes[[#This Row],[Cap Op en Pesos]]/Base!B$3))</f>
        <v>1627.4750026584647</v>
      </c>
      <c r="Y327"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327"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27"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327" s="23" t="str">
        <f>IF(AND(Proponentes[[#This Row],[Cumple
Liquidez]]="CUMPLE",Proponentes[[#This Row],[Cumple
Endeudamiento]]="CUMPLE",Proponentes[[#This Row],[Cumple
Capital de Trabajo]]="CUMPLE"),"CUMPLE","NO CUMPLE")</f>
        <v>NO CUMPLE</v>
      </c>
      <c r="AC327" s="24"/>
      <c r="AD327" s="10">
        <f>IF(Proponentes[[#This Row],[Liquidez
Oferente]]&lt;=1,1,IF(Proponentes[[#This Row],[Liquidez
Oferente]]&lt;=1.1,2,IF(Proponentes[[#This Row],[Liquidez
Oferente]]&lt;=1.2,3,IF(Proponentes[[#This Row],[Liquidez
Oferente]]&lt;=1.3,4,IF(Proponentes[[#This Row],[Liquidez
Oferente]]&lt;=1.4,5,6)))))</f>
        <v>6</v>
      </c>
      <c r="AE327" s="10">
        <f>IF(Proponentes[[#This Row],[Endeudamiento
Oferente]]&lt;=66%,6,IF(Proponentes[[#This Row],[Endeudamiento
Oferente]]&lt;=58,5,IF(Proponentes[[#This Row],[Endeudamiento
Oferente]]&lt;=70,4,IF(Proponentes[[#This Row],[Endeudamiento
Oferente]]&lt;=72,3,IF(Proponentes[[#This Row],[Endeudamiento
Oferente]]&lt;=74,2,1)))))</f>
        <v>6</v>
      </c>
      <c r="AF327"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327" s="10">
        <f>IF(Proponentes[[#This Row],[Cap Op en SMMLV]]&lt;=500,1,IF(Proponentes[[#This Row],[Cap Op en SMMLV]]&lt;=1000,2,IF(Proponentes[[#This Row],[Cap Op en SMMLV]]&lt;=1500,3,IF(Proponentes[[#This Row],[Cap Op en SMMLV]]&lt;=2000,4,IF(Proponentes[[#This Row],[Cap Op en SMMLV]]&lt;=2500,5,6)))))</f>
        <v>4</v>
      </c>
      <c r="AH327" s="10">
        <f>MIN(Proponentes[[#This Row],[a]:[d]])</f>
        <v>1</v>
      </c>
      <c r="AI327" s="87">
        <f>IF(Proponentes[[#This Row],[e]]=Proponentes[[#This Row],[d]],Proponentes[[#This Row],[Cap Op en SMMLV]],VLOOKUP(Proponentes[[#This Row],[e]],Base!$D$1:$E$6,2,FALSE))</f>
        <v>500</v>
      </c>
      <c r="AJ327" s="101" t="str">
        <f>VLOOKUP(Proponentes[[#This Row],[Propuesta]],Hoja2!$A$2:$D$329,4,FALSE)</f>
        <v>NO CUMPLE</v>
      </c>
      <c r="AK327" s="101"/>
    </row>
    <row r="328" spans="1:37" ht="16" x14ac:dyDescent="0.2">
      <c r="A328" s="10">
        <v>327</v>
      </c>
      <c r="B328" s="11" t="s">
        <v>221</v>
      </c>
      <c r="C328" s="12" t="s">
        <v>452</v>
      </c>
      <c r="D328" s="13">
        <v>0</v>
      </c>
      <c r="E328" s="13">
        <v>0</v>
      </c>
      <c r="F328" s="25">
        <f>Proponentes[[#This Row],[Activo Corriente]]+Proponentes[[#This Row],[Activo NO Corriente]]</f>
        <v>0</v>
      </c>
      <c r="G328" s="13">
        <v>0</v>
      </c>
      <c r="H328" s="13">
        <v>0</v>
      </c>
      <c r="I328" s="25">
        <f>Proponentes[[#This Row],[Pasivo Corriente]]+Proponentes[[#This Row],[Pasivo NO Corriente]]</f>
        <v>0</v>
      </c>
      <c r="J328" s="14">
        <f>Proponentes[[#This Row],[Total ACTIVO]]-Proponentes[[#This Row],[Total Pasivo]]</f>
        <v>0</v>
      </c>
      <c r="K328" s="48" t="e">
        <f>VLOOKUP(Proponentes[[#This Row],[Propuesta]],Hoja2!$A$2:$G$239,7,FALSE)</f>
        <v>#N/A</v>
      </c>
      <c r="L328" s="15" t="s">
        <v>86</v>
      </c>
      <c r="M328" s="15" t="s">
        <v>28</v>
      </c>
      <c r="N328" s="55">
        <f>IFERROR(VLOOKUP(Proponentes[[#This Row],[Cap Op en SMMLV]],Base!$A$15:$F$20,3),0)</f>
        <v>0</v>
      </c>
      <c r="O328" s="16">
        <f>IFERROR(VLOOKUP(Proponentes[[#This Row],[Cap Op en SMMLV]],Base!$A$15:$F$20,4),0)</f>
        <v>0</v>
      </c>
      <c r="P328" s="17">
        <f>IFERROR(VLOOKUP(Proponentes[[#This Row],[Cap Op en SMMLV]],Tabla2[],6),0)</f>
        <v>0</v>
      </c>
      <c r="Q328" s="18">
        <f>IFERROR(VLOOKUP(Proponentes[[#This Row],[Cap Op en SMMLV]],Base!$A$15:$F$20,5),0)</f>
        <v>0</v>
      </c>
      <c r="R328" s="18">
        <f>IFERROR(VLOOKUP(Proponentes[[#This Row],[Cap Op en SMMLV]],Tabla2[[DE]:[HASTA]],2),0)</f>
        <v>0</v>
      </c>
      <c r="S328" s="19" t="str">
        <f>IFERROR(Proponentes[[#This Row],[Activo Corriente]]/Proponentes[[#This Row],[Pasivo Corriente]],"INDETERMINADO")</f>
        <v>INDETERMINADO</v>
      </c>
      <c r="T328" s="20">
        <f>IFERROR(Proponentes[[#This Row],[Total Pasivo]]/Proponentes[[#This Row],[Total ACTIVO]],0)</f>
        <v>0</v>
      </c>
      <c r="U328" s="21">
        <f>(Proponentes[[#This Row],[Activo Corriente]]-Proponentes[[#This Row],[Pasivo Corriente]])/Base!$B$3</f>
        <v>0</v>
      </c>
      <c r="V328" s="22">
        <f>Proponentes[[#This Row],[Activo Corriente]]-Proponentes[[#This Row],[Pasivo Corriente]]</f>
        <v>0</v>
      </c>
      <c r="W328" s="13">
        <f>IFERROR(VLOOKUP(Proponentes[[#This Row],[Propuesta]],Hoja2!$A$2:$G$329,7,FALSE),0)</f>
        <v>0</v>
      </c>
      <c r="X328" s="83">
        <f>IF(Proponentes[[#This Row],[Cap Op en Pesos]]=0,0,IF(Proponentes[[#This Row],[Cap Op en Pesos]]=0,1,Proponentes[[#This Row],[Cap Op en Pesos]]/Base!B$3))</f>
        <v>0</v>
      </c>
      <c r="Y328"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NO CUMPLE</v>
      </c>
      <c r="Z328"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NO CUMPLE</v>
      </c>
      <c r="AA328"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NO CUMPLE</v>
      </c>
      <c r="AB328" s="23" t="str">
        <f>IF(AND(Proponentes[[#This Row],[Cumple
Liquidez]]="CUMPLE",Proponentes[[#This Row],[Cumple
Endeudamiento]]="CUMPLE",Proponentes[[#This Row],[Cumple
Capital de Trabajo]]="CUMPLE"),"CUMPLE","NO CUMPLE")</f>
        <v>NO CUMPLE</v>
      </c>
      <c r="AC328" s="24"/>
      <c r="AD328" s="10">
        <f>IF(Proponentes[[#This Row],[Liquidez
Oferente]]&lt;=1,1,IF(Proponentes[[#This Row],[Liquidez
Oferente]]&lt;=1.1,2,IF(Proponentes[[#This Row],[Liquidez
Oferente]]&lt;=1.2,3,IF(Proponentes[[#This Row],[Liquidez
Oferente]]&lt;=1.3,4,IF(Proponentes[[#This Row],[Liquidez
Oferente]]&lt;=1.4,5,6)))))</f>
        <v>6</v>
      </c>
      <c r="AE328" s="10">
        <f>IF(Proponentes[[#This Row],[Endeudamiento
Oferente]]&lt;=66%,6,IF(Proponentes[[#This Row],[Endeudamiento
Oferente]]&lt;=58,5,IF(Proponentes[[#This Row],[Endeudamiento
Oferente]]&lt;=70,4,IF(Proponentes[[#This Row],[Endeudamiento
Oferente]]&lt;=72,3,IF(Proponentes[[#This Row],[Endeudamiento
Oferente]]&lt;=74,2,1)))))</f>
        <v>6</v>
      </c>
      <c r="AF328"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1</v>
      </c>
      <c r="AG328" s="10">
        <f>IF(Proponentes[[#This Row],[Cap Op en SMMLV]]&lt;=500,1,IF(Proponentes[[#This Row],[Cap Op en SMMLV]]&lt;=1000,2,IF(Proponentes[[#This Row],[Cap Op en SMMLV]]&lt;=1500,3,IF(Proponentes[[#This Row],[Cap Op en SMMLV]]&lt;=2000,4,IF(Proponentes[[#This Row],[Cap Op en SMMLV]]&lt;=2500,5,6)))))</f>
        <v>1</v>
      </c>
      <c r="AH328" s="10">
        <f>MIN(Proponentes[[#This Row],[a]:[d]])</f>
        <v>1</v>
      </c>
      <c r="AI328" s="87">
        <f>IF(Proponentes[[#This Row],[e]]=Proponentes[[#This Row],[d]],Proponentes[[#This Row],[Cap Op en SMMLV]],VLOOKUP(Proponentes[[#This Row],[e]],Base!$D$1:$E$6,2,FALSE))</f>
        <v>0</v>
      </c>
      <c r="AJ328" s="101" t="str">
        <f>VLOOKUP(Proponentes[[#This Row],[Propuesta]],Hoja2!$A$2:$D$329,4,FALSE)</f>
        <v>NO CUMPLE</v>
      </c>
      <c r="AK328" s="101"/>
    </row>
    <row r="329" spans="1:37" ht="16" x14ac:dyDescent="0.2">
      <c r="A329" s="10">
        <v>328</v>
      </c>
      <c r="B329" s="11">
        <v>828001706</v>
      </c>
      <c r="C329" s="12" t="s">
        <v>453</v>
      </c>
      <c r="D329" s="13">
        <v>390310657</v>
      </c>
      <c r="E329" s="13">
        <v>161251616</v>
      </c>
      <c r="F329" s="25">
        <f>Proponentes[[#This Row],[Activo Corriente]]+Proponentes[[#This Row],[Activo NO Corriente]]</f>
        <v>551562273</v>
      </c>
      <c r="G329" s="13">
        <v>14491015</v>
      </c>
      <c r="H329" s="13">
        <v>0</v>
      </c>
      <c r="I329" s="25">
        <f>Proponentes[[#This Row],[Pasivo Corriente]]+Proponentes[[#This Row],[Pasivo NO Corriente]]</f>
        <v>14491015</v>
      </c>
      <c r="J329" s="14">
        <f>Proponentes[[#This Row],[Total ACTIVO]]-Proponentes[[#This Row],[Total Pasivo]]</f>
        <v>537071258</v>
      </c>
      <c r="K329" s="48" t="e">
        <f>VLOOKUP(Proponentes[[#This Row],[Propuesta]],Hoja2!$A$2:$G$239,7,FALSE)</f>
        <v>#N/A</v>
      </c>
      <c r="L329" s="15" t="s">
        <v>59</v>
      </c>
      <c r="M329" s="15" t="s">
        <v>28</v>
      </c>
      <c r="N329" s="55">
        <f>IFERROR(VLOOKUP(Proponentes[[#This Row],[Cap Op en SMMLV]],Base!$A$15:$F$20,3),0)</f>
        <v>1</v>
      </c>
      <c r="O329" s="16">
        <f>IFERROR(VLOOKUP(Proponentes[[#This Row],[Cap Op en SMMLV]],Base!$A$15:$F$20,4),0)</f>
        <v>0.76</v>
      </c>
      <c r="P329" s="17">
        <f>IFERROR(VLOOKUP(Proponentes[[#This Row],[Cap Op en SMMLV]],Tabla2[],6),0)</f>
        <v>12.5</v>
      </c>
      <c r="Q329" s="18">
        <f>IFERROR(VLOOKUP(Proponentes[[#This Row],[Cap Op en SMMLV]],Base!$A$15:$F$20,5),0)</f>
        <v>10351450</v>
      </c>
      <c r="R329" s="18">
        <f>IFERROR(VLOOKUP(Proponentes[[#This Row],[Cap Op en SMMLV]],Tabla2[[DE]:[HASTA]],2),0)</f>
        <v>500</v>
      </c>
      <c r="S329" s="19">
        <f>IFERROR(Proponentes[[#This Row],[Activo Corriente]]/Proponentes[[#This Row],[Pasivo Corriente]],"INDETERMINADO")</f>
        <v>26.934666550272702</v>
      </c>
      <c r="T329" s="20">
        <f>IFERROR(Proponentes[[#This Row],[Total Pasivo]]/Proponentes[[#This Row],[Total ACTIVO]],0)</f>
        <v>2.6272672569104451E-2</v>
      </c>
      <c r="U329" s="21">
        <f>(Proponentes[[#This Row],[Activo Corriente]]-Proponentes[[#This Row],[Pasivo Corriente]])/Base!$B$3</f>
        <v>453.82487719111816</v>
      </c>
      <c r="V329" s="22">
        <f>Proponentes[[#This Row],[Activo Corriente]]-Proponentes[[#This Row],[Pasivo Corriente]]</f>
        <v>375819642</v>
      </c>
      <c r="W329" s="13">
        <f>IFERROR(VLOOKUP(Proponentes[[#This Row],[Propuesta]],Hoja2!$A$2:$G$329,7,FALSE),0)</f>
        <v>134434809.29296142</v>
      </c>
      <c r="X329" s="83">
        <f>IF(Proponentes[[#This Row],[Cap Op en Pesos]]=0,0,IF(Proponentes[[#This Row],[Cap Op en Pesos]]=0,1,Proponentes[[#This Row],[Cap Op en Pesos]]/Base!B$3))</f>
        <v>162.33813776446948</v>
      </c>
      <c r="Y329" s="8" t="str">
        <f>IF(AND(Proponentes[[#This Row],[Activo Corriente]]=0,Proponentes[[#This Row],[Activo NO Corriente]]=0,Proponentes[[#This Row],[Pasivo Corriente]]=0,Proponentes[[#This Row],[Pasivo NO Corriente]]=0),"NO CUMPLE",IF(AND(Proponentes[[#This Row],[Pasivo Corriente]]=0,Proponentes[[#This Row],[Activo Corriente]]&gt;0),"CUMPLE",IF(AND(Proponentes[[#This Row],[Activo Corriente]]=0,Proponentes[[#This Row],[Pasivo Corriente]]=0),"NO CUMPLE",IF(Proponentes[[#This Row],[Liquidez
Oferente]]&gt;=Proponentes[[#This Row],[Liquidez
Según Tabla]],"CUMPLE","NO CUMPLE"))))</f>
        <v>CUMPLE</v>
      </c>
      <c r="Z329" s="8" t="str">
        <f>IF(AND(Proponentes[[#This Row],[Activo Corriente]]=0,Proponentes[[#This Row],[Activo NO Corriente]]=0,Proponentes[[#This Row],[Pasivo Corriente]]=0,Proponentes[[#This Row],[Pasivo NO Corriente]]=0),"NO CUMPLE",IF(AND(Proponentes[[#This Row],[Total Pasivo]]=0,Proponentes[[#This Row],[Total ACTIVO]]&gt;0),"CUMPLE",IF(Proponentes[[#This Row],[Endeudamiento
Oferente]]&lt;=Proponentes[[#This Row],[Endeudamiento
Según Tabla]],"CUMPLE","NO CUMPLE")))</f>
        <v>CUMPLE</v>
      </c>
      <c r="AA329" s="8" t="str">
        <f>IF(AND(Proponentes[[#This Row],[Activo Corriente]]=0,Proponentes[[#This Row],[Activo NO Corriente]]=0,Proponentes[[#This Row],[Pasivo Corriente]]=0,Proponentes[[#This Row],[Pasivo NO Corriente]]=0),"NO CUMPLE",IF(Proponentes[[#This Row],[Capital de Trabajo
en SMMLV Oferente]]&lt;12.5,"NO CUMPLE",IF(AND(Proponentes[[#This Row],[Total Pasivo]]=0,Proponentes[[#This Row],[Total ACTIVO]]&gt;0),"CUMPLE",IF(Proponentes[[#This Row],[Capital de Trabajo
en SMMLV Oferente]]&gt;=Proponentes[[#This Row],[Capital de Trabajo
en SMMLV Según Tabla]],"CUMPLE","NO CUMPLE"))))</f>
        <v>CUMPLE</v>
      </c>
      <c r="AB329" s="23" t="str">
        <f>IF(AND(Proponentes[[#This Row],[Cumple
Liquidez]]="CUMPLE",Proponentes[[#This Row],[Cumple
Endeudamiento]]="CUMPLE",Proponentes[[#This Row],[Cumple
Capital de Trabajo]]="CUMPLE"),"CUMPLE","NO CUMPLE")</f>
        <v>CUMPLE</v>
      </c>
      <c r="AC329" s="24"/>
      <c r="AD329" s="10">
        <f>IF(Proponentes[[#This Row],[Liquidez
Oferente]]&lt;=1,1,IF(Proponentes[[#This Row],[Liquidez
Oferente]]&lt;=1.1,2,IF(Proponentes[[#This Row],[Liquidez
Oferente]]&lt;=1.2,3,IF(Proponentes[[#This Row],[Liquidez
Oferente]]&lt;=1.3,4,IF(Proponentes[[#This Row],[Liquidez
Oferente]]&lt;=1.4,5,6)))))</f>
        <v>6</v>
      </c>
      <c r="AE329" s="10">
        <f>IF(Proponentes[[#This Row],[Endeudamiento
Oferente]]&lt;=66%,6,IF(Proponentes[[#This Row],[Endeudamiento
Oferente]]&lt;=58,5,IF(Proponentes[[#This Row],[Endeudamiento
Oferente]]&lt;=70,4,IF(Proponentes[[#This Row],[Endeudamiento
Oferente]]&lt;=72,3,IF(Proponentes[[#This Row],[Endeudamiento
Oferente]]&lt;=74,2,1)))))</f>
        <v>6</v>
      </c>
      <c r="AF329" s="10">
        <f>IF(Proponentes[[#This Row],[Capital de Trabajo
en SMMLV Oferente]]&lt;=12.5,1,IF(Proponentes[[#This Row],[Capital de Trabajo
en SMMLV Oferente]]&lt;=25,2,IF(Proponentes[[#This Row],[Capital de Trabajo
en SMMLV Oferente]]&lt;=37.5,3,IF(Proponentes[[#This Row],[Capital de Trabajo
en SMMLV Oferente]]&lt;=50,4,IF(Proponentes[[#This Row],[Capital de Trabajo
en SMMLV Oferente]]&lt;=62.5,5,6)))))</f>
        <v>6</v>
      </c>
      <c r="AG329" s="10">
        <f>IF(Proponentes[[#This Row],[Cap Op en SMMLV]]&lt;=500,1,IF(Proponentes[[#This Row],[Cap Op en SMMLV]]&lt;=1000,2,IF(Proponentes[[#This Row],[Cap Op en SMMLV]]&lt;=1500,3,IF(Proponentes[[#This Row],[Cap Op en SMMLV]]&lt;=2000,4,IF(Proponentes[[#This Row],[Cap Op en SMMLV]]&lt;=2500,5,6)))))</f>
        <v>1</v>
      </c>
      <c r="AH329" s="10">
        <f>MIN(Proponentes[[#This Row],[a]:[d]])</f>
        <v>1</v>
      </c>
      <c r="AI329" s="87">
        <f>IF(Proponentes[[#This Row],[e]]=Proponentes[[#This Row],[d]],Proponentes[[#This Row],[Cap Op en SMMLV]],VLOOKUP(Proponentes[[#This Row],[e]],Base!$D$1:$E$6,2,FALSE))</f>
        <v>162.33813776446948</v>
      </c>
      <c r="AJ329" s="101" t="str">
        <f>VLOOKUP(Proponentes[[#This Row],[Propuesta]],Hoja2!$A$2:$D$329,4,FALSE)</f>
        <v>CUMPLE</v>
      </c>
      <c r="AK329" s="101"/>
    </row>
    <row r="330" spans="1:37" x14ac:dyDescent="0.2">
      <c r="A330" s="56"/>
      <c r="B330" s="57"/>
      <c r="C330" s="58"/>
      <c r="E330" s="60"/>
      <c r="F330" s="61"/>
      <c r="G330" s="61"/>
      <c r="H330" s="62"/>
      <c r="I330" s="61"/>
      <c r="J330" s="61"/>
      <c r="K330" s="62"/>
      <c r="L330" s="63"/>
      <c r="M330" s="64"/>
      <c r="N330" s="56"/>
      <c r="O330" s="56"/>
      <c r="P330" s="60"/>
      <c r="Q330" s="65"/>
      <c r="R330" s="65"/>
      <c r="S330" s="66"/>
      <c r="T330" s="62"/>
      <c r="U330" s="67"/>
      <c r="V330" s="68"/>
      <c r="W330" s="69"/>
      <c r="X330" s="63"/>
      <c r="Z330" s="59"/>
      <c r="AA330" s="70"/>
      <c r="AB330" s="70"/>
      <c r="AC330" s="70"/>
      <c r="AD330" s="56"/>
      <c r="AE330" s="71"/>
      <c r="AF330" s="71"/>
      <c r="AG330" s="71"/>
    </row>
    <row r="331" spans="1:37" x14ac:dyDescent="0.2">
      <c r="A331" s="9">
        <v>1</v>
      </c>
      <c r="B331" s="9">
        <v>2</v>
      </c>
      <c r="C331" s="9">
        <v>3</v>
      </c>
      <c r="D331" s="9">
        <v>4</v>
      </c>
      <c r="E331" s="9">
        <v>5</v>
      </c>
      <c r="F331" s="9">
        <v>6</v>
      </c>
      <c r="G331" s="9">
        <v>7</v>
      </c>
      <c r="H331" s="9">
        <v>8</v>
      </c>
      <c r="I331" s="9">
        <v>9</v>
      </c>
      <c r="J331" s="9">
        <v>10</v>
      </c>
      <c r="K331" s="9">
        <v>11</v>
      </c>
      <c r="L331" s="9">
        <v>12</v>
      </c>
      <c r="M331" s="9">
        <v>13</v>
      </c>
      <c r="N331" s="9">
        <v>14</v>
      </c>
      <c r="O331" s="9">
        <v>15</v>
      </c>
      <c r="P331" s="9">
        <v>16</v>
      </c>
      <c r="Q331" s="9">
        <v>17</v>
      </c>
      <c r="R331" s="9">
        <v>18</v>
      </c>
      <c r="S331" s="9">
        <v>19</v>
      </c>
      <c r="T331" s="9">
        <v>20</v>
      </c>
      <c r="U331" s="9">
        <v>21</v>
      </c>
      <c r="V331" s="9">
        <v>22</v>
      </c>
      <c r="W331" s="9">
        <v>23</v>
      </c>
      <c r="X331" s="9">
        <v>24</v>
      </c>
      <c r="Y331" s="9">
        <v>25</v>
      </c>
      <c r="Z331" s="9">
        <v>26</v>
      </c>
      <c r="AA331" s="9">
        <v>27</v>
      </c>
      <c r="AB331" s="9">
        <v>28</v>
      </c>
      <c r="AC331" s="9">
        <v>29</v>
      </c>
      <c r="AD331" s="9">
        <v>30</v>
      </c>
      <c r="AE331" s="9">
        <v>31</v>
      </c>
      <c r="AF331" s="9">
        <v>32</v>
      </c>
      <c r="AG331" s="9">
        <v>33</v>
      </c>
      <c r="AH331" s="9">
        <v>34</v>
      </c>
      <c r="AI331" s="9">
        <v>35</v>
      </c>
    </row>
    <row r="333" spans="1:37" x14ac:dyDescent="0.2">
      <c r="N333" s="88"/>
    </row>
  </sheetData>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20"/>
  <sheetViews>
    <sheetView showGridLines="0" workbookViewId="0">
      <selection activeCell="C43" sqref="C43"/>
    </sheetView>
  </sheetViews>
  <sheetFormatPr baseColWidth="10" defaultRowHeight="15" x14ac:dyDescent="0.2"/>
  <cols>
    <col min="1" max="1" width="23.6640625" bestFit="1" customWidth="1"/>
    <col min="3" max="3" width="17.1640625" customWidth="1"/>
    <col min="4" max="4" width="17.83203125" bestFit="1" customWidth="1"/>
    <col min="5" max="5" width="22.5" bestFit="1" customWidth="1"/>
    <col min="6" max="6" width="19.33203125" bestFit="1" customWidth="1"/>
    <col min="7" max="7" width="25.33203125" customWidth="1"/>
    <col min="8" max="9" width="13" bestFit="1" customWidth="1"/>
  </cols>
  <sheetData>
    <row r="1" spans="1:9" x14ac:dyDescent="0.2">
      <c r="A1" s="27" t="s">
        <v>454</v>
      </c>
      <c r="B1" s="28">
        <v>62</v>
      </c>
      <c r="D1">
        <v>1</v>
      </c>
      <c r="E1">
        <v>500</v>
      </c>
      <c r="F1">
        <v>500</v>
      </c>
    </row>
    <row r="2" spans="1:9" x14ac:dyDescent="0.2">
      <c r="A2" s="27" t="s">
        <v>455</v>
      </c>
      <c r="B2" s="28">
        <v>328</v>
      </c>
      <c r="D2">
        <v>2</v>
      </c>
      <c r="E2">
        <v>1000</v>
      </c>
      <c r="F2">
        <v>1000</v>
      </c>
    </row>
    <row r="3" spans="1:9" x14ac:dyDescent="0.2">
      <c r="A3" s="27" t="s">
        <v>456</v>
      </c>
      <c r="B3" s="29">
        <v>828116</v>
      </c>
      <c r="D3">
        <v>3</v>
      </c>
      <c r="E3">
        <v>1500</v>
      </c>
      <c r="F3">
        <v>1500</v>
      </c>
    </row>
    <row r="4" spans="1:9" x14ac:dyDescent="0.2">
      <c r="A4" s="27" t="s">
        <v>454</v>
      </c>
      <c r="B4" s="28">
        <v>1</v>
      </c>
      <c r="D4">
        <v>4</v>
      </c>
      <c r="E4">
        <v>2000</v>
      </c>
      <c r="F4">
        <v>2000</v>
      </c>
    </row>
    <row r="5" spans="1:9" x14ac:dyDescent="0.2">
      <c r="A5" s="27"/>
      <c r="B5" s="28"/>
      <c r="D5">
        <v>5</v>
      </c>
      <c r="E5">
        <v>2500</v>
      </c>
      <c r="F5">
        <v>2500</v>
      </c>
    </row>
    <row r="6" spans="1:9" x14ac:dyDescent="0.2">
      <c r="A6" s="27"/>
      <c r="B6" s="28"/>
      <c r="D6">
        <v>6</v>
      </c>
      <c r="E6">
        <v>2501</v>
      </c>
    </row>
    <row r="7" spans="1:9" x14ac:dyDescent="0.2">
      <c r="A7" s="27"/>
      <c r="B7" s="28"/>
    </row>
    <row r="14" spans="1:9" ht="32.25" customHeight="1" x14ac:dyDescent="0.2">
      <c r="A14" s="30" t="s">
        <v>457</v>
      </c>
      <c r="B14" s="31" t="s">
        <v>458</v>
      </c>
      <c r="C14" s="32" t="s">
        <v>459</v>
      </c>
      <c r="D14" s="32" t="s">
        <v>460</v>
      </c>
      <c r="E14" s="32" t="s">
        <v>461</v>
      </c>
      <c r="F14" s="33" t="s">
        <v>462</v>
      </c>
      <c r="G14" s="32" t="s">
        <v>474</v>
      </c>
      <c r="H14" s="34" t="s">
        <v>463</v>
      </c>
      <c r="I14" s="34"/>
    </row>
    <row r="15" spans="1:9" x14ac:dyDescent="0.2">
      <c r="A15" s="35">
        <v>1</v>
      </c>
      <c r="B15" s="36">
        <v>500</v>
      </c>
      <c r="C15" s="37">
        <v>1</v>
      </c>
      <c r="D15" s="38">
        <v>0.76</v>
      </c>
      <c r="E15" s="36">
        <v>10351450</v>
      </c>
      <c r="F15" s="39">
        <f>E15/$B$3</f>
        <v>12.5</v>
      </c>
      <c r="G15" s="85">
        <v>1</v>
      </c>
      <c r="H15" s="40">
        <f>$B$3*A15</f>
        <v>828116</v>
      </c>
      <c r="I15" s="40">
        <f>B15*$B$3</f>
        <v>414058000</v>
      </c>
    </row>
    <row r="16" spans="1:9" x14ac:dyDescent="0.2">
      <c r="A16" s="35">
        <v>501</v>
      </c>
      <c r="B16" s="36">
        <v>1000</v>
      </c>
      <c r="C16" s="37">
        <v>1.1000000000000001</v>
      </c>
      <c r="D16" s="38">
        <v>0.74</v>
      </c>
      <c r="E16" s="36">
        <v>20702900</v>
      </c>
      <c r="F16" s="39">
        <f t="shared" ref="F16:F20" si="0">E16/$B$3</f>
        <v>25</v>
      </c>
      <c r="G16" s="86">
        <v>2</v>
      </c>
      <c r="H16" s="40">
        <f t="shared" ref="H16:H20" si="1">$B$3*A16</f>
        <v>414886116</v>
      </c>
      <c r="I16" s="40">
        <f t="shared" ref="I16:I19" si="2">B16*$B$3</f>
        <v>828116000</v>
      </c>
    </row>
    <row r="17" spans="1:9" x14ac:dyDescent="0.2">
      <c r="A17" s="35">
        <v>1001</v>
      </c>
      <c r="B17" s="36">
        <v>1500</v>
      </c>
      <c r="C17" s="37">
        <v>1.2</v>
      </c>
      <c r="D17" s="38">
        <v>0.72</v>
      </c>
      <c r="E17" s="36">
        <v>31054350</v>
      </c>
      <c r="F17" s="39">
        <f t="shared" si="0"/>
        <v>37.5</v>
      </c>
      <c r="G17" s="86">
        <v>3</v>
      </c>
      <c r="H17" s="40">
        <f t="shared" si="1"/>
        <v>828944116</v>
      </c>
      <c r="I17" s="40">
        <f t="shared" si="2"/>
        <v>1242174000</v>
      </c>
    </row>
    <row r="18" spans="1:9" x14ac:dyDescent="0.2">
      <c r="A18" s="35">
        <v>1501</v>
      </c>
      <c r="B18" s="36">
        <v>2000</v>
      </c>
      <c r="C18" s="37">
        <v>1.3</v>
      </c>
      <c r="D18" s="38">
        <v>0.7</v>
      </c>
      <c r="E18" s="36">
        <v>41405800</v>
      </c>
      <c r="F18" s="39">
        <f t="shared" si="0"/>
        <v>50</v>
      </c>
      <c r="G18" s="86">
        <v>4</v>
      </c>
      <c r="H18" s="40">
        <f t="shared" si="1"/>
        <v>1243002116</v>
      </c>
      <c r="I18" s="40">
        <f t="shared" si="2"/>
        <v>1656232000</v>
      </c>
    </row>
    <row r="19" spans="1:9" x14ac:dyDescent="0.2">
      <c r="A19" s="35">
        <v>2001</v>
      </c>
      <c r="B19" s="36">
        <v>2500</v>
      </c>
      <c r="C19" s="37">
        <v>1.4</v>
      </c>
      <c r="D19" s="38">
        <v>0.68</v>
      </c>
      <c r="E19" s="36">
        <v>51757250</v>
      </c>
      <c r="F19" s="39">
        <f t="shared" si="0"/>
        <v>62.5</v>
      </c>
      <c r="G19" s="86">
        <v>5</v>
      </c>
      <c r="H19" s="40">
        <f t="shared" si="1"/>
        <v>1657060116</v>
      </c>
      <c r="I19" s="40">
        <f t="shared" si="2"/>
        <v>2070290000</v>
      </c>
    </row>
    <row r="20" spans="1:9" x14ac:dyDescent="0.2">
      <c r="A20" s="41">
        <v>2501</v>
      </c>
      <c r="B20" s="42">
        <v>1000000</v>
      </c>
      <c r="C20" s="43">
        <v>1.5</v>
      </c>
      <c r="D20" s="44">
        <v>0.66</v>
      </c>
      <c r="E20" s="42">
        <v>74592549</v>
      </c>
      <c r="F20" s="45">
        <f t="shared" si="0"/>
        <v>90.075000362268085</v>
      </c>
      <c r="G20" s="86">
        <v>6</v>
      </c>
      <c r="H20" s="40">
        <f t="shared" si="1"/>
        <v>2071118116</v>
      </c>
      <c r="I20" s="40"/>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L329"/>
  <sheetViews>
    <sheetView topLeftCell="D1" workbookViewId="0">
      <selection activeCell="C43" sqref="C43"/>
    </sheetView>
  </sheetViews>
  <sheetFormatPr baseColWidth="10" defaultRowHeight="15" x14ac:dyDescent="0.2"/>
  <cols>
    <col min="2" max="2" width="10" bestFit="1" customWidth="1"/>
    <col min="3" max="3" width="52.83203125" style="47" customWidth="1"/>
    <col min="6" max="7" width="21" customWidth="1"/>
    <col min="10" max="10" width="11.83203125" bestFit="1" customWidth="1"/>
    <col min="12" max="12" width="11.83203125" bestFit="1" customWidth="1"/>
  </cols>
  <sheetData>
    <row r="1" spans="1:12" ht="65" x14ac:dyDescent="0.2">
      <c r="A1" s="72" t="s">
        <v>479</v>
      </c>
      <c r="B1" s="72" t="s">
        <v>480</v>
      </c>
      <c r="C1" s="72" t="s">
        <v>481</v>
      </c>
      <c r="D1" s="73" t="s">
        <v>482</v>
      </c>
      <c r="E1" s="73" t="s">
        <v>764</v>
      </c>
      <c r="F1" s="73" t="s">
        <v>483</v>
      </c>
      <c r="G1" s="73" t="s">
        <v>483</v>
      </c>
      <c r="H1" s="73" t="s">
        <v>765</v>
      </c>
      <c r="I1" s="49" t="s">
        <v>570</v>
      </c>
      <c r="J1" s="49" t="s">
        <v>766</v>
      </c>
      <c r="K1" s="49" t="s">
        <v>767</v>
      </c>
      <c r="L1" s="49" t="s">
        <v>768</v>
      </c>
    </row>
    <row r="2" spans="1:12" x14ac:dyDescent="0.2">
      <c r="A2" s="74">
        <v>1</v>
      </c>
      <c r="B2" s="74">
        <v>900745755</v>
      </c>
      <c r="C2" s="74" t="s">
        <v>26</v>
      </c>
      <c r="D2" s="99" t="s">
        <v>469</v>
      </c>
      <c r="E2" s="75" t="s">
        <v>470</v>
      </c>
      <c r="F2" s="76">
        <v>288.80764513655225</v>
      </c>
      <c r="G2" s="75">
        <v>239166231.8599011</v>
      </c>
      <c r="H2" s="77" t="s">
        <v>470</v>
      </c>
      <c r="I2">
        <f>IFERROR(G2/Base!$B$3,0)</f>
        <v>288.80764513655225</v>
      </c>
      <c r="J2" t="b">
        <f>F2=I2</f>
        <v>1</v>
      </c>
    </row>
    <row r="3" spans="1:12" x14ac:dyDescent="0.2">
      <c r="A3" s="74">
        <v>2</v>
      </c>
      <c r="B3" s="74">
        <v>800217959</v>
      </c>
      <c r="C3" s="74" t="s">
        <v>29</v>
      </c>
      <c r="D3" s="99" t="s">
        <v>470</v>
      </c>
      <c r="E3" s="75" t="s">
        <v>470</v>
      </c>
      <c r="F3" s="76">
        <v>0</v>
      </c>
      <c r="G3" s="75">
        <v>0</v>
      </c>
      <c r="H3" s="77" t="s">
        <v>470</v>
      </c>
      <c r="I3">
        <f>IFERROR(G3/Base!$B$3,0)</f>
        <v>0</v>
      </c>
      <c r="J3" t="b">
        <f t="shared" ref="J3:J66" si="0">F3=I3</f>
        <v>1</v>
      </c>
    </row>
    <row r="4" spans="1:12" x14ac:dyDescent="0.2">
      <c r="A4" s="78">
        <v>3</v>
      </c>
      <c r="B4" s="78">
        <v>900597006</v>
      </c>
      <c r="C4" s="78" t="s">
        <v>30</v>
      </c>
      <c r="D4" s="100" t="s">
        <v>470</v>
      </c>
      <c r="E4" s="75" t="s">
        <v>470</v>
      </c>
      <c r="F4" s="79">
        <v>0</v>
      </c>
      <c r="G4" s="80">
        <v>0</v>
      </c>
      <c r="H4" s="77" t="s">
        <v>470</v>
      </c>
      <c r="I4">
        <f>IFERROR(G4/Base!$B$3,0)</f>
        <v>0</v>
      </c>
      <c r="J4" t="b">
        <f t="shared" si="0"/>
        <v>1</v>
      </c>
    </row>
    <row r="5" spans="1:12" x14ac:dyDescent="0.2">
      <c r="A5" s="74">
        <v>4</v>
      </c>
      <c r="B5" s="74">
        <v>900812373</v>
      </c>
      <c r="C5" s="74" t="s">
        <v>484</v>
      </c>
      <c r="D5" s="99" t="s">
        <v>469</v>
      </c>
      <c r="E5" s="75" t="s">
        <v>469</v>
      </c>
      <c r="F5" s="76">
        <v>122.85964678207573</v>
      </c>
      <c r="G5" s="81">
        <v>101742039.25458543</v>
      </c>
      <c r="H5" s="77" t="s">
        <v>469</v>
      </c>
      <c r="I5">
        <f>IFERROR(G5/Base!$B$3,0)</f>
        <v>122.85964678207574</v>
      </c>
      <c r="J5" t="b">
        <f t="shared" si="0"/>
        <v>1</v>
      </c>
    </row>
    <row r="6" spans="1:12" x14ac:dyDescent="0.2">
      <c r="A6" s="74">
        <v>5</v>
      </c>
      <c r="B6" s="74">
        <v>900896160</v>
      </c>
      <c r="C6" s="74" t="s">
        <v>582</v>
      </c>
      <c r="D6" s="99" t="s">
        <v>470</v>
      </c>
      <c r="E6" s="75" t="s">
        <v>470</v>
      </c>
      <c r="F6" s="76">
        <v>0</v>
      </c>
      <c r="G6" s="75">
        <v>0</v>
      </c>
      <c r="H6" s="77" t="s">
        <v>470</v>
      </c>
      <c r="I6">
        <f>IFERROR(G6/Base!$B$3,0)</f>
        <v>0</v>
      </c>
      <c r="J6" t="b">
        <f t="shared" si="0"/>
        <v>1</v>
      </c>
    </row>
    <row r="7" spans="1:12" x14ac:dyDescent="0.2">
      <c r="A7" s="74">
        <v>6</v>
      </c>
      <c r="B7" s="74">
        <v>900921635</v>
      </c>
      <c r="C7" s="74" t="s">
        <v>583</v>
      </c>
      <c r="D7" s="99" t="s">
        <v>470</v>
      </c>
      <c r="E7" s="75" t="s">
        <v>470</v>
      </c>
      <c r="F7" s="76">
        <v>0</v>
      </c>
      <c r="G7" s="75">
        <v>0</v>
      </c>
      <c r="H7" s="77" t="s">
        <v>470</v>
      </c>
      <c r="I7">
        <f>IFERROR(G7/Base!$B$3,0)</f>
        <v>0</v>
      </c>
      <c r="J7" t="b">
        <f t="shared" si="0"/>
        <v>1</v>
      </c>
    </row>
    <row r="8" spans="1:12" x14ac:dyDescent="0.2">
      <c r="A8" s="74">
        <v>7</v>
      </c>
      <c r="B8" s="74">
        <v>822007470</v>
      </c>
      <c r="C8" s="74" t="s">
        <v>584</v>
      </c>
      <c r="D8" s="99" t="s">
        <v>470</v>
      </c>
      <c r="E8" s="75" t="s">
        <v>470</v>
      </c>
      <c r="F8" s="76">
        <v>561.5917664522093</v>
      </c>
      <c r="G8" s="75">
        <v>465063127.26733774</v>
      </c>
      <c r="H8" s="77" t="s">
        <v>470</v>
      </c>
      <c r="I8">
        <f>IFERROR(G8/Base!$B$3,0)</f>
        <v>561.5917664522093</v>
      </c>
      <c r="J8" t="b">
        <f t="shared" si="0"/>
        <v>1</v>
      </c>
    </row>
    <row r="9" spans="1:12" x14ac:dyDescent="0.2">
      <c r="A9" s="74">
        <v>8</v>
      </c>
      <c r="B9" s="74">
        <v>900472920</v>
      </c>
      <c r="C9" s="74" t="s">
        <v>485</v>
      </c>
      <c r="D9" s="99" t="s">
        <v>470</v>
      </c>
      <c r="E9" s="75" t="s">
        <v>469</v>
      </c>
      <c r="F9" s="76">
        <v>175.11806895134916</v>
      </c>
      <c r="G9" s="75">
        <v>145018074.78771546</v>
      </c>
      <c r="H9" s="77" t="s">
        <v>470</v>
      </c>
      <c r="I9">
        <f>IFERROR(G9/Base!$B$3,0)</f>
        <v>175.11806895134916</v>
      </c>
      <c r="J9" t="b">
        <f t="shared" si="0"/>
        <v>1</v>
      </c>
    </row>
    <row r="10" spans="1:12" x14ac:dyDescent="0.2">
      <c r="A10" s="74">
        <v>9</v>
      </c>
      <c r="B10" s="74">
        <v>812005406</v>
      </c>
      <c r="C10" s="74" t="s">
        <v>585</v>
      </c>
      <c r="D10" s="99" t="s">
        <v>470</v>
      </c>
      <c r="E10" s="75" t="s">
        <v>470</v>
      </c>
      <c r="F10" s="76">
        <v>0</v>
      </c>
      <c r="G10" s="75">
        <v>0</v>
      </c>
      <c r="H10" s="77" t="s">
        <v>470</v>
      </c>
      <c r="I10">
        <f>IFERROR(G10/Base!$B$3,0)</f>
        <v>0</v>
      </c>
      <c r="J10" t="b">
        <f t="shared" si="0"/>
        <v>1</v>
      </c>
    </row>
    <row r="11" spans="1:12" x14ac:dyDescent="0.2">
      <c r="A11" s="74">
        <v>10</v>
      </c>
      <c r="B11" s="74">
        <v>837000444</v>
      </c>
      <c r="C11" s="74" t="s">
        <v>586</v>
      </c>
      <c r="D11" s="99" t="s">
        <v>470</v>
      </c>
      <c r="E11" s="75" t="s">
        <v>469</v>
      </c>
      <c r="F11" s="76">
        <v>0</v>
      </c>
      <c r="G11" s="75">
        <v>0</v>
      </c>
      <c r="H11" s="77" t="s">
        <v>470</v>
      </c>
      <c r="I11">
        <f>IFERROR(G11/Base!$B$3,0)</f>
        <v>0</v>
      </c>
      <c r="J11" t="b">
        <f t="shared" si="0"/>
        <v>1</v>
      </c>
    </row>
    <row r="12" spans="1:12" x14ac:dyDescent="0.2">
      <c r="A12" s="74">
        <v>11</v>
      </c>
      <c r="B12" s="74">
        <v>824001749</v>
      </c>
      <c r="C12" s="74" t="s">
        <v>587</v>
      </c>
      <c r="D12" s="99" t="s">
        <v>470</v>
      </c>
      <c r="E12" s="75" t="s">
        <v>470</v>
      </c>
      <c r="F12" s="76">
        <v>0</v>
      </c>
      <c r="G12" s="75">
        <v>0</v>
      </c>
      <c r="H12" s="77" t="s">
        <v>470</v>
      </c>
      <c r="I12">
        <f>IFERROR(G12/Base!$B$3,0)</f>
        <v>0</v>
      </c>
      <c r="J12" t="b">
        <f t="shared" si="0"/>
        <v>1</v>
      </c>
    </row>
    <row r="13" spans="1:12" x14ac:dyDescent="0.2">
      <c r="A13" s="74">
        <v>12</v>
      </c>
      <c r="B13" s="74">
        <v>900217392</v>
      </c>
      <c r="C13" s="74" t="s">
        <v>42</v>
      </c>
      <c r="D13" s="99" t="s">
        <v>469</v>
      </c>
      <c r="E13" s="75" t="s">
        <v>469</v>
      </c>
      <c r="F13" s="76">
        <v>246.64236076222647</v>
      </c>
      <c r="G13" s="81">
        <v>204248485.22497195</v>
      </c>
      <c r="H13" s="77" t="s">
        <v>469</v>
      </c>
      <c r="I13">
        <f>IFERROR(G13/Base!$B$3,0)</f>
        <v>246.64236076222647</v>
      </c>
      <c r="J13" t="b">
        <f t="shared" si="0"/>
        <v>1</v>
      </c>
    </row>
    <row r="14" spans="1:12" x14ac:dyDescent="0.2">
      <c r="A14" s="74">
        <v>13</v>
      </c>
      <c r="B14" s="74">
        <v>806008935</v>
      </c>
      <c r="C14" s="74" t="s">
        <v>486</v>
      </c>
      <c r="D14" s="99" t="s">
        <v>469</v>
      </c>
      <c r="E14" s="75" t="s">
        <v>469</v>
      </c>
      <c r="F14" s="76">
        <v>579.49376264141256</v>
      </c>
      <c r="G14" s="81">
        <v>479888056.74355602</v>
      </c>
      <c r="H14" s="77" t="s">
        <v>469</v>
      </c>
      <c r="I14">
        <f>IFERROR(G14/Base!$B$3,0)</f>
        <v>579.49376264141256</v>
      </c>
      <c r="J14" t="b">
        <f t="shared" si="0"/>
        <v>1</v>
      </c>
    </row>
    <row r="15" spans="1:12" x14ac:dyDescent="0.2">
      <c r="A15" s="74">
        <v>14</v>
      </c>
      <c r="B15" s="74">
        <v>900428382</v>
      </c>
      <c r="C15" s="74" t="s">
        <v>588</v>
      </c>
      <c r="D15" s="99" t="s">
        <v>470</v>
      </c>
      <c r="E15" s="75" t="s">
        <v>469</v>
      </c>
      <c r="F15" s="76">
        <v>0</v>
      </c>
      <c r="G15" s="75">
        <v>0</v>
      </c>
      <c r="H15" s="77" t="s">
        <v>470</v>
      </c>
      <c r="I15">
        <f>IFERROR(G15/Base!$B$3,0)</f>
        <v>0</v>
      </c>
      <c r="J15" t="b">
        <f t="shared" si="0"/>
        <v>1</v>
      </c>
    </row>
    <row r="16" spans="1:12" x14ac:dyDescent="0.2">
      <c r="A16" s="74">
        <v>15</v>
      </c>
      <c r="B16" s="74">
        <v>900979916</v>
      </c>
      <c r="C16" s="74" t="s">
        <v>589</v>
      </c>
      <c r="D16" s="99" t="s">
        <v>470</v>
      </c>
      <c r="E16" s="75" t="s">
        <v>469</v>
      </c>
      <c r="F16" s="76">
        <v>29.00841969381613</v>
      </c>
      <c r="G16" s="75">
        <v>24022336.48316424</v>
      </c>
      <c r="H16" s="77" t="s">
        <v>470</v>
      </c>
      <c r="I16">
        <f>IFERROR(G16/Base!$B$3,0)</f>
        <v>29.008419693816133</v>
      </c>
      <c r="J16" t="b">
        <f t="shared" si="0"/>
        <v>1</v>
      </c>
    </row>
    <row r="17" spans="1:10" x14ac:dyDescent="0.2">
      <c r="A17" s="74">
        <v>16</v>
      </c>
      <c r="B17" s="74">
        <v>823002825</v>
      </c>
      <c r="C17" s="74" t="s">
        <v>590</v>
      </c>
      <c r="D17" s="99" t="s">
        <v>470</v>
      </c>
      <c r="E17" s="75" t="s">
        <v>469</v>
      </c>
      <c r="F17" s="76">
        <v>0</v>
      </c>
      <c r="G17" s="75">
        <v>0</v>
      </c>
      <c r="H17" s="77" t="s">
        <v>470</v>
      </c>
      <c r="I17">
        <f>IFERROR(G17/Base!$B$3,0)</f>
        <v>0</v>
      </c>
      <c r="J17" t="b">
        <f t="shared" si="0"/>
        <v>1</v>
      </c>
    </row>
    <row r="18" spans="1:10" x14ac:dyDescent="0.2">
      <c r="A18" s="74">
        <v>17</v>
      </c>
      <c r="B18" s="74">
        <v>805008295</v>
      </c>
      <c r="C18" s="74" t="s">
        <v>591</v>
      </c>
      <c r="D18" s="99" t="s">
        <v>469</v>
      </c>
      <c r="E18" s="75" t="s">
        <v>470</v>
      </c>
      <c r="F18" s="76">
        <v>500.1024492420994</v>
      </c>
      <c r="G18" s="75">
        <v>414142839.85657036</v>
      </c>
      <c r="H18" s="77" t="s">
        <v>470</v>
      </c>
      <c r="I18">
        <f>IFERROR(G18/Base!$B$3,0)</f>
        <v>500.1024492420994</v>
      </c>
      <c r="J18" t="b">
        <f t="shared" si="0"/>
        <v>1</v>
      </c>
    </row>
    <row r="19" spans="1:10" x14ac:dyDescent="0.2">
      <c r="A19" s="74">
        <v>18</v>
      </c>
      <c r="B19" s="74">
        <v>890000432</v>
      </c>
      <c r="C19" s="74" t="s">
        <v>51</v>
      </c>
      <c r="D19" s="99" t="s">
        <v>469</v>
      </c>
      <c r="E19" s="75" t="s">
        <v>469</v>
      </c>
      <c r="F19" s="76">
        <v>501.90124347461278</v>
      </c>
      <c r="G19" s="81">
        <v>415632450.14122242</v>
      </c>
      <c r="H19" s="77" t="s">
        <v>469</v>
      </c>
      <c r="I19">
        <f>IFERROR(G19/Base!$B$3,0)</f>
        <v>501.90124347461278</v>
      </c>
      <c r="J19" t="b">
        <f t="shared" si="0"/>
        <v>1</v>
      </c>
    </row>
    <row r="20" spans="1:10" x14ac:dyDescent="0.2">
      <c r="A20" s="74">
        <v>19</v>
      </c>
      <c r="B20" s="74">
        <v>805027243</v>
      </c>
      <c r="C20" s="74" t="s">
        <v>487</v>
      </c>
      <c r="D20" s="99" t="s">
        <v>469</v>
      </c>
      <c r="E20" s="75" t="s">
        <v>469</v>
      </c>
      <c r="F20" s="76">
        <v>147.69340715672723</v>
      </c>
      <c r="G20" s="81">
        <v>122307273.56100033</v>
      </c>
      <c r="H20" s="77" t="s">
        <v>469</v>
      </c>
      <c r="I20">
        <f>IFERROR(G20/Base!$B$3,0)</f>
        <v>147.69340715672723</v>
      </c>
      <c r="J20" t="b">
        <f t="shared" si="0"/>
        <v>1</v>
      </c>
    </row>
    <row r="21" spans="1:10" x14ac:dyDescent="0.2">
      <c r="A21" s="74">
        <v>20</v>
      </c>
      <c r="B21" s="74">
        <v>824002211</v>
      </c>
      <c r="C21" s="74" t="s">
        <v>592</v>
      </c>
      <c r="D21" s="99" t="s">
        <v>470</v>
      </c>
      <c r="E21" s="75" t="s">
        <v>470</v>
      </c>
      <c r="F21" s="76">
        <v>93.98229073837723</v>
      </c>
      <c r="G21" s="75">
        <v>77828238.677102</v>
      </c>
      <c r="H21" s="77" t="s">
        <v>470</v>
      </c>
      <c r="I21">
        <f>IFERROR(G21/Base!$B$3,0)</f>
        <v>93.98229073837723</v>
      </c>
      <c r="J21" t="b">
        <f t="shared" si="0"/>
        <v>1</v>
      </c>
    </row>
    <row r="22" spans="1:10" x14ac:dyDescent="0.2">
      <c r="A22" s="74">
        <v>21</v>
      </c>
      <c r="B22" s="74">
        <v>890905179</v>
      </c>
      <c r="C22" s="74" t="s">
        <v>488</v>
      </c>
      <c r="D22" s="99" t="s">
        <v>469</v>
      </c>
      <c r="E22" s="75" t="s">
        <v>469</v>
      </c>
      <c r="F22" s="76">
        <v>1012.9399506278162</v>
      </c>
      <c r="G22" s="81">
        <v>838831780.15410459</v>
      </c>
      <c r="H22" s="77" t="s">
        <v>469</v>
      </c>
      <c r="I22">
        <f>IFERROR(G22/Base!$B$3,0)</f>
        <v>1012.9399506278162</v>
      </c>
      <c r="J22" t="b">
        <f t="shared" si="0"/>
        <v>1</v>
      </c>
    </row>
    <row r="23" spans="1:10" x14ac:dyDescent="0.2">
      <c r="A23" s="74">
        <v>22</v>
      </c>
      <c r="B23" s="74">
        <v>900325081</v>
      </c>
      <c r="C23" s="74" t="s">
        <v>593</v>
      </c>
      <c r="D23" s="99" t="s">
        <v>470</v>
      </c>
      <c r="E23" s="78" t="s">
        <v>470</v>
      </c>
      <c r="F23" s="76">
        <v>0</v>
      </c>
      <c r="G23" s="75">
        <v>0</v>
      </c>
      <c r="H23" s="77" t="s">
        <v>470</v>
      </c>
      <c r="I23">
        <f>IFERROR(G23/Base!$B$3,0)</f>
        <v>0</v>
      </c>
      <c r="J23" t="b">
        <f t="shared" si="0"/>
        <v>1</v>
      </c>
    </row>
    <row r="24" spans="1:10" x14ac:dyDescent="0.2">
      <c r="A24" s="78">
        <v>23</v>
      </c>
      <c r="B24" s="78">
        <v>900926094</v>
      </c>
      <c r="C24" s="78" t="s">
        <v>594</v>
      </c>
      <c r="D24" s="100" t="s">
        <v>470</v>
      </c>
      <c r="E24" s="75" t="s">
        <v>470</v>
      </c>
      <c r="F24" s="79">
        <v>0</v>
      </c>
      <c r="G24" s="80">
        <v>0</v>
      </c>
      <c r="H24" s="77" t="s">
        <v>470</v>
      </c>
      <c r="I24">
        <f>IFERROR(G24/Base!$B$3,0)</f>
        <v>0</v>
      </c>
      <c r="J24" t="b">
        <f t="shared" si="0"/>
        <v>1</v>
      </c>
    </row>
    <row r="25" spans="1:10" x14ac:dyDescent="0.2">
      <c r="A25" s="74">
        <v>24</v>
      </c>
      <c r="B25" s="74">
        <v>817004113</v>
      </c>
      <c r="C25" s="74" t="s">
        <v>489</v>
      </c>
      <c r="D25" s="99" t="s">
        <v>469</v>
      </c>
      <c r="E25" s="75" t="s">
        <v>469</v>
      </c>
      <c r="F25" s="76">
        <v>117.1664656673653</v>
      </c>
      <c r="G25" s="81">
        <v>97027424.882595882</v>
      </c>
      <c r="H25" s="77" t="s">
        <v>469</v>
      </c>
      <c r="I25">
        <f>IFERROR(G25/Base!$B$3,0)</f>
        <v>117.1664656673653</v>
      </c>
      <c r="J25" t="b">
        <f t="shared" si="0"/>
        <v>1</v>
      </c>
    </row>
    <row r="26" spans="1:10" x14ac:dyDescent="0.2">
      <c r="A26" s="74">
        <v>25</v>
      </c>
      <c r="B26" s="74">
        <v>805022721</v>
      </c>
      <c r="C26" s="74" t="s">
        <v>61</v>
      </c>
      <c r="D26" s="99" t="s">
        <v>470</v>
      </c>
      <c r="E26" s="75" t="s">
        <v>469</v>
      </c>
      <c r="F26" s="76">
        <v>0</v>
      </c>
      <c r="G26" s="75">
        <v>0</v>
      </c>
      <c r="H26" s="77" t="s">
        <v>470</v>
      </c>
      <c r="I26">
        <f>IFERROR(G26/Base!$B$3,0)</f>
        <v>0</v>
      </c>
      <c r="J26" t="b">
        <f t="shared" si="0"/>
        <v>1</v>
      </c>
    </row>
    <row r="27" spans="1:10" x14ac:dyDescent="0.2">
      <c r="A27" s="74">
        <v>26</v>
      </c>
      <c r="B27" s="74">
        <v>900181988</v>
      </c>
      <c r="C27" s="74" t="s">
        <v>63</v>
      </c>
      <c r="D27" s="99" t="s">
        <v>470</v>
      </c>
      <c r="E27" s="75" t="s">
        <v>469</v>
      </c>
      <c r="F27" s="76">
        <v>0</v>
      </c>
      <c r="G27" s="75">
        <v>0</v>
      </c>
      <c r="H27" s="77" t="s">
        <v>470</v>
      </c>
      <c r="I27">
        <f>IFERROR(G27/Base!$B$3,0)</f>
        <v>0</v>
      </c>
      <c r="J27" t="b">
        <f t="shared" si="0"/>
        <v>1</v>
      </c>
    </row>
    <row r="28" spans="1:10" x14ac:dyDescent="0.2">
      <c r="A28" s="74">
        <v>27</v>
      </c>
      <c r="B28" s="74">
        <v>817003251</v>
      </c>
      <c r="C28" s="74" t="s">
        <v>64</v>
      </c>
      <c r="D28" s="99" t="s">
        <v>470</v>
      </c>
      <c r="E28" s="75" t="s">
        <v>469</v>
      </c>
      <c r="F28" s="76">
        <v>802.31818885367261</v>
      </c>
      <c r="G28" s="75">
        <v>664412529.28074789</v>
      </c>
      <c r="H28" s="77" t="s">
        <v>470</v>
      </c>
      <c r="I28">
        <f>IFERROR(G28/Base!$B$3,0)</f>
        <v>802.3181888536725</v>
      </c>
      <c r="J28" t="b">
        <f t="shared" si="0"/>
        <v>0</v>
      </c>
    </row>
    <row r="29" spans="1:10" x14ac:dyDescent="0.2">
      <c r="A29" s="74">
        <v>28</v>
      </c>
      <c r="B29" s="74">
        <v>890481163</v>
      </c>
      <c r="C29" s="74" t="s">
        <v>595</v>
      </c>
      <c r="D29" s="99" t="s">
        <v>470</v>
      </c>
      <c r="E29" s="75" t="s">
        <v>469</v>
      </c>
      <c r="F29" s="76">
        <v>1226.9192657889137</v>
      </c>
      <c r="G29" s="75">
        <v>1016031474.708052</v>
      </c>
      <c r="H29" s="77" t="s">
        <v>470</v>
      </c>
      <c r="I29">
        <f>IFERROR(G29/Base!$B$3,0)</f>
        <v>1226.9192657889137</v>
      </c>
      <c r="J29" t="b">
        <f t="shared" si="0"/>
        <v>1</v>
      </c>
    </row>
    <row r="30" spans="1:10" x14ac:dyDescent="0.2">
      <c r="A30" s="74">
        <v>29</v>
      </c>
      <c r="B30" s="74">
        <v>901138915</v>
      </c>
      <c r="C30" s="74" t="s">
        <v>596</v>
      </c>
      <c r="D30" s="99" t="s">
        <v>470</v>
      </c>
      <c r="E30" s="75" t="s">
        <v>469</v>
      </c>
      <c r="F30" s="76">
        <v>0</v>
      </c>
      <c r="G30" s="75">
        <v>0</v>
      </c>
      <c r="H30" s="77" t="s">
        <v>470</v>
      </c>
      <c r="I30">
        <f>IFERROR(G30/Base!$B$3,0)</f>
        <v>0</v>
      </c>
      <c r="J30" t="b">
        <f t="shared" si="0"/>
        <v>1</v>
      </c>
    </row>
    <row r="31" spans="1:10" x14ac:dyDescent="0.2">
      <c r="A31" s="74">
        <v>30</v>
      </c>
      <c r="B31" s="74">
        <v>900690558</v>
      </c>
      <c r="C31" s="74" t="s">
        <v>597</v>
      </c>
      <c r="D31" s="99" t="s">
        <v>469</v>
      </c>
      <c r="E31" s="75" t="s">
        <v>469</v>
      </c>
      <c r="F31" s="76">
        <v>857.18257188042287</v>
      </c>
      <c r="G31" s="81">
        <v>709846602.69532824</v>
      </c>
      <c r="H31" s="77" t="s">
        <v>469</v>
      </c>
      <c r="I31">
        <f>IFERROR(G31/Base!$B$3,0)</f>
        <v>857.18257188042287</v>
      </c>
      <c r="J31" t="b">
        <f t="shared" si="0"/>
        <v>1</v>
      </c>
    </row>
    <row r="32" spans="1:10" x14ac:dyDescent="0.2">
      <c r="A32" s="74">
        <v>31</v>
      </c>
      <c r="B32" s="74">
        <v>900188561</v>
      </c>
      <c r="C32" s="74" t="s">
        <v>490</v>
      </c>
      <c r="D32" s="99" t="s">
        <v>469</v>
      </c>
      <c r="E32" s="75" t="s">
        <v>469</v>
      </c>
      <c r="F32" s="76">
        <v>159.75842808032132</v>
      </c>
      <c r="G32" s="81">
        <v>132298510.42816338</v>
      </c>
      <c r="H32" s="77" t="s">
        <v>469</v>
      </c>
      <c r="I32">
        <f>IFERROR(G32/Base!$B$3,0)</f>
        <v>159.75842808032132</v>
      </c>
      <c r="J32" t="b">
        <f t="shared" si="0"/>
        <v>1</v>
      </c>
    </row>
    <row r="33" spans="1:10" x14ac:dyDescent="0.2">
      <c r="A33" s="74">
        <v>32</v>
      </c>
      <c r="B33" s="74">
        <v>823002783</v>
      </c>
      <c r="C33" s="74" t="s">
        <v>598</v>
      </c>
      <c r="D33" s="99" t="s">
        <v>470</v>
      </c>
      <c r="E33" s="75" t="s">
        <v>470</v>
      </c>
      <c r="F33" s="76">
        <v>0</v>
      </c>
      <c r="G33" s="75">
        <v>0</v>
      </c>
      <c r="H33" s="77" t="s">
        <v>470</v>
      </c>
      <c r="I33">
        <f>IFERROR(G33/Base!$B$3,0)</f>
        <v>0</v>
      </c>
      <c r="J33" t="b">
        <f t="shared" si="0"/>
        <v>1</v>
      </c>
    </row>
    <row r="34" spans="1:10" x14ac:dyDescent="0.2">
      <c r="A34" s="74">
        <v>33</v>
      </c>
      <c r="B34" s="74">
        <v>900235663</v>
      </c>
      <c r="C34" s="74" t="s">
        <v>599</v>
      </c>
      <c r="D34" s="99" t="s">
        <v>470</v>
      </c>
      <c r="E34" s="75" t="s">
        <v>470</v>
      </c>
      <c r="F34" s="76">
        <v>287.92276303988496</v>
      </c>
      <c r="G34" s="75">
        <v>238433446.83753738</v>
      </c>
      <c r="H34" s="77" t="s">
        <v>470</v>
      </c>
      <c r="I34">
        <f>IFERROR(G34/Base!$B$3,0)</f>
        <v>287.92276303988496</v>
      </c>
      <c r="J34" t="b">
        <f t="shared" si="0"/>
        <v>1</v>
      </c>
    </row>
    <row r="35" spans="1:10" x14ac:dyDescent="0.2">
      <c r="A35" s="74">
        <v>34</v>
      </c>
      <c r="B35" s="74">
        <v>900365588</v>
      </c>
      <c r="C35" s="74" t="s">
        <v>74</v>
      </c>
      <c r="D35" s="99" t="s">
        <v>470</v>
      </c>
      <c r="E35" s="75" t="s">
        <v>470</v>
      </c>
      <c r="F35" s="76">
        <v>0</v>
      </c>
      <c r="G35" s="75">
        <v>0</v>
      </c>
      <c r="H35" s="77" t="s">
        <v>470</v>
      </c>
      <c r="I35">
        <f>IFERROR(G35/Base!$B$3,0)</f>
        <v>0</v>
      </c>
      <c r="J35" t="b">
        <f t="shared" si="0"/>
        <v>1</v>
      </c>
    </row>
    <row r="36" spans="1:10" x14ac:dyDescent="0.2">
      <c r="A36" s="78">
        <v>35</v>
      </c>
      <c r="B36" s="78">
        <v>900550757</v>
      </c>
      <c r="C36" s="78" t="s">
        <v>75</v>
      </c>
      <c r="D36" s="100" t="s">
        <v>469</v>
      </c>
      <c r="E36" s="75" t="s">
        <v>470</v>
      </c>
      <c r="F36" s="79">
        <v>254.5818680788247</v>
      </c>
      <c r="G36" s="80">
        <v>210823318.265964</v>
      </c>
      <c r="H36" s="77" t="s">
        <v>470</v>
      </c>
      <c r="I36">
        <f>IFERROR(G36/Base!$B$3,0)</f>
        <v>254.5818680788247</v>
      </c>
      <c r="J36" t="b">
        <f t="shared" si="0"/>
        <v>1</v>
      </c>
    </row>
    <row r="37" spans="1:10" x14ac:dyDescent="0.2">
      <c r="A37" s="74">
        <v>36</v>
      </c>
      <c r="B37" s="74">
        <v>900705451</v>
      </c>
      <c r="C37" s="74" t="s">
        <v>76</v>
      </c>
      <c r="D37" s="99" t="s">
        <v>470</v>
      </c>
      <c r="E37" s="75" t="s">
        <v>469</v>
      </c>
      <c r="F37" s="76">
        <v>19.89362936234507</v>
      </c>
      <c r="G37" s="75">
        <v>16474232.77302775</v>
      </c>
      <c r="H37" s="77" t="s">
        <v>470</v>
      </c>
      <c r="I37">
        <f>IFERROR(G37/Base!$B$3,0)</f>
        <v>19.89362936234507</v>
      </c>
      <c r="J37" t="b">
        <f t="shared" si="0"/>
        <v>1</v>
      </c>
    </row>
    <row r="38" spans="1:10" x14ac:dyDescent="0.2">
      <c r="A38" s="74">
        <v>37</v>
      </c>
      <c r="B38" s="74">
        <v>800007932</v>
      </c>
      <c r="C38" s="74" t="s">
        <v>78</v>
      </c>
      <c r="D38" s="99" t="s">
        <v>469</v>
      </c>
      <c r="E38" s="75" t="s">
        <v>469</v>
      </c>
      <c r="F38" s="76">
        <v>624.01310057668422</v>
      </c>
      <c r="G38" s="81">
        <v>516755232.79716146</v>
      </c>
      <c r="H38" s="77" t="s">
        <v>469</v>
      </c>
      <c r="I38">
        <f>IFERROR(G38/Base!$B$3,0)</f>
        <v>624.01310057668422</v>
      </c>
      <c r="J38" t="b">
        <f t="shared" si="0"/>
        <v>1</v>
      </c>
    </row>
    <row r="39" spans="1:10" x14ac:dyDescent="0.2">
      <c r="A39" s="74">
        <v>38</v>
      </c>
      <c r="B39" s="74">
        <v>900799981</v>
      </c>
      <c r="C39" s="74" t="s">
        <v>600</v>
      </c>
      <c r="D39" s="99" t="s">
        <v>470</v>
      </c>
      <c r="E39" s="75" t="s">
        <v>470</v>
      </c>
      <c r="F39" s="76">
        <v>0</v>
      </c>
      <c r="G39" s="75">
        <v>0</v>
      </c>
      <c r="H39" s="77" t="s">
        <v>470</v>
      </c>
      <c r="I39">
        <f>IFERROR(G39/Base!$B$3,0)</f>
        <v>0</v>
      </c>
      <c r="J39" t="b">
        <f t="shared" si="0"/>
        <v>1</v>
      </c>
    </row>
    <row r="40" spans="1:10" x14ac:dyDescent="0.2">
      <c r="A40" s="74">
        <v>39</v>
      </c>
      <c r="B40" s="74">
        <v>814006325</v>
      </c>
      <c r="C40" s="74" t="s">
        <v>491</v>
      </c>
      <c r="D40" s="99" t="s">
        <v>469</v>
      </c>
      <c r="E40" s="75" t="s">
        <v>469</v>
      </c>
      <c r="F40" s="76">
        <v>1661.5788697077605</v>
      </c>
      <c r="G40" s="81">
        <v>1375980047.2669117</v>
      </c>
      <c r="H40" s="77" t="s">
        <v>469</v>
      </c>
      <c r="I40">
        <f>IFERROR(G40/Base!$B$3,0)</f>
        <v>1661.5788697077605</v>
      </c>
      <c r="J40" t="b">
        <f t="shared" si="0"/>
        <v>1</v>
      </c>
    </row>
    <row r="41" spans="1:10" x14ac:dyDescent="0.2">
      <c r="A41" s="74">
        <v>40</v>
      </c>
      <c r="B41" s="74">
        <v>900138953</v>
      </c>
      <c r="C41" s="74" t="s">
        <v>601</v>
      </c>
      <c r="D41" s="99" t="s">
        <v>470</v>
      </c>
      <c r="E41" s="75" t="s">
        <v>470</v>
      </c>
      <c r="F41" s="76">
        <v>0</v>
      </c>
      <c r="G41" s="75">
        <v>0</v>
      </c>
      <c r="H41" s="77" t="s">
        <v>470</v>
      </c>
      <c r="I41">
        <f>IFERROR(G41/Base!$B$3,0)</f>
        <v>0</v>
      </c>
      <c r="J41" t="b">
        <f t="shared" si="0"/>
        <v>1</v>
      </c>
    </row>
    <row r="42" spans="1:10" x14ac:dyDescent="0.2">
      <c r="A42" s="78">
        <v>41</v>
      </c>
      <c r="B42" s="78">
        <v>900054726</v>
      </c>
      <c r="C42" s="78" t="s">
        <v>602</v>
      </c>
      <c r="D42" s="100" t="s">
        <v>470</v>
      </c>
      <c r="E42" s="75" t="s">
        <v>470</v>
      </c>
      <c r="F42" s="79">
        <v>0</v>
      </c>
      <c r="G42" s="80">
        <v>0</v>
      </c>
      <c r="H42" s="77" t="s">
        <v>470</v>
      </c>
      <c r="I42">
        <f>IFERROR(G42/Base!$B$3,0)</f>
        <v>0</v>
      </c>
      <c r="J42" t="b">
        <f t="shared" si="0"/>
        <v>1</v>
      </c>
    </row>
    <row r="43" spans="1:10" x14ac:dyDescent="0.2">
      <c r="A43" s="74">
        <v>42</v>
      </c>
      <c r="B43" s="74">
        <v>900043721</v>
      </c>
      <c r="C43" s="74" t="s">
        <v>603</v>
      </c>
      <c r="D43" s="99" t="s">
        <v>470</v>
      </c>
      <c r="E43" s="75" t="s">
        <v>470</v>
      </c>
      <c r="F43" s="76">
        <v>0</v>
      </c>
      <c r="G43" s="75">
        <v>0</v>
      </c>
      <c r="H43" s="77" t="s">
        <v>470</v>
      </c>
      <c r="I43">
        <f>IFERROR(G43/Base!$B$3,0)</f>
        <v>0</v>
      </c>
      <c r="J43" t="b">
        <f t="shared" si="0"/>
        <v>1</v>
      </c>
    </row>
    <row r="44" spans="1:10" x14ac:dyDescent="0.2">
      <c r="A44" s="74">
        <v>43</v>
      </c>
      <c r="B44" s="74">
        <v>823004177</v>
      </c>
      <c r="C44" s="74" t="s">
        <v>604</v>
      </c>
      <c r="D44" s="99" t="s">
        <v>470</v>
      </c>
      <c r="E44" s="75" t="s">
        <v>470</v>
      </c>
      <c r="F44" s="76">
        <v>0</v>
      </c>
      <c r="G44" s="75">
        <v>0</v>
      </c>
      <c r="H44" s="77" t="s">
        <v>470</v>
      </c>
      <c r="I44">
        <f>IFERROR(G44/Base!$B$3,0)</f>
        <v>0</v>
      </c>
      <c r="J44" t="b">
        <f t="shared" si="0"/>
        <v>1</v>
      </c>
    </row>
    <row r="45" spans="1:10" x14ac:dyDescent="0.2">
      <c r="A45" s="74">
        <v>44</v>
      </c>
      <c r="B45" s="74">
        <v>900457831</v>
      </c>
      <c r="C45" s="74" t="s">
        <v>605</v>
      </c>
      <c r="D45" s="99" t="s">
        <v>470</v>
      </c>
      <c r="E45" s="75" t="s">
        <v>469</v>
      </c>
      <c r="F45" s="76">
        <v>0</v>
      </c>
      <c r="G45" s="75">
        <v>0</v>
      </c>
      <c r="H45" s="77" t="s">
        <v>470</v>
      </c>
      <c r="I45">
        <f>IFERROR(G45/Base!$B$3,0)</f>
        <v>0</v>
      </c>
      <c r="J45" t="b">
        <f t="shared" si="0"/>
        <v>1</v>
      </c>
    </row>
    <row r="46" spans="1:10" x14ac:dyDescent="0.2">
      <c r="A46" s="74">
        <v>45</v>
      </c>
      <c r="B46" s="74">
        <v>900675422</v>
      </c>
      <c r="C46" s="74" t="s">
        <v>90</v>
      </c>
      <c r="D46" s="99" t="s">
        <v>470</v>
      </c>
      <c r="E46" s="75" t="s">
        <v>470</v>
      </c>
      <c r="F46" s="76">
        <v>0</v>
      </c>
      <c r="G46" s="75">
        <v>0</v>
      </c>
      <c r="H46" s="77" t="s">
        <v>470</v>
      </c>
      <c r="I46">
        <f>IFERROR(G46/Base!$B$3,0)</f>
        <v>0</v>
      </c>
      <c r="J46" t="b">
        <f t="shared" si="0"/>
        <v>1</v>
      </c>
    </row>
    <row r="47" spans="1:10" x14ac:dyDescent="0.2">
      <c r="A47" s="74">
        <v>46</v>
      </c>
      <c r="B47" s="74">
        <v>900594379</v>
      </c>
      <c r="C47" s="74" t="s">
        <v>92</v>
      </c>
      <c r="D47" s="99" t="s">
        <v>470</v>
      </c>
      <c r="E47" s="75" t="s">
        <v>469</v>
      </c>
      <c r="F47" s="76">
        <v>52.186134386016114</v>
      </c>
      <c r="G47" s="75">
        <v>43216172.863210119</v>
      </c>
      <c r="H47" s="77" t="s">
        <v>470</v>
      </c>
      <c r="I47">
        <f>IFERROR(G47/Base!$B$3,0)</f>
        <v>52.186134386016114</v>
      </c>
      <c r="J47" t="b">
        <f t="shared" si="0"/>
        <v>1</v>
      </c>
    </row>
    <row r="48" spans="1:10" x14ac:dyDescent="0.2">
      <c r="A48" s="74">
        <v>47</v>
      </c>
      <c r="B48" s="74">
        <v>900014331</v>
      </c>
      <c r="C48" s="74" t="s">
        <v>606</v>
      </c>
      <c r="D48" s="99" t="s">
        <v>470</v>
      </c>
      <c r="E48" s="75" t="s">
        <v>470</v>
      </c>
      <c r="F48" s="76">
        <v>0</v>
      </c>
      <c r="G48" s="75">
        <v>0</v>
      </c>
      <c r="H48" s="77" t="s">
        <v>470</v>
      </c>
      <c r="I48">
        <f>IFERROR(G48/Base!$B$3,0)</f>
        <v>0</v>
      </c>
      <c r="J48" t="b">
        <f t="shared" si="0"/>
        <v>1</v>
      </c>
    </row>
    <row r="49" spans="1:10" x14ac:dyDescent="0.2">
      <c r="A49" s="74">
        <v>48</v>
      </c>
      <c r="B49" s="74">
        <v>900204851</v>
      </c>
      <c r="C49" s="74" t="s">
        <v>95</v>
      </c>
      <c r="D49" s="99" t="s">
        <v>470</v>
      </c>
      <c r="E49" s="75" t="s">
        <v>470</v>
      </c>
      <c r="F49" s="76">
        <v>372.07878824403889</v>
      </c>
      <c r="G49" s="75">
        <v>308124397.80550051</v>
      </c>
      <c r="H49" s="77" t="s">
        <v>470</v>
      </c>
      <c r="I49">
        <f>IFERROR(G49/Base!$B$3,0)</f>
        <v>372.07878824403889</v>
      </c>
      <c r="J49" t="b">
        <f t="shared" si="0"/>
        <v>1</v>
      </c>
    </row>
    <row r="50" spans="1:10" x14ac:dyDescent="0.2">
      <c r="A50" s="74">
        <v>49</v>
      </c>
      <c r="B50" s="74">
        <v>900456567</v>
      </c>
      <c r="C50" s="74" t="s">
        <v>96</v>
      </c>
      <c r="D50" s="99" t="s">
        <v>470</v>
      </c>
      <c r="E50" s="75" t="s">
        <v>470</v>
      </c>
      <c r="F50" s="76">
        <v>0</v>
      </c>
      <c r="G50" s="75">
        <v>0</v>
      </c>
      <c r="H50" s="77" t="s">
        <v>470</v>
      </c>
      <c r="I50">
        <f>IFERROR(G50/Base!$B$3,0)</f>
        <v>0</v>
      </c>
      <c r="J50" t="b">
        <f t="shared" si="0"/>
        <v>1</v>
      </c>
    </row>
    <row r="51" spans="1:10" x14ac:dyDescent="0.2">
      <c r="A51" s="74">
        <v>50</v>
      </c>
      <c r="B51" s="74">
        <v>900467706</v>
      </c>
      <c r="C51" s="74" t="s">
        <v>607</v>
      </c>
      <c r="D51" s="99" t="s">
        <v>470</v>
      </c>
      <c r="E51" s="75" t="s">
        <v>470</v>
      </c>
      <c r="F51" s="76">
        <v>0</v>
      </c>
      <c r="G51" s="75">
        <v>0</v>
      </c>
      <c r="H51" s="77" t="s">
        <v>470</v>
      </c>
      <c r="I51">
        <f>IFERROR(G51/Base!$B$3,0)</f>
        <v>0</v>
      </c>
      <c r="J51" t="b">
        <f t="shared" si="0"/>
        <v>1</v>
      </c>
    </row>
    <row r="52" spans="1:10" x14ac:dyDescent="0.2">
      <c r="A52" s="74">
        <v>51</v>
      </c>
      <c r="B52" s="74">
        <v>901152586</v>
      </c>
      <c r="C52" s="74" t="s">
        <v>492</v>
      </c>
      <c r="D52" s="99" t="s">
        <v>469</v>
      </c>
      <c r="E52" s="75" t="s">
        <v>469</v>
      </c>
      <c r="F52" s="76">
        <v>41.581055394479776</v>
      </c>
      <c r="G52" s="81">
        <v>34433937.269055016</v>
      </c>
      <c r="H52" s="77" t="s">
        <v>469</v>
      </c>
      <c r="I52">
        <f>IFERROR(G52/Base!$B$3,0)</f>
        <v>41.581055394479776</v>
      </c>
      <c r="J52" t="b">
        <f t="shared" si="0"/>
        <v>1</v>
      </c>
    </row>
    <row r="53" spans="1:10" x14ac:dyDescent="0.2">
      <c r="A53" s="74">
        <v>52</v>
      </c>
      <c r="B53" s="74">
        <v>900944996</v>
      </c>
      <c r="C53" s="74" t="s">
        <v>608</v>
      </c>
      <c r="D53" s="99" t="s">
        <v>470</v>
      </c>
      <c r="E53" s="75" t="s">
        <v>469</v>
      </c>
      <c r="F53" s="76">
        <v>0</v>
      </c>
      <c r="G53" s="75">
        <v>0</v>
      </c>
      <c r="H53" s="77" t="s">
        <v>470</v>
      </c>
      <c r="I53">
        <f>IFERROR(G53/Base!$B$3,0)</f>
        <v>0</v>
      </c>
      <c r="J53" t="b">
        <f t="shared" si="0"/>
        <v>1</v>
      </c>
    </row>
    <row r="54" spans="1:10" x14ac:dyDescent="0.2">
      <c r="A54" s="74">
        <v>53</v>
      </c>
      <c r="B54" s="74">
        <v>860070301</v>
      </c>
      <c r="C54" s="74" t="s">
        <v>609</v>
      </c>
      <c r="D54" s="99" t="s">
        <v>469</v>
      </c>
      <c r="E54" s="75" t="s">
        <v>469</v>
      </c>
      <c r="F54" s="76">
        <v>516.53477556028304</v>
      </c>
      <c r="G54" s="81">
        <v>427750712.19787937</v>
      </c>
      <c r="H54" s="77" t="s">
        <v>469</v>
      </c>
      <c r="I54">
        <f>IFERROR(G54/Base!$B$3,0)</f>
        <v>516.53477556028304</v>
      </c>
      <c r="J54" t="b">
        <f t="shared" si="0"/>
        <v>1</v>
      </c>
    </row>
    <row r="55" spans="1:10" x14ac:dyDescent="0.2">
      <c r="A55" s="74">
        <v>54</v>
      </c>
      <c r="B55" s="74">
        <v>900908345</v>
      </c>
      <c r="C55" s="74" t="s">
        <v>610</v>
      </c>
      <c r="D55" s="99" t="s">
        <v>470</v>
      </c>
      <c r="E55" s="75" t="s">
        <v>470</v>
      </c>
      <c r="F55" s="76">
        <v>0</v>
      </c>
      <c r="G55" s="75">
        <v>0</v>
      </c>
      <c r="H55" s="77" t="s">
        <v>470</v>
      </c>
      <c r="I55">
        <f>IFERROR(G55/Base!$B$3,0)</f>
        <v>0</v>
      </c>
      <c r="J55" t="b">
        <f t="shared" si="0"/>
        <v>1</v>
      </c>
    </row>
    <row r="56" spans="1:10" x14ac:dyDescent="0.2">
      <c r="A56" s="74">
        <v>55</v>
      </c>
      <c r="B56" s="74">
        <v>818001995</v>
      </c>
      <c r="C56" s="74" t="s">
        <v>611</v>
      </c>
      <c r="D56" s="99" t="s">
        <v>470</v>
      </c>
      <c r="E56" s="75" t="s">
        <v>469</v>
      </c>
      <c r="F56" s="76">
        <v>0</v>
      </c>
      <c r="G56" s="75">
        <v>0</v>
      </c>
      <c r="H56" s="77" t="s">
        <v>470</v>
      </c>
      <c r="I56">
        <f>IFERROR(G56/Base!$B$3,0)</f>
        <v>0</v>
      </c>
      <c r="J56" t="b">
        <f t="shared" si="0"/>
        <v>1</v>
      </c>
    </row>
    <row r="57" spans="1:10" x14ac:dyDescent="0.2">
      <c r="A57" s="74">
        <v>56</v>
      </c>
      <c r="B57" s="74">
        <v>900034226</v>
      </c>
      <c r="C57" s="74" t="s">
        <v>612</v>
      </c>
      <c r="D57" s="99" t="s">
        <v>470</v>
      </c>
      <c r="E57" s="75" t="s">
        <v>470</v>
      </c>
      <c r="F57" s="76">
        <v>0</v>
      </c>
      <c r="G57" s="75">
        <v>0</v>
      </c>
      <c r="H57" s="77" t="s">
        <v>470</v>
      </c>
      <c r="I57">
        <f>IFERROR(G57/Base!$B$3,0)</f>
        <v>0</v>
      </c>
      <c r="J57" t="b">
        <f t="shared" si="0"/>
        <v>1</v>
      </c>
    </row>
    <row r="58" spans="1:10" x14ac:dyDescent="0.2">
      <c r="A58" s="74">
        <v>57</v>
      </c>
      <c r="B58" s="74">
        <v>900085882</v>
      </c>
      <c r="C58" s="74" t="s">
        <v>613</v>
      </c>
      <c r="D58" s="99" t="s">
        <v>470</v>
      </c>
      <c r="E58" s="75" t="s">
        <v>470</v>
      </c>
      <c r="F58" s="76">
        <v>130.31897177842833</v>
      </c>
      <c r="G58" s="75">
        <v>107919225.63326496</v>
      </c>
      <c r="H58" s="77" t="s">
        <v>470</v>
      </c>
      <c r="I58">
        <f>IFERROR(G58/Base!$B$3,0)</f>
        <v>130.31897177842833</v>
      </c>
      <c r="J58" t="b">
        <f t="shared" si="0"/>
        <v>1</v>
      </c>
    </row>
    <row r="59" spans="1:10" x14ac:dyDescent="0.2">
      <c r="A59" s="74">
        <v>58</v>
      </c>
      <c r="B59" s="74">
        <v>900229768</v>
      </c>
      <c r="C59" s="74" t="s">
        <v>614</v>
      </c>
      <c r="D59" s="99" t="s">
        <v>470</v>
      </c>
      <c r="E59" s="75" t="s">
        <v>470</v>
      </c>
      <c r="F59" s="76">
        <v>82.687534650821391</v>
      </c>
      <c r="G59" s="75">
        <v>68474870.444899604</v>
      </c>
      <c r="H59" s="77" t="s">
        <v>470</v>
      </c>
      <c r="I59">
        <f>IFERROR(G59/Base!$B$3,0)</f>
        <v>82.687534650821391</v>
      </c>
      <c r="J59" t="b">
        <f t="shared" si="0"/>
        <v>1</v>
      </c>
    </row>
    <row r="60" spans="1:10" x14ac:dyDescent="0.2">
      <c r="A60" s="74">
        <v>59</v>
      </c>
      <c r="B60" s="74">
        <v>900231305</v>
      </c>
      <c r="C60" s="74" t="s">
        <v>615</v>
      </c>
      <c r="D60" s="99" t="s">
        <v>470</v>
      </c>
      <c r="E60" s="75" t="s">
        <v>470</v>
      </c>
      <c r="F60" s="76">
        <v>0</v>
      </c>
      <c r="G60" s="75">
        <v>0</v>
      </c>
      <c r="H60" s="77" t="s">
        <v>470</v>
      </c>
      <c r="I60">
        <f>IFERROR(G60/Base!$B$3,0)</f>
        <v>0</v>
      </c>
      <c r="J60" t="b">
        <f t="shared" si="0"/>
        <v>1</v>
      </c>
    </row>
    <row r="61" spans="1:10" x14ac:dyDescent="0.2">
      <c r="A61" s="74">
        <v>60</v>
      </c>
      <c r="B61" s="74">
        <v>900098672</v>
      </c>
      <c r="C61" s="74" t="s">
        <v>616</v>
      </c>
      <c r="D61" s="99" t="s">
        <v>470</v>
      </c>
      <c r="E61" s="75" t="s">
        <v>470</v>
      </c>
      <c r="F61" s="76">
        <v>0</v>
      </c>
      <c r="G61" s="75">
        <v>0</v>
      </c>
      <c r="H61" s="77" t="s">
        <v>470</v>
      </c>
      <c r="I61">
        <f>IFERROR(G61/Base!$B$3,0)</f>
        <v>0</v>
      </c>
      <c r="J61" t="b">
        <f t="shared" si="0"/>
        <v>1</v>
      </c>
    </row>
    <row r="62" spans="1:10" x14ac:dyDescent="0.2">
      <c r="A62" s="74">
        <v>61</v>
      </c>
      <c r="B62" s="74">
        <v>900222878</v>
      </c>
      <c r="C62" s="74" t="s">
        <v>617</v>
      </c>
      <c r="D62" s="99" t="s">
        <v>470</v>
      </c>
      <c r="E62" s="75" t="s">
        <v>470</v>
      </c>
      <c r="F62" s="76">
        <v>170.43120871553725</v>
      </c>
      <c r="G62" s="75">
        <v>141136810.83667585</v>
      </c>
      <c r="H62" s="77" t="s">
        <v>470</v>
      </c>
      <c r="I62">
        <f>IFERROR(G62/Base!$B$3,0)</f>
        <v>170.43120871553725</v>
      </c>
      <c r="J62" t="b">
        <f t="shared" si="0"/>
        <v>1</v>
      </c>
    </row>
    <row r="63" spans="1:10" x14ac:dyDescent="0.2">
      <c r="A63" s="74">
        <v>62</v>
      </c>
      <c r="B63" s="74">
        <v>900405923</v>
      </c>
      <c r="C63" s="74" t="s">
        <v>618</v>
      </c>
      <c r="D63" s="99" t="s">
        <v>470</v>
      </c>
      <c r="E63" s="75" t="s">
        <v>469</v>
      </c>
      <c r="F63" s="76">
        <v>36.967592147125011</v>
      </c>
      <c r="G63" s="75">
        <v>30613454.538508575</v>
      </c>
      <c r="H63" s="77" t="s">
        <v>470</v>
      </c>
      <c r="I63">
        <f>IFERROR(G63/Base!$B$3,0)</f>
        <v>36.967592147125011</v>
      </c>
      <c r="J63" t="b">
        <f t="shared" si="0"/>
        <v>1</v>
      </c>
    </row>
    <row r="64" spans="1:10" x14ac:dyDescent="0.2">
      <c r="A64" s="74">
        <v>63</v>
      </c>
      <c r="B64" s="74">
        <v>900791238</v>
      </c>
      <c r="C64" s="74" t="s">
        <v>619</v>
      </c>
      <c r="D64" s="99" t="s">
        <v>470</v>
      </c>
      <c r="E64" s="75" t="s">
        <v>470</v>
      </c>
      <c r="F64" s="76">
        <v>50.726962736153801</v>
      </c>
      <c r="G64" s="75">
        <v>42007809.473212741</v>
      </c>
      <c r="H64" s="77" t="s">
        <v>470</v>
      </c>
      <c r="I64">
        <f>IFERROR(G64/Base!$B$3,0)</f>
        <v>50.726962736153801</v>
      </c>
      <c r="J64" t="b">
        <f t="shared" si="0"/>
        <v>1</v>
      </c>
    </row>
    <row r="65" spans="1:10" x14ac:dyDescent="0.2">
      <c r="A65" s="74">
        <v>64</v>
      </c>
      <c r="B65" s="74">
        <v>800217271</v>
      </c>
      <c r="C65" s="74" t="s">
        <v>620</v>
      </c>
      <c r="D65" s="99" t="s">
        <v>470</v>
      </c>
      <c r="E65" s="75" t="s">
        <v>470</v>
      </c>
      <c r="F65" s="76">
        <v>484.08275815778586</v>
      </c>
      <c r="G65" s="75">
        <v>400876677.35459298</v>
      </c>
      <c r="H65" s="77" t="s">
        <v>470</v>
      </c>
      <c r="I65">
        <f>IFERROR(G65/Base!$B$3,0)</f>
        <v>484.08275815778586</v>
      </c>
      <c r="J65" t="b">
        <f t="shared" si="0"/>
        <v>1</v>
      </c>
    </row>
    <row r="66" spans="1:10" x14ac:dyDescent="0.2">
      <c r="A66" s="74">
        <v>65</v>
      </c>
      <c r="B66" s="74">
        <v>900009985</v>
      </c>
      <c r="C66" s="74" t="s">
        <v>621</v>
      </c>
      <c r="D66" s="99" t="s">
        <v>470</v>
      </c>
      <c r="E66" s="75" t="s">
        <v>470</v>
      </c>
      <c r="F66" s="76">
        <v>0</v>
      </c>
      <c r="G66" s="75">
        <v>0</v>
      </c>
      <c r="H66" s="77" t="s">
        <v>470</v>
      </c>
      <c r="I66">
        <f>IFERROR(G66/Base!$B$3,0)</f>
        <v>0</v>
      </c>
      <c r="J66" t="b">
        <f t="shared" si="0"/>
        <v>1</v>
      </c>
    </row>
    <row r="67" spans="1:10" x14ac:dyDescent="0.2">
      <c r="A67" s="74">
        <v>66</v>
      </c>
      <c r="B67" s="74">
        <v>900208959</v>
      </c>
      <c r="C67" s="74" t="s">
        <v>493</v>
      </c>
      <c r="D67" s="99" t="s">
        <v>469</v>
      </c>
      <c r="E67" s="75" t="s">
        <v>469</v>
      </c>
      <c r="F67" s="76">
        <v>822.0904974795119</v>
      </c>
      <c r="G67" s="81">
        <v>680786294.41074347</v>
      </c>
      <c r="H67" s="77" t="s">
        <v>469</v>
      </c>
      <c r="I67">
        <f>IFERROR(G67/Base!$B$3,0)</f>
        <v>822.0904974795119</v>
      </c>
      <c r="J67" t="b">
        <f t="shared" ref="J67:J130" si="1">F67=I67</f>
        <v>1</v>
      </c>
    </row>
    <row r="68" spans="1:10" x14ac:dyDescent="0.2">
      <c r="A68" s="74">
        <v>67</v>
      </c>
      <c r="B68" s="74">
        <v>900925348</v>
      </c>
      <c r="C68" s="74" t="s">
        <v>622</v>
      </c>
      <c r="D68" s="99" t="s">
        <v>470</v>
      </c>
      <c r="E68" s="75" t="s">
        <v>470</v>
      </c>
      <c r="F68" s="76">
        <v>0</v>
      </c>
      <c r="G68" s="75">
        <v>0</v>
      </c>
      <c r="H68" s="77" t="s">
        <v>470</v>
      </c>
      <c r="I68">
        <f>IFERROR(G68/Base!$B$3,0)</f>
        <v>0</v>
      </c>
      <c r="J68" t="b">
        <f t="shared" si="1"/>
        <v>1</v>
      </c>
    </row>
    <row r="69" spans="1:10" x14ac:dyDescent="0.2">
      <c r="A69" s="74">
        <v>68</v>
      </c>
      <c r="B69" s="74">
        <v>800220054</v>
      </c>
      <c r="C69" s="74" t="s">
        <v>118</v>
      </c>
      <c r="D69" s="99" t="s">
        <v>469</v>
      </c>
      <c r="E69" s="75" t="s">
        <v>469</v>
      </c>
      <c r="F69" s="76">
        <v>1196.4005752958319</v>
      </c>
      <c r="G69" s="81">
        <v>990758458.81168318</v>
      </c>
      <c r="H69" s="77" t="s">
        <v>469</v>
      </c>
      <c r="I69">
        <f>IFERROR(G69/Base!$B$3,0)</f>
        <v>1196.4005752958319</v>
      </c>
      <c r="J69" t="b">
        <f t="shared" si="1"/>
        <v>1</v>
      </c>
    </row>
    <row r="70" spans="1:10" x14ac:dyDescent="0.2">
      <c r="A70" s="74">
        <v>69</v>
      </c>
      <c r="B70" s="74">
        <v>900001991</v>
      </c>
      <c r="C70" s="74" t="s">
        <v>623</v>
      </c>
      <c r="D70" s="99" t="s">
        <v>470</v>
      </c>
      <c r="E70" s="75" t="s">
        <v>469</v>
      </c>
      <c r="F70" s="76">
        <v>54.340213206845419</v>
      </c>
      <c r="G70" s="75">
        <v>45000000</v>
      </c>
      <c r="H70" s="77" t="s">
        <v>470</v>
      </c>
      <c r="I70">
        <f>IFERROR(G70/Base!$B$3,0)</f>
        <v>54.340213206845419</v>
      </c>
      <c r="J70" t="b">
        <f t="shared" si="1"/>
        <v>1</v>
      </c>
    </row>
    <row r="71" spans="1:10" x14ac:dyDescent="0.2">
      <c r="A71" s="74">
        <v>70</v>
      </c>
      <c r="B71" s="74">
        <v>800185163</v>
      </c>
      <c r="C71" s="74" t="s">
        <v>624</v>
      </c>
      <c r="D71" s="99" t="s">
        <v>469</v>
      </c>
      <c r="E71" s="75" t="s">
        <v>469</v>
      </c>
      <c r="F71" s="76">
        <v>203.08203601295918</v>
      </c>
      <c r="G71" s="81">
        <v>168175483.33490771</v>
      </c>
      <c r="H71" s="77" t="s">
        <v>469</v>
      </c>
      <c r="I71">
        <f>IFERROR(G71/Base!$B$3,0)</f>
        <v>203.08203601295918</v>
      </c>
      <c r="J71" t="b">
        <f t="shared" si="1"/>
        <v>1</v>
      </c>
    </row>
    <row r="72" spans="1:10" x14ac:dyDescent="0.2">
      <c r="A72" s="74">
        <v>71</v>
      </c>
      <c r="B72" s="74">
        <v>900774178</v>
      </c>
      <c r="C72" s="74" t="s">
        <v>494</v>
      </c>
      <c r="D72" s="99" t="s">
        <v>469</v>
      </c>
      <c r="E72" s="75" t="s">
        <v>469</v>
      </c>
      <c r="F72" s="76">
        <v>431.0450745140069</v>
      </c>
      <c r="G72" s="81">
        <v>356955322.92624134</v>
      </c>
      <c r="H72" s="77" t="s">
        <v>469</v>
      </c>
      <c r="I72">
        <f>IFERROR(G72/Base!$B$3,0)</f>
        <v>431.0450745140069</v>
      </c>
      <c r="J72" t="b">
        <f t="shared" si="1"/>
        <v>1</v>
      </c>
    </row>
    <row r="73" spans="1:10" x14ac:dyDescent="0.2">
      <c r="A73" s="74">
        <v>72</v>
      </c>
      <c r="B73" s="74">
        <v>900123224</v>
      </c>
      <c r="C73" s="74" t="s">
        <v>123</v>
      </c>
      <c r="D73" s="99" t="s">
        <v>470</v>
      </c>
      <c r="E73" s="75" t="s">
        <v>469</v>
      </c>
      <c r="F73" s="76">
        <v>376.89741484341113</v>
      </c>
      <c r="G73" s="75">
        <v>312114779.59046626</v>
      </c>
      <c r="H73" s="77" t="s">
        <v>470</v>
      </c>
      <c r="I73">
        <f>IFERROR(G73/Base!$B$3,0)</f>
        <v>376.89741484341113</v>
      </c>
      <c r="J73" t="b">
        <f t="shared" si="1"/>
        <v>1</v>
      </c>
    </row>
    <row r="74" spans="1:10" x14ac:dyDescent="0.2">
      <c r="A74" s="74">
        <v>73</v>
      </c>
      <c r="B74" s="74">
        <v>805017786</v>
      </c>
      <c r="C74" s="74" t="s">
        <v>495</v>
      </c>
      <c r="D74" s="99" t="s">
        <v>469</v>
      </c>
      <c r="E74" s="75" t="s">
        <v>469</v>
      </c>
      <c r="F74" s="76">
        <v>163.84944642633201</v>
      </c>
      <c r="G74" s="81">
        <v>135686348.17678836</v>
      </c>
      <c r="H74" s="77" t="s">
        <v>469</v>
      </c>
      <c r="I74">
        <f>IFERROR(G74/Base!$B$3,0)</f>
        <v>163.84944642633201</v>
      </c>
      <c r="J74" t="b">
        <f t="shared" si="1"/>
        <v>1</v>
      </c>
    </row>
    <row r="75" spans="1:10" x14ac:dyDescent="0.2">
      <c r="A75" s="74">
        <v>74</v>
      </c>
      <c r="B75" s="74">
        <v>900497866</v>
      </c>
      <c r="C75" s="74" t="s">
        <v>625</v>
      </c>
      <c r="D75" s="99" t="s">
        <v>470</v>
      </c>
      <c r="E75" s="75" t="s">
        <v>470</v>
      </c>
      <c r="F75" s="76">
        <v>0</v>
      </c>
      <c r="G75" s="75">
        <v>0</v>
      </c>
      <c r="H75" s="77" t="s">
        <v>470</v>
      </c>
      <c r="I75">
        <f>IFERROR(G75/Base!$B$3,0)</f>
        <v>0</v>
      </c>
      <c r="J75" t="b">
        <f t="shared" si="1"/>
        <v>1</v>
      </c>
    </row>
    <row r="76" spans="1:10" x14ac:dyDescent="0.2">
      <c r="A76" s="74">
        <v>75</v>
      </c>
      <c r="B76" s="74">
        <v>900912376</v>
      </c>
      <c r="C76" s="74" t="s">
        <v>626</v>
      </c>
      <c r="D76" s="99" t="s">
        <v>470</v>
      </c>
      <c r="E76" s="75" t="s">
        <v>470</v>
      </c>
      <c r="F76" s="76">
        <v>657.3849557618845</v>
      </c>
      <c r="G76" s="75">
        <v>544391000.02570879</v>
      </c>
      <c r="H76" s="77" t="s">
        <v>470</v>
      </c>
      <c r="I76">
        <f>IFERROR(G76/Base!$B$3,0)</f>
        <v>657.38495576188461</v>
      </c>
      <c r="J76" t="b">
        <f t="shared" si="1"/>
        <v>0</v>
      </c>
    </row>
    <row r="77" spans="1:10" x14ac:dyDescent="0.2">
      <c r="A77" s="74">
        <v>76</v>
      </c>
      <c r="B77" s="74">
        <v>900414120</v>
      </c>
      <c r="C77" s="74" t="s">
        <v>496</v>
      </c>
      <c r="D77" s="99" t="s">
        <v>469</v>
      </c>
      <c r="E77" s="75" t="s">
        <v>469</v>
      </c>
      <c r="F77" s="76">
        <v>647.31458623361993</v>
      </c>
      <c r="G77" s="81">
        <v>536051565.89344043</v>
      </c>
      <c r="H77" s="77" t="s">
        <v>469</v>
      </c>
      <c r="I77">
        <f>IFERROR(G77/Base!$B$3,0)</f>
        <v>647.31458623361993</v>
      </c>
      <c r="J77" t="b">
        <f t="shared" si="1"/>
        <v>1</v>
      </c>
    </row>
    <row r="78" spans="1:10" x14ac:dyDescent="0.2">
      <c r="A78" s="74">
        <v>77</v>
      </c>
      <c r="B78" s="74">
        <v>900254067</v>
      </c>
      <c r="C78" s="74" t="s">
        <v>497</v>
      </c>
      <c r="D78" s="99" t="s">
        <v>469</v>
      </c>
      <c r="E78" s="75" t="s">
        <v>469</v>
      </c>
      <c r="F78" s="76">
        <v>1221.0320917449721</v>
      </c>
      <c r="G78" s="81">
        <v>1011156211.6874794</v>
      </c>
      <c r="H78" s="77" t="s">
        <v>469</v>
      </c>
      <c r="I78">
        <f>IFERROR(G78/Base!$B$3,0)</f>
        <v>1221.0320917449721</v>
      </c>
      <c r="J78" t="b">
        <f t="shared" si="1"/>
        <v>1</v>
      </c>
    </row>
    <row r="79" spans="1:10" x14ac:dyDescent="0.2">
      <c r="A79" s="74">
        <v>78</v>
      </c>
      <c r="B79" s="74">
        <v>900071005</v>
      </c>
      <c r="C79" s="74" t="s">
        <v>627</v>
      </c>
      <c r="D79" s="99" t="s">
        <v>470</v>
      </c>
      <c r="E79" s="75" t="s">
        <v>469</v>
      </c>
      <c r="F79" s="76">
        <v>0</v>
      </c>
      <c r="G79" s="75">
        <v>0</v>
      </c>
      <c r="H79" s="77" t="s">
        <v>470</v>
      </c>
      <c r="I79">
        <f>IFERROR(G79/Base!$B$3,0)</f>
        <v>0</v>
      </c>
      <c r="J79" t="b">
        <f t="shared" si="1"/>
        <v>1</v>
      </c>
    </row>
    <row r="80" spans="1:10" x14ac:dyDescent="0.2">
      <c r="A80" s="74">
        <v>79</v>
      </c>
      <c r="B80" s="74">
        <v>900274388</v>
      </c>
      <c r="C80" s="74" t="s">
        <v>498</v>
      </c>
      <c r="D80" s="99" t="s">
        <v>470</v>
      </c>
      <c r="E80" s="75" t="s">
        <v>469</v>
      </c>
      <c r="F80" s="76">
        <v>278.19201143710006</v>
      </c>
      <c r="G80" s="75">
        <v>230375255.74324554</v>
      </c>
      <c r="H80" s="77" t="s">
        <v>470</v>
      </c>
      <c r="I80">
        <f>IFERROR(G80/Base!$B$3,0)</f>
        <v>278.19201143710006</v>
      </c>
      <c r="J80" t="b">
        <f t="shared" si="1"/>
        <v>1</v>
      </c>
    </row>
    <row r="81" spans="1:10" x14ac:dyDescent="0.2">
      <c r="A81" s="74">
        <v>80</v>
      </c>
      <c r="B81" s="74">
        <v>900763127</v>
      </c>
      <c r="C81" s="74" t="s">
        <v>628</v>
      </c>
      <c r="D81" s="99" t="s">
        <v>470</v>
      </c>
      <c r="E81" s="75" t="s">
        <v>469</v>
      </c>
      <c r="F81" s="76">
        <v>0</v>
      </c>
      <c r="G81" s="75">
        <v>0</v>
      </c>
      <c r="H81" s="77" t="s">
        <v>470</v>
      </c>
      <c r="I81">
        <f>IFERROR(G81/Base!$B$3,0)</f>
        <v>0</v>
      </c>
      <c r="J81" t="b">
        <f t="shared" si="1"/>
        <v>1</v>
      </c>
    </row>
    <row r="82" spans="1:10" x14ac:dyDescent="0.2">
      <c r="A82" s="74">
        <v>81</v>
      </c>
      <c r="B82" s="74">
        <v>818001438</v>
      </c>
      <c r="C82" s="74" t="s">
        <v>629</v>
      </c>
      <c r="D82" s="99" t="s">
        <v>470</v>
      </c>
      <c r="E82" s="75" t="s">
        <v>469</v>
      </c>
      <c r="F82" s="76">
        <v>0</v>
      </c>
      <c r="G82" s="75">
        <v>0</v>
      </c>
      <c r="H82" s="77" t="s">
        <v>470</v>
      </c>
      <c r="I82">
        <f>IFERROR(G82/Base!$B$3,0)</f>
        <v>0</v>
      </c>
      <c r="J82" t="b">
        <f t="shared" si="1"/>
        <v>1</v>
      </c>
    </row>
    <row r="83" spans="1:10" x14ac:dyDescent="0.2">
      <c r="A83" s="74">
        <v>82</v>
      </c>
      <c r="B83" s="74">
        <v>800181797</v>
      </c>
      <c r="C83" s="74" t="s">
        <v>499</v>
      </c>
      <c r="D83" s="99" t="s">
        <v>469</v>
      </c>
      <c r="E83" s="75" t="s">
        <v>469</v>
      </c>
      <c r="F83" s="76">
        <v>1343.8400412123419</v>
      </c>
      <c r="G83" s="81">
        <v>1112855439.5685997</v>
      </c>
      <c r="H83" s="77" t="s">
        <v>469</v>
      </c>
      <c r="I83">
        <f>IFERROR(G83/Base!$B$3,0)</f>
        <v>1343.8400412123419</v>
      </c>
      <c r="J83" t="b">
        <f t="shared" si="1"/>
        <v>1</v>
      </c>
    </row>
    <row r="84" spans="1:10" x14ac:dyDescent="0.2">
      <c r="A84" s="74">
        <v>83</v>
      </c>
      <c r="B84" s="74">
        <v>818000937</v>
      </c>
      <c r="C84" s="74" t="s">
        <v>133</v>
      </c>
      <c r="D84" s="99" t="s">
        <v>470</v>
      </c>
      <c r="E84" s="75" t="s">
        <v>470</v>
      </c>
      <c r="F84" s="76">
        <v>0</v>
      </c>
      <c r="G84" s="75">
        <v>0</v>
      </c>
      <c r="H84" s="77" t="s">
        <v>470</v>
      </c>
      <c r="I84">
        <f>IFERROR(G84/Base!$B$3,0)</f>
        <v>0</v>
      </c>
      <c r="J84" t="b">
        <f t="shared" si="1"/>
        <v>1</v>
      </c>
    </row>
    <row r="85" spans="1:10" x14ac:dyDescent="0.2">
      <c r="A85" s="74">
        <v>84</v>
      </c>
      <c r="B85" s="74">
        <v>837000135</v>
      </c>
      <c r="C85" s="74" t="s">
        <v>630</v>
      </c>
      <c r="D85" s="99" t="s">
        <v>470</v>
      </c>
      <c r="E85" s="75" t="s">
        <v>470</v>
      </c>
      <c r="F85" s="76">
        <v>24.655347703328356</v>
      </c>
      <c r="G85" s="75">
        <v>20417487.918689463</v>
      </c>
      <c r="H85" s="77" t="s">
        <v>470</v>
      </c>
      <c r="I85">
        <f>IFERROR(G85/Base!$B$3,0)</f>
        <v>24.655347703328353</v>
      </c>
      <c r="J85" t="b">
        <f t="shared" si="1"/>
        <v>1</v>
      </c>
    </row>
    <row r="86" spans="1:10" x14ac:dyDescent="0.2">
      <c r="A86" s="74">
        <v>85</v>
      </c>
      <c r="B86" s="74">
        <v>900090967</v>
      </c>
      <c r="C86" s="74" t="s">
        <v>631</v>
      </c>
      <c r="D86" s="99" t="s">
        <v>470</v>
      </c>
      <c r="E86" s="78" t="s">
        <v>469</v>
      </c>
      <c r="F86" s="76">
        <v>36.876129559824349</v>
      </c>
      <c r="G86" s="75">
        <v>30537712.906563502</v>
      </c>
      <c r="H86" s="77" t="s">
        <v>470</v>
      </c>
      <c r="I86">
        <f>IFERROR(G86/Base!$B$3,0)</f>
        <v>36.876129559824349</v>
      </c>
      <c r="J86" t="b">
        <f t="shared" si="1"/>
        <v>1</v>
      </c>
    </row>
    <row r="87" spans="1:10" x14ac:dyDescent="0.2">
      <c r="A87" s="74">
        <v>86</v>
      </c>
      <c r="B87" s="74">
        <v>843000021</v>
      </c>
      <c r="C87" s="74" t="s">
        <v>137</v>
      </c>
      <c r="D87" s="99" t="s">
        <v>470</v>
      </c>
      <c r="E87" s="78" t="s">
        <v>470</v>
      </c>
      <c r="F87" s="76">
        <v>0</v>
      </c>
      <c r="G87" s="75">
        <v>0</v>
      </c>
      <c r="H87" s="77" t="s">
        <v>470</v>
      </c>
      <c r="I87">
        <f>IFERROR(G87/Base!$B$3,0)</f>
        <v>0</v>
      </c>
      <c r="J87" t="b">
        <f t="shared" si="1"/>
        <v>1</v>
      </c>
    </row>
    <row r="88" spans="1:10" x14ac:dyDescent="0.2">
      <c r="A88" s="74">
        <v>87</v>
      </c>
      <c r="B88" s="74">
        <v>900322099</v>
      </c>
      <c r="C88" s="74" t="s">
        <v>632</v>
      </c>
      <c r="D88" s="99" t="s">
        <v>470</v>
      </c>
      <c r="E88" s="78" t="s">
        <v>470</v>
      </c>
      <c r="F88" s="76">
        <v>802.64629765953214</v>
      </c>
      <c r="G88" s="75">
        <v>664684241.43262112</v>
      </c>
      <c r="H88" s="77" t="s">
        <v>470</v>
      </c>
      <c r="I88">
        <f>IFERROR(G88/Base!$B$3,0)</f>
        <v>802.64629765953214</v>
      </c>
      <c r="J88" t="b">
        <f t="shared" si="1"/>
        <v>1</v>
      </c>
    </row>
    <row r="89" spans="1:10" x14ac:dyDescent="0.2">
      <c r="A89" s="74">
        <v>88</v>
      </c>
      <c r="B89" s="74">
        <v>892200893</v>
      </c>
      <c r="C89" s="74" t="s">
        <v>139</v>
      </c>
      <c r="D89" s="99" t="s">
        <v>469</v>
      </c>
      <c r="E89" s="78" t="s">
        <v>469</v>
      </c>
      <c r="F89" s="76">
        <v>103.61012064512509</v>
      </c>
      <c r="G89" s="81">
        <v>85801198.668158412</v>
      </c>
      <c r="H89" s="77" t="s">
        <v>469</v>
      </c>
      <c r="I89">
        <f>IFERROR(G89/Base!$B$3,0)</f>
        <v>103.61012064512509</v>
      </c>
      <c r="J89" t="b">
        <f t="shared" si="1"/>
        <v>1</v>
      </c>
    </row>
    <row r="90" spans="1:10" x14ac:dyDescent="0.2">
      <c r="A90" s="74">
        <v>89</v>
      </c>
      <c r="B90" s="74">
        <v>900621505</v>
      </c>
      <c r="C90" s="74" t="s">
        <v>140</v>
      </c>
      <c r="D90" s="99" t="s">
        <v>470</v>
      </c>
      <c r="E90" s="78" t="s">
        <v>470</v>
      </c>
      <c r="F90" s="76">
        <v>60.395773710794508</v>
      </c>
      <c r="G90" s="75">
        <v>50014706.542288303</v>
      </c>
      <c r="H90" s="77" t="s">
        <v>470</v>
      </c>
      <c r="I90">
        <f>IFERROR(G90/Base!$B$3,0)</f>
        <v>60.395773710794508</v>
      </c>
      <c r="J90" t="b">
        <f t="shared" si="1"/>
        <v>1</v>
      </c>
    </row>
    <row r="91" spans="1:10" x14ac:dyDescent="0.2">
      <c r="A91" s="74">
        <v>90</v>
      </c>
      <c r="B91" s="74">
        <v>900174216</v>
      </c>
      <c r="C91" s="74" t="s">
        <v>141</v>
      </c>
      <c r="D91" s="99" t="s">
        <v>469</v>
      </c>
      <c r="E91" s="78" t="s">
        <v>469</v>
      </c>
      <c r="F91" s="76">
        <v>2243.1574892053741</v>
      </c>
      <c r="G91" s="81">
        <v>1857594607.3307977</v>
      </c>
      <c r="H91" s="77" t="s">
        <v>469</v>
      </c>
      <c r="I91">
        <f>IFERROR(G91/Base!$B$3,0)</f>
        <v>2243.1574892053741</v>
      </c>
      <c r="J91" t="b">
        <f t="shared" si="1"/>
        <v>1</v>
      </c>
    </row>
    <row r="92" spans="1:10" x14ac:dyDescent="0.2">
      <c r="A92" s="74">
        <v>91</v>
      </c>
      <c r="B92" s="74">
        <v>806007865</v>
      </c>
      <c r="C92" s="74" t="s">
        <v>633</v>
      </c>
      <c r="D92" s="99" t="s">
        <v>469</v>
      </c>
      <c r="E92" s="78" t="s">
        <v>469</v>
      </c>
      <c r="F92" s="76">
        <v>284.51164769735789</v>
      </c>
      <c r="G92" s="81">
        <v>235608647.64454523</v>
      </c>
      <c r="H92" s="77" t="s">
        <v>469</v>
      </c>
      <c r="I92">
        <f>IFERROR(G92/Base!$B$3,0)</f>
        <v>284.51164769735789</v>
      </c>
      <c r="J92" t="b">
        <f t="shared" si="1"/>
        <v>1</v>
      </c>
    </row>
    <row r="93" spans="1:10" x14ac:dyDescent="0.2">
      <c r="A93" s="74">
        <v>92</v>
      </c>
      <c r="B93" s="74">
        <v>900106789</v>
      </c>
      <c r="C93" s="74" t="s">
        <v>634</v>
      </c>
      <c r="D93" s="99" t="s">
        <v>469</v>
      </c>
      <c r="E93" s="78" t="s">
        <v>469</v>
      </c>
      <c r="F93" s="76">
        <v>567.43053679501577</v>
      </c>
      <c r="G93" s="81">
        <v>469898306.40854126</v>
      </c>
      <c r="H93" s="77" t="s">
        <v>469</v>
      </c>
      <c r="I93">
        <f>IFERROR(G93/Base!$B$3,0)</f>
        <v>567.43053679501577</v>
      </c>
      <c r="J93" t="b">
        <f t="shared" si="1"/>
        <v>1</v>
      </c>
    </row>
    <row r="94" spans="1:10" x14ac:dyDescent="0.2">
      <c r="A94" s="74">
        <v>93</v>
      </c>
      <c r="B94" s="74">
        <v>900231743</v>
      </c>
      <c r="C94" s="74" t="s">
        <v>500</v>
      </c>
      <c r="D94" s="99" t="s">
        <v>469</v>
      </c>
      <c r="E94" s="78" t="s">
        <v>469</v>
      </c>
      <c r="F94" s="76">
        <v>1524.3233408874019</v>
      </c>
      <c r="G94" s="81">
        <v>1262316547.7623117</v>
      </c>
      <c r="H94" s="77" t="s">
        <v>469</v>
      </c>
      <c r="I94">
        <f>IFERROR(G94/Base!$B$3,0)</f>
        <v>1524.3233408874019</v>
      </c>
      <c r="J94" t="b">
        <f t="shared" si="1"/>
        <v>1</v>
      </c>
    </row>
    <row r="95" spans="1:10" x14ac:dyDescent="0.2">
      <c r="A95" s="74">
        <v>94</v>
      </c>
      <c r="B95" s="74">
        <v>901123909</v>
      </c>
      <c r="C95" s="74" t="s">
        <v>635</v>
      </c>
      <c r="D95" s="99" t="s">
        <v>470</v>
      </c>
      <c r="E95" s="78" t="s">
        <v>470</v>
      </c>
      <c r="F95" s="76">
        <v>0</v>
      </c>
      <c r="G95" s="75">
        <v>0</v>
      </c>
      <c r="H95" s="77" t="s">
        <v>470</v>
      </c>
      <c r="I95">
        <f>IFERROR(G95/Base!$B$3,0)</f>
        <v>0</v>
      </c>
      <c r="J95" t="b">
        <f t="shared" si="1"/>
        <v>1</v>
      </c>
    </row>
    <row r="96" spans="1:10" x14ac:dyDescent="0.2">
      <c r="A96" s="74">
        <v>95</v>
      </c>
      <c r="B96" s="74">
        <v>823002781</v>
      </c>
      <c r="C96" s="74" t="s">
        <v>501</v>
      </c>
      <c r="D96" s="99" t="s">
        <v>469</v>
      </c>
      <c r="E96" s="78" t="s">
        <v>469</v>
      </c>
      <c r="F96" s="76">
        <v>194.98137452160117</v>
      </c>
      <c r="G96" s="81">
        <v>161467195.94333029</v>
      </c>
      <c r="H96" s="77" t="s">
        <v>469</v>
      </c>
      <c r="I96">
        <f>IFERROR(G96/Base!$B$3,0)</f>
        <v>194.9813745216012</v>
      </c>
      <c r="J96" t="b">
        <f t="shared" si="1"/>
        <v>1</v>
      </c>
    </row>
    <row r="97" spans="1:10" x14ac:dyDescent="0.2">
      <c r="A97" s="74">
        <v>96</v>
      </c>
      <c r="B97" s="74">
        <v>900064245</v>
      </c>
      <c r="C97" s="74" t="s">
        <v>636</v>
      </c>
      <c r="D97" s="99" t="s">
        <v>470</v>
      </c>
      <c r="E97" s="78" t="s">
        <v>469</v>
      </c>
      <c r="F97" s="76">
        <v>362.89450686698922</v>
      </c>
      <c r="G97" s="75">
        <v>300518747.44866365</v>
      </c>
      <c r="H97" s="77" t="s">
        <v>470</v>
      </c>
      <c r="I97">
        <f>IFERROR(G97/Base!$B$3,0)</f>
        <v>362.89450686698922</v>
      </c>
      <c r="J97" t="b">
        <f t="shared" si="1"/>
        <v>1</v>
      </c>
    </row>
    <row r="98" spans="1:10" x14ac:dyDescent="0.2">
      <c r="A98" s="74">
        <v>97</v>
      </c>
      <c r="B98" s="74">
        <v>812004257</v>
      </c>
      <c r="C98" s="74" t="s">
        <v>637</v>
      </c>
      <c r="D98" s="99" t="s">
        <v>470</v>
      </c>
      <c r="E98" s="78" t="s">
        <v>469</v>
      </c>
      <c r="F98" s="76">
        <v>0</v>
      </c>
      <c r="G98" s="75">
        <v>0</v>
      </c>
      <c r="H98" s="77" t="s">
        <v>470</v>
      </c>
      <c r="I98">
        <f>IFERROR(G98/Base!$B$3,0)</f>
        <v>0</v>
      </c>
      <c r="J98" t="b">
        <f t="shared" si="1"/>
        <v>1</v>
      </c>
    </row>
    <row r="99" spans="1:10" x14ac:dyDescent="0.2">
      <c r="A99" s="74">
        <v>98</v>
      </c>
      <c r="B99" s="74">
        <v>900267143</v>
      </c>
      <c r="C99" s="74" t="s">
        <v>151</v>
      </c>
      <c r="D99" s="99" t="s">
        <v>469</v>
      </c>
      <c r="E99" s="78" t="s">
        <v>469</v>
      </c>
      <c r="F99" s="76">
        <v>51.829282268893877</v>
      </c>
      <c r="G99" s="81">
        <v>42920657.915387325</v>
      </c>
      <c r="H99" s="77" t="s">
        <v>469</v>
      </c>
      <c r="I99">
        <f>IFERROR(G99/Base!$B$3,0)</f>
        <v>51.829282268893884</v>
      </c>
      <c r="J99" t="b">
        <f t="shared" si="1"/>
        <v>1</v>
      </c>
    </row>
    <row r="100" spans="1:10" x14ac:dyDescent="0.2">
      <c r="A100" s="74">
        <v>99</v>
      </c>
      <c r="B100" s="74">
        <v>900238123</v>
      </c>
      <c r="C100" s="74" t="s">
        <v>152</v>
      </c>
      <c r="D100" s="99" t="s">
        <v>469</v>
      </c>
      <c r="E100" s="78" t="s">
        <v>469</v>
      </c>
      <c r="F100" s="76">
        <v>421.19906362487097</v>
      </c>
      <c r="G100" s="81">
        <v>348801683.77277362</v>
      </c>
      <c r="H100" s="77" t="s">
        <v>469</v>
      </c>
      <c r="I100">
        <f>IFERROR(G100/Base!$B$3,0)</f>
        <v>421.19906362487092</v>
      </c>
      <c r="J100" t="b">
        <f t="shared" si="1"/>
        <v>1</v>
      </c>
    </row>
    <row r="101" spans="1:10" x14ac:dyDescent="0.2">
      <c r="A101" s="74">
        <v>100</v>
      </c>
      <c r="B101" s="74">
        <v>900967134</v>
      </c>
      <c r="C101" s="74" t="s">
        <v>502</v>
      </c>
      <c r="D101" s="99" t="s">
        <v>469</v>
      </c>
      <c r="E101" s="78" t="s">
        <v>469</v>
      </c>
      <c r="F101" s="76">
        <v>24.228560085408656</v>
      </c>
      <c r="G101" s="81">
        <v>20064058.263688274</v>
      </c>
      <c r="H101" s="77" t="s">
        <v>469</v>
      </c>
      <c r="I101">
        <f>IFERROR(G101/Base!$B$3,0)</f>
        <v>24.228560085408656</v>
      </c>
      <c r="J101" t="b">
        <f t="shared" si="1"/>
        <v>1</v>
      </c>
    </row>
    <row r="102" spans="1:10" x14ac:dyDescent="0.2">
      <c r="A102" s="74">
        <v>101</v>
      </c>
      <c r="B102" s="74">
        <v>900877034</v>
      </c>
      <c r="C102" s="74" t="s">
        <v>154</v>
      </c>
      <c r="D102" s="99" t="s">
        <v>469</v>
      </c>
      <c r="E102" s="78" t="s">
        <v>469</v>
      </c>
      <c r="F102" s="76">
        <v>222.86386659461203</v>
      </c>
      <c r="G102" s="81">
        <v>184557133.74886373</v>
      </c>
      <c r="H102" s="77" t="s">
        <v>469</v>
      </c>
      <c r="I102">
        <f>IFERROR(G102/Base!$B$3,0)</f>
        <v>222.86386659461201</v>
      </c>
      <c r="J102" t="b">
        <f t="shared" si="1"/>
        <v>1</v>
      </c>
    </row>
    <row r="103" spans="1:10" x14ac:dyDescent="0.2">
      <c r="A103" s="74">
        <v>102</v>
      </c>
      <c r="B103" s="74">
        <v>900208443</v>
      </c>
      <c r="C103" s="74" t="s">
        <v>156</v>
      </c>
      <c r="D103" s="99" t="s">
        <v>469</v>
      </c>
      <c r="E103" s="78" t="s">
        <v>469</v>
      </c>
      <c r="F103" s="76">
        <v>477.77961450087997</v>
      </c>
      <c r="G103" s="81">
        <v>395656943.24201071</v>
      </c>
      <c r="H103" s="77" t="s">
        <v>469</v>
      </c>
      <c r="I103">
        <f>IFERROR(G103/Base!$B$3,0)</f>
        <v>477.77961450087997</v>
      </c>
      <c r="J103" t="b">
        <f t="shared" si="1"/>
        <v>1</v>
      </c>
    </row>
    <row r="104" spans="1:10" x14ac:dyDescent="0.2">
      <c r="A104" s="74">
        <v>103</v>
      </c>
      <c r="B104" s="74">
        <v>804003003</v>
      </c>
      <c r="C104" s="74" t="s">
        <v>503</v>
      </c>
      <c r="D104" s="99" t="s">
        <v>469</v>
      </c>
      <c r="E104" s="75" t="s">
        <v>469</v>
      </c>
      <c r="F104" s="76">
        <v>1014.8331532076792</v>
      </c>
      <c r="G104" s="81">
        <v>840399571.50173044</v>
      </c>
      <c r="H104" s="77" t="s">
        <v>469</v>
      </c>
      <c r="I104">
        <f>IFERROR(G104/Base!$B$3,0)</f>
        <v>1014.8331532076792</v>
      </c>
      <c r="J104" t="b">
        <f t="shared" si="1"/>
        <v>1</v>
      </c>
    </row>
    <row r="105" spans="1:10" x14ac:dyDescent="0.2">
      <c r="A105" s="74">
        <v>104</v>
      </c>
      <c r="B105" s="74">
        <v>813013497</v>
      </c>
      <c r="C105" s="74" t="s">
        <v>504</v>
      </c>
      <c r="D105" s="99" t="s">
        <v>469</v>
      </c>
      <c r="E105" s="75" t="s">
        <v>469</v>
      </c>
      <c r="F105" s="76">
        <v>740.1565633635862</v>
      </c>
      <c r="G105" s="81">
        <v>612935492.62639952</v>
      </c>
      <c r="H105" s="77" t="s">
        <v>469</v>
      </c>
      <c r="I105">
        <f>IFERROR(G105/Base!$B$3,0)</f>
        <v>740.1565633635862</v>
      </c>
      <c r="J105" t="b">
        <f t="shared" si="1"/>
        <v>1</v>
      </c>
    </row>
    <row r="106" spans="1:10" x14ac:dyDescent="0.2">
      <c r="A106" s="74">
        <v>105</v>
      </c>
      <c r="B106" s="74">
        <v>900943875</v>
      </c>
      <c r="C106" s="74" t="s">
        <v>505</v>
      </c>
      <c r="D106" s="99" t="s">
        <v>469</v>
      </c>
      <c r="E106" s="75" t="s">
        <v>469</v>
      </c>
      <c r="F106" s="76">
        <v>14.030315313325788</v>
      </c>
      <c r="G106" s="81">
        <v>11618728.596010098</v>
      </c>
      <c r="H106" s="77" t="s">
        <v>469</v>
      </c>
      <c r="I106">
        <f>IFERROR(G106/Base!$B$3,0)</f>
        <v>14.030315313325788</v>
      </c>
      <c r="J106" t="b">
        <f t="shared" si="1"/>
        <v>1</v>
      </c>
    </row>
    <row r="107" spans="1:10" x14ac:dyDescent="0.2">
      <c r="A107" s="74">
        <v>106</v>
      </c>
      <c r="B107" s="74">
        <v>900631920</v>
      </c>
      <c r="C107" s="74" t="s">
        <v>638</v>
      </c>
      <c r="D107" s="99" t="s">
        <v>470</v>
      </c>
      <c r="E107" s="75" t="s">
        <v>469</v>
      </c>
      <c r="F107" s="76">
        <v>0</v>
      </c>
      <c r="G107" s="75">
        <v>0</v>
      </c>
      <c r="H107" s="77" t="s">
        <v>470</v>
      </c>
      <c r="I107">
        <f>IFERROR(G107/Base!$B$3,0)</f>
        <v>0</v>
      </c>
      <c r="J107" t="b">
        <f t="shared" si="1"/>
        <v>1</v>
      </c>
    </row>
    <row r="108" spans="1:10" x14ac:dyDescent="0.2">
      <c r="A108" s="74">
        <v>107</v>
      </c>
      <c r="B108" s="74">
        <v>818001353</v>
      </c>
      <c r="C108" s="74" t="s">
        <v>506</v>
      </c>
      <c r="D108" s="99" t="s">
        <v>469</v>
      </c>
      <c r="E108" s="75" t="s">
        <v>469</v>
      </c>
      <c r="F108" s="76">
        <v>99.806993965973078</v>
      </c>
      <c r="G108" s="81">
        <v>82651768.61512576</v>
      </c>
      <c r="H108" s="77" t="s">
        <v>469</v>
      </c>
      <c r="I108">
        <f>IFERROR(G108/Base!$B$3,0)</f>
        <v>99.806993965973078</v>
      </c>
      <c r="J108" t="b">
        <f t="shared" si="1"/>
        <v>1</v>
      </c>
    </row>
    <row r="109" spans="1:10" x14ac:dyDescent="0.2">
      <c r="A109" s="74">
        <v>108</v>
      </c>
      <c r="B109" s="74">
        <v>900666427</v>
      </c>
      <c r="C109" s="74" t="s">
        <v>507</v>
      </c>
      <c r="D109" s="99" t="s">
        <v>469</v>
      </c>
      <c r="E109" s="75" t="s">
        <v>469</v>
      </c>
      <c r="F109" s="76">
        <v>73.587745849261623</v>
      </c>
      <c r="G109" s="81">
        <v>60939189.741707139</v>
      </c>
      <c r="H109" s="77" t="s">
        <v>469</v>
      </c>
      <c r="I109">
        <f>IFERROR(G109/Base!$B$3,0)</f>
        <v>73.587745849261623</v>
      </c>
      <c r="J109" t="b">
        <f t="shared" si="1"/>
        <v>1</v>
      </c>
    </row>
    <row r="110" spans="1:10" x14ac:dyDescent="0.2">
      <c r="A110" s="74">
        <v>109</v>
      </c>
      <c r="B110" s="74">
        <v>840000903</v>
      </c>
      <c r="C110" s="74" t="s">
        <v>508</v>
      </c>
      <c r="D110" s="99" t="s">
        <v>469</v>
      </c>
      <c r="E110" s="75" t="s">
        <v>469</v>
      </c>
      <c r="F110" s="76">
        <v>1183.6190172718909</v>
      </c>
      <c r="G110" s="81">
        <v>980173846.10712922</v>
      </c>
      <c r="H110" s="77" t="s">
        <v>469</v>
      </c>
      <c r="I110">
        <f>IFERROR(G110/Base!$B$3,0)</f>
        <v>1183.6190172718909</v>
      </c>
      <c r="J110" t="b">
        <f t="shared" si="1"/>
        <v>1</v>
      </c>
    </row>
    <row r="111" spans="1:10" x14ac:dyDescent="0.2">
      <c r="A111" s="74">
        <v>110</v>
      </c>
      <c r="B111" s="74">
        <v>900005961</v>
      </c>
      <c r="C111" s="74" t="s">
        <v>639</v>
      </c>
      <c r="D111" s="99" t="s">
        <v>470</v>
      </c>
      <c r="E111" s="75" t="s">
        <v>470</v>
      </c>
      <c r="F111" s="76">
        <v>0</v>
      </c>
      <c r="G111" s="75">
        <v>0</v>
      </c>
      <c r="H111" s="77" t="s">
        <v>470</v>
      </c>
      <c r="I111">
        <f>IFERROR(G111/Base!$B$3,0)</f>
        <v>0</v>
      </c>
      <c r="J111" t="b">
        <f t="shared" si="1"/>
        <v>1</v>
      </c>
    </row>
    <row r="112" spans="1:10" x14ac:dyDescent="0.2">
      <c r="A112" s="74">
        <v>111</v>
      </c>
      <c r="B112" s="74">
        <v>900133071</v>
      </c>
      <c r="C112" s="74" t="s">
        <v>509</v>
      </c>
      <c r="D112" s="99" t="s">
        <v>469</v>
      </c>
      <c r="E112" s="75" t="s">
        <v>469</v>
      </c>
      <c r="F112" s="76">
        <v>894.76943344232541</v>
      </c>
      <c r="G112" s="81">
        <v>740972884.14452469</v>
      </c>
      <c r="H112" s="77" t="s">
        <v>469</v>
      </c>
      <c r="I112">
        <f>IFERROR(G112/Base!$B$3,0)</f>
        <v>894.76943344232529</v>
      </c>
      <c r="J112" t="b">
        <f t="shared" si="1"/>
        <v>1</v>
      </c>
    </row>
    <row r="113" spans="1:10" x14ac:dyDescent="0.2">
      <c r="A113" s="74">
        <v>112</v>
      </c>
      <c r="B113" s="74">
        <v>900517521</v>
      </c>
      <c r="C113" s="74" t="s">
        <v>640</v>
      </c>
      <c r="D113" s="99" t="s">
        <v>470</v>
      </c>
      <c r="E113" s="75" t="s">
        <v>469</v>
      </c>
      <c r="F113" s="76">
        <v>157.82326470677512</v>
      </c>
      <c r="G113" s="75">
        <v>130695970.67591579</v>
      </c>
      <c r="H113" s="77" t="s">
        <v>470</v>
      </c>
      <c r="I113">
        <f>IFERROR(G113/Base!$B$3,0)</f>
        <v>157.82326470677512</v>
      </c>
      <c r="J113" t="b">
        <f t="shared" si="1"/>
        <v>1</v>
      </c>
    </row>
    <row r="114" spans="1:10" x14ac:dyDescent="0.2">
      <c r="A114" s="74">
        <v>113</v>
      </c>
      <c r="B114" s="74">
        <v>900968008</v>
      </c>
      <c r="C114" s="74" t="s">
        <v>641</v>
      </c>
      <c r="D114" s="99" t="s">
        <v>470</v>
      </c>
      <c r="E114" s="75" t="s">
        <v>469</v>
      </c>
      <c r="F114" s="76">
        <v>0</v>
      </c>
      <c r="G114" s="75">
        <v>0</v>
      </c>
      <c r="H114" s="77" t="s">
        <v>470</v>
      </c>
      <c r="I114">
        <f>IFERROR(G114/Base!$B$3,0)</f>
        <v>0</v>
      </c>
      <c r="J114" t="b">
        <f t="shared" si="1"/>
        <v>1</v>
      </c>
    </row>
    <row r="115" spans="1:10" x14ac:dyDescent="0.2">
      <c r="A115" s="74">
        <v>114</v>
      </c>
      <c r="B115" s="74">
        <v>806012901</v>
      </c>
      <c r="C115" s="74" t="s">
        <v>642</v>
      </c>
      <c r="D115" s="99" t="s">
        <v>470</v>
      </c>
      <c r="E115" s="75" t="s">
        <v>469</v>
      </c>
      <c r="F115" s="76">
        <v>237.55968276783389</v>
      </c>
      <c r="G115" s="75">
        <v>196726974.25496754</v>
      </c>
      <c r="H115" s="77" t="s">
        <v>470</v>
      </c>
      <c r="I115">
        <f>IFERROR(G115/Base!$B$3,0)</f>
        <v>237.55968276783389</v>
      </c>
      <c r="J115" t="b">
        <f t="shared" si="1"/>
        <v>1</v>
      </c>
    </row>
    <row r="116" spans="1:10" x14ac:dyDescent="0.2">
      <c r="A116" s="74">
        <v>115</v>
      </c>
      <c r="B116" s="74">
        <v>900468173</v>
      </c>
      <c r="C116" s="74" t="s">
        <v>643</v>
      </c>
      <c r="D116" s="99" t="s">
        <v>470</v>
      </c>
      <c r="E116" s="75" t="s">
        <v>469</v>
      </c>
      <c r="F116" s="76">
        <v>0</v>
      </c>
      <c r="G116" s="75">
        <v>0</v>
      </c>
      <c r="H116" s="77" t="s">
        <v>470</v>
      </c>
      <c r="I116">
        <f>IFERROR(G116/Base!$B$3,0)</f>
        <v>0</v>
      </c>
      <c r="J116" t="b">
        <f t="shared" si="1"/>
        <v>1</v>
      </c>
    </row>
    <row r="117" spans="1:10" x14ac:dyDescent="0.2">
      <c r="A117" s="74">
        <v>116</v>
      </c>
      <c r="B117" s="74">
        <v>900778390</v>
      </c>
      <c r="C117" s="74" t="s">
        <v>644</v>
      </c>
      <c r="D117" s="99" t="s">
        <v>470</v>
      </c>
      <c r="E117" s="75" t="s">
        <v>470</v>
      </c>
      <c r="F117" s="76">
        <v>0</v>
      </c>
      <c r="G117" s="75">
        <v>0</v>
      </c>
      <c r="H117" s="77" t="s">
        <v>470</v>
      </c>
      <c r="I117">
        <f>IFERROR(G117/Base!$B$3,0)</f>
        <v>0</v>
      </c>
      <c r="J117" t="b">
        <f t="shared" si="1"/>
        <v>1</v>
      </c>
    </row>
    <row r="118" spans="1:10" x14ac:dyDescent="0.2">
      <c r="A118" s="74">
        <v>117</v>
      </c>
      <c r="B118" s="74">
        <v>804000939</v>
      </c>
      <c r="C118" s="74" t="s">
        <v>510</v>
      </c>
      <c r="D118" s="99" t="s">
        <v>469</v>
      </c>
      <c r="E118" s="75" t="s">
        <v>469</v>
      </c>
      <c r="F118" s="76">
        <v>1391.6594319525423</v>
      </c>
      <c r="G118" s="81">
        <v>1152455442.1508114</v>
      </c>
      <c r="H118" s="77" t="s">
        <v>469</v>
      </c>
      <c r="I118">
        <f>IFERROR(G118/Base!$B$3,0)</f>
        <v>1391.6594319525423</v>
      </c>
      <c r="J118" t="b">
        <f t="shared" si="1"/>
        <v>1</v>
      </c>
    </row>
    <row r="119" spans="1:10" x14ac:dyDescent="0.2">
      <c r="A119" s="74">
        <v>118</v>
      </c>
      <c r="B119" s="74">
        <v>900310029</v>
      </c>
      <c r="C119" s="74" t="s">
        <v>645</v>
      </c>
      <c r="D119" s="99" t="s">
        <v>470</v>
      </c>
      <c r="E119" s="75" t="s">
        <v>470</v>
      </c>
      <c r="F119" s="76">
        <v>0</v>
      </c>
      <c r="G119" s="75">
        <v>0</v>
      </c>
      <c r="H119" s="77" t="s">
        <v>470</v>
      </c>
      <c r="I119">
        <f>IFERROR(G119/Base!$B$3,0)</f>
        <v>0</v>
      </c>
      <c r="J119" t="b">
        <f t="shared" si="1"/>
        <v>1</v>
      </c>
    </row>
    <row r="120" spans="1:10" x14ac:dyDescent="0.2">
      <c r="A120" s="74">
        <v>119</v>
      </c>
      <c r="B120" s="74">
        <v>825001160</v>
      </c>
      <c r="C120" s="74" t="s">
        <v>646</v>
      </c>
      <c r="D120" s="99" t="s">
        <v>470</v>
      </c>
      <c r="E120" s="75" t="s">
        <v>469</v>
      </c>
      <c r="F120" s="76">
        <v>449.03051857020375</v>
      </c>
      <c r="G120" s="75">
        <v>371849356.91628283</v>
      </c>
      <c r="H120" s="77" t="s">
        <v>470</v>
      </c>
      <c r="I120">
        <f>IFERROR(G120/Base!$B$3,0)</f>
        <v>449.03051857020375</v>
      </c>
      <c r="J120" t="b">
        <f t="shared" si="1"/>
        <v>1</v>
      </c>
    </row>
    <row r="121" spans="1:10" x14ac:dyDescent="0.2">
      <c r="A121" s="74">
        <v>120</v>
      </c>
      <c r="B121" s="74">
        <v>828002605</v>
      </c>
      <c r="C121" s="74" t="s">
        <v>181</v>
      </c>
      <c r="D121" s="99" t="s">
        <v>470</v>
      </c>
      <c r="E121" s="75" t="s">
        <v>469</v>
      </c>
      <c r="F121" s="76">
        <v>243.84944424440212</v>
      </c>
      <c r="G121" s="75">
        <v>201935626.36989731</v>
      </c>
      <c r="H121" s="77" t="s">
        <v>470</v>
      </c>
      <c r="I121">
        <f>IFERROR(G121/Base!$B$3,0)</f>
        <v>243.84944424440212</v>
      </c>
      <c r="J121" t="b">
        <f t="shared" si="1"/>
        <v>1</v>
      </c>
    </row>
    <row r="122" spans="1:10" x14ac:dyDescent="0.2">
      <c r="A122" s="74">
        <v>121</v>
      </c>
      <c r="B122" s="74">
        <v>890400794</v>
      </c>
      <c r="C122" s="74" t="s">
        <v>511</v>
      </c>
      <c r="D122" s="99" t="s">
        <v>469</v>
      </c>
      <c r="E122" s="75" t="s">
        <v>469</v>
      </c>
      <c r="F122" s="76">
        <v>12644.829006095693</v>
      </c>
      <c r="G122" s="81">
        <v>10471385217.211941</v>
      </c>
      <c r="H122" s="77" t="s">
        <v>469</v>
      </c>
      <c r="I122">
        <f>IFERROR(G122/Base!$B$3,0)</f>
        <v>12644.829006095693</v>
      </c>
      <c r="J122" t="b">
        <f t="shared" si="1"/>
        <v>1</v>
      </c>
    </row>
    <row r="123" spans="1:10" x14ac:dyDescent="0.2">
      <c r="A123" s="74">
        <v>122</v>
      </c>
      <c r="B123" s="74">
        <v>820002498</v>
      </c>
      <c r="C123" s="74" t="s">
        <v>512</v>
      </c>
      <c r="D123" s="99" t="s">
        <v>470</v>
      </c>
      <c r="E123" s="75" t="s">
        <v>469</v>
      </c>
      <c r="F123" s="76">
        <v>28.835464954669774</v>
      </c>
      <c r="G123" s="75">
        <v>23879109.896401316</v>
      </c>
      <c r="H123" s="77" t="s">
        <v>470</v>
      </c>
      <c r="I123">
        <f>IFERROR(G123/Base!$B$3,0)</f>
        <v>28.835464954669774</v>
      </c>
      <c r="J123" t="b">
        <f t="shared" si="1"/>
        <v>1</v>
      </c>
    </row>
    <row r="124" spans="1:10" x14ac:dyDescent="0.2">
      <c r="A124" s="74">
        <v>123</v>
      </c>
      <c r="B124" s="74">
        <v>890303178</v>
      </c>
      <c r="C124" s="74" t="s">
        <v>185</v>
      </c>
      <c r="D124" s="99" t="s">
        <v>469</v>
      </c>
      <c r="E124" s="75" t="s">
        <v>469</v>
      </c>
      <c r="F124" s="76">
        <v>1195.9762041226261</v>
      </c>
      <c r="G124" s="81">
        <v>990407030.25321257</v>
      </c>
      <c r="H124" s="77" t="s">
        <v>469</v>
      </c>
      <c r="I124">
        <f>IFERROR(G124/Base!$B$3,0)</f>
        <v>1195.9762041226261</v>
      </c>
      <c r="J124" t="b">
        <f t="shared" si="1"/>
        <v>1</v>
      </c>
    </row>
    <row r="125" spans="1:10" x14ac:dyDescent="0.2">
      <c r="A125" s="74">
        <v>124</v>
      </c>
      <c r="B125" s="74">
        <v>830107985</v>
      </c>
      <c r="C125" s="74" t="s">
        <v>513</v>
      </c>
      <c r="D125" s="99" t="s">
        <v>469</v>
      </c>
      <c r="E125" s="75" t="s">
        <v>469</v>
      </c>
      <c r="F125" s="76">
        <v>1243.0183369923302</v>
      </c>
      <c r="G125" s="81">
        <v>1029363373.1567405</v>
      </c>
      <c r="H125" s="77" t="s">
        <v>469</v>
      </c>
      <c r="I125">
        <f>IFERROR(G125/Base!$B$3,0)</f>
        <v>1243.0183369923302</v>
      </c>
      <c r="J125" t="b">
        <f t="shared" si="1"/>
        <v>1</v>
      </c>
    </row>
    <row r="126" spans="1:10" x14ac:dyDescent="0.2">
      <c r="A126" s="74">
        <v>125</v>
      </c>
      <c r="B126" s="74">
        <v>825002112</v>
      </c>
      <c r="C126" s="74" t="s">
        <v>647</v>
      </c>
      <c r="D126" s="99" t="s">
        <v>470</v>
      </c>
      <c r="E126" s="75" t="s">
        <v>469</v>
      </c>
      <c r="F126" s="76">
        <v>0</v>
      </c>
      <c r="G126" s="75">
        <v>0</v>
      </c>
      <c r="H126" s="77" t="s">
        <v>470</v>
      </c>
      <c r="I126">
        <f>IFERROR(G126/Base!$B$3,0)</f>
        <v>0</v>
      </c>
      <c r="J126" t="b">
        <f t="shared" si="1"/>
        <v>1</v>
      </c>
    </row>
    <row r="127" spans="1:10" x14ac:dyDescent="0.2">
      <c r="A127" s="74">
        <v>126</v>
      </c>
      <c r="B127" s="74">
        <v>890934938</v>
      </c>
      <c r="C127" s="74" t="s">
        <v>189</v>
      </c>
      <c r="D127" s="99" t="s">
        <v>469</v>
      </c>
      <c r="E127" s="75" t="s">
        <v>469</v>
      </c>
      <c r="F127" s="76">
        <v>1693.7488737065523</v>
      </c>
      <c r="G127" s="81">
        <v>1402620542.2983754</v>
      </c>
      <c r="H127" s="77" t="s">
        <v>469</v>
      </c>
      <c r="I127">
        <f>IFERROR(G127/Base!$B$3,0)</f>
        <v>1693.7488737065523</v>
      </c>
      <c r="J127" t="b">
        <f t="shared" si="1"/>
        <v>1</v>
      </c>
    </row>
    <row r="128" spans="1:10" x14ac:dyDescent="0.2">
      <c r="A128" s="74">
        <v>127</v>
      </c>
      <c r="B128" s="74">
        <v>890800971</v>
      </c>
      <c r="C128" s="74" t="s">
        <v>190</v>
      </c>
      <c r="D128" s="99" t="s">
        <v>470</v>
      </c>
      <c r="E128" s="75" t="s">
        <v>469</v>
      </c>
      <c r="F128" s="76">
        <v>48.624598778239992</v>
      </c>
      <c r="G128" s="75">
        <v>40266808.241840988</v>
      </c>
      <c r="H128" s="77" t="s">
        <v>470</v>
      </c>
      <c r="I128">
        <f>IFERROR(G128/Base!$B$3,0)</f>
        <v>48.624598778239992</v>
      </c>
      <c r="J128" t="b">
        <f t="shared" si="1"/>
        <v>1</v>
      </c>
    </row>
    <row r="129" spans="1:10" x14ac:dyDescent="0.2">
      <c r="A129" s="74">
        <v>128</v>
      </c>
      <c r="B129" s="74">
        <v>900484538</v>
      </c>
      <c r="C129" s="74" t="s">
        <v>648</v>
      </c>
      <c r="D129" s="99" t="s">
        <v>470</v>
      </c>
      <c r="E129" s="75" t="s">
        <v>470</v>
      </c>
      <c r="F129" s="76">
        <v>0</v>
      </c>
      <c r="G129" s="75">
        <v>0</v>
      </c>
      <c r="H129" s="77" t="s">
        <v>470</v>
      </c>
      <c r="I129">
        <f>IFERROR(G129/Base!$B$3,0)</f>
        <v>0</v>
      </c>
      <c r="J129" t="b">
        <f t="shared" si="1"/>
        <v>1</v>
      </c>
    </row>
    <row r="130" spans="1:10" x14ac:dyDescent="0.2">
      <c r="A130" s="74">
        <v>129</v>
      </c>
      <c r="B130" s="74">
        <v>900408053</v>
      </c>
      <c r="C130" s="74" t="s">
        <v>193</v>
      </c>
      <c r="D130" s="99" t="s">
        <v>469</v>
      </c>
      <c r="E130" s="75" t="s">
        <v>469</v>
      </c>
      <c r="F130" s="76">
        <v>34.610966974036572</v>
      </c>
      <c r="G130" s="81">
        <v>28661895.526671268</v>
      </c>
      <c r="H130" s="77" t="s">
        <v>469</v>
      </c>
      <c r="I130">
        <f>IFERROR(G130/Base!$B$3,0)</f>
        <v>34.610966974036572</v>
      </c>
      <c r="J130" t="b">
        <f t="shared" si="1"/>
        <v>1</v>
      </c>
    </row>
    <row r="131" spans="1:10" x14ac:dyDescent="0.2">
      <c r="A131" s="74">
        <v>130</v>
      </c>
      <c r="B131" s="74">
        <v>900390785</v>
      </c>
      <c r="C131" s="74" t="s">
        <v>514</v>
      </c>
      <c r="D131" s="99" t="s">
        <v>469</v>
      </c>
      <c r="E131" s="75" t="s">
        <v>469</v>
      </c>
      <c r="F131" s="76">
        <v>77.440227079191871</v>
      </c>
      <c r="G131" s="81">
        <v>64129491.087912053</v>
      </c>
      <c r="H131" s="77" t="s">
        <v>469</v>
      </c>
      <c r="I131">
        <f>IFERROR(G131/Base!$B$3,0)</f>
        <v>77.440227079191871</v>
      </c>
      <c r="J131" t="b">
        <f t="shared" ref="J131:J194" si="2">F131=I131</f>
        <v>1</v>
      </c>
    </row>
    <row r="132" spans="1:10" x14ac:dyDescent="0.2">
      <c r="A132" s="74">
        <v>131</v>
      </c>
      <c r="B132" s="74">
        <v>806006752</v>
      </c>
      <c r="C132" s="74" t="s">
        <v>196</v>
      </c>
      <c r="D132" s="99" t="s">
        <v>469</v>
      </c>
      <c r="E132" s="75" t="s">
        <v>470</v>
      </c>
      <c r="F132" s="76">
        <v>33.132102072247278</v>
      </c>
      <c r="G132" s="75">
        <v>27437223.839661125</v>
      </c>
      <c r="H132" s="77" t="s">
        <v>470</v>
      </c>
      <c r="I132">
        <f>IFERROR(G132/Base!$B$3,0)</f>
        <v>33.132102072247278</v>
      </c>
      <c r="J132" t="b">
        <f t="shared" si="2"/>
        <v>1</v>
      </c>
    </row>
    <row r="133" spans="1:10" x14ac:dyDescent="0.2">
      <c r="A133" s="74">
        <v>132</v>
      </c>
      <c r="B133" s="74">
        <v>891501542</v>
      </c>
      <c r="C133" s="74" t="s">
        <v>515</v>
      </c>
      <c r="D133" s="99" t="s">
        <v>469</v>
      </c>
      <c r="E133" s="75" t="s">
        <v>469</v>
      </c>
      <c r="F133" s="76">
        <v>428.13763324527031</v>
      </c>
      <c r="G133" s="81">
        <v>354547624.29254025</v>
      </c>
      <c r="H133" s="77" t="s">
        <v>469</v>
      </c>
      <c r="I133">
        <f>IFERROR(G133/Base!$B$3,0)</f>
        <v>428.13763324527031</v>
      </c>
      <c r="J133" t="b">
        <f t="shared" si="2"/>
        <v>1</v>
      </c>
    </row>
    <row r="134" spans="1:10" x14ac:dyDescent="0.2">
      <c r="A134" s="74">
        <v>133</v>
      </c>
      <c r="B134" s="74">
        <v>805020145</v>
      </c>
      <c r="C134" s="74" t="s">
        <v>649</v>
      </c>
      <c r="D134" s="99" t="s">
        <v>470</v>
      </c>
      <c r="E134" s="75" t="s">
        <v>470</v>
      </c>
      <c r="F134" s="76">
        <v>2.900841969381613</v>
      </c>
      <c r="G134" s="75">
        <v>2402233.6483164239</v>
      </c>
      <c r="H134" s="77" t="s">
        <v>470</v>
      </c>
      <c r="I134">
        <f>IFERROR(G134/Base!$B$3,0)</f>
        <v>2.900841969381613</v>
      </c>
      <c r="J134" t="b">
        <f t="shared" si="2"/>
        <v>1</v>
      </c>
    </row>
    <row r="135" spans="1:10" x14ac:dyDescent="0.2">
      <c r="A135" s="74">
        <v>134</v>
      </c>
      <c r="B135" s="74">
        <v>806002258</v>
      </c>
      <c r="C135" s="74" t="s">
        <v>199</v>
      </c>
      <c r="D135" s="99" t="s">
        <v>469</v>
      </c>
      <c r="E135" s="75" t="s">
        <v>469</v>
      </c>
      <c r="F135" s="76">
        <v>407.12407799754607</v>
      </c>
      <c r="G135" s="81">
        <v>337145962.97501588</v>
      </c>
      <c r="H135" s="77" t="s">
        <v>469</v>
      </c>
      <c r="I135">
        <f>IFERROR(G135/Base!$B$3,0)</f>
        <v>407.12407799754607</v>
      </c>
      <c r="J135" t="b">
        <f t="shared" si="2"/>
        <v>1</v>
      </c>
    </row>
    <row r="136" spans="1:10" x14ac:dyDescent="0.2">
      <c r="A136" s="74">
        <v>135</v>
      </c>
      <c r="B136" s="74">
        <v>817004234</v>
      </c>
      <c r="C136" s="74" t="s">
        <v>650</v>
      </c>
      <c r="D136" s="99" t="s">
        <v>470</v>
      </c>
      <c r="E136" s="75" t="s">
        <v>470</v>
      </c>
      <c r="F136" s="76">
        <v>0</v>
      </c>
      <c r="G136" s="75">
        <v>0</v>
      </c>
      <c r="H136" s="77" t="s">
        <v>470</v>
      </c>
      <c r="I136">
        <f>IFERROR(G136/Base!$B$3,0)</f>
        <v>0</v>
      </c>
      <c r="J136" t="b">
        <f t="shared" si="2"/>
        <v>1</v>
      </c>
    </row>
    <row r="137" spans="1:10" x14ac:dyDescent="0.2">
      <c r="A137" s="74">
        <v>136</v>
      </c>
      <c r="B137" s="74">
        <v>823005361</v>
      </c>
      <c r="C137" s="74" t="s">
        <v>516</v>
      </c>
      <c r="D137" s="99" t="s">
        <v>469</v>
      </c>
      <c r="E137" s="75" t="s">
        <v>469</v>
      </c>
      <c r="F137" s="76">
        <v>966.1382905047019</v>
      </c>
      <c r="G137" s="81">
        <v>800074576.57959175</v>
      </c>
      <c r="H137" s="77" t="s">
        <v>469</v>
      </c>
      <c r="I137">
        <f>IFERROR(G137/Base!$B$3,0)</f>
        <v>966.1382905047019</v>
      </c>
      <c r="J137" t="b">
        <f t="shared" si="2"/>
        <v>1</v>
      </c>
    </row>
    <row r="138" spans="1:10" x14ac:dyDescent="0.2">
      <c r="A138" s="74">
        <v>137</v>
      </c>
      <c r="B138" s="74">
        <v>891780111</v>
      </c>
      <c r="C138" s="74" t="s">
        <v>202</v>
      </c>
      <c r="D138" s="99" t="s">
        <v>470</v>
      </c>
      <c r="E138" s="75" t="s">
        <v>469</v>
      </c>
      <c r="F138" s="76">
        <v>0</v>
      </c>
      <c r="G138" s="75">
        <v>0</v>
      </c>
      <c r="H138" s="77" t="s">
        <v>470</v>
      </c>
      <c r="I138">
        <f>IFERROR(G138/Base!$B$3,0)</f>
        <v>0</v>
      </c>
      <c r="J138" t="b">
        <f t="shared" si="2"/>
        <v>1</v>
      </c>
    </row>
    <row r="139" spans="1:10" x14ac:dyDescent="0.2">
      <c r="A139" s="74">
        <v>138</v>
      </c>
      <c r="B139" s="74">
        <v>900652473</v>
      </c>
      <c r="C139" s="74" t="s">
        <v>651</v>
      </c>
      <c r="D139" s="99" t="s">
        <v>470</v>
      </c>
      <c r="E139" s="75" t="s">
        <v>470</v>
      </c>
      <c r="F139" s="76">
        <v>0</v>
      </c>
      <c r="G139" s="75">
        <v>0</v>
      </c>
      <c r="H139" s="77" t="s">
        <v>470</v>
      </c>
      <c r="I139">
        <f>IFERROR(G139/Base!$B$3,0)</f>
        <v>0</v>
      </c>
      <c r="J139" t="b">
        <f t="shared" si="2"/>
        <v>1</v>
      </c>
    </row>
    <row r="140" spans="1:10" x14ac:dyDescent="0.2">
      <c r="A140" s="74">
        <v>139</v>
      </c>
      <c r="B140" s="74">
        <v>900210617</v>
      </c>
      <c r="C140" s="74" t="s">
        <v>205</v>
      </c>
      <c r="D140" s="99" t="s">
        <v>470</v>
      </c>
      <c r="E140" s="75" t="s">
        <v>470</v>
      </c>
      <c r="F140" s="76">
        <v>263.14231315949002</v>
      </c>
      <c r="G140" s="75">
        <v>217912359.80438423</v>
      </c>
      <c r="H140" s="77" t="s">
        <v>470</v>
      </c>
      <c r="I140">
        <f>IFERROR(G140/Base!$B$3,0)</f>
        <v>263.14231315949002</v>
      </c>
      <c r="J140" t="b">
        <f t="shared" si="2"/>
        <v>1</v>
      </c>
    </row>
    <row r="141" spans="1:10" x14ac:dyDescent="0.2">
      <c r="A141" s="74">
        <v>140</v>
      </c>
      <c r="B141" s="74">
        <v>900087966</v>
      </c>
      <c r="C141" s="74" t="s">
        <v>206</v>
      </c>
      <c r="D141" s="99" t="s">
        <v>470</v>
      </c>
      <c r="E141" s="75" t="s">
        <v>470</v>
      </c>
      <c r="F141" s="76">
        <v>0</v>
      </c>
      <c r="G141" s="75">
        <v>0</v>
      </c>
      <c r="H141" s="77" t="s">
        <v>470</v>
      </c>
      <c r="I141">
        <f>IFERROR(G141/Base!$B$3,0)</f>
        <v>0</v>
      </c>
      <c r="J141" t="b">
        <f t="shared" si="2"/>
        <v>1</v>
      </c>
    </row>
    <row r="142" spans="1:10" x14ac:dyDescent="0.2">
      <c r="A142" s="74">
        <v>141</v>
      </c>
      <c r="B142" s="74">
        <v>800180234</v>
      </c>
      <c r="C142" s="74" t="s">
        <v>517</v>
      </c>
      <c r="D142" s="99" t="s">
        <v>469</v>
      </c>
      <c r="E142" s="75" t="s">
        <v>469</v>
      </c>
      <c r="F142" s="76">
        <v>520.2986796182123</v>
      </c>
      <c r="G142" s="81">
        <v>430867661.3707155</v>
      </c>
      <c r="H142" s="77" t="s">
        <v>469</v>
      </c>
      <c r="I142">
        <f>IFERROR(G142/Base!$B$3,0)</f>
        <v>520.2986796182123</v>
      </c>
      <c r="J142" t="b">
        <f t="shared" si="2"/>
        <v>1</v>
      </c>
    </row>
    <row r="143" spans="1:10" x14ac:dyDescent="0.2">
      <c r="A143" s="74">
        <v>142</v>
      </c>
      <c r="B143" s="74">
        <v>825001524</v>
      </c>
      <c r="C143" s="74" t="s">
        <v>652</v>
      </c>
      <c r="D143" s="99" t="s">
        <v>470</v>
      </c>
      <c r="E143" s="75" t="s">
        <v>470</v>
      </c>
      <c r="F143" s="76">
        <v>0</v>
      </c>
      <c r="G143" s="75">
        <v>0</v>
      </c>
      <c r="H143" s="77" t="s">
        <v>470</v>
      </c>
      <c r="I143">
        <f>IFERROR(G143/Base!$B$3,0)</f>
        <v>0</v>
      </c>
      <c r="J143" t="b">
        <f t="shared" si="2"/>
        <v>1</v>
      </c>
    </row>
    <row r="144" spans="1:10" x14ac:dyDescent="0.2">
      <c r="A144" s="74">
        <v>143</v>
      </c>
      <c r="B144" s="74">
        <v>890310770</v>
      </c>
      <c r="C144" s="74" t="s">
        <v>518</v>
      </c>
      <c r="D144" s="99" t="s">
        <v>469</v>
      </c>
      <c r="E144" s="75" t="s">
        <v>469</v>
      </c>
      <c r="F144" s="76">
        <v>998.58915284911905</v>
      </c>
      <c r="G144" s="81">
        <v>826947654.90080106</v>
      </c>
      <c r="H144" s="77" t="s">
        <v>469</v>
      </c>
      <c r="I144">
        <f>IFERROR(G144/Base!$B$3,0)</f>
        <v>998.58915284911905</v>
      </c>
      <c r="J144" t="b">
        <f t="shared" si="2"/>
        <v>1</v>
      </c>
    </row>
    <row r="145" spans="1:10" x14ac:dyDescent="0.2">
      <c r="A145" s="74">
        <v>144</v>
      </c>
      <c r="B145" s="74">
        <v>900696442</v>
      </c>
      <c r="C145" s="74" t="s">
        <v>653</v>
      </c>
      <c r="D145" s="99" t="s">
        <v>469</v>
      </c>
      <c r="E145" s="75" t="s">
        <v>470</v>
      </c>
      <c r="F145" s="76">
        <v>14.864210148754113</v>
      </c>
      <c r="G145" s="75">
        <v>12309290.25154566</v>
      </c>
      <c r="H145" s="77" t="s">
        <v>470</v>
      </c>
      <c r="I145">
        <f>IFERROR(G145/Base!$B$3,0)</f>
        <v>14.864210148754111</v>
      </c>
      <c r="J145" t="b">
        <f t="shared" si="2"/>
        <v>1</v>
      </c>
    </row>
    <row r="146" spans="1:10" x14ac:dyDescent="0.2">
      <c r="A146" s="74">
        <v>145</v>
      </c>
      <c r="B146" s="74">
        <v>809010580</v>
      </c>
      <c r="C146" s="74" t="s">
        <v>519</v>
      </c>
      <c r="D146" s="99" t="s">
        <v>469</v>
      </c>
      <c r="E146" s="75" t="s">
        <v>469</v>
      </c>
      <c r="F146" s="76">
        <v>1293.5334129600326</v>
      </c>
      <c r="G146" s="81">
        <v>1071195715.8068104</v>
      </c>
      <c r="H146" s="77" t="s">
        <v>469</v>
      </c>
      <c r="I146">
        <f>IFERROR(G146/Base!$B$3,0)</f>
        <v>1293.5334129600326</v>
      </c>
      <c r="J146" t="b">
        <f t="shared" si="2"/>
        <v>1</v>
      </c>
    </row>
    <row r="147" spans="1:10" x14ac:dyDescent="0.2">
      <c r="A147" s="74">
        <v>146</v>
      </c>
      <c r="B147" s="74">
        <v>900204540</v>
      </c>
      <c r="C147" s="74" t="s">
        <v>654</v>
      </c>
      <c r="D147" s="99" t="s">
        <v>470</v>
      </c>
      <c r="E147" s="75" t="s">
        <v>469</v>
      </c>
      <c r="F147" s="76">
        <v>64.54373381874089</v>
      </c>
      <c r="G147" s="75">
        <v>53449698.675040431</v>
      </c>
      <c r="H147" s="77" t="s">
        <v>470</v>
      </c>
      <c r="I147">
        <f>IFERROR(G147/Base!$B$3,0)</f>
        <v>64.54373381874089</v>
      </c>
      <c r="J147" t="b">
        <f t="shared" si="2"/>
        <v>1</v>
      </c>
    </row>
    <row r="148" spans="1:10" x14ac:dyDescent="0.2">
      <c r="A148" s="74">
        <v>147</v>
      </c>
      <c r="B148" s="74">
        <v>900503974</v>
      </c>
      <c r="C148" s="74" t="s">
        <v>655</v>
      </c>
      <c r="D148" s="99" t="s">
        <v>469</v>
      </c>
      <c r="E148" s="75" t="s">
        <v>470</v>
      </c>
      <c r="F148" s="76">
        <v>26.13310811214593</v>
      </c>
      <c r="G148" s="75">
        <v>21641244.957397837</v>
      </c>
      <c r="H148" s="77" t="s">
        <v>470</v>
      </c>
      <c r="I148">
        <f>IFERROR(G148/Base!$B$3,0)</f>
        <v>26.133108112145926</v>
      </c>
      <c r="J148" t="b">
        <f t="shared" si="2"/>
        <v>1</v>
      </c>
    </row>
    <row r="149" spans="1:10" x14ac:dyDescent="0.2">
      <c r="A149" s="74">
        <v>148</v>
      </c>
      <c r="B149" s="74">
        <v>900422366</v>
      </c>
      <c r="C149" s="74" t="s">
        <v>656</v>
      </c>
      <c r="D149" s="99" t="s">
        <v>469</v>
      </c>
      <c r="E149" s="75" t="s">
        <v>470</v>
      </c>
      <c r="F149" s="76">
        <v>1067.1615765348372</v>
      </c>
      <c r="G149" s="75">
        <v>883733576.11372328</v>
      </c>
      <c r="H149" s="77" t="s">
        <v>470</v>
      </c>
      <c r="I149">
        <f>IFERROR(G149/Base!$B$3,0)</f>
        <v>1067.1615765348372</v>
      </c>
      <c r="J149" t="b">
        <f t="shared" si="2"/>
        <v>1</v>
      </c>
    </row>
    <row r="150" spans="1:10" x14ac:dyDescent="0.2">
      <c r="A150" s="74">
        <v>149</v>
      </c>
      <c r="B150" s="74">
        <v>900384924</v>
      </c>
      <c r="C150" s="74" t="s">
        <v>520</v>
      </c>
      <c r="D150" s="99" t="s">
        <v>469</v>
      </c>
      <c r="E150" s="75" t="s">
        <v>469</v>
      </c>
      <c r="F150" s="76">
        <v>57.738173338396834</v>
      </c>
      <c r="G150" s="81">
        <v>47813905.152299829</v>
      </c>
      <c r="H150" s="77" t="s">
        <v>469</v>
      </c>
      <c r="I150">
        <f>IFERROR(G150/Base!$B$3,0)</f>
        <v>57.738173338396827</v>
      </c>
      <c r="J150" t="b">
        <f t="shared" si="2"/>
        <v>1</v>
      </c>
    </row>
    <row r="151" spans="1:10" x14ac:dyDescent="0.2">
      <c r="A151" s="74">
        <v>150</v>
      </c>
      <c r="B151" s="74">
        <v>807004124</v>
      </c>
      <c r="C151" s="74" t="s">
        <v>521</v>
      </c>
      <c r="D151" s="99" t="s">
        <v>469</v>
      </c>
      <c r="E151" s="75" t="s">
        <v>469</v>
      </c>
      <c r="F151" s="76">
        <v>389.35870969527923</v>
      </c>
      <c r="G151" s="81">
        <v>322434177.23801583</v>
      </c>
      <c r="H151" s="77" t="s">
        <v>469</v>
      </c>
      <c r="I151">
        <f>IFERROR(G151/Base!$B$3,0)</f>
        <v>389.35870969527917</v>
      </c>
      <c r="J151" t="b">
        <f t="shared" si="2"/>
        <v>1</v>
      </c>
    </row>
    <row r="152" spans="1:10" x14ac:dyDescent="0.2">
      <c r="A152" s="74">
        <v>151</v>
      </c>
      <c r="B152" s="74">
        <v>900550203</v>
      </c>
      <c r="C152" s="74" t="s">
        <v>657</v>
      </c>
      <c r="D152" s="99" t="s">
        <v>470</v>
      </c>
      <c r="E152" s="75" t="s">
        <v>469</v>
      </c>
      <c r="F152" s="76">
        <v>252.2112023566896</v>
      </c>
      <c r="G152" s="75">
        <v>208860132.05081236</v>
      </c>
      <c r="H152" s="77" t="s">
        <v>470</v>
      </c>
      <c r="I152">
        <f>IFERROR(G152/Base!$B$3,0)</f>
        <v>252.2112023566896</v>
      </c>
      <c r="J152" t="b">
        <f t="shared" si="2"/>
        <v>1</v>
      </c>
    </row>
    <row r="153" spans="1:10" x14ac:dyDescent="0.2">
      <c r="A153" s="74">
        <v>152</v>
      </c>
      <c r="B153" s="74">
        <v>822005122</v>
      </c>
      <c r="C153" s="74" t="s">
        <v>658</v>
      </c>
      <c r="D153" s="99" t="s">
        <v>470</v>
      </c>
      <c r="E153" s="75" t="s">
        <v>469</v>
      </c>
      <c r="F153" s="76">
        <v>580.27050709801858</v>
      </c>
      <c r="G153" s="75">
        <v>480531291.25598276</v>
      </c>
      <c r="H153" s="77" t="s">
        <v>470</v>
      </c>
      <c r="I153">
        <f>IFERROR(G153/Base!$B$3,0)</f>
        <v>580.27050709801858</v>
      </c>
      <c r="J153" t="b">
        <f t="shared" si="2"/>
        <v>1</v>
      </c>
    </row>
    <row r="154" spans="1:10" x14ac:dyDescent="0.2">
      <c r="A154" s="74">
        <v>153</v>
      </c>
      <c r="B154" s="74" t="s">
        <v>659</v>
      </c>
      <c r="C154" s="74" t="s">
        <v>660</v>
      </c>
      <c r="D154" s="99" t="s">
        <v>470</v>
      </c>
      <c r="E154" s="75" t="s">
        <v>470</v>
      </c>
      <c r="F154" s="76">
        <v>0</v>
      </c>
      <c r="G154" s="75">
        <v>0</v>
      </c>
      <c r="H154" s="77" t="s">
        <v>470</v>
      </c>
      <c r="I154">
        <f>IFERROR(G154/Base!$B$3,0)</f>
        <v>0</v>
      </c>
      <c r="J154" t="b">
        <f t="shared" si="2"/>
        <v>1</v>
      </c>
    </row>
    <row r="155" spans="1:10" x14ac:dyDescent="0.2">
      <c r="A155" s="74">
        <v>154</v>
      </c>
      <c r="B155" s="74">
        <v>900018453</v>
      </c>
      <c r="C155" s="74" t="s">
        <v>661</v>
      </c>
      <c r="D155" s="99" t="s">
        <v>470</v>
      </c>
      <c r="E155" s="75" t="s">
        <v>470</v>
      </c>
      <c r="F155" s="76">
        <v>663.00753821887099</v>
      </c>
      <c r="G155" s="75">
        <v>549047150.51965857</v>
      </c>
      <c r="H155" s="77" t="s">
        <v>470</v>
      </c>
      <c r="I155">
        <f>IFERROR(G155/Base!$B$3,0)</f>
        <v>663.00753821887099</v>
      </c>
      <c r="J155" t="b">
        <f t="shared" si="2"/>
        <v>1</v>
      </c>
    </row>
    <row r="156" spans="1:10" x14ac:dyDescent="0.2">
      <c r="A156" s="74">
        <v>155</v>
      </c>
      <c r="B156" s="74">
        <v>824002390</v>
      </c>
      <c r="C156" s="74" t="s">
        <v>522</v>
      </c>
      <c r="D156" s="99" t="s">
        <v>469</v>
      </c>
      <c r="E156" s="75" t="s">
        <v>469</v>
      </c>
      <c r="F156" s="76">
        <v>1212.8462523298979</v>
      </c>
      <c r="G156" s="81">
        <v>1004377387.0944257</v>
      </c>
      <c r="H156" s="77" t="s">
        <v>469</v>
      </c>
      <c r="I156">
        <f>IFERROR(G156/Base!$B$3,0)</f>
        <v>1212.8462523298979</v>
      </c>
      <c r="J156" t="b">
        <f t="shared" si="2"/>
        <v>1</v>
      </c>
    </row>
    <row r="157" spans="1:10" x14ac:dyDescent="0.2">
      <c r="A157" s="74">
        <v>156</v>
      </c>
      <c r="B157" s="74">
        <v>900916566</v>
      </c>
      <c r="C157" s="74" t="s">
        <v>662</v>
      </c>
      <c r="D157" s="99" t="s">
        <v>470</v>
      </c>
      <c r="E157" s="75" t="s">
        <v>470</v>
      </c>
      <c r="F157" s="76">
        <v>22.360884313885332</v>
      </c>
      <c r="G157" s="75">
        <v>18517406.074477468</v>
      </c>
      <c r="H157" s="77" t="s">
        <v>470</v>
      </c>
      <c r="I157">
        <f>IFERROR(G157/Base!$B$3,0)</f>
        <v>22.360884313885336</v>
      </c>
      <c r="J157" t="b">
        <f t="shared" si="2"/>
        <v>1</v>
      </c>
    </row>
    <row r="158" spans="1:10" x14ac:dyDescent="0.2">
      <c r="A158" s="74">
        <v>157</v>
      </c>
      <c r="B158" s="74">
        <v>811062258</v>
      </c>
      <c r="C158" s="74" t="s">
        <v>523</v>
      </c>
      <c r="D158" s="99" t="s">
        <v>469</v>
      </c>
      <c r="E158" s="75" t="s">
        <v>469</v>
      </c>
      <c r="F158" s="76">
        <v>453.84979245139618</v>
      </c>
      <c r="G158" s="81">
        <v>375840274.72568041</v>
      </c>
      <c r="H158" s="77" t="s">
        <v>469</v>
      </c>
      <c r="I158">
        <f>IFERROR(G158/Base!$B$3,0)</f>
        <v>453.84979245139618</v>
      </c>
      <c r="J158" t="b">
        <f t="shared" si="2"/>
        <v>1</v>
      </c>
    </row>
    <row r="159" spans="1:10" x14ac:dyDescent="0.2">
      <c r="A159" s="74">
        <v>158</v>
      </c>
      <c r="B159" s="74">
        <v>900043314</v>
      </c>
      <c r="C159" s="74" t="s">
        <v>663</v>
      </c>
      <c r="D159" s="99" t="s">
        <v>470</v>
      </c>
      <c r="E159" s="75" t="s">
        <v>470</v>
      </c>
      <c r="F159" s="76">
        <v>0</v>
      </c>
      <c r="G159" s="75">
        <v>0</v>
      </c>
      <c r="H159" s="77" t="s">
        <v>470</v>
      </c>
      <c r="I159">
        <f>IFERROR(G159/Base!$B$3,0)</f>
        <v>0</v>
      </c>
      <c r="J159" t="b">
        <f t="shared" si="2"/>
        <v>1</v>
      </c>
    </row>
    <row r="160" spans="1:10" x14ac:dyDescent="0.2">
      <c r="A160" s="74">
        <v>159</v>
      </c>
      <c r="B160" s="74">
        <v>822002132</v>
      </c>
      <c r="C160" s="74" t="s">
        <v>524</v>
      </c>
      <c r="D160" s="99" t="s">
        <v>469</v>
      </c>
      <c r="E160" s="75" t="s">
        <v>469</v>
      </c>
      <c r="F160" s="76">
        <v>1851.4264636502328</v>
      </c>
      <c r="G160" s="81">
        <v>1533195877.3721762</v>
      </c>
      <c r="H160" s="77" t="s">
        <v>469</v>
      </c>
      <c r="I160">
        <f>IFERROR(G160/Base!$B$3,0)</f>
        <v>1851.4264636502328</v>
      </c>
      <c r="J160" t="b">
        <f t="shared" si="2"/>
        <v>1</v>
      </c>
    </row>
    <row r="161" spans="1:10" x14ac:dyDescent="0.2">
      <c r="A161" s="74">
        <v>160</v>
      </c>
      <c r="B161" s="74">
        <v>891680186</v>
      </c>
      <c r="C161" s="74" t="s">
        <v>664</v>
      </c>
      <c r="D161" s="99" t="s">
        <v>470</v>
      </c>
      <c r="E161" s="75" t="s">
        <v>469</v>
      </c>
      <c r="F161" s="76">
        <v>325.25004168116271</v>
      </c>
      <c r="G161" s="75">
        <v>269344763.51683772</v>
      </c>
      <c r="H161" s="77" t="s">
        <v>470</v>
      </c>
      <c r="I161">
        <f>IFERROR(G161/Base!$B$3,0)</f>
        <v>325.25004168116266</v>
      </c>
      <c r="J161" t="b">
        <f t="shared" si="2"/>
        <v>1</v>
      </c>
    </row>
    <row r="162" spans="1:10" x14ac:dyDescent="0.2">
      <c r="A162" s="74">
        <v>161</v>
      </c>
      <c r="B162" s="74">
        <v>825001808</v>
      </c>
      <c r="C162" s="74" t="s">
        <v>665</v>
      </c>
      <c r="D162" s="99" t="s">
        <v>470</v>
      </c>
      <c r="E162" s="75" t="s">
        <v>470</v>
      </c>
      <c r="F162" s="76">
        <v>0</v>
      </c>
      <c r="G162" s="75">
        <v>0</v>
      </c>
      <c r="H162" s="77" t="s">
        <v>470</v>
      </c>
      <c r="I162">
        <f>IFERROR(G162/Base!$B$3,0)</f>
        <v>0</v>
      </c>
      <c r="J162" t="b">
        <f t="shared" si="2"/>
        <v>1</v>
      </c>
    </row>
    <row r="163" spans="1:10" x14ac:dyDescent="0.2">
      <c r="A163" s="74">
        <v>162</v>
      </c>
      <c r="B163" s="74">
        <v>807000358</v>
      </c>
      <c r="C163" s="74" t="s">
        <v>525</v>
      </c>
      <c r="D163" s="99" t="s">
        <v>470</v>
      </c>
      <c r="E163" s="75" t="s">
        <v>469</v>
      </c>
      <c r="F163" s="76">
        <v>7902.2827318893433</v>
      </c>
      <c r="G163" s="75">
        <v>6544006766.8012753</v>
      </c>
      <c r="H163" s="77" t="s">
        <v>470</v>
      </c>
      <c r="I163">
        <f>IFERROR(G163/Base!$B$3,0)</f>
        <v>7902.2827318893433</v>
      </c>
      <c r="J163" t="b">
        <f t="shared" si="2"/>
        <v>1</v>
      </c>
    </row>
    <row r="164" spans="1:10" x14ac:dyDescent="0.2">
      <c r="A164" s="74">
        <v>163</v>
      </c>
      <c r="B164" s="74" t="s">
        <v>659</v>
      </c>
      <c r="C164" s="74" t="s">
        <v>666</v>
      </c>
      <c r="D164" s="99" t="s">
        <v>470</v>
      </c>
      <c r="E164" s="75" t="s">
        <v>470</v>
      </c>
      <c r="F164" s="76">
        <v>0</v>
      </c>
      <c r="G164" s="75">
        <v>0</v>
      </c>
      <c r="H164" s="77" t="s">
        <v>470</v>
      </c>
      <c r="I164">
        <f>IFERROR(G164/Base!$B$3,0)</f>
        <v>0</v>
      </c>
      <c r="J164" t="b">
        <f t="shared" si="2"/>
        <v>1</v>
      </c>
    </row>
    <row r="165" spans="1:10" x14ac:dyDescent="0.2">
      <c r="A165" s="74">
        <v>164</v>
      </c>
      <c r="B165" s="74">
        <v>900126291</v>
      </c>
      <c r="C165" s="74" t="s">
        <v>667</v>
      </c>
      <c r="D165" s="99" t="s">
        <v>470</v>
      </c>
      <c r="E165" s="75" t="s">
        <v>470</v>
      </c>
      <c r="F165" s="76">
        <v>0</v>
      </c>
      <c r="G165" s="75">
        <v>0</v>
      </c>
      <c r="H165" s="77" t="s">
        <v>470</v>
      </c>
      <c r="I165">
        <f>IFERROR(G165/Base!$B$3,0)</f>
        <v>0</v>
      </c>
      <c r="J165" t="b">
        <f t="shared" si="2"/>
        <v>1</v>
      </c>
    </row>
    <row r="166" spans="1:10" x14ac:dyDescent="0.2">
      <c r="A166" s="74">
        <v>165</v>
      </c>
      <c r="B166" s="74">
        <v>890500516</v>
      </c>
      <c r="C166" s="74" t="s">
        <v>668</v>
      </c>
      <c r="D166" s="99" t="s">
        <v>470</v>
      </c>
      <c r="E166" s="75" t="s">
        <v>469</v>
      </c>
      <c r="F166" s="76">
        <v>1190.6182180971837</v>
      </c>
      <c r="G166" s="75">
        <v>985969996.2977674</v>
      </c>
      <c r="H166" s="77" t="s">
        <v>470</v>
      </c>
      <c r="I166">
        <f>IFERROR(G166/Base!$B$3,0)</f>
        <v>1190.6182180971837</v>
      </c>
      <c r="J166" t="b">
        <f t="shared" si="2"/>
        <v>1</v>
      </c>
    </row>
    <row r="167" spans="1:10" x14ac:dyDescent="0.2">
      <c r="A167" s="74">
        <v>166</v>
      </c>
      <c r="B167" s="74">
        <v>819004113</v>
      </c>
      <c r="C167" s="74" t="s">
        <v>669</v>
      </c>
      <c r="D167" s="99" t="s">
        <v>470</v>
      </c>
      <c r="E167" s="75" t="s">
        <v>470</v>
      </c>
      <c r="F167" s="76">
        <v>0</v>
      </c>
      <c r="G167" s="75">
        <v>0</v>
      </c>
      <c r="H167" s="77" t="s">
        <v>470</v>
      </c>
      <c r="I167">
        <f>IFERROR(G167/Base!$B$3,0)</f>
        <v>0</v>
      </c>
      <c r="J167" t="b">
        <f t="shared" si="2"/>
        <v>1</v>
      </c>
    </row>
    <row r="168" spans="1:10" x14ac:dyDescent="0.2">
      <c r="A168" s="74">
        <v>167</v>
      </c>
      <c r="B168" s="74">
        <v>900655545</v>
      </c>
      <c r="C168" s="74" t="s">
        <v>670</v>
      </c>
      <c r="D168" s="99" t="s">
        <v>470</v>
      </c>
      <c r="E168" s="75" t="s">
        <v>470</v>
      </c>
      <c r="F168" s="76">
        <v>0</v>
      </c>
      <c r="G168" s="75">
        <v>0</v>
      </c>
      <c r="H168" s="77" t="s">
        <v>470</v>
      </c>
      <c r="I168">
        <f>IFERROR(G168/Base!$B$3,0)</f>
        <v>0</v>
      </c>
      <c r="J168" t="b">
        <f t="shared" si="2"/>
        <v>1</v>
      </c>
    </row>
    <row r="169" spans="1:10" x14ac:dyDescent="0.2">
      <c r="A169" s="74">
        <v>168</v>
      </c>
      <c r="B169" s="74">
        <v>830510399</v>
      </c>
      <c r="C169" s="74" t="s">
        <v>671</v>
      </c>
      <c r="D169" s="99" t="s">
        <v>470</v>
      </c>
      <c r="E169" s="75" t="s">
        <v>469</v>
      </c>
      <c r="F169" s="76">
        <v>0</v>
      </c>
      <c r="G169" s="75">
        <v>0</v>
      </c>
      <c r="H169" s="77" t="s">
        <v>470</v>
      </c>
      <c r="I169">
        <f>IFERROR(G169/Base!$B$3,0)</f>
        <v>0</v>
      </c>
      <c r="J169" t="b">
        <f t="shared" si="2"/>
        <v>1</v>
      </c>
    </row>
    <row r="170" spans="1:10" x14ac:dyDescent="0.2">
      <c r="A170" s="74">
        <v>169</v>
      </c>
      <c r="B170" s="74">
        <v>900656694</v>
      </c>
      <c r="C170" s="74" t="s">
        <v>672</v>
      </c>
      <c r="D170" s="99" t="s">
        <v>470</v>
      </c>
      <c r="E170" s="75" t="s">
        <v>470</v>
      </c>
      <c r="F170" s="76">
        <v>0</v>
      </c>
      <c r="G170" s="75">
        <v>0</v>
      </c>
      <c r="H170" s="77" t="s">
        <v>470</v>
      </c>
      <c r="I170">
        <f>IFERROR(G170/Base!$B$3,0)</f>
        <v>0</v>
      </c>
      <c r="J170" t="b">
        <f t="shared" si="2"/>
        <v>1</v>
      </c>
    </row>
    <row r="171" spans="1:10" x14ac:dyDescent="0.2">
      <c r="A171" s="74">
        <v>170</v>
      </c>
      <c r="B171" s="74">
        <v>900020330</v>
      </c>
      <c r="C171" s="74" t="s">
        <v>244</v>
      </c>
      <c r="D171" s="99" t="s">
        <v>470</v>
      </c>
      <c r="E171" s="75" t="s">
        <v>470</v>
      </c>
      <c r="F171" s="76">
        <v>637.0492097668872</v>
      </c>
      <c r="G171" s="75">
        <v>527550643.39531559</v>
      </c>
      <c r="H171" s="77" t="s">
        <v>470</v>
      </c>
      <c r="I171">
        <f>IFERROR(G171/Base!$B$3,0)</f>
        <v>637.0492097668872</v>
      </c>
      <c r="J171" t="b">
        <f t="shared" si="2"/>
        <v>1</v>
      </c>
    </row>
    <row r="172" spans="1:10" x14ac:dyDescent="0.2">
      <c r="A172" s="74">
        <v>171</v>
      </c>
      <c r="B172" s="74">
        <v>900273706</v>
      </c>
      <c r="C172" s="74" t="s">
        <v>526</v>
      </c>
      <c r="D172" s="99" t="s">
        <v>469</v>
      </c>
      <c r="E172" s="75" t="s">
        <v>469</v>
      </c>
      <c r="F172" s="76">
        <v>215.68745544969698</v>
      </c>
      <c r="G172" s="81">
        <v>178614232.85718128</v>
      </c>
      <c r="H172" s="77" t="s">
        <v>469</v>
      </c>
      <c r="I172">
        <f>IFERROR(G172/Base!$B$3,0)</f>
        <v>215.68745544969701</v>
      </c>
      <c r="J172" t="b">
        <f t="shared" si="2"/>
        <v>1</v>
      </c>
    </row>
    <row r="173" spans="1:10" x14ac:dyDescent="0.2">
      <c r="A173" s="74">
        <v>172</v>
      </c>
      <c r="B173" s="74">
        <v>800009090</v>
      </c>
      <c r="C173" s="74" t="s">
        <v>527</v>
      </c>
      <c r="D173" s="99" t="s">
        <v>470</v>
      </c>
      <c r="E173" s="75" t="s">
        <v>469</v>
      </c>
      <c r="F173" s="76">
        <v>0</v>
      </c>
      <c r="G173" s="75">
        <v>0</v>
      </c>
      <c r="H173" s="77" t="s">
        <v>470</v>
      </c>
      <c r="I173">
        <f>IFERROR(G173/Base!$B$3,0)</f>
        <v>0</v>
      </c>
      <c r="J173" t="b">
        <f t="shared" si="2"/>
        <v>1</v>
      </c>
    </row>
    <row r="174" spans="1:10" x14ac:dyDescent="0.2">
      <c r="A174" s="74">
        <v>173</v>
      </c>
      <c r="B174" s="74">
        <v>819006201</v>
      </c>
      <c r="C174" s="74" t="s">
        <v>673</v>
      </c>
      <c r="D174" s="99" t="s">
        <v>470</v>
      </c>
      <c r="E174" s="75" t="s">
        <v>470</v>
      </c>
      <c r="F174" s="76">
        <v>0</v>
      </c>
      <c r="G174" s="75">
        <v>0</v>
      </c>
      <c r="H174" s="77" t="s">
        <v>470</v>
      </c>
      <c r="I174">
        <f>IFERROR(G174/Base!$B$3,0)</f>
        <v>0</v>
      </c>
      <c r="J174" t="b">
        <f t="shared" si="2"/>
        <v>1</v>
      </c>
    </row>
    <row r="175" spans="1:10" x14ac:dyDescent="0.2">
      <c r="A175" s="74">
        <v>174</v>
      </c>
      <c r="B175" s="74">
        <v>900573093</v>
      </c>
      <c r="C175" s="74" t="s">
        <v>674</v>
      </c>
      <c r="D175" s="99" t="s">
        <v>470</v>
      </c>
      <c r="E175" s="75" t="s">
        <v>470</v>
      </c>
      <c r="F175" s="76">
        <v>0</v>
      </c>
      <c r="G175" s="75">
        <v>0</v>
      </c>
      <c r="H175" s="77" t="s">
        <v>470</v>
      </c>
      <c r="I175">
        <f>IFERROR(G175/Base!$B$3,0)</f>
        <v>0</v>
      </c>
      <c r="J175" t="b">
        <f t="shared" si="2"/>
        <v>1</v>
      </c>
    </row>
    <row r="176" spans="1:10" x14ac:dyDescent="0.2">
      <c r="A176" s="74">
        <v>175</v>
      </c>
      <c r="B176" s="74">
        <v>900179840</v>
      </c>
      <c r="C176" s="74" t="s">
        <v>528</v>
      </c>
      <c r="D176" s="99" t="s">
        <v>469</v>
      </c>
      <c r="E176" s="75" t="s">
        <v>469</v>
      </c>
      <c r="F176" s="76">
        <v>72.287789694843198</v>
      </c>
      <c r="G176" s="81">
        <v>59862675.250934772</v>
      </c>
      <c r="H176" s="77" t="s">
        <v>469</v>
      </c>
      <c r="I176">
        <f>IFERROR(G176/Base!$B$3,0)</f>
        <v>72.287789694843198</v>
      </c>
      <c r="J176" t="b">
        <f t="shared" si="2"/>
        <v>1</v>
      </c>
    </row>
    <row r="177" spans="1:10" x14ac:dyDescent="0.2">
      <c r="A177" s="74">
        <v>176</v>
      </c>
      <c r="B177" s="74">
        <v>891501766</v>
      </c>
      <c r="C177" s="74" t="s">
        <v>675</v>
      </c>
      <c r="D177" s="99" t="s">
        <v>470</v>
      </c>
      <c r="E177" s="75" t="s">
        <v>470</v>
      </c>
      <c r="F177" s="76">
        <v>1162.0732015521796</v>
      </c>
      <c r="G177" s="75">
        <v>962331411.37658477</v>
      </c>
      <c r="H177" s="77" t="s">
        <v>470</v>
      </c>
      <c r="I177">
        <f>IFERROR(G177/Base!$B$3,0)</f>
        <v>1162.0732015521796</v>
      </c>
      <c r="J177" t="b">
        <f t="shared" si="2"/>
        <v>1</v>
      </c>
    </row>
    <row r="178" spans="1:10" x14ac:dyDescent="0.2">
      <c r="A178" s="74">
        <v>177</v>
      </c>
      <c r="B178" s="74">
        <v>806008896</v>
      </c>
      <c r="C178" s="74" t="s">
        <v>529</v>
      </c>
      <c r="D178" s="99" t="s">
        <v>469</v>
      </c>
      <c r="E178" s="75" t="s">
        <v>469</v>
      </c>
      <c r="F178" s="76">
        <v>160.38924397832298</v>
      </c>
      <c r="G178" s="81">
        <v>132820899.16635291</v>
      </c>
      <c r="H178" s="77" t="s">
        <v>469</v>
      </c>
      <c r="I178">
        <f>IFERROR(G178/Base!$B$3,0)</f>
        <v>160.38924397832298</v>
      </c>
      <c r="J178" t="b">
        <f t="shared" si="2"/>
        <v>1</v>
      </c>
    </row>
    <row r="179" spans="1:10" x14ac:dyDescent="0.2">
      <c r="A179" s="74">
        <v>178</v>
      </c>
      <c r="B179" s="74">
        <v>900937890</v>
      </c>
      <c r="C179" s="74" t="s">
        <v>252</v>
      </c>
      <c r="D179" s="99" t="s">
        <v>469</v>
      </c>
      <c r="E179" s="75" t="s">
        <v>470</v>
      </c>
      <c r="F179" s="76">
        <v>329.94066673212842</v>
      </c>
      <c r="G179" s="75">
        <v>273229145.17154324</v>
      </c>
      <c r="H179" s="77" t="s">
        <v>470</v>
      </c>
      <c r="I179">
        <f>IFERROR(G179/Base!$B$3,0)</f>
        <v>329.94066673212842</v>
      </c>
      <c r="J179" t="b">
        <f t="shared" si="2"/>
        <v>1</v>
      </c>
    </row>
    <row r="180" spans="1:10" x14ac:dyDescent="0.2">
      <c r="A180" s="74">
        <v>179</v>
      </c>
      <c r="B180" s="74">
        <v>806016595</v>
      </c>
      <c r="C180" s="74" t="s">
        <v>676</v>
      </c>
      <c r="D180" s="99" t="s">
        <v>470</v>
      </c>
      <c r="E180" s="75" t="s">
        <v>469</v>
      </c>
      <c r="F180" s="76">
        <v>876.08826421849813</v>
      </c>
      <c r="G180" s="75">
        <v>725502709.0115658</v>
      </c>
      <c r="H180" s="77" t="s">
        <v>470</v>
      </c>
      <c r="I180">
        <f>IFERROR(G180/Base!$B$3,0)</f>
        <v>876.08826421849813</v>
      </c>
      <c r="J180" t="b">
        <f t="shared" si="2"/>
        <v>1</v>
      </c>
    </row>
    <row r="181" spans="1:10" x14ac:dyDescent="0.2">
      <c r="A181" s="74">
        <v>180</v>
      </c>
      <c r="B181" s="74">
        <v>900237305</v>
      </c>
      <c r="C181" s="74" t="s">
        <v>677</v>
      </c>
      <c r="D181" s="99" t="s">
        <v>470</v>
      </c>
      <c r="E181" s="75" t="s">
        <v>470</v>
      </c>
      <c r="F181" s="76">
        <v>0</v>
      </c>
      <c r="G181" s="75">
        <v>0</v>
      </c>
      <c r="H181" s="77" t="s">
        <v>470</v>
      </c>
      <c r="I181">
        <f>IFERROR(G181/Base!$B$3,0)</f>
        <v>0</v>
      </c>
      <c r="J181" t="b">
        <f t="shared" si="2"/>
        <v>1</v>
      </c>
    </row>
    <row r="182" spans="1:10" x14ac:dyDescent="0.2">
      <c r="A182" s="74">
        <v>181</v>
      </c>
      <c r="B182" s="74">
        <v>900509527</v>
      </c>
      <c r="C182" s="74" t="s">
        <v>530</v>
      </c>
      <c r="D182" s="99" t="s">
        <v>469</v>
      </c>
      <c r="E182" s="75" t="s">
        <v>469</v>
      </c>
      <c r="F182" s="76">
        <v>193.04885909216716</v>
      </c>
      <c r="G182" s="81">
        <v>159866848.99596912</v>
      </c>
      <c r="H182" s="77" t="s">
        <v>469</v>
      </c>
      <c r="I182">
        <f>IFERROR(G182/Base!$B$3,0)</f>
        <v>193.04885909216719</v>
      </c>
      <c r="J182" t="b">
        <f t="shared" si="2"/>
        <v>1</v>
      </c>
    </row>
    <row r="183" spans="1:10" x14ac:dyDescent="0.2">
      <c r="A183" s="74">
        <v>182</v>
      </c>
      <c r="B183" s="74">
        <v>802003290</v>
      </c>
      <c r="C183" s="74" t="s">
        <v>678</v>
      </c>
      <c r="D183" s="99" t="s">
        <v>470</v>
      </c>
      <c r="E183" s="75" t="s">
        <v>470</v>
      </c>
      <c r="F183" s="76">
        <v>838.56850555873848</v>
      </c>
      <c r="G183" s="75">
        <v>694431996.54928029</v>
      </c>
      <c r="H183" s="77" t="s">
        <v>470</v>
      </c>
      <c r="I183">
        <f>IFERROR(G183/Base!$B$3,0)</f>
        <v>838.56850555873848</v>
      </c>
      <c r="J183" t="b">
        <f t="shared" si="2"/>
        <v>1</v>
      </c>
    </row>
    <row r="184" spans="1:10" x14ac:dyDescent="0.2">
      <c r="A184" s="74">
        <v>183</v>
      </c>
      <c r="B184" s="74">
        <v>806013417</v>
      </c>
      <c r="C184" s="74" t="s">
        <v>531</v>
      </c>
      <c r="D184" s="99" t="s">
        <v>469</v>
      </c>
      <c r="E184" s="75" t="s">
        <v>469</v>
      </c>
      <c r="F184" s="76">
        <v>372.47445894551754</v>
      </c>
      <c r="G184" s="81">
        <v>308452059.04412621</v>
      </c>
      <c r="H184" s="77" t="s">
        <v>469</v>
      </c>
      <c r="I184">
        <f>IFERROR(G184/Base!$B$3,0)</f>
        <v>372.47445894551754</v>
      </c>
      <c r="J184" t="b">
        <f t="shared" si="2"/>
        <v>1</v>
      </c>
    </row>
    <row r="185" spans="1:10" x14ac:dyDescent="0.2">
      <c r="A185" s="74">
        <v>184</v>
      </c>
      <c r="B185" s="74">
        <v>828000312</v>
      </c>
      <c r="C185" s="74" t="s">
        <v>679</v>
      </c>
      <c r="D185" s="99" t="s">
        <v>470</v>
      </c>
      <c r="E185" s="75" t="s">
        <v>470</v>
      </c>
      <c r="F185" s="76">
        <v>963.4727723740242</v>
      </c>
      <c r="G185" s="75">
        <v>797867218.3672874</v>
      </c>
      <c r="H185" s="77" t="s">
        <v>470</v>
      </c>
      <c r="I185">
        <f>IFERROR(G185/Base!$B$3,0)</f>
        <v>963.4727723740242</v>
      </c>
      <c r="J185" t="b">
        <f t="shared" si="2"/>
        <v>1</v>
      </c>
    </row>
    <row r="186" spans="1:10" x14ac:dyDescent="0.2">
      <c r="A186" s="74">
        <v>185</v>
      </c>
      <c r="B186" s="74">
        <v>802010646</v>
      </c>
      <c r="C186" s="74" t="s">
        <v>532</v>
      </c>
      <c r="D186" s="99" t="s">
        <v>469</v>
      </c>
      <c r="E186" s="75" t="s">
        <v>469</v>
      </c>
      <c r="F186" s="76">
        <v>486.13944493617754</v>
      </c>
      <c r="G186" s="81">
        <v>402579852.58276761</v>
      </c>
      <c r="H186" s="77" t="s">
        <v>469</v>
      </c>
      <c r="I186">
        <f>IFERROR(G186/Base!$B$3,0)</f>
        <v>486.13944493617754</v>
      </c>
      <c r="J186" t="b">
        <f t="shared" si="2"/>
        <v>1</v>
      </c>
    </row>
    <row r="187" spans="1:10" x14ac:dyDescent="0.2">
      <c r="A187" s="74">
        <v>186</v>
      </c>
      <c r="B187" s="74">
        <v>802012721</v>
      </c>
      <c r="C187" s="74" t="s">
        <v>260</v>
      </c>
      <c r="D187" s="99" t="s">
        <v>469</v>
      </c>
      <c r="E187" s="75" t="s">
        <v>469</v>
      </c>
      <c r="F187" s="76">
        <v>5.211937845998512</v>
      </c>
      <c r="G187" s="81">
        <v>4316089.1212769039</v>
      </c>
      <c r="H187" s="77" t="s">
        <v>469</v>
      </c>
      <c r="I187">
        <f>IFERROR(G187/Base!$B$3,0)</f>
        <v>5.211937845998512</v>
      </c>
      <c r="J187" t="b">
        <f t="shared" si="2"/>
        <v>1</v>
      </c>
    </row>
    <row r="188" spans="1:10" x14ac:dyDescent="0.2">
      <c r="A188" s="74">
        <v>187</v>
      </c>
      <c r="B188" s="74">
        <v>900980753</v>
      </c>
      <c r="C188" s="74" t="s">
        <v>680</v>
      </c>
      <c r="D188" s="99" t="s">
        <v>470</v>
      </c>
      <c r="E188" s="75" t="s">
        <v>469</v>
      </c>
      <c r="F188" s="76">
        <v>20.071344962507091</v>
      </c>
      <c r="G188" s="75">
        <v>16621401.904971521</v>
      </c>
      <c r="H188" s="77" t="s">
        <v>470</v>
      </c>
      <c r="I188">
        <f>IFERROR(G188/Base!$B$3,0)</f>
        <v>20.071344962507091</v>
      </c>
      <c r="J188" t="b">
        <f t="shared" si="2"/>
        <v>1</v>
      </c>
    </row>
    <row r="189" spans="1:10" x14ac:dyDescent="0.2">
      <c r="A189" s="74">
        <v>188</v>
      </c>
      <c r="B189" s="74">
        <v>805021199</v>
      </c>
      <c r="C189" s="74" t="s">
        <v>533</v>
      </c>
      <c r="D189" s="99" t="s">
        <v>469</v>
      </c>
      <c r="E189" s="75" t="s">
        <v>469</v>
      </c>
      <c r="F189" s="76">
        <v>292.2845724869739</v>
      </c>
      <c r="G189" s="81">
        <v>242045531.02962288</v>
      </c>
      <c r="H189" s="77" t="s">
        <v>469</v>
      </c>
      <c r="I189">
        <f>IFERROR(G189/Base!$B$3,0)</f>
        <v>292.2845724869739</v>
      </c>
      <c r="J189" t="b">
        <f t="shared" si="2"/>
        <v>1</v>
      </c>
    </row>
    <row r="190" spans="1:10" x14ac:dyDescent="0.2">
      <c r="A190" s="74">
        <v>189</v>
      </c>
      <c r="B190" s="74">
        <v>900959868</v>
      </c>
      <c r="C190" s="74" t="s">
        <v>265</v>
      </c>
      <c r="D190" s="99" t="s">
        <v>469</v>
      </c>
      <c r="E190" s="75" t="s">
        <v>469</v>
      </c>
      <c r="F190" s="76">
        <v>20.971427424717252</v>
      </c>
      <c r="G190" s="81">
        <v>17366774.593247153</v>
      </c>
      <c r="H190" s="77" t="s">
        <v>469</v>
      </c>
      <c r="I190">
        <f>IFERROR(G190/Base!$B$3,0)</f>
        <v>20.971427424717252</v>
      </c>
      <c r="J190" t="b">
        <f t="shared" si="2"/>
        <v>1</v>
      </c>
    </row>
    <row r="191" spans="1:10" x14ac:dyDescent="0.2">
      <c r="A191" s="74">
        <v>190</v>
      </c>
      <c r="B191" s="74">
        <v>800184332</v>
      </c>
      <c r="C191" s="74" t="s">
        <v>534</v>
      </c>
      <c r="D191" s="99" t="s">
        <v>469</v>
      </c>
      <c r="E191" s="75" t="s">
        <v>469</v>
      </c>
      <c r="F191" s="76">
        <v>333.63804482346859</v>
      </c>
      <c r="G191" s="81">
        <v>276291003.12703151</v>
      </c>
      <c r="H191" s="77" t="s">
        <v>469</v>
      </c>
      <c r="I191">
        <f>IFERROR(G191/Base!$B$3,0)</f>
        <v>333.63804482346859</v>
      </c>
      <c r="J191" t="b">
        <f t="shared" si="2"/>
        <v>1</v>
      </c>
    </row>
    <row r="192" spans="1:10" x14ac:dyDescent="0.2">
      <c r="A192" s="74">
        <v>191</v>
      </c>
      <c r="B192" s="74">
        <v>900394860</v>
      </c>
      <c r="C192" s="74" t="s">
        <v>681</v>
      </c>
      <c r="D192" s="99" t="s">
        <v>470</v>
      </c>
      <c r="E192" s="75" t="s">
        <v>469</v>
      </c>
      <c r="F192" s="76">
        <v>770.09018382513614</v>
      </c>
      <c r="G192" s="75">
        <v>637724002.66853642</v>
      </c>
      <c r="H192" s="77" t="s">
        <v>470</v>
      </c>
      <c r="I192">
        <f>IFERROR(G192/Base!$B$3,0)</f>
        <v>770.09018382513614</v>
      </c>
      <c r="J192" t="b">
        <f t="shared" si="2"/>
        <v>1</v>
      </c>
    </row>
    <row r="193" spans="1:10" x14ac:dyDescent="0.2">
      <c r="A193" s="74">
        <v>192</v>
      </c>
      <c r="B193" s="74">
        <v>805023114</v>
      </c>
      <c r="C193" s="74" t="s">
        <v>270</v>
      </c>
      <c r="D193" s="99" t="s">
        <v>470</v>
      </c>
      <c r="E193" s="75" t="s">
        <v>469</v>
      </c>
      <c r="F193" s="76">
        <v>227.75150619446472</v>
      </c>
      <c r="G193" s="75">
        <v>188604666.30373535</v>
      </c>
      <c r="H193" s="77" t="s">
        <v>470</v>
      </c>
      <c r="I193">
        <f>IFERROR(G193/Base!$B$3,0)</f>
        <v>227.75150619446472</v>
      </c>
      <c r="J193" t="b">
        <f t="shared" si="2"/>
        <v>1</v>
      </c>
    </row>
    <row r="194" spans="1:10" x14ac:dyDescent="0.2">
      <c r="A194" s="74">
        <v>193</v>
      </c>
      <c r="B194" s="74">
        <v>900541439</v>
      </c>
      <c r="C194" s="74" t="s">
        <v>682</v>
      </c>
      <c r="D194" s="99" t="s">
        <v>470</v>
      </c>
      <c r="E194" s="75" t="s">
        <v>469</v>
      </c>
      <c r="F194" s="76">
        <v>127.98844285027461</v>
      </c>
      <c r="G194" s="75">
        <v>105989277.33939801</v>
      </c>
      <c r="H194" s="77" t="s">
        <v>470</v>
      </c>
      <c r="I194">
        <f>IFERROR(G194/Base!$B$3,0)</f>
        <v>127.98844285027461</v>
      </c>
      <c r="J194" t="b">
        <f t="shared" si="2"/>
        <v>1</v>
      </c>
    </row>
    <row r="195" spans="1:10" x14ac:dyDescent="0.2">
      <c r="A195" s="74">
        <v>194</v>
      </c>
      <c r="B195" s="74">
        <v>900237534</v>
      </c>
      <c r="C195" s="74" t="s">
        <v>535</v>
      </c>
      <c r="D195" s="99" t="s">
        <v>469</v>
      </c>
      <c r="E195" s="75" t="s">
        <v>469</v>
      </c>
      <c r="F195" s="76">
        <v>823.15009495664674</v>
      </c>
      <c r="G195" s="81">
        <v>681663764.03511846</v>
      </c>
      <c r="H195" s="77" t="s">
        <v>469</v>
      </c>
      <c r="I195">
        <f>IFERROR(G195/Base!$B$3,0)</f>
        <v>823.15009495664674</v>
      </c>
      <c r="J195" t="b">
        <f t="shared" ref="J195:J258" si="3">F195=I195</f>
        <v>1</v>
      </c>
    </row>
    <row r="196" spans="1:10" x14ac:dyDescent="0.2">
      <c r="A196" s="74">
        <v>195</v>
      </c>
      <c r="B196" s="74">
        <v>900621294</v>
      </c>
      <c r="C196" s="74" t="s">
        <v>536</v>
      </c>
      <c r="D196" s="99" t="s">
        <v>469</v>
      </c>
      <c r="E196" s="75" t="s">
        <v>469</v>
      </c>
      <c r="F196" s="76">
        <v>47.113916488465769</v>
      </c>
      <c r="G196" s="81">
        <v>39015788.066762321</v>
      </c>
      <c r="H196" s="77" t="s">
        <v>469</v>
      </c>
      <c r="I196">
        <f>IFERROR(G196/Base!$B$3,0)</f>
        <v>47.113916488465769</v>
      </c>
      <c r="J196" t="b">
        <f t="shared" si="3"/>
        <v>1</v>
      </c>
    </row>
    <row r="197" spans="1:10" x14ac:dyDescent="0.2">
      <c r="A197" s="74">
        <v>196</v>
      </c>
      <c r="B197" s="74">
        <v>802021105</v>
      </c>
      <c r="C197" s="74" t="s">
        <v>683</v>
      </c>
      <c r="D197" s="99" t="s">
        <v>470</v>
      </c>
      <c r="E197" s="75" t="s">
        <v>470</v>
      </c>
      <c r="F197" s="76">
        <v>0</v>
      </c>
      <c r="G197" s="75">
        <v>0</v>
      </c>
      <c r="H197" s="77" t="s">
        <v>470</v>
      </c>
      <c r="I197">
        <f>IFERROR(G197/Base!$B$3,0)</f>
        <v>0</v>
      </c>
      <c r="J197" t="b">
        <f t="shared" si="3"/>
        <v>1</v>
      </c>
    </row>
    <row r="198" spans="1:10" x14ac:dyDescent="0.2">
      <c r="A198" s="74">
        <v>197</v>
      </c>
      <c r="B198" s="74">
        <v>823001710</v>
      </c>
      <c r="C198" s="74" t="s">
        <v>684</v>
      </c>
      <c r="D198" s="99" t="s">
        <v>470</v>
      </c>
      <c r="E198" s="75" t="s">
        <v>470</v>
      </c>
      <c r="F198" s="76">
        <v>0</v>
      </c>
      <c r="G198" s="75">
        <v>0</v>
      </c>
      <c r="H198" s="77" t="s">
        <v>470</v>
      </c>
      <c r="I198">
        <f>IFERROR(G198/Base!$B$3,0)</f>
        <v>0</v>
      </c>
      <c r="J198" t="b">
        <f t="shared" si="3"/>
        <v>1</v>
      </c>
    </row>
    <row r="199" spans="1:10" x14ac:dyDescent="0.2">
      <c r="A199" s="74">
        <v>198</v>
      </c>
      <c r="B199" s="74">
        <v>900413418</v>
      </c>
      <c r="C199" s="74" t="s">
        <v>537</v>
      </c>
      <c r="D199" s="99" t="s">
        <v>469</v>
      </c>
      <c r="E199" s="75" t="s">
        <v>469</v>
      </c>
      <c r="F199" s="76">
        <v>216.17840964577658</v>
      </c>
      <c r="G199" s="81">
        <v>179020799.88222191</v>
      </c>
      <c r="H199" s="77" t="s">
        <v>469</v>
      </c>
      <c r="I199">
        <f>IFERROR(G199/Base!$B$3,0)</f>
        <v>216.17840964577655</v>
      </c>
      <c r="J199" t="b">
        <f t="shared" si="3"/>
        <v>1</v>
      </c>
    </row>
    <row r="200" spans="1:10" x14ac:dyDescent="0.2">
      <c r="A200" s="74">
        <v>199</v>
      </c>
      <c r="B200" s="74">
        <v>800251628</v>
      </c>
      <c r="C200" s="74" t="s">
        <v>538</v>
      </c>
      <c r="D200" s="99" t="s">
        <v>469</v>
      </c>
      <c r="E200" s="75" t="s">
        <v>469</v>
      </c>
      <c r="F200" s="76">
        <v>719.12279007733059</v>
      </c>
      <c r="G200" s="81">
        <v>595517088.4276787</v>
      </c>
      <c r="H200" s="77" t="s">
        <v>469</v>
      </c>
      <c r="I200">
        <f>IFERROR(G200/Base!$B$3,0)</f>
        <v>719.12279007733059</v>
      </c>
      <c r="J200" t="b">
        <f t="shared" si="3"/>
        <v>1</v>
      </c>
    </row>
    <row r="201" spans="1:10" x14ac:dyDescent="0.2">
      <c r="A201" s="74">
        <v>200</v>
      </c>
      <c r="B201" s="74">
        <v>802011827</v>
      </c>
      <c r="C201" s="74" t="s">
        <v>539</v>
      </c>
      <c r="D201" s="99" t="s">
        <v>470</v>
      </c>
      <c r="E201" s="75" t="s">
        <v>469</v>
      </c>
      <c r="F201" s="76">
        <v>0</v>
      </c>
      <c r="G201" s="75">
        <v>0</v>
      </c>
      <c r="H201" s="77" t="s">
        <v>470</v>
      </c>
      <c r="I201">
        <f>IFERROR(G201/Base!$B$3,0)</f>
        <v>0</v>
      </c>
      <c r="J201" t="b">
        <f t="shared" si="3"/>
        <v>1</v>
      </c>
    </row>
    <row r="202" spans="1:10" x14ac:dyDescent="0.2">
      <c r="A202" s="74">
        <v>201</v>
      </c>
      <c r="B202" s="74">
        <v>818002136</v>
      </c>
      <c r="C202" s="74" t="s">
        <v>685</v>
      </c>
      <c r="D202" s="99" t="s">
        <v>470</v>
      </c>
      <c r="E202" s="75" t="s">
        <v>470</v>
      </c>
      <c r="F202" s="76">
        <v>0</v>
      </c>
      <c r="G202" s="75">
        <v>0</v>
      </c>
      <c r="H202" s="77" t="s">
        <v>470</v>
      </c>
      <c r="I202">
        <f>IFERROR(G202/Base!$B$3,0)</f>
        <v>0</v>
      </c>
      <c r="J202" t="b">
        <f t="shared" si="3"/>
        <v>1</v>
      </c>
    </row>
    <row r="203" spans="1:10" x14ac:dyDescent="0.2">
      <c r="A203" s="74">
        <v>202</v>
      </c>
      <c r="B203" s="74">
        <v>900135278</v>
      </c>
      <c r="C203" s="74" t="s">
        <v>686</v>
      </c>
      <c r="D203" s="99" t="s">
        <v>470</v>
      </c>
      <c r="E203" s="75" t="s">
        <v>469</v>
      </c>
      <c r="F203" s="76">
        <v>0</v>
      </c>
      <c r="G203" s="75">
        <v>0</v>
      </c>
      <c r="H203" s="77" t="s">
        <v>470</v>
      </c>
      <c r="I203">
        <f>IFERROR(G203/Base!$B$3,0)</f>
        <v>0</v>
      </c>
      <c r="J203" t="b">
        <f t="shared" si="3"/>
        <v>1</v>
      </c>
    </row>
    <row r="204" spans="1:10" x14ac:dyDescent="0.2">
      <c r="A204" s="74">
        <v>203</v>
      </c>
      <c r="B204" s="74">
        <v>900407911</v>
      </c>
      <c r="C204" s="74" t="s">
        <v>687</v>
      </c>
      <c r="D204" s="99" t="s">
        <v>470</v>
      </c>
      <c r="E204" s="75" t="s">
        <v>470</v>
      </c>
      <c r="F204" s="76">
        <v>0</v>
      </c>
      <c r="G204" s="75">
        <v>0</v>
      </c>
      <c r="H204" s="77" t="s">
        <v>470</v>
      </c>
      <c r="I204">
        <f>IFERROR(G204/Base!$B$3,0)</f>
        <v>0</v>
      </c>
      <c r="J204" t="b">
        <f t="shared" si="3"/>
        <v>1</v>
      </c>
    </row>
    <row r="205" spans="1:10" x14ac:dyDescent="0.2">
      <c r="A205" s="74">
        <v>204</v>
      </c>
      <c r="B205" s="74">
        <v>901021554</v>
      </c>
      <c r="C205" s="74" t="s">
        <v>688</v>
      </c>
      <c r="D205" s="99" t="s">
        <v>470</v>
      </c>
      <c r="E205" s="75" t="s">
        <v>470</v>
      </c>
      <c r="F205" s="76">
        <v>0</v>
      </c>
      <c r="G205" s="75">
        <v>0</v>
      </c>
      <c r="H205" s="77" t="s">
        <v>470</v>
      </c>
      <c r="I205">
        <f>IFERROR(G205/Base!$B$3,0)</f>
        <v>0</v>
      </c>
      <c r="J205" t="b">
        <f t="shared" si="3"/>
        <v>1</v>
      </c>
    </row>
    <row r="206" spans="1:10" x14ac:dyDescent="0.2">
      <c r="A206" s="74">
        <v>205</v>
      </c>
      <c r="B206" s="74">
        <v>825001517</v>
      </c>
      <c r="C206" s="74" t="s">
        <v>540</v>
      </c>
      <c r="D206" s="99" t="s">
        <v>469</v>
      </c>
      <c r="E206" s="75" t="s">
        <v>469</v>
      </c>
      <c r="F206" s="76">
        <v>172.18577899467951</v>
      </c>
      <c r="G206" s="81">
        <v>142589798.55795801</v>
      </c>
      <c r="H206" s="77" t="s">
        <v>469</v>
      </c>
      <c r="I206">
        <f>IFERROR(G206/Base!$B$3,0)</f>
        <v>172.18577899467951</v>
      </c>
      <c r="J206" t="b">
        <f t="shared" si="3"/>
        <v>1</v>
      </c>
    </row>
    <row r="207" spans="1:10" x14ac:dyDescent="0.2">
      <c r="A207" s="74">
        <v>206</v>
      </c>
      <c r="B207" s="74">
        <v>900244596</v>
      </c>
      <c r="C207" s="74" t="s">
        <v>689</v>
      </c>
      <c r="D207" s="99" t="s">
        <v>470</v>
      </c>
      <c r="E207" s="75" t="s">
        <v>469</v>
      </c>
      <c r="F207" s="76">
        <v>40.291969428578888</v>
      </c>
      <c r="G207" s="75">
        <v>33366424.555317033</v>
      </c>
      <c r="H207" s="77" t="s">
        <v>470</v>
      </c>
      <c r="I207">
        <f>IFERROR(G207/Base!$B$3,0)</f>
        <v>40.291969428578888</v>
      </c>
      <c r="J207" t="b">
        <f t="shared" si="3"/>
        <v>1</v>
      </c>
    </row>
    <row r="208" spans="1:10" x14ac:dyDescent="0.2">
      <c r="A208" s="74">
        <v>207</v>
      </c>
      <c r="B208" s="74">
        <v>900225567</v>
      </c>
      <c r="C208" s="74" t="s">
        <v>541</v>
      </c>
      <c r="D208" s="99" t="s">
        <v>469</v>
      </c>
      <c r="E208" s="75" t="s">
        <v>469</v>
      </c>
      <c r="F208" s="76">
        <v>138.71049568132847</v>
      </c>
      <c r="G208" s="81">
        <v>114868380.84163901</v>
      </c>
      <c r="H208" s="77" t="s">
        <v>469</v>
      </c>
      <c r="I208">
        <f>IFERROR(G208/Base!$B$3,0)</f>
        <v>138.71049568132847</v>
      </c>
      <c r="J208" t="b">
        <f t="shared" si="3"/>
        <v>1</v>
      </c>
    </row>
    <row r="209" spans="1:10" x14ac:dyDescent="0.2">
      <c r="A209" s="74">
        <v>208</v>
      </c>
      <c r="B209" s="74">
        <v>900200181</v>
      </c>
      <c r="C209" s="74" t="s">
        <v>690</v>
      </c>
      <c r="D209" s="99" t="s">
        <v>470</v>
      </c>
      <c r="E209" s="75" t="s">
        <v>470</v>
      </c>
      <c r="F209" s="76">
        <v>0</v>
      </c>
      <c r="G209" s="75">
        <v>0</v>
      </c>
      <c r="H209" s="77" t="s">
        <v>470</v>
      </c>
      <c r="I209">
        <f>IFERROR(G209/Base!$B$3,0)</f>
        <v>0</v>
      </c>
      <c r="J209" t="b">
        <f t="shared" si="3"/>
        <v>1</v>
      </c>
    </row>
    <row r="210" spans="1:10" x14ac:dyDescent="0.2">
      <c r="A210" s="74">
        <v>209</v>
      </c>
      <c r="B210" s="74">
        <v>890802356</v>
      </c>
      <c r="C210" s="74" t="s">
        <v>542</v>
      </c>
      <c r="D210" s="99" t="s">
        <v>469</v>
      </c>
      <c r="E210" s="75" t="s">
        <v>469</v>
      </c>
      <c r="F210" s="76">
        <v>1023.0953544749674</v>
      </c>
      <c r="G210" s="81">
        <v>847241632.56639206</v>
      </c>
      <c r="H210" s="77" t="s">
        <v>469</v>
      </c>
      <c r="I210">
        <f>IFERROR(G210/Base!$B$3,0)</f>
        <v>1023.0953544749674</v>
      </c>
      <c r="J210" t="b">
        <f t="shared" si="3"/>
        <v>1</v>
      </c>
    </row>
    <row r="211" spans="1:10" x14ac:dyDescent="0.2">
      <c r="A211" s="74">
        <v>210</v>
      </c>
      <c r="B211" s="74">
        <v>802018059</v>
      </c>
      <c r="C211" s="74" t="s">
        <v>295</v>
      </c>
      <c r="D211" s="99" t="s">
        <v>469</v>
      </c>
      <c r="E211" s="75" t="s">
        <v>469</v>
      </c>
      <c r="F211" s="76">
        <v>183.19637467997649</v>
      </c>
      <c r="G211" s="81">
        <v>151707849.01448342</v>
      </c>
      <c r="H211" s="77" t="s">
        <v>469</v>
      </c>
      <c r="I211">
        <f>IFERROR(G211/Base!$B$3,0)</f>
        <v>183.19637467997651</v>
      </c>
      <c r="J211" t="b">
        <f t="shared" si="3"/>
        <v>0</v>
      </c>
    </row>
    <row r="212" spans="1:10" x14ac:dyDescent="0.2">
      <c r="A212" s="74">
        <v>211</v>
      </c>
      <c r="B212" s="74">
        <v>900285238</v>
      </c>
      <c r="C212" s="74" t="s">
        <v>297</v>
      </c>
      <c r="D212" s="99" t="s">
        <v>470</v>
      </c>
      <c r="E212" s="75" t="s">
        <v>470</v>
      </c>
      <c r="F212" s="76">
        <v>0</v>
      </c>
      <c r="G212" s="75">
        <v>0</v>
      </c>
      <c r="H212" s="77" t="s">
        <v>470</v>
      </c>
      <c r="I212">
        <f>IFERROR(G212/Base!$B$3,0)</f>
        <v>0</v>
      </c>
      <c r="J212" t="b">
        <f t="shared" si="3"/>
        <v>1</v>
      </c>
    </row>
    <row r="213" spans="1:10" x14ac:dyDescent="0.2">
      <c r="A213" s="74">
        <v>212</v>
      </c>
      <c r="B213" s="74">
        <v>900640221</v>
      </c>
      <c r="C213" s="74" t="s">
        <v>299</v>
      </c>
      <c r="D213" s="99" t="s">
        <v>469</v>
      </c>
      <c r="E213" s="75" t="s">
        <v>470</v>
      </c>
      <c r="F213" s="76">
        <v>184.32753253612</v>
      </c>
      <c r="G213" s="75">
        <v>152644578.93368155</v>
      </c>
      <c r="H213" s="77" t="s">
        <v>470</v>
      </c>
      <c r="I213">
        <f>IFERROR(G213/Base!$B$3,0)</f>
        <v>184.32753253612</v>
      </c>
      <c r="J213" t="b">
        <f t="shared" si="3"/>
        <v>1</v>
      </c>
    </row>
    <row r="214" spans="1:10" x14ac:dyDescent="0.2">
      <c r="A214" s="74">
        <v>213</v>
      </c>
      <c r="B214" s="74">
        <v>823003096</v>
      </c>
      <c r="C214" s="74" t="s">
        <v>691</v>
      </c>
      <c r="D214" s="99" t="s">
        <v>470</v>
      </c>
      <c r="E214" s="75" t="s">
        <v>469</v>
      </c>
      <c r="F214" s="76">
        <v>0</v>
      </c>
      <c r="G214" s="75">
        <v>0</v>
      </c>
      <c r="H214" s="77" t="s">
        <v>470</v>
      </c>
      <c r="I214">
        <f>IFERROR(G214/Base!$B$3,0)</f>
        <v>0</v>
      </c>
      <c r="J214" t="b">
        <f t="shared" si="3"/>
        <v>1</v>
      </c>
    </row>
    <row r="215" spans="1:10" x14ac:dyDescent="0.2">
      <c r="A215" s="74">
        <v>214</v>
      </c>
      <c r="B215" s="74">
        <v>806015985</v>
      </c>
      <c r="C215" s="74" t="s">
        <v>692</v>
      </c>
      <c r="D215" s="99" t="s">
        <v>470</v>
      </c>
      <c r="E215" s="75" t="s">
        <v>470</v>
      </c>
      <c r="F215" s="76">
        <v>0</v>
      </c>
      <c r="G215" s="75">
        <v>0</v>
      </c>
      <c r="H215" s="77" t="s">
        <v>470</v>
      </c>
      <c r="I215">
        <f>IFERROR(G215/Base!$B$3,0)</f>
        <v>0</v>
      </c>
      <c r="J215" t="b">
        <f t="shared" si="3"/>
        <v>1</v>
      </c>
    </row>
    <row r="216" spans="1:10" x14ac:dyDescent="0.2">
      <c r="A216" s="74">
        <v>215</v>
      </c>
      <c r="B216" s="74">
        <v>830123253</v>
      </c>
      <c r="C216" s="74" t="s">
        <v>693</v>
      </c>
      <c r="D216" s="99" t="s">
        <v>470</v>
      </c>
      <c r="E216" s="75" t="s">
        <v>469</v>
      </c>
      <c r="F216" s="76">
        <v>173.70381709165963</v>
      </c>
      <c r="G216" s="75">
        <v>143846910.19467682</v>
      </c>
      <c r="H216" s="77" t="s">
        <v>470</v>
      </c>
      <c r="I216">
        <f>IFERROR(G216/Base!$B$3,0)</f>
        <v>173.70381709165963</v>
      </c>
      <c r="J216" t="b">
        <f t="shared" si="3"/>
        <v>1</v>
      </c>
    </row>
    <row r="217" spans="1:10" x14ac:dyDescent="0.2">
      <c r="A217" s="74">
        <v>216</v>
      </c>
      <c r="B217" s="74">
        <v>818002076</v>
      </c>
      <c r="C217" s="74" t="s">
        <v>694</v>
      </c>
      <c r="D217" s="99" t="s">
        <v>470</v>
      </c>
      <c r="E217" s="75" t="s">
        <v>469</v>
      </c>
      <c r="F217" s="76">
        <v>692.23006443585984</v>
      </c>
      <c r="G217" s="75">
        <v>573246792.04036653</v>
      </c>
      <c r="H217" s="77" t="s">
        <v>470</v>
      </c>
      <c r="I217">
        <f>IFERROR(G217/Base!$B$3,0)</f>
        <v>692.23006443585984</v>
      </c>
      <c r="J217" t="b">
        <f t="shared" si="3"/>
        <v>1</v>
      </c>
    </row>
    <row r="218" spans="1:10" x14ac:dyDescent="0.2">
      <c r="A218" s="74">
        <v>217</v>
      </c>
      <c r="B218" s="74">
        <v>890327635</v>
      </c>
      <c r="C218" s="74" t="s">
        <v>543</v>
      </c>
      <c r="D218" s="99" t="s">
        <v>469</v>
      </c>
      <c r="E218" s="75" t="s">
        <v>469</v>
      </c>
      <c r="F218" s="76">
        <v>1174.988813821207</v>
      </c>
      <c r="G218" s="81">
        <v>973027036.54636264</v>
      </c>
      <c r="H218" s="77" t="s">
        <v>469</v>
      </c>
      <c r="I218">
        <f>IFERROR(G218/Base!$B$3,0)</f>
        <v>1174.988813821207</v>
      </c>
      <c r="J218" t="b">
        <f t="shared" si="3"/>
        <v>1</v>
      </c>
    </row>
    <row r="219" spans="1:10" x14ac:dyDescent="0.2">
      <c r="A219" s="74">
        <v>218</v>
      </c>
      <c r="B219" s="74">
        <v>813009965</v>
      </c>
      <c r="C219" s="74" t="s">
        <v>695</v>
      </c>
      <c r="D219" s="99" t="s">
        <v>470</v>
      </c>
      <c r="E219" s="75" t="s">
        <v>469</v>
      </c>
      <c r="F219" s="76">
        <v>259.07494954071939</v>
      </c>
      <c r="G219" s="75">
        <v>214544110.91386238</v>
      </c>
      <c r="H219" s="77" t="s">
        <v>470</v>
      </c>
      <c r="I219">
        <f>IFERROR(G219/Base!$B$3,0)</f>
        <v>259.07494954071939</v>
      </c>
      <c r="J219" t="b">
        <f t="shared" si="3"/>
        <v>1</v>
      </c>
    </row>
    <row r="220" spans="1:10" x14ac:dyDescent="0.2">
      <c r="A220" s="74">
        <v>219</v>
      </c>
      <c r="B220" s="74">
        <v>832007250</v>
      </c>
      <c r="C220" s="74" t="s">
        <v>696</v>
      </c>
      <c r="D220" s="99" t="s">
        <v>470</v>
      </c>
      <c r="E220" s="75" t="s">
        <v>469</v>
      </c>
      <c r="F220" s="76">
        <v>490.5654419753987</v>
      </c>
      <c r="G220" s="75">
        <v>406245091.54689926</v>
      </c>
      <c r="H220" s="77" t="s">
        <v>470</v>
      </c>
      <c r="I220">
        <f>IFERROR(G220/Base!$B$3,0)</f>
        <v>490.5654419753987</v>
      </c>
      <c r="J220" t="b">
        <f t="shared" si="3"/>
        <v>1</v>
      </c>
    </row>
    <row r="221" spans="1:10" x14ac:dyDescent="0.2">
      <c r="A221" s="74">
        <v>220</v>
      </c>
      <c r="B221" s="74">
        <v>901050350</v>
      </c>
      <c r="C221" s="74" t="s">
        <v>697</v>
      </c>
      <c r="D221" s="99" t="s">
        <v>470</v>
      </c>
      <c r="E221" s="75" t="s">
        <v>470</v>
      </c>
      <c r="F221" s="76">
        <v>0</v>
      </c>
      <c r="G221" s="75">
        <v>0</v>
      </c>
      <c r="H221" s="77" t="s">
        <v>470</v>
      </c>
      <c r="I221">
        <f>IFERROR(G221/Base!$B$3,0)</f>
        <v>0</v>
      </c>
      <c r="J221" t="b">
        <f t="shared" si="3"/>
        <v>1</v>
      </c>
    </row>
    <row r="222" spans="1:10" x14ac:dyDescent="0.2">
      <c r="A222" s="74">
        <v>221</v>
      </c>
      <c r="B222" s="74">
        <v>819005772</v>
      </c>
      <c r="C222" s="74" t="s">
        <v>314</v>
      </c>
      <c r="D222" s="99" t="s">
        <v>470</v>
      </c>
      <c r="E222" s="75" t="s">
        <v>470</v>
      </c>
      <c r="F222" s="76">
        <v>0</v>
      </c>
      <c r="G222" s="75">
        <v>0</v>
      </c>
      <c r="H222" s="77" t="s">
        <v>470</v>
      </c>
      <c r="I222">
        <f>IFERROR(G222/Base!$B$3,0)</f>
        <v>0</v>
      </c>
      <c r="J222" t="b">
        <f t="shared" si="3"/>
        <v>1</v>
      </c>
    </row>
    <row r="223" spans="1:10" x14ac:dyDescent="0.2">
      <c r="A223" s="74">
        <v>222</v>
      </c>
      <c r="B223" s="74">
        <v>890500675</v>
      </c>
      <c r="C223" s="74" t="s">
        <v>698</v>
      </c>
      <c r="D223" s="99" t="s">
        <v>470</v>
      </c>
      <c r="E223" s="75" t="s">
        <v>469</v>
      </c>
      <c r="F223" s="76">
        <v>0</v>
      </c>
      <c r="G223" s="75">
        <v>0</v>
      </c>
      <c r="H223" s="77" t="s">
        <v>470</v>
      </c>
      <c r="I223">
        <f>IFERROR(G223/Base!$B$3,0)</f>
        <v>0</v>
      </c>
      <c r="J223" t="b">
        <f t="shared" si="3"/>
        <v>1</v>
      </c>
    </row>
    <row r="224" spans="1:10" x14ac:dyDescent="0.2">
      <c r="A224" s="74">
        <v>223</v>
      </c>
      <c r="B224" s="74">
        <v>900103852</v>
      </c>
      <c r="C224" s="74" t="s">
        <v>318</v>
      </c>
      <c r="D224" s="99" t="s">
        <v>470</v>
      </c>
      <c r="E224" s="75" t="s">
        <v>469</v>
      </c>
      <c r="F224" s="76">
        <v>0</v>
      </c>
      <c r="G224" s="75">
        <v>0</v>
      </c>
      <c r="H224" s="77" t="s">
        <v>470</v>
      </c>
      <c r="I224">
        <f>IFERROR(G224/Base!$B$3,0)</f>
        <v>0</v>
      </c>
      <c r="J224" t="b">
        <f t="shared" si="3"/>
        <v>1</v>
      </c>
    </row>
    <row r="225" spans="1:10" x14ac:dyDescent="0.2">
      <c r="A225" s="74">
        <v>224</v>
      </c>
      <c r="B225" s="74">
        <v>900043721</v>
      </c>
      <c r="C225" s="74" t="s">
        <v>603</v>
      </c>
      <c r="D225" s="99" t="s">
        <v>470</v>
      </c>
      <c r="E225" s="75" t="s">
        <v>470</v>
      </c>
      <c r="F225" s="76">
        <v>0</v>
      </c>
      <c r="G225" s="75">
        <v>0</v>
      </c>
      <c r="H225" s="77" t="s">
        <v>470</v>
      </c>
      <c r="I225">
        <f>IFERROR(G225/Base!$B$3,0)</f>
        <v>0</v>
      </c>
      <c r="J225" t="b">
        <f t="shared" si="3"/>
        <v>1</v>
      </c>
    </row>
    <row r="226" spans="1:10" x14ac:dyDescent="0.2">
      <c r="A226" s="74">
        <v>225</v>
      </c>
      <c r="B226" s="74">
        <v>900125247</v>
      </c>
      <c r="C226" s="74" t="s">
        <v>319</v>
      </c>
      <c r="D226" s="99" t="s">
        <v>470</v>
      </c>
      <c r="E226" s="75" t="s">
        <v>470</v>
      </c>
      <c r="F226" s="76">
        <v>0</v>
      </c>
      <c r="G226" s="75">
        <v>0</v>
      </c>
      <c r="H226" s="77" t="s">
        <v>470</v>
      </c>
      <c r="I226">
        <f>IFERROR(G226/Base!$B$3,0)</f>
        <v>0</v>
      </c>
      <c r="J226" t="b">
        <f t="shared" si="3"/>
        <v>1</v>
      </c>
    </row>
    <row r="227" spans="1:10" x14ac:dyDescent="0.2">
      <c r="A227" s="74">
        <v>226</v>
      </c>
      <c r="B227" s="74">
        <v>900916233</v>
      </c>
      <c r="C227" s="74" t="s">
        <v>699</v>
      </c>
      <c r="D227" s="99" t="s">
        <v>470</v>
      </c>
      <c r="E227" s="75" t="s">
        <v>469</v>
      </c>
      <c r="F227" s="76">
        <v>26.283965665114629</v>
      </c>
      <c r="G227" s="75">
        <v>21766172.510732066</v>
      </c>
      <c r="H227" s="77" t="s">
        <v>470</v>
      </c>
      <c r="I227">
        <f>IFERROR(G227/Base!$B$3,0)</f>
        <v>26.283965665114629</v>
      </c>
      <c r="J227" t="b">
        <f t="shared" si="3"/>
        <v>1</v>
      </c>
    </row>
    <row r="228" spans="1:10" x14ac:dyDescent="0.2">
      <c r="A228" s="74">
        <v>227</v>
      </c>
      <c r="B228" s="74">
        <v>804011414</v>
      </c>
      <c r="C228" s="74" t="s">
        <v>700</v>
      </c>
      <c r="D228" s="99" t="s">
        <v>470</v>
      </c>
      <c r="E228" s="75" t="s">
        <v>470</v>
      </c>
      <c r="F228" s="76">
        <v>949.25564500706298</v>
      </c>
      <c r="G228" s="75">
        <v>786093787.72066891</v>
      </c>
      <c r="H228" s="77" t="s">
        <v>470</v>
      </c>
      <c r="I228">
        <f>IFERROR(G228/Base!$B$3,0)</f>
        <v>949.25564500706287</v>
      </c>
      <c r="J228" t="b">
        <f t="shared" si="3"/>
        <v>1</v>
      </c>
    </row>
    <row r="229" spans="1:10" x14ac:dyDescent="0.2">
      <c r="A229" s="74">
        <v>228</v>
      </c>
      <c r="B229" s="74">
        <v>900252699</v>
      </c>
      <c r="C229" s="74" t="s">
        <v>323</v>
      </c>
      <c r="D229" s="99" t="s">
        <v>470</v>
      </c>
      <c r="E229" s="75" t="s">
        <v>470</v>
      </c>
      <c r="F229" s="76">
        <v>38.798789477768295</v>
      </c>
      <c r="G229" s="75">
        <v>32129898.347171571</v>
      </c>
      <c r="H229" s="77" t="s">
        <v>470</v>
      </c>
      <c r="I229">
        <f>IFERROR(G229/Base!$B$3,0)</f>
        <v>38.798789477768295</v>
      </c>
      <c r="J229" t="b">
        <f t="shared" si="3"/>
        <v>1</v>
      </c>
    </row>
    <row r="230" spans="1:10" x14ac:dyDescent="0.2">
      <c r="A230" s="74">
        <v>229</v>
      </c>
      <c r="B230" s="74">
        <v>800193248</v>
      </c>
      <c r="C230" s="74" t="s">
        <v>701</v>
      </c>
      <c r="D230" s="99" t="s">
        <v>470</v>
      </c>
      <c r="E230" s="75" t="s">
        <v>469</v>
      </c>
      <c r="F230" s="76">
        <v>490.86630720894118</v>
      </c>
      <c r="G230" s="75">
        <v>406494242.86063951</v>
      </c>
      <c r="H230" s="77" t="s">
        <v>470</v>
      </c>
      <c r="I230">
        <f>IFERROR(G230/Base!$B$3,0)</f>
        <v>490.86630720894118</v>
      </c>
      <c r="J230" t="b">
        <f t="shared" si="3"/>
        <v>1</v>
      </c>
    </row>
    <row r="231" spans="1:10" x14ac:dyDescent="0.2">
      <c r="A231" s="74">
        <v>230</v>
      </c>
      <c r="B231" s="74">
        <v>900462645</v>
      </c>
      <c r="C231" s="74" t="s">
        <v>702</v>
      </c>
      <c r="D231" s="99" t="s">
        <v>470</v>
      </c>
      <c r="E231" s="75" t="s">
        <v>469</v>
      </c>
      <c r="F231" s="76">
        <v>160.75636770259655</v>
      </c>
      <c r="G231" s="75">
        <v>133124920.19640344</v>
      </c>
      <c r="H231" s="77" t="s">
        <v>470</v>
      </c>
      <c r="I231">
        <f>IFERROR(G231/Base!$B$3,0)</f>
        <v>160.75636770259655</v>
      </c>
      <c r="J231" t="b">
        <f t="shared" si="3"/>
        <v>1</v>
      </c>
    </row>
    <row r="232" spans="1:10" x14ac:dyDescent="0.2">
      <c r="A232" s="74">
        <v>231</v>
      </c>
      <c r="B232" s="74">
        <v>830504778</v>
      </c>
      <c r="C232" s="74" t="s">
        <v>703</v>
      </c>
      <c r="D232" s="99" t="s">
        <v>470</v>
      </c>
      <c r="E232" s="75" t="s">
        <v>469</v>
      </c>
      <c r="F232" s="76">
        <v>0</v>
      </c>
      <c r="G232" s="75">
        <v>0</v>
      </c>
      <c r="H232" s="77" t="s">
        <v>470</v>
      </c>
      <c r="I232">
        <f>IFERROR(G232/Base!$B$3,0)</f>
        <v>0</v>
      </c>
      <c r="J232" t="b">
        <f t="shared" si="3"/>
        <v>1</v>
      </c>
    </row>
    <row r="233" spans="1:10" x14ac:dyDescent="0.2">
      <c r="A233" s="74">
        <v>232</v>
      </c>
      <c r="B233" s="74">
        <v>812006950</v>
      </c>
      <c r="C233" s="74" t="s">
        <v>704</v>
      </c>
      <c r="D233" s="99" t="s">
        <v>470</v>
      </c>
      <c r="E233" s="75" t="s">
        <v>470</v>
      </c>
      <c r="F233" s="76">
        <v>154.27481729652146</v>
      </c>
      <c r="G233" s="75">
        <v>127757444.60032617</v>
      </c>
      <c r="H233" s="77" t="s">
        <v>470</v>
      </c>
      <c r="I233">
        <f>IFERROR(G233/Base!$B$3,0)</f>
        <v>154.27481729652146</v>
      </c>
      <c r="J233" t="b">
        <f t="shared" si="3"/>
        <v>1</v>
      </c>
    </row>
    <row r="234" spans="1:10" x14ac:dyDescent="0.2">
      <c r="A234" s="74">
        <v>233</v>
      </c>
      <c r="B234" s="74">
        <v>823001222</v>
      </c>
      <c r="C234" s="74" t="s">
        <v>544</v>
      </c>
      <c r="D234" s="99" t="s">
        <v>469</v>
      </c>
      <c r="E234" s="75" t="s">
        <v>469</v>
      </c>
      <c r="F234" s="76">
        <v>17.405056357970857</v>
      </c>
      <c r="G234" s="81">
        <v>14413405.650937393</v>
      </c>
      <c r="H234" s="77" t="s">
        <v>469</v>
      </c>
      <c r="I234">
        <f>IFERROR(G234/Base!$B$3,0)</f>
        <v>17.405056357970857</v>
      </c>
      <c r="J234" t="b">
        <f t="shared" si="3"/>
        <v>1</v>
      </c>
    </row>
    <row r="235" spans="1:10" x14ac:dyDescent="0.2">
      <c r="A235" s="74">
        <v>234</v>
      </c>
      <c r="B235" s="74">
        <v>814006275</v>
      </c>
      <c r="C235" s="74" t="s">
        <v>705</v>
      </c>
      <c r="D235" s="99" t="s">
        <v>470</v>
      </c>
      <c r="E235" s="75" t="s">
        <v>469</v>
      </c>
      <c r="F235" s="76">
        <v>0</v>
      </c>
      <c r="G235" s="75">
        <v>0</v>
      </c>
      <c r="H235" s="77" t="s">
        <v>470</v>
      </c>
      <c r="I235">
        <f>IFERROR(G235/Base!$B$3,0)</f>
        <v>0</v>
      </c>
      <c r="J235" t="b">
        <f t="shared" si="3"/>
        <v>1</v>
      </c>
    </row>
    <row r="236" spans="1:10" x14ac:dyDescent="0.2">
      <c r="A236" s="74">
        <v>235</v>
      </c>
      <c r="B236" s="74">
        <v>830143202</v>
      </c>
      <c r="C236" s="74" t="s">
        <v>478</v>
      </c>
      <c r="D236" s="99" t="s">
        <v>469</v>
      </c>
      <c r="E236" s="75" t="s">
        <v>469</v>
      </c>
      <c r="F236" s="76">
        <v>384.94320679325875</v>
      </c>
      <c r="G236" s="81">
        <v>318777628.63680625</v>
      </c>
      <c r="H236" s="77" t="s">
        <v>469</v>
      </c>
      <c r="I236">
        <f>IFERROR(G236/Base!$B$3,0)</f>
        <v>384.94320679325875</v>
      </c>
      <c r="J236" t="b">
        <f t="shared" si="3"/>
        <v>1</v>
      </c>
    </row>
    <row r="237" spans="1:10" x14ac:dyDescent="0.2">
      <c r="A237" s="74">
        <v>236</v>
      </c>
      <c r="B237" s="74">
        <v>900659065</v>
      </c>
      <c r="C237" s="74" t="s">
        <v>706</v>
      </c>
      <c r="D237" s="99" t="s">
        <v>470</v>
      </c>
      <c r="E237" s="75" t="s">
        <v>470</v>
      </c>
      <c r="F237" s="76">
        <v>0</v>
      </c>
      <c r="G237" s="75">
        <v>0</v>
      </c>
      <c r="H237" s="77" t="s">
        <v>470</v>
      </c>
      <c r="I237">
        <f>IFERROR(G237/Base!$B$3,0)</f>
        <v>0</v>
      </c>
      <c r="J237" t="b">
        <f t="shared" si="3"/>
        <v>1</v>
      </c>
    </row>
    <row r="238" spans="1:10" x14ac:dyDescent="0.2">
      <c r="A238" s="74">
        <v>237</v>
      </c>
      <c r="B238" s="74">
        <v>900119880</v>
      </c>
      <c r="C238" s="74" t="s">
        <v>545</v>
      </c>
      <c r="D238" s="99" t="s">
        <v>469</v>
      </c>
      <c r="E238" s="75" t="s">
        <v>469</v>
      </c>
      <c r="F238" s="76">
        <v>33.557353797093356</v>
      </c>
      <c r="G238" s="81">
        <v>27789381.597033761</v>
      </c>
      <c r="H238" s="77" t="s">
        <v>469</v>
      </c>
      <c r="I238">
        <f>IFERROR(G238/Base!$B$3,0)</f>
        <v>33.557353797093356</v>
      </c>
      <c r="J238" t="b">
        <f t="shared" si="3"/>
        <v>1</v>
      </c>
    </row>
    <row r="239" spans="1:10" x14ac:dyDescent="0.2">
      <c r="A239" s="74">
        <v>238</v>
      </c>
      <c r="B239" s="74">
        <v>802005487</v>
      </c>
      <c r="C239" s="74" t="s">
        <v>707</v>
      </c>
      <c r="D239" s="99" t="s">
        <v>470</v>
      </c>
      <c r="E239" s="75" t="s">
        <v>469</v>
      </c>
      <c r="F239" s="76">
        <v>0</v>
      </c>
      <c r="G239" s="75">
        <v>0</v>
      </c>
      <c r="H239" s="77" t="s">
        <v>470</v>
      </c>
      <c r="I239">
        <f>IFERROR(G239/Base!$B$3,0)</f>
        <v>0</v>
      </c>
      <c r="J239" t="b">
        <f t="shared" si="3"/>
        <v>1</v>
      </c>
    </row>
    <row r="240" spans="1:10" x14ac:dyDescent="0.2">
      <c r="A240" s="74">
        <v>239</v>
      </c>
      <c r="B240" s="74">
        <v>900268959</v>
      </c>
      <c r="C240" s="74" t="s">
        <v>708</v>
      </c>
      <c r="D240" s="99" t="s">
        <v>470</v>
      </c>
      <c r="E240" s="75" t="s">
        <v>470</v>
      </c>
      <c r="F240" s="76">
        <v>41.92154101589751</v>
      </c>
      <c r="G240" s="75">
        <v>34715898.859920986</v>
      </c>
      <c r="H240" s="77" t="s">
        <v>470</v>
      </c>
      <c r="I240">
        <f>IFERROR(G240/Base!$B$3,0)</f>
        <v>41.921541015897517</v>
      </c>
      <c r="J240" t="b">
        <f t="shared" si="3"/>
        <v>1</v>
      </c>
    </row>
    <row r="241" spans="1:10" x14ac:dyDescent="0.2">
      <c r="A241" s="74">
        <v>240</v>
      </c>
      <c r="B241" s="74">
        <v>900660064</v>
      </c>
      <c r="C241" s="74" t="s">
        <v>546</v>
      </c>
      <c r="D241" s="99" t="s">
        <v>469</v>
      </c>
      <c r="E241" s="75" t="s">
        <v>469</v>
      </c>
      <c r="F241" s="76">
        <v>14.22956519413632</v>
      </c>
      <c r="G241" s="81">
        <v>11783730.610307394</v>
      </c>
      <c r="H241" s="77" t="s">
        <v>469</v>
      </c>
      <c r="I241">
        <f>IFERROR(G241/Base!$B$3,0)</f>
        <v>14.22956519413632</v>
      </c>
      <c r="J241" t="b">
        <f t="shared" si="3"/>
        <v>1</v>
      </c>
    </row>
    <row r="242" spans="1:10" x14ac:dyDescent="0.2">
      <c r="A242" s="74">
        <v>241</v>
      </c>
      <c r="B242" s="74">
        <v>834001001</v>
      </c>
      <c r="C242" s="74" t="s">
        <v>547</v>
      </c>
      <c r="D242" s="99" t="s">
        <v>469</v>
      </c>
      <c r="E242" s="75" t="s">
        <v>469</v>
      </c>
      <c r="F242" s="76">
        <v>1481.6410397117465</v>
      </c>
      <c r="G242" s="81">
        <v>1226970651.2419326</v>
      </c>
      <c r="H242" s="77" t="s">
        <v>469</v>
      </c>
      <c r="I242">
        <f>IFERROR(G242/Base!$B$3,0)</f>
        <v>1481.6410397117465</v>
      </c>
      <c r="J242" t="b">
        <f t="shared" si="3"/>
        <v>1</v>
      </c>
    </row>
    <row r="243" spans="1:10" x14ac:dyDescent="0.2">
      <c r="A243" s="74">
        <v>242</v>
      </c>
      <c r="B243" s="74">
        <v>806009011</v>
      </c>
      <c r="C243" s="74" t="s">
        <v>709</v>
      </c>
      <c r="D243" s="99" t="s">
        <v>470</v>
      </c>
      <c r="E243" s="75" t="s">
        <v>469</v>
      </c>
      <c r="F243" s="76">
        <v>212.42119622748987</v>
      </c>
      <c r="G243" s="75">
        <v>175909391.33512402</v>
      </c>
      <c r="H243" s="77" t="s">
        <v>470</v>
      </c>
      <c r="I243">
        <f>IFERROR(G243/Base!$B$3,0)</f>
        <v>212.4211962274899</v>
      </c>
      <c r="J243" t="b">
        <f t="shared" si="3"/>
        <v>1</v>
      </c>
    </row>
    <row r="244" spans="1:10" x14ac:dyDescent="0.2">
      <c r="A244" s="74">
        <v>243</v>
      </c>
      <c r="B244" s="74">
        <v>900661644</v>
      </c>
      <c r="C244" s="74" t="s">
        <v>548</v>
      </c>
      <c r="D244" s="99" t="s">
        <v>469</v>
      </c>
      <c r="E244" s="75" t="s">
        <v>469</v>
      </c>
      <c r="F244" s="76">
        <v>212.34908752972339</v>
      </c>
      <c r="G244" s="81">
        <v>175849676.96876442</v>
      </c>
      <c r="H244" s="77" t="s">
        <v>469</v>
      </c>
      <c r="I244">
        <f>IFERROR(G244/Base!$B$3,0)</f>
        <v>212.34908752972339</v>
      </c>
      <c r="J244" t="b">
        <f t="shared" si="3"/>
        <v>1</v>
      </c>
    </row>
    <row r="245" spans="1:10" x14ac:dyDescent="0.2">
      <c r="A245" s="74">
        <v>244</v>
      </c>
      <c r="B245" s="74">
        <v>802013551</v>
      </c>
      <c r="C245" s="74" t="s">
        <v>710</v>
      </c>
      <c r="D245" s="99" t="s">
        <v>470</v>
      </c>
      <c r="E245" s="75" t="s">
        <v>469</v>
      </c>
      <c r="F245" s="76">
        <v>449.85179204034222</v>
      </c>
      <c r="G245" s="75">
        <v>372529466.61728007</v>
      </c>
      <c r="H245" s="77" t="s">
        <v>470</v>
      </c>
      <c r="I245">
        <f>IFERROR(G245/Base!$B$3,0)</f>
        <v>449.85179204034227</v>
      </c>
      <c r="J245" t="b">
        <f t="shared" si="3"/>
        <v>1</v>
      </c>
    </row>
    <row r="246" spans="1:10" x14ac:dyDescent="0.2">
      <c r="A246" s="74">
        <v>245</v>
      </c>
      <c r="B246" s="74">
        <v>900720926</v>
      </c>
      <c r="C246" s="74" t="s">
        <v>348</v>
      </c>
      <c r="D246" s="99" t="s">
        <v>470</v>
      </c>
      <c r="E246" s="75" t="s">
        <v>469</v>
      </c>
      <c r="F246" s="76">
        <v>0</v>
      </c>
      <c r="G246" s="75">
        <v>0</v>
      </c>
      <c r="H246" s="77" t="s">
        <v>470</v>
      </c>
      <c r="I246">
        <f>IFERROR(G246/Base!$B$3,0)</f>
        <v>0</v>
      </c>
      <c r="J246" t="b">
        <f t="shared" si="3"/>
        <v>1</v>
      </c>
    </row>
    <row r="247" spans="1:10" x14ac:dyDescent="0.2">
      <c r="A247" s="74">
        <v>246</v>
      </c>
      <c r="B247" s="74">
        <v>830502711</v>
      </c>
      <c r="C247" s="74" t="s">
        <v>549</v>
      </c>
      <c r="D247" s="99" t="s">
        <v>469</v>
      </c>
      <c r="E247" s="75" t="s">
        <v>469</v>
      </c>
      <c r="F247" s="76">
        <v>48.80273462968119</v>
      </c>
      <c r="G247" s="81">
        <v>40414325.390593067</v>
      </c>
      <c r="H247" s="77" t="s">
        <v>469</v>
      </c>
      <c r="I247">
        <f>IFERROR(G247/Base!$B$3,0)</f>
        <v>48.80273462968119</v>
      </c>
      <c r="J247" t="b">
        <f t="shared" si="3"/>
        <v>1</v>
      </c>
    </row>
    <row r="248" spans="1:10" x14ac:dyDescent="0.2">
      <c r="A248" s="74">
        <v>247</v>
      </c>
      <c r="B248" s="74">
        <v>891780093</v>
      </c>
      <c r="C248" s="74" t="s">
        <v>711</v>
      </c>
      <c r="D248" s="99" t="s">
        <v>470</v>
      </c>
      <c r="E248" s="75" t="s">
        <v>470</v>
      </c>
      <c r="F248" s="76">
        <v>0</v>
      </c>
      <c r="G248" s="75">
        <v>0</v>
      </c>
      <c r="H248" s="77" t="s">
        <v>470</v>
      </c>
      <c r="I248">
        <f>IFERROR(G248/Base!$B$3,0)</f>
        <v>0</v>
      </c>
      <c r="J248" t="b">
        <f t="shared" si="3"/>
        <v>1</v>
      </c>
    </row>
    <row r="249" spans="1:10" x14ac:dyDescent="0.2">
      <c r="A249" s="74">
        <v>248</v>
      </c>
      <c r="B249" s="74">
        <v>900318096</v>
      </c>
      <c r="C249" s="74" t="s">
        <v>550</v>
      </c>
      <c r="D249" s="99" t="s">
        <v>469</v>
      </c>
      <c r="E249" s="75" t="s">
        <v>469</v>
      </c>
      <c r="F249" s="76">
        <v>51.55105116688668</v>
      </c>
      <c r="G249" s="81">
        <v>42690250.288117528</v>
      </c>
      <c r="H249" s="77" t="s">
        <v>469</v>
      </c>
      <c r="I249">
        <f>IFERROR(G249/Base!$B$3,0)</f>
        <v>51.55105116688668</v>
      </c>
      <c r="J249" t="b">
        <f t="shared" si="3"/>
        <v>1</v>
      </c>
    </row>
    <row r="250" spans="1:10" x14ac:dyDescent="0.2">
      <c r="A250" s="74">
        <v>249</v>
      </c>
      <c r="B250" s="74">
        <v>802024757</v>
      </c>
      <c r="C250" s="74" t="s">
        <v>551</v>
      </c>
      <c r="D250" s="99" t="s">
        <v>469</v>
      </c>
      <c r="E250" s="75" t="s">
        <v>469</v>
      </c>
      <c r="F250" s="76">
        <v>872.99922268463308</v>
      </c>
      <c r="G250" s="81">
        <v>722944624.29270756</v>
      </c>
      <c r="H250" s="77" t="s">
        <v>469</v>
      </c>
      <c r="I250">
        <f>IFERROR(G250/Base!$B$3,0)</f>
        <v>872.99922268463297</v>
      </c>
      <c r="J250" t="b">
        <f t="shared" si="3"/>
        <v>1</v>
      </c>
    </row>
    <row r="251" spans="1:10" x14ac:dyDescent="0.2">
      <c r="A251" s="74">
        <v>250</v>
      </c>
      <c r="B251" s="74">
        <v>816005155</v>
      </c>
      <c r="C251" s="74" t="s">
        <v>712</v>
      </c>
      <c r="D251" s="99" t="s">
        <v>470</v>
      </c>
      <c r="E251" s="75" t="s">
        <v>469</v>
      </c>
      <c r="F251" s="76">
        <v>1912</v>
      </c>
      <c r="G251" s="75">
        <v>1583357792</v>
      </c>
      <c r="H251" s="77" t="s">
        <v>470</v>
      </c>
      <c r="I251">
        <f>IFERROR(G251/Base!$B$3,0)</f>
        <v>1912</v>
      </c>
      <c r="J251" t="b">
        <f t="shared" si="3"/>
        <v>1</v>
      </c>
    </row>
    <row r="252" spans="1:10" x14ac:dyDescent="0.2">
      <c r="A252" s="74">
        <v>251</v>
      </c>
      <c r="B252" s="74">
        <v>900204719</v>
      </c>
      <c r="C252" s="74" t="s">
        <v>713</v>
      </c>
      <c r="D252" s="99" t="s">
        <v>470</v>
      </c>
      <c r="E252" s="75" t="s">
        <v>470</v>
      </c>
      <c r="F252" s="76">
        <v>0</v>
      </c>
      <c r="G252" s="75">
        <v>0</v>
      </c>
      <c r="H252" s="77" t="s">
        <v>470</v>
      </c>
      <c r="I252">
        <f>IFERROR(G252/Base!$B$3,0)</f>
        <v>0</v>
      </c>
      <c r="J252" t="b">
        <f t="shared" si="3"/>
        <v>1</v>
      </c>
    </row>
    <row r="253" spans="1:10" x14ac:dyDescent="0.2">
      <c r="A253" s="74">
        <v>252</v>
      </c>
      <c r="B253" s="74">
        <v>804017802</v>
      </c>
      <c r="C253" s="74" t="s">
        <v>714</v>
      </c>
      <c r="D253" s="99" t="s">
        <v>469</v>
      </c>
      <c r="E253" s="75" t="s">
        <v>470</v>
      </c>
      <c r="F253" s="76">
        <v>21.457404034042497</v>
      </c>
      <c r="G253" s="75">
        <v>17769219.599055137</v>
      </c>
      <c r="H253" s="77" t="s">
        <v>470</v>
      </c>
      <c r="I253">
        <f>IFERROR(G253/Base!$B$3,0)</f>
        <v>21.457404034042497</v>
      </c>
      <c r="J253" t="b">
        <f t="shared" si="3"/>
        <v>1</v>
      </c>
    </row>
    <row r="254" spans="1:10" x14ac:dyDescent="0.2">
      <c r="A254" s="74">
        <v>253</v>
      </c>
      <c r="B254" s="74">
        <v>900305127</v>
      </c>
      <c r="C254" s="74" t="s">
        <v>552</v>
      </c>
      <c r="D254" s="99" t="s">
        <v>470</v>
      </c>
      <c r="E254" s="75" t="s">
        <v>469</v>
      </c>
      <c r="F254" s="76">
        <v>1225.0022888281994</v>
      </c>
      <c r="G254" s="75">
        <v>1014443995.4152532</v>
      </c>
      <c r="H254" s="77" t="s">
        <v>470</v>
      </c>
      <c r="I254">
        <f>IFERROR(G254/Base!$B$3,0)</f>
        <v>1225.0022888281994</v>
      </c>
      <c r="J254" t="b">
        <f t="shared" si="3"/>
        <v>1</v>
      </c>
    </row>
    <row r="255" spans="1:10" x14ac:dyDescent="0.2">
      <c r="A255" s="74">
        <v>254</v>
      </c>
      <c r="B255" s="74">
        <v>900933258</v>
      </c>
      <c r="C255" s="74" t="s">
        <v>715</v>
      </c>
      <c r="D255" s="99" t="s">
        <v>469</v>
      </c>
      <c r="E255" s="75" t="s">
        <v>470</v>
      </c>
      <c r="F255" s="76">
        <v>85.892536876849078</v>
      </c>
      <c r="G255" s="75">
        <v>71128984.068308756</v>
      </c>
      <c r="H255" s="77" t="s">
        <v>470</v>
      </c>
      <c r="I255">
        <f>IFERROR(G255/Base!$B$3,0)</f>
        <v>85.892536876849078</v>
      </c>
      <c r="J255" t="b">
        <f t="shared" si="3"/>
        <v>1</v>
      </c>
    </row>
    <row r="256" spans="1:10" x14ac:dyDescent="0.2">
      <c r="A256" s="74">
        <v>255</v>
      </c>
      <c r="B256" s="74">
        <v>800052272</v>
      </c>
      <c r="C256" s="74" t="s">
        <v>553</v>
      </c>
      <c r="D256" s="99" t="s">
        <v>470</v>
      </c>
      <c r="E256" s="75" t="s">
        <v>469</v>
      </c>
      <c r="F256" s="76">
        <v>123.00206084438462</v>
      </c>
      <c r="G256" s="75">
        <v>101859974.61820841</v>
      </c>
      <c r="H256" s="77" t="s">
        <v>470</v>
      </c>
      <c r="I256">
        <f>IFERROR(G256/Base!$B$3,0)</f>
        <v>123.00206084438462</v>
      </c>
      <c r="J256" t="b">
        <f t="shared" si="3"/>
        <v>1</v>
      </c>
    </row>
    <row r="257" spans="1:10" x14ac:dyDescent="0.2">
      <c r="A257" s="74">
        <v>256</v>
      </c>
      <c r="B257" s="74">
        <v>830054757</v>
      </c>
      <c r="C257" s="74" t="s">
        <v>716</v>
      </c>
      <c r="D257" s="99" t="s">
        <v>470</v>
      </c>
      <c r="E257" s="75" t="s">
        <v>469</v>
      </c>
      <c r="F257" s="76">
        <v>809.6223855477607</v>
      </c>
      <c r="G257" s="75">
        <v>670461251.43026936</v>
      </c>
      <c r="H257" s="77" t="s">
        <v>470</v>
      </c>
      <c r="I257">
        <f>IFERROR(G257/Base!$B$3,0)</f>
        <v>809.6223855477607</v>
      </c>
      <c r="J257" t="b">
        <f t="shared" si="3"/>
        <v>1</v>
      </c>
    </row>
    <row r="258" spans="1:10" x14ac:dyDescent="0.2">
      <c r="A258" s="74">
        <v>257</v>
      </c>
      <c r="B258" s="74">
        <v>900486066</v>
      </c>
      <c r="C258" s="74" t="s">
        <v>554</v>
      </c>
      <c r="D258" s="99" t="s">
        <v>469</v>
      </c>
      <c r="E258" s="75" t="s">
        <v>469</v>
      </c>
      <c r="F258" s="76">
        <v>24.368705136884078</v>
      </c>
      <c r="G258" s="81">
        <v>20180114.623135895</v>
      </c>
      <c r="H258" s="77" t="s">
        <v>469</v>
      </c>
      <c r="I258">
        <f>IFERROR(G258/Base!$B$3,0)</f>
        <v>24.368705136884078</v>
      </c>
      <c r="J258" t="b">
        <f t="shared" si="3"/>
        <v>1</v>
      </c>
    </row>
    <row r="259" spans="1:10" x14ac:dyDescent="0.2">
      <c r="A259" s="74">
        <v>258</v>
      </c>
      <c r="B259" s="74">
        <v>810002676</v>
      </c>
      <c r="C259" s="74" t="s">
        <v>717</v>
      </c>
      <c r="D259" s="99" t="s">
        <v>470</v>
      </c>
      <c r="E259" s="75" t="s">
        <v>470</v>
      </c>
      <c r="F259" s="76">
        <v>0</v>
      </c>
      <c r="G259" s="75">
        <v>0</v>
      </c>
      <c r="H259" s="77" t="s">
        <v>470</v>
      </c>
      <c r="I259">
        <f>IFERROR(G259/Base!$B$3,0)</f>
        <v>0</v>
      </c>
      <c r="J259" t="b">
        <f t="shared" ref="J259:J322" si="4">F259=I259</f>
        <v>1</v>
      </c>
    </row>
    <row r="260" spans="1:10" x14ac:dyDescent="0.2">
      <c r="A260" s="74">
        <v>259</v>
      </c>
      <c r="B260" s="74">
        <v>900199454</v>
      </c>
      <c r="C260" s="74" t="s">
        <v>717</v>
      </c>
      <c r="D260" s="99" t="s">
        <v>470</v>
      </c>
      <c r="E260" s="75" t="s">
        <v>469</v>
      </c>
      <c r="F260" s="76">
        <v>0</v>
      </c>
      <c r="G260" s="75">
        <v>0</v>
      </c>
      <c r="H260" s="77" t="s">
        <v>470</v>
      </c>
      <c r="I260">
        <f>IFERROR(G260/Base!$B$3,0)</f>
        <v>0</v>
      </c>
      <c r="J260" t="b">
        <f t="shared" si="4"/>
        <v>1</v>
      </c>
    </row>
    <row r="261" spans="1:10" x14ac:dyDescent="0.2">
      <c r="A261" s="74">
        <v>260</v>
      </c>
      <c r="B261" s="74">
        <v>800203572</v>
      </c>
      <c r="C261" s="74" t="s">
        <v>555</v>
      </c>
      <c r="D261" s="99" t="s">
        <v>469</v>
      </c>
      <c r="E261" s="75" t="s">
        <v>469</v>
      </c>
      <c r="F261" s="76">
        <v>463.01675598161086</v>
      </c>
      <c r="G261" s="81">
        <v>383431583.89646769</v>
      </c>
      <c r="H261" s="77" t="s">
        <v>469</v>
      </c>
      <c r="I261">
        <f>IFERROR(G261/Base!$B$3,0)</f>
        <v>463.01675598161091</v>
      </c>
      <c r="J261" t="b">
        <f t="shared" si="4"/>
        <v>1</v>
      </c>
    </row>
    <row r="262" spans="1:10" x14ac:dyDescent="0.2">
      <c r="A262" s="74">
        <v>261</v>
      </c>
      <c r="B262" s="74">
        <v>800189920</v>
      </c>
      <c r="C262" s="74" t="s">
        <v>718</v>
      </c>
      <c r="D262" s="99" t="s">
        <v>470</v>
      </c>
      <c r="E262" s="75" t="s">
        <v>470</v>
      </c>
      <c r="F262" s="76">
        <v>0</v>
      </c>
      <c r="G262" s="75">
        <v>0</v>
      </c>
      <c r="H262" s="77" t="s">
        <v>470</v>
      </c>
      <c r="I262">
        <f>IFERROR(G262/Base!$B$3,0)</f>
        <v>0</v>
      </c>
      <c r="J262" t="b">
        <f t="shared" si="4"/>
        <v>1</v>
      </c>
    </row>
    <row r="263" spans="1:10" x14ac:dyDescent="0.2">
      <c r="A263" s="74">
        <v>262</v>
      </c>
      <c r="B263" s="74" t="s">
        <v>659</v>
      </c>
      <c r="C263" s="74" t="s">
        <v>368</v>
      </c>
      <c r="D263" s="99" t="s">
        <v>470</v>
      </c>
      <c r="E263" s="75" t="s">
        <v>470</v>
      </c>
      <c r="F263" s="76">
        <v>0</v>
      </c>
      <c r="G263" s="75">
        <v>0</v>
      </c>
      <c r="H263" s="77" t="s">
        <v>470</v>
      </c>
      <c r="I263">
        <f>IFERROR(G263/Base!$B$3,0)</f>
        <v>0</v>
      </c>
      <c r="J263" t="b">
        <f t="shared" si="4"/>
        <v>1</v>
      </c>
    </row>
    <row r="264" spans="1:10" x14ac:dyDescent="0.2">
      <c r="A264" s="74">
        <v>263</v>
      </c>
      <c r="B264" s="74">
        <v>821001831</v>
      </c>
      <c r="C264" s="74" t="s">
        <v>556</v>
      </c>
      <c r="D264" s="99" t="s">
        <v>469</v>
      </c>
      <c r="E264" s="75" t="s">
        <v>469</v>
      </c>
      <c r="F264" s="76">
        <v>1489.7826560870558</v>
      </c>
      <c r="G264" s="81">
        <v>1233712854.0281882</v>
      </c>
      <c r="H264" s="77" t="s">
        <v>469</v>
      </c>
      <c r="I264">
        <f>IFERROR(G264/Base!$B$3,0)</f>
        <v>1489.7826560870558</v>
      </c>
      <c r="J264" t="b">
        <f t="shared" si="4"/>
        <v>1</v>
      </c>
    </row>
    <row r="265" spans="1:10" x14ac:dyDescent="0.2">
      <c r="A265" s="74">
        <v>264</v>
      </c>
      <c r="B265" s="74">
        <v>900039320</v>
      </c>
      <c r="C265" s="74" t="s">
        <v>719</v>
      </c>
      <c r="D265" s="99" t="s">
        <v>470</v>
      </c>
      <c r="E265" s="75" t="s">
        <v>470</v>
      </c>
      <c r="F265" s="76">
        <v>0</v>
      </c>
      <c r="G265" s="75">
        <v>0</v>
      </c>
      <c r="H265" s="77" t="s">
        <v>470</v>
      </c>
      <c r="I265">
        <f>IFERROR(G265/Base!$B$3,0)</f>
        <v>0</v>
      </c>
      <c r="J265" t="b">
        <f t="shared" si="4"/>
        <v>1</v>
      </c>
    </row>
    <row r="266" spans="1:10" x14ac:dyDescent="0.2">
      <c r="A266" s="74">
        <v>265</v>
      </c>
      <c r="B266" s="74">
        <v>891102721</v>
      </c>
      <c r="C266" s="74" t="s">
        <v>557</v>
      </c>
      <c r="D266" s="99" t="s">
        <v>469</v>
      </c>
      <c r="E266" s="75" t="s">
        <v>469</v>
      </c>
      <c r="F266" s="76">
        <v>805.35557513349272</v>
      </c>
      <c r="G266" s="81">
        <v>666927837.4572475</v>
      </c>
      <c r="H266" s="77" t="s">
        <v>469</v>
      </c>
      <c r="I266">
        <f>IFERROR(G266/Base!$B$3,0)</f>
        <v>805.35557513349272</v>
      </c>
      <c r="J266" t="b">
        <f t="shared" si="4"/>
        <v>1</v>
      </c>
    </row>
    <row r="267" spans="1:10" x14ac:dyDescent="0.2">
      <c r="A267" s="74">
        <v>266</v>
      </c>
      <c r="B267" s="74">
        <v>900400705</v>
      </c>
      <c r="C267" s="74" t="s">
        <v>720</v>
      </c>
      <c r="D267" s="99" t="s">
        <v>469</v>
      </c>
      <c r="E267" s="75" t="s">
        <v>470</v>
      </c>
      <c r="F267" s="76">
        <v>488.04752505565784</v>
      </c>
      <c r="G267" s="75">
        <v>404159964.25899112</v>
      </c>
      <c r="H267" s="77" t="s">
        <v>470</v>
      </c>
      <c r="I267">
        <f>IFERROR(G267/Base!$B$3,0)</f>
        <v>488.04752505565779</v>
      </c>
      <c r="J267" t="b">
        <f t="shared" si="4"/>
        <v>1</v>
      </c>
    </row>
    <row r="268" spans="1:10" x14ac:dyDescent="0.2">
      <c r="A268" s="74">
        <v>267</v>
      </c>
      <c r="B268" s="74">
        <v>828000775</v>
      </c>
      <c r="C268" s="74" t="s">
        <v>721</v>
      </c>
      <c r="D268" s="99" t="s">
        <v>469</v>
      </c>
      <c r="E268" s="75" t="s">
        <v>470</v>
      </c>
      <c r="F268" s="76">
        <v>1601.4302361784826</v>
      </c>
      <c r="G268" s="75">
        <v>1326170001.4631803</v>
      </c>
      <c r="H268" s="77" t="s">
        <v>470</v>
      </c>
      <c r="I268">
        <f>IFERROR(G268/Base!$B$3,0)</f>
        <v>1601.4302361784826</v>
      </c>
      <c r="J268" t="b">
        <f t="shared" si="4"/>
        <v>1</v>
      </c>
    </row>
    <row r="269" spans="1:10" x14ac:dyDescent="0.2">
      <c r="A269" s="74">
        <v>268</v>
      </c>
      <c r="B269" s="74">
        <v>900548374</v>
      </c>
      <c r="C269" s="74" t="s">
        <v>722</v>
      </c>
      <c r="D269" s="99" t="s">
        <v>470</v>
      </c>
      <c r="E269" s="75" t="s">
        <v>470</v>
      </c>
      <c r="F269" s="76">
        <v>31.045721793822693</v>
      </c>
      <c r="G269" s="75">
        <v>25709458.949013274</v>
      </c>
      <c r="H269" s="77" t="s">
        <v>470</v>
      </c>
      <c r="I269">
        <f>IFERROR(G269/Base!$B$3,0)</f>
        <v>31.045721793822693</v>
      </c>
      <c r="J269" t="b">
        <f t="shared" si="4"/>
        <v>1</v>
      </c>
    </row>
    <row r="270" spans="1:10" x14ac:dyDescent="0.2">
      <c r="A270" s="74">
        <v>269</v>
      </c>
      <c r="B270" s="74">
        <v>830093333</v>
      </c>
      <c r="C270" s="74" t="s">
        <v>723</v>
      </c>
      <c r="D270" s="99" t="s">
        <v>469</v>
      </c>
      <c r="E270" s="75" t="s">
        <v>470</v>
      </c>
      <c r="F270" s="76">
        <v>1745.1385109603805</v>
      </c>
      <c r="G270" s="75">
        <v>1445177123.1424665</v>
      </c>
      <c r="H270" s="77" t="s">
        <v>470</v>
      </c>
      <c r="I270">
        <f>IFERROR(G270/Base!$B$3,0)</f>
        <v>1745.1385109603807</v>
      </c>
      <c r="J270" t="b">
        <f t="shared" si="4"/>
        <v>1</v>
      </c>
    </row>
    <row r="271" spans="1:10" x14ac:dyDescent="0.2">
      <c r="A271" s="74">
        <v>270</v>
      </c>
      <c r="B271" s="74">
        <v>900576662</v>
      </c>
      <c r="C271" s="74" t="s">
        <v>724</v>
      </c>
      <c r="D271" s="99" t="s">
        <v>470</v>
      </c>
      <c r="E271" s="75" t="s">
        <v>470</v>
      </c>
      <c r="F271" s="76">
        <v>3493.2936793549939</v>
      </c>
      <c r="G271" s="75">
        <v>2892852388.5727401</v>
      </c>
      <c r="H271" s="77" t="s">
        <v>470</v>
      </c>
      <c r="I271">
        <f>IFERROR(G271/Base!$B$3,0)</f>
        <v>3493.2936793549939</v>
      </c>
      <c r="J271" t="b">
        <f t="shared" si="4"/>
        <v>1</v>
      </c>
    </row>
    <row r="272" spans="1:10" x14ac:dyDescent="0.2">
      <c r="A272" s="74">
        <v>271</v>
      </c>
      <c r="B272" s="74">
        <v>860066093</v>
      </c>
      <c r="C272" s="74" t="s">
        <v>725</v>
      </c>
      <c r="D272" s="99" t="s">
        <v>470</v>
      </c>
      <c r="E272" s="75" t="s">
        <v>470</v>
      </c>
      <c r="F272" s="76">
        <v>0</v>
      </c>
      <c r="G272" s="75">
        <v>0</v>
      </c>
      <c r="H272" s="77" t="s">
        <v>470</v>
      </c>
      <c r="I272">
        <f>IFERROR(G272/Base!$B$3,0)</f>
        <v>0</v>
      </c>
      <c r="J272" t="b">
        <f t="shared" si="4"/>
        <v>1</v>
      </c>
    </row>
    <row r="273" spans="1:10" x14ac:dyDescent="0.2">
      <c r="A273" s="78">
        <v>272</v>
      </c>
      <c r="B273" s="78">
        <v>813010867</v>
      </c>
      <c r="C273" s="78" t="s">
        <v>726</v>
      </c>
      <c r="D273" s="100" t="s">
        <v>470</v>
      </c>
      <c r="E273" s="75" t="s">
        <v>470</v>
      </c>
      <c r="F273" s="79">
        <v>0</v>
      </c>
      <c r="G273" s="80">
        <v>0</v>
      </c>
      <c r="H273" s="77" t="s">
        <v>470</v>
      </c>
      <c r="I273">
        <f>IFERROR(G273/Base!$B$3,0)</f>
        <v>0</v>
      </c>
      <c r="J273" t="b">
        <f t="shared" si="4"/>
        <v>1</v>
      </c>
    </row>
    <row r="274" spans="1:10" x14ac:dyDescent="0.2">
      <c r="A274" s="78">
        <v>273</v>
      </c>
      <c r="B274" s="78">
        <v>806013684</v>
      </c>
      <c r="C274" s="78" t="s">
        <v>727</v>
      </c>
      <c r="D274" s="100" t="s">
        <v>469</v>
      </c>
      <c r="E274" s="75" t="s">
        <v>470</v>
      </c>
      <c r="F274" s="79">
        <v>46.193765498394797</v>
      </c>
      <c r="G274" s="80">
        <v>38253796.309468709</v>
      </c>
      <c r="H274" s="77" t="s">
        <v>470</v>
      </c>
      <c r="I274">
        <f>IFERROR(G274/Base!$B$3,0)</f>
        <v>46.193765498394804</v>
      </c>
      <c r="J274" t="b">
        <f t="shared" si="4"/>
        <v>1</v>
      </c>
    </row>
    <row r="275" spans="1:10" x14ac:dyDescent="0.2">
      <c r="A275" s="78">
        <v>274</v>
      </c>
      <c r="B275" s="78">
        <v>800196208</v>
      </c>
      <c r="C275" s="78" t="s">
        <v>728</v>
      </c>
      <c r="D275" s="100" t="s">
        <v>470</v>
      </c>
      <c r="E275" s="75" t="s">
        <v>470</v>
      </c>
      <c r="F275" s="79">
        <v>844.67022436172181</v>
      </c>
      <c r="G275" s="80">
        <v>699484927.51753163</v>
      </c>
      <c r="H275" s="77" t="s">
        <v>470</v>
      </c>
      <c r="I275">
        <f>IFERROR(G275/Base!$B$3,0)</f>
        <v>844.67022436172181</v>
      </c>
      <c r="J275" t="b">
        <f t="shared" si="4"/>
        <v>1</v>
      </c>
    </row>
    <row r="276" spans="1:10" x14ac:dyDescent="0.2">
      <c r="A276" s="78">
        <v>275</v>
      </c>
      <c r="B276" s="78">
        <v>900631966</v>
      </c>
      <c r="C276" s="78" t="s">
        <v>558</v>
      </c>
      <c r="D276" s="100" t="s">
        <v>469</v>
      </c>
      <c r="E276" s="75" t="s">
        <v>469</v>
      </c>
      <c r="F276" s="79">
        <v>25.217708113674565</v>
      </c>
      <c r="G276" s="82">
        <v>20883187.572263725</v>
      </c>
      <c r="H276" s="77" t="s">
        <v>469</v>
      </c>
      <c r="I276">
        <f>IFERROR(G276/Base!$B$3,0)</f>
        <v>25.217708113674565</v>
      </c>
      <c r="J276" t="b">
        <f t="shared" si="4"/>
        <v>1</v>
      </c>
    </row>
    <row r="277" spans="1:10" x14ac:dyDescent="0.2">
      <c r="A277" s="78">
        <v>276</v>
      </c>
      <c r="B277" s="78">
        <v>801001664</v>
      </c>
      <c r="C277" s="78" t="s">
        <v>729</v>
      </c>
      <c r="D277" s="100" t="s">
        <v>469</v>
      </c>
      <c r="E277" s="75" t="s">
        <v>469</v>
      </c>
      <c r="F277" s="79">
        <v>739.44039711274752</v>
      </c>
      <c r="G277" s="82">
        <v>612342423.89542007</v>
      </c>
      <c r="H277" s="77" t="s">
        <v>469</v>
      </c>
      <c r="I277">
        <f>IFERROR(G277/Base!$B$3,0)</f>
        <v>739.44039711274763</v>
      </c>
      <c r="J277" t="b">
        <f t="shared" si="4"/>
        <v>1</v>
      </c>
    </row>
    <row r="278" spans="1:10" x14ac:dyDescent="0.2">
      <c r="A278" s="78">
        <v>277</v>
      </c>
      <c r="B278" s="78">
        <v>900268395</v>
      </c>
      <c r="C278" s="78" t="s">
        <v>730</v>
      </c>
      <c r="D278" s="100" t="s">
        <v>470</v>
      </c>
      <c r="E278" s="75" t="s">
        <v>470</v>
      </c>
      <c r="F278" s="79">
        <v>0</v>
      </c>
      <c r="G278" s="80">
        <v>0</v>
      </c>
      <c r="H278" s="77" t="s">
        <v>470</v>
      </c>
      <c r="I278">
        <f>IFERROR(G278/Base!$B$3,0)</f>
        <v>0</v>
      </c>
      <c r="J278" t="b">
        <f t="shared" si="4"/>
        <v>1</v>
      </c>
    </row>
    <row r="279" spans="1:10" x14ac:dyDescent="0.2">
      <c r="A279" s="78">
        <v>278</v>
      </c>
      <c r="B279" s="78">
        <v>900915653</v>
      </c>
      <c r="C279" s="78" t="s">
        <v>559</v>
      </c>
      <c r="D279" s="100" t="s">
        <v>469</v>
      </c>
      <c r="E279" s="75" t="s">
        <v>469</v>
      </c>
      <c r="F279" s="79">
        <v>22.957959701150102</v>
      </c>
      <c r="G279" s="82">
        <v>19011853.755877618</v>
      </c>
      <c r="H279" s="77" t="s">
        <v>469</v>
      </c>
      <c r="I279">
        <f>IFERROR(G279/Base!$B$3,0)</f>
        <v>22.957959701150102</v>
      </c>
      <c r="J279" t="b">
        <f t="shared" si="4"/>
        <v>1</v>
      </c>
    </row>
    <row r="280" spans="1:10" x14ac:dyDescent="0.2">
      <c r="A280" s="78">
        <v>279</v>
      </c>
      <c r="B280" s="78">
        <v>900593622</v>
      </c>
      <c r="C280" s="78" t="s">
        <v>731</v>
      </c>
      <c r="D280" s="100" t="s">
        <v>470</v>
      </c>
      <c r="E280" s="75" t="s">
        <v>470</v>
      </c>
      <c r="F280" s="79">
        <v>0</v>
      </c>
      <c r="G280" s="80">
        <v>0</v>
      </c>
      <c r="H280" s="77" t="s">
        <v>470</v>
      </c>
      <c r="I280">
        <f>IFERROR(G280/Base!$B$3,0)</f>
        <v>0</v>
      </c>
      <c r="J280" t="b">
        <f t="shared" si="4"/>
        <v>1</v>
      </c>
    </row>
    <row r="281" spans="1:10" x14ac:dyDescent="0.2">
      <c r="A281" s="78">
        <v>280</v>
      </c>
      <c r="B281" s="78">
        <v>804006708</v>
      </c>
      <c r="C281" s="78" t="s">
        <v>560</v>
      </c>
      <c r="D281" s="100" t="s">
        <v>469</v>
      </c>
      <c r="E281" s="75" t="s">
        <v>469</v>
      </c>
      <c r="F281" s="79">
        <v>89.719968691024519</v>
      </c>
      <c r="G281" s="82">
        <v>74298541.592536464</v>
      </c>
      <c r="H281" s="77" t="s">
        <v>469</v>
      </c>
      <c r="I281">
        <f>IFERROR(G281/Base!$B$3,0)</f>
        <v>89.719968691024519</v>
      </c>
      <c r="J281" t="b">
        <f t="shared" si="4"/>
        <v>1</v>
      </c>
    </row>
    <row r="282" spans="1:10" x14ac:dyDescent="0.2">
      <c r="A282" s="78">
        <v>281</v>
      </c>
      <c r="B282" s="78">
        <v>830144521</v>
      </c>
      <c r="C282" s="78" t="s">
        <v>732</v>
      </c>
      <c r="D282" s="100" t="s">
        <v>470</v>
      </c>
      <c r="E282" s="75" t="s">
        <v>469</v>
      </c>
      <c r="F282" s="79">
        <v>1827.1874343836234</v>
      </c>
      <c r="G282" s="80">
        <v>1513123149.4120288</v>
      </c>
      <c r="H282" s="77" t="s">
        <v>470</v>
      </c>
      <c r="I282">
        <f>IFERROR(G282/Base!$B$3,0)</f>
        <v>1827.1874343836234</v>
      </c>
      <c r="J282" t="b">
        <f t="shared" si="4"/>
        <v>1</v>
      </c>
    </row>
    <row r="283" spans="1:10" x14ac:dyDescent="0.2">
      <c r="A283" s="78">
        <v>282</v>
      </c>
      <c r="B283" s="78">
        <v>900656736</v>
      </c>
      <c r="C283" s="78" t="s">
        <v>733</v>
      </c>
      <c r="D283" s="100" t="s">
        <v>470</v>
      </c>
      <c r="E283" s="75" t="s">
        <v>470</v>
      </c>
      <c r="F283" s="79">
        <v>0</v>
      </c>
      <c r="G283" s="80">
        <v>0</v>
      </c>
      <c r="H283" s="77" t="s">
        <v>470</v>
      </c>
      <c r="I283">
        <f>IFERROR(G283/Base!$B$3,0)</f>
        <v>0</v>
      </c>
      <c r="J283" t="b">
        <f t="shared" si="4"/>
        <v>1</v>
      </c>
    </row>
    <row r="284" spans="1:10" x14ac:dyDescent="0.2">
      <c r="A284" s="78">
        <v>283</v>
      </c>
      <c r="B284" s="78">
        <v>800007880</v>
      </c>
      <c r="C284" s="78" t="s">
        <v>734</v>
      </c>
      <c r="D284" s="100" t="s">
        <v>470</v>
      </c>
      <c r="E284" s="75" t="s">
        <v>469</v>
      </c>
      <c r="F284" s="79">
        <v>343.55751265821675</v>
      </c>
      <c r="G284" s="80">
        <v>284505473.15247184</v>
      </c>
      <c r="H284" s="77" t="s">
        <v>470</v>
      </c>
      <c r="I284">
        <f>IFERROR(G284/Base!$B$3,0)</f>
        <v>343.55751265821675</v>
      </c>
      <c r="J284" t="b">
        <f t="shared" si="4"/>
        <v>1</v>
      </c>
    </row>
    <row r="285" spans="1:10" x14ac:dyDescent="0.2">
      <c r="A285" s="78">
        <v>284</v>
      </c>
      <c r="B285" s="78">
        <v>900228992</v>
      </c>
      <c r="C285" s="78" t="s">
        <v>735</v>
      </c>
      <c r="D285" s="100" t="s">
        <v>470</v>
      </c>
      <c r="E285" s="75" t="s">
        <v>469</v>
      </c>
      <c r="F285" s="79">
        <v>1614.9270531285754</v>
      </c>
      <c r="G285" s="80">
        <v>1337346931.5286233</v>
      </c>
      <c r="H285" s="77" t="s">
        <v>470</v>
      </c>
      <c r="I285">
        <f>IFERROR(G285/Base!$B$3,0)</f>
        <v>1614.9270531285754</v>
      </c>
      <c r="J285" t="b">
        <f t="shared" si="4"/>
        <v>1</v>
      </c>
    </row>
    <row r="286" spans="1:10" x14ac:dyDescent="0.2">
      <c r="A286" s="78">
        <v>285</v>
      </c>
      <c r="B286" s="78">
        <v>901000607</v>
      </c>
      <c r="C286" s="78" t="s">
        <v>736</v>
      </c>
      <c r="D286" s="100" t="s">
        <v>470</v>
      </c>
      <c r="E286" s="75" t="s">
        <v>470</v>
      </c>
      <c r="F286" s="79">
        <v>110.2319948365013</v>
      </c>
      <c r="G286" s="80">
        <v>91284878.636024117</v>
      </c>
      <c r="H286" s="77" t="s">
        <v>470</v>
      </c>
      <c r="I286">
        <f>IFERROR(G286/Base!$B$3,0)</f>
        <v>110.23199483650131</v>
      </c>
      <c r="J286" t="b">
        <f t="shared" si="4"/>
        <v>1</v>
      </c>
    </row>
    <row r="287" spans="1:10" x14ac:dyDescent="0.2">
      <c r="A287" s="78">
        <v>286</v>
      </c>
      <c r="B287" s="78">
        <v>900597666</v>
      </c>
      <c r="C287" s="78" t="s">
        <v>737</v>
      </c>
      <c r="D287" s="100" t="s">
        <v>470</v>
      </c>
      <c r="E287" s="75" t="s">
        <v>470</v>
      </c>
      <c r="F287" s="79">
        <v>0</v>
      </c>
      <c r="G287" s="80">
        <v>0</v>
      </c>
      <c r="H287" s="77" t="s">
        <v>470</v>
      </c>
      <c r="I287">
        <f>IFERROR(G287/Base!$B$3,0)</f>
        <v>0</v>
      </c>
      <c r="J287" t="b">
        <f t="shared" si="4"/>
        <v>1</v>
      </c>
    </row>
    <row r="288" spans="1:10" x14ac:dyDescent="0.2">
      <c r="A288" s="78">
        <v>287</v>
      </c>
      <c r="B288" s="78">
        <v>900886573</v>
      </c>
      <c r="C288" s="78" t="s">
        <v>738</v>
      </c>
      <c r="D288" s="100" t="s">
        <v>470</v>
      </c>
      <c r="E288" s="75" t="s">
        <v>470</v>
      </c>
      <c r="F288" s="79">
        <v>0</v>
      </c>
      <c r="G288" s="80">
        <v>0</v>
      </c>
      <c r="H288" s="77" t="s">
        <v>470</v>
      </c>
      <c r="I288">
        <f>IFERROR(G288/Base!$B$3,0)</f>
        <v>0</v>
      </c>
      <c r="J288" t="b">
        <f t="shared" si="4"/>
        <v>1</v>
      </c>
    </row>
    <row r="289" spans="1:10" x14ac:dyDescent="0.2">
      <c r="A289" s="78">
        <v>288</v>
      </c>
      <c r="B289" s="78">
        <v>804002245</v>
      </c>
      <c r="C289" s="78" t="s">
        <v>739</v>
      </c>
      <c r="D289" s="100" t="s">
        <v>470</v>
      </c>
      <c r="E289" s="75" t="s">
        <v>470</v>
      </c>
      <c r="F289" s="79">
        <v>402.19859971016297</v>
      </c>
      <c r="G289" s="80">
        <v>333067095.59758133</v>
      </c>
      <c r="H289" s="77" t="s">
        <v>470</v>
      </c>
      <c r="I289">
        <f>IFERROR(G289/Base!$B$3,0)</f>
        <v>402.19859971016297</v>
      </c>
      <c r="J289" t="b">
        <f t="shared" si="4"/>
        <v>1</v>
      </c>
    </row>
    <row r="290" spans="1:10" x14ac:dyDescent="0.2">
      <c r="A290" s="78">
        <v>289</v>
      </c>
      <c r="B290" s="78">
        <v>900088061</v>
      </c>
      <c r="C290" s="78" t="s">
        <v>740</v>
      </c>
      <c r="D290" s="100" t="s">
        <v>470</v>
      </c>
      <c r="E290" s="75" t="s">
        <v>470</v>
      </c>
      <c r="F290" s="79">
        <v>0</v>
      </c>
      <c r="G290" s="80">
        <v>0</v>
      </c>
      <c r="H290" s="77" t="s">
        <v>470</v>
      </c>
      <c r="I290">
        <f>IFERROR(G290/Base!$B$3,0)</f>
        <v>0</v>
      </c>
      <c r="J290" t="b">
        <f t="shared" si="4"/>
        <v>1</v>
      </c>
    </row>
    <row r="291" spans="1:10" x14ac:dyDescent="0.2">
      <c r="A291" s="74">
        <v>290</v>
      </c>
      <c r="B291" s="74">
        <v>900869649</v>
      </c>
      <c r="C291" s="74" t="s">
        <v>741</v>
      </c>
      <c r="D291" s="99" t="s">
        <v>470</v>
      </c>
      <c r="E291" s="75" t="s">
        <v>469</v>
      </c>
      <c r="F291" s="76">
        <v>0</v>
      </c>
      <c r="G291" s="75">
        <v>0</v>
      </c>
      <c r="H291" s="77" t="s">
        <v>470</v>
      </c>
      <c r="I291">
        <f>IFERROR(G291/Base!$B$3,0)</f>
        <v>0</v>
      </c>
      <c r="J291" t="b">
        <f t="shared" si="4"/>
        <v>1</v>
      </c>
    </row>
    <row r="292" spans="1:10" x14ac:dyDescent="0.2">
      <c r="A292" s="74">
        <v>291</v>
      </c>
      <c r="B292" s="74">
        <v>805024569</v>
      </c>
      <c r="C292" s="74" t="s">
        <v>408</v>
      </c>
      <c r="D292" s="99" t="s">
        <v>470</v>
      </c>
      <c r="E292" s="75" t="s">
        <v>469</v>
      </c>
      <c r="F292" s="76">
        <v>535.82413591421232</v>
      </c>
      <c r="G292" s="75">
        <v>443724540.13673383</v>
      </c>
      <c r="H292" s="77" t="s">
        <v>470</v>
      </c>
      <c r="I292">
        <f>IFERROR(G292/Base!$B$3,0)</f>
        <v>535.82413591421232</v>
      </c>
      <c r="J292" t="b">
        <f t="shared" si="4"/>
        <v>1</v>
      </c>
    </row>
    <row r="293" spans="1:10" x14ac:dyDescent="0.2">
      <c r="A293" s="74">
        <v>292</v>
      </c>
      <c r="B293" s="74">
        <v>900067446</v>
      </c>
      <c r="C293" s="74" t="s">
        <v>742</v>
      </c>
      <c r="D293" s="99" t="s">
        <v>470</v>
      </c>
      <c r="E293" s="75" t="s">
        <v>470</v>
      </c>
      <c r="F293" s="76">
        <v>0</v>
      </c>
      <c r="G293" s="75">
        <v>0</v>
      </c>
      <c r="H293" s="77" t="s">
        <v>470</v>
      </c>
      <c r="I293">
        <f>IFERROR(G293/Base!$B$3,0)</f>
        <v>0</v>
      </c>
      <c r="J293" t="b">
        <f t="shared" si="4"/>
        <v>1</v>
      </c>
    </row>
    <row r="294" spans="1:10" x14ac:dyDescent="0.2">
      <c r="A294" s="74">
        <v>293</v>
      </c>
      <c r="B294" s="74">
        <v>900100850</v>
      </c>
      <c r="C294" s="74" t="s">
        <v>743</v>
      </c>
      <c r="D294" s="99" t="s">
        <v>470</v>
      </c>
      <c r="E294" s="75" t="s">
        <v>470</v>
      </c>
      <c r="F294" s="76">
        <v>0</v>
      </c>
      <c r="G294" s="75">
        <v>0</v>
      </c>
      <c r="H294" s="77" t="s">
        <v>470</v>
      </c>
      <c r="I294">
        <f>IFERROR(G294/Base!$B$3,0)</f>
        <v>0</v>
      </c>
      <c r="J294" t="b">
        <f t="shared" si="4"/>
        <v>1</v>
      </c>
    </row>
    <row r="295" spans="1:10" x14ac:dyDescent="0.2">
      <c r="A295" s="74">
        <v>294</v>
      </c>
      <c r="B295" s="74">
        <v>816006359</v>
      </c>
      <c r="C295" s="74" t="s">
        <v>411</v>
      </c>
      <c r="D295" s="99" t="s">
        <v>469</v>
      </c>
      <c r="E295" s="75" t="s">
        <v>469</v>
      </c>
      <c r="F295" s="76">
        <v>512.53660826927739</v>
      </c>
      <c r="G295" s="81">
        <v>424439765.89352089</v>
      </c>
      <c r="H295" s="77" t="s">
        <v>469</v>
      </c>
      <c r="I295">
        <f>IFERROR(G295/Base!$B$3,0)</f>
        <v>512.53660826927739</v>
      </c>
      <c r="J295" t="b">
        <f t="shared" si="4"/>
        <v>1</v>
      </c>
    </row>
    <row r="296" spans="1:10" x14ac:dyDescent="0.2">
      <c r="A296" s="74">
        <v>295</v>
      </c>
      <c r="B296" s="74">
        <v>900237637</v>
      </c>
      <c r="C296" s="74" t="s">
        <v>412</v>
      </c>
      <c r="D296" s="99" t="s">
        <v>470</v>
      </c>
      <c r="E296" s="75" t="s">
        <v>470</v>
      </c>
      <c r="F296" s="76">
        <v>96.77189772727273</v>
      </c>
      <c r="G296" s="75">
        <v>80138356.85831818</v>
      </c>
      <c r="H296" s="77" t="s">
        <v>470</v>
      </c>
      <c r="I296">
        <f>IFERROR(G296/Base!$B$3,0)</f>
        <v>96.77189772727273</v>
      </c>
      <c r="J296" t="b">
        <f t="shared" si="4"/>
        <v>1</v>
      </c>
    </row>
    <row r="297" spans="1:10" x14ac:dyDescent="0.2">
      <c r="A297" s="74">
        <v>296</v>
      </c>
      <c r="B297" s="74">
        <v>825001418</v>
      </c>
      <c r="C297" s="74" t="s">
        <v>744</v>
      </c>
      <c r="D297" s="99" t="s">
        <v>470</v>
      </c>
      <c r="E297" s="75" t="s">
        <v>469</v>
      </c>
      <c r="F297" s="76">
        <v>0</v>
      </c>
      <c r="G297" s="75">
        <v>0</v>
      </c>
      <c r="H297" s="77" t="s">
        <v>470</v>
      </c>
      <c r="I297">
        <f>IFERROR(G297/Base!$B$3,0)</f>
        <v>0</v>
      </c>
      <c r="J297" t="b">
        <f t="shared" si="4"/>
        <v>1</v>
      </c>
    </row>
    <row r="298" spans="1:10" x14ac:dyDescent="0.2">
      <c r="A298" s="74">
        <v>297</v>
      </c>
      <c r="B298" s="74">
        <v>901297455</v>
      </c>
      <c r="C298" s="74" t="s">
        <v>745</v>
      </c>
      <c r="D298" s="99" t="s">
        <v>470</v>
      </c>
      <c r="E298" s="75" t="s">
        <v>469</v>
      </c>
      <c r="F298" s="76">
        <v>0</v>
      </c>
      <c r="G298" s="75">
        <v>0</v>
      </c>
      <c r="H298" s="77" t="s">
        <v>470</v>
      </c>
      <c r="I298">
        <f>IFERROR(G298/Base!$B$3,0)</f>
        <v>0</v>
      </c>
      <c r="J298" t="b">
        <f t="shared" si="4"/>
        <v>1</v>
      </c>
    </row>
    <row r="299" spans="1:10" x14ac:dyDescent="0.2">
      <c r="A299" s="74">
        <v>298</v>
      </c>
      <c r="B299" s="74">
        <v>900935528</v>
      </c>
      <c r="C299" s="74" t="s">
        <v>746</v>
      </c>
      <c r="D299" s="99" t="s">
        <v>470</v>
      </c>
      <c r="E299" s="75" t="s">
        <v>469</v>
      </c>
      <c r="F299" s="76">
        <v>0</v>
      </c>
      <c r="G299" s="75">
        <v>0</v>
      </c>
      <c r="H299" s="77" t="s">
        <v>470</v>
      </c>
      <c r="I299">
        <f>IFERROR(G299/Base!$B$3,0)</f>
        <v>0</v>
      </c>
      <c r="J299" t="b">
        <f t="shared" si="4"/>
        <v>1</v>
      </c>
    </row>
    <row r="300" spans="1:10" x14ac:dyDescent="0.2">
      <c r="A300" s="74">
        <v>299</v>
      </c>
      <c r="B300" s="74">
        <v>900053307</v>
      </c>
      <c r="C300" s="74" t="s">
        <v>747</v>
      </c>
      <c r="D300" s="99" t="s">
        <v>470</v>
      </c>
      <c r="E300" s="75" t="s">
        <v>470</v>
      </c>
      <c r="F300" s="76">
        <v>0</v>
      </c>
      <c r="G300" s="75">
        <v>0</v>
      </c>
      <c r="H300" s="77" t="s">
        <v>470</v>
      </c>
      <c r="I300">
        <f>IFERROR(G300/Base!$B$3,0)</f>
        <v>0</v>
      </c>
      <c r="J300" t="b">
        <f t="shared" si="4"/>
        <v>1</v>
      </c>
    </row>
    <row r="301" spans="1:10" x14ac:dyDescent="0.2">
      <c r="A301" s="74">
        <v>300</v>
      </c>
      <c r="B301" s="74">
        <v>900198330</v>
      </c>
      <c r="C301" s="74" t="s">
        <v>748</v>
      </c>
      <c r="D301" s="99" t="s">
        <v>470</v>
      </c>
      <c r="E301" s="75" t="s">
        <v>469</v>
      </c>
      <c r="F301" s="76">
        <v>210.18384588270808</v>
      </c>
      <c r="G301" s="75">
        <v>174056605.71700469</v>
      </c>
      <c r="H301" s="77" t="s">
        <v>470</v>
      </c>
      <c r="I301">
        <f>IFERROR(G301/Base!$B$3,0)</f>
        <v>210.18384588270808</v>
      </c>
      <c r="J301" t="b">
        <f t="shared" si="4"/>
        <v>1</v>
      </c>
    </row>
    <row r="302" spans="1:10" x14ac:dyDescent="0.2">
      <c r="A302" s="74">
        <v>301</v>
      </c>
      <c r="B302" s="74">
        <v>900034146</v>
      </c>
      <c r="C302" s="74" t="s">
        <v>749</v>
      </c>
      <c r="D302" s="99" t="s">
        <v>470</v>
      </c>
      <c r="E302" s="75" t="s">
        <v>470</v>
      </c>
      <c r="F302" s="76">
        <v>256.74626812178559</v>
      </c>
      <c r="G302" s="75">
        <v>212615692.5719406</v>
      </c>
      <c r="H302" s="77" t="s">
        <v>470</v>
      </c>
      <c r="I302">
        <f>IFERROR(G302/Base!$B$3,0)</f>
        <v>256.74626812178559</v>
      </c>
      <c r="J302" t="b">
        <f t="shared" si="4"/>
        <v>1</v>
      </c>
    </row>
    <row r="303" spans="1:10" x14ac:dyDescent="0.2">
      <c r="A303" s="74">
        <v>302</v>
      </c>
      <c r="B303" s="74">
        <v>860024041</v>
      </c>
      <c r="C303" s="74" t="s">
        <v>561</v>
      </c>
      <c r="D303" s="99" t="s">
        <v>469</v>
      </c>
      <c r="E303" s="75" t="s">
        <v>469</v>
      </c>
      <c r="F303" s="76">
        <v>1129.1758299450644</v>
      </c>
      <c r="G303" s="81">
        <v>935088571.59078693</v>
      </c>
      <c r="H303" s="77" t="s">
        <v>469</v>
      </c>
      <c r="I303">
        <f>IFERROR(G303/Base!$B$3,0)</f>
        <v>1129.1758299450644</v>
      </c>
      <c r="J303" t="b">
        <f t="shared" si="4"/>
        <v>1</v>
      </c>
    </row>
    <row r="304" spans="1:10" x14ac:dyDescent="0.2">
      <c r="A304" s="74">
        <v>303</v>
      </c>
      <c r="B304" s="74" t="s">
        <v>659</v>
      </c>
      <c r="C304" s="74" t="s">
        <v>750</v>
      </c>
      <c r="D304" s="99" t="s">
        <v>470</v>
      </c>
      <c r="E304" s="75" t="s">
        <v>470</v>
      </c>
      <c r="F304" s="76">
        <v>0</v>
      </c>
      <c r="G304" s="75">
        <v>0</v>
      </c>
      <c r="H304" s="77" t="s">
        <v>470</v>
      </c>
      <c r="I304">
        <f>IFERROR(G304/Base!$B$3,0)</f>
        <v>0</v>
      </c>
      <c r="J304" t="b">
        <f t="shared" si="4"/>
        <v>1</v>
      </c>
    </row>
    <row r="305" spans="1:10" x14ac:dyDescent="0.2">
      <c r="A305" s="74">
        <v>304</v>
      </c>
      <c r="B305" s="74">
        <v>900801587</v>
      </c>
      <c r="C305" s="74" t="s">
        <v>751</v>
      </c>
      <c r="D305" s="99" t="s">
        <v>470</v>
      </c>
      <c r="E305" s="75" t="s">
        <v>470</v>
      </c>
      <c r="F305" s="76">
        <v>64.959054634203866</v>
      </c>
      <c r="G305" s="75">
        <v>53793632.487458371</v>
      </c>
      <c r="H305" s="77" t="s">
        <v>470</v>
      </c>
      <c r="I305">
        <f>IFERROR(G305/Base!$B$3,0)</f>
        <v>64.959054634203866</v>
      </c>
      <c r="J305" t="b">
        <f t="shared" si="4"/>
        <v>1</v>
      </c>
    </row>
    <row r="306" spans="1:10" x14ac:dyDescent="0.2">
      <c r="A306" s="74">
        <v>305</v>
      </c>
      <c r="B306" s="74">
        <v>900240336</v>
      </c>
      <c r="C306" s="74" t="s">
        <v>752</v>
      </c>
      <c r="D306" s="99" t="s">
        <v>470</v>
      </c>
      <c r="E306" s="75" t="s">
        <v>470</v>
      </c>
      <c r="F306" s="76">
        <v>10277.677783659785</v>
      </c>
      <c r="G306" s="75">
        <v>8511109415.493206</v>
      </c>
      <c r="H306" s="77" t="s">
        <v>470</v>
      </c>
      <c r="I306">
        <f>IFERROR(G306/Base!$B$3,0)</f>
        <v>10277.677783659785</v>
      </c>
      <c r="J306" t="b">
        <f t="shared" si="4"/>
        <v>1</v>
      </c>
    </row>
    <row r="307" spans="1:10" x14ac:dyDescent="0.2">
      <c r="A307" s="74">
        <v>306</v>
      </c>
      <c r="B307" s="74">
        <v>901012566</v>
      </c>
      <c r="C307" s="74" t="s">
        <v>753</v>
      </c>
      <c r="D307" s="99" t="s">
        <v>470</v>
      </c>
      <c r="E307" s="75" t="s">
        <v>469</v>
      </c>
      <c r="F307" s="76">
        <v>927.40993942886109</v>
      </c>
      <c r="G307" s="75">
        <v>768003009.40007079</v>
      </c>
      <c r="H307" s="77" t="s">
        <v>470</v>
      </c>
      <c r="I307">
        <f>IFERROR(G307/Base!$B$3,0)</f>
        <v>927.40993942886121</v>
      </c>
      <c r="J307" t="b">
        <f t="shared" si="4"/>
        <v>1</v>
      </c>
    </row>
    <row r="308" spans="1:10" x14ac:dyDescent="0.2">
      <c r="A308" s="74">
        <v>307</v>
      </c>
      <c r="B308" s="74">
        <v>900260765</v>
      </c>
      <c r="C308" s="74" t="s">
        <v>562</v>
      </c>
      <c r="D308" s="99" t="s">
        <v>469</v>
      </c>
      <c r="E308" s="75" t="s">
        <v>469</v>
      </c>
      <c r="F308" s="76">
        <v>474.51202303532682</v>
      </c>
      <c r="G308" s="81">
        <v>392950998.46792269</v>
      </c>
      <c r="H308" s="77" t="s">
        <v>469</v>
      </c>
      <c r="I308">
        <f>IFERROR(G308/Base!$B$3,0)</f>
        <v>474.51202303532682</v>
      </c>
      <c r="J308" t="b">
        <f t="shared" si="4"/>
        <v>1</v>
      </c>
    </row>
    <row r="309" spans="1:10" x14ac:dyDescent="0.2">
      <c r="A309" s="74">
        <v>308</v>
      </c>
      <c r="B309" s="74">
        <v>800063126</v>
      </c>
      <c r="C309" s="74" t="s">
        <v>563</v>
      </c>
      <c r="D309" s="99" t="s">
        <v>469</v>
      </c>
      <c r="E309" s="75" t="s">
        <v>469</v>
      </c>
      <c r="F309" s="76">
        <v>285.29059204368798</v>
      </c>
      <c r="G309" s="81">
        <v>236253703.92085072</v>
      </c>
      <c r="H309" s="77" t="s">
        <v>469</v>
      </c>
      <c r="I309">
        <f>IFERROR(G309/Base!$B$3,0)</f>
        <v>285.29059204368798</v>
      </c>
      <c r="J309" t="b">
        <f t="shared" si="4"/>
        <v>1</v>
      </c>
    </row>
    <row r="310" spans="1:10" x14ac:dyDescent="0.2">
      <c r="A310" s="74">
        <v>309</v>
      </c>
      <c r="B310" s="74">
        <v>805029466</v>
      </c>
      <c r="C310" s="74" t="s">
        <v>754</v>
      </c>
      <c r="D310" s="99" t="s">
        <v>470</v>
      </c>
      <c r="E310" s="75" t="s">
        <v>470</v>
      </c>
      <c r="F310" s="76">
        <v>0</v>
      </c>
      <c r="G310" s="75">
        <v>0</v>
      </c>
      <c r="H310" s="77" t="s">
        <v>470</v>
      </c>
      <c r="I310">
        <f>IFERROR(G310/Base!$B$3,0)</f>
        <v>0</v>
      </c>
      <c r="J310" t="b">
        <f t="shared" si="4"/>
        <v>1</v>
      </c>
    </row>
    <row r="311" spans="1:10" x14ac:dyDescent="0.2">
      <c r="A311" s="74">
        <v>310</v>
      </c>
      <c r="B311" s="74">
        <v>800148631</v>
      </c>
      <c r="C311" s="74" t="s">
        <v>755</v>
      </c>
      <c r="D311" s="99" t="s">
        <v>469</v>
      </c>
      <c r="E311" s="75" t="s">
        <v>470</v>
      </c>
      <c r="F311" s="76">
        <v>729.29665608850962</v>
      </c>
      <c r="G311" s="75">
        <v>603942229.6533922</v>
      </c>
      <c r="H311" s="77" t="s">
        <v>470</v>
      </c>
      <c r="I311">
        <f>IFERROR(G311/Base!$B$3,0)</f>
        <v>729.29665608850962</v>
      </c>
      <c r="J311" t="b">
        <f t="shared" si="4"/>
        <v>1</v>
      </c>
    </row>
    <row r="312" spans="1:10" x14ac:dyDescent="0.2">
      <c r="A312" s="74">
        <v>311</v>
      </c>
      <c r="B312" s="74">
        <v>901312959</v>
      </c>
      <c r="C312" s="74" t="s">
        <v>430</v>
      </c>
      <c r="D312" s="99" t="s">
        <v>470</v>
      </c>
      <c r="E312" s="75" t="s">
        <v>470</v>
      </c>
      <c r="F312" s="76">
        <v>0</v>
      </c>
      <c r="G312" s="75">
        <v>0</v>
      </c>
      <c r="H312" s="77" t="s">
        <v>470</v>
      </c>
      <c r="I312">
        <f>IFERROR(G312/Base!$B$3,0)</f>
        <v>0</v>
      </c>
      <c r="J312" t="b">
        <f t="shared" si="4"/>
        <v>1</v>
      </c>
    </row>
    <row r="313" spans="1:10" x14ac:dyDescent="0.2">
      <c r="A313" s="74">
        <v>312</v>
      </c>
      <c r="B313" s="74">
        <v>800034694</v>
      </c>
      <c r="C313" s="74" t="s">
        <v>564</v>
      </c>
      <c r="D313" s="99" t="s">
        <v>469</v>
      </c>
      <c r="E313" s="75" t="s">
        <v>469</v>
      </c>
      <c r="F313" s="76">
        <v>973.80662274546091</v>
      </c>
      <c r="G313" s="81">
        <v>806424845.20148015</v>
      </c>
      <c r="H313" s="77" t="s">
        <v>469</v>
      </c>
      <c r="I313">
        <f>IFERROR(G313/Base!$B$3,0)</f>
        <v>973.80662274546091</v>
      </c>
      <c r="J313" t="b">
        <f t="shared" si="4"/>
        <v>1</v>
      </c>
    </row>
    <row r="314" spans="1:10" x14ac:dyDescent="0.2">
      <c r="A314" s="74">
        <v>313</v>
      </c>
      <c r="B314" s="74">
        <v>800218607</v>
      </c>
      <c r="C314" s="74" t="s">
        <v>565</v>
      </c>
      <c r="D314" s="99" t="s">
        <v>469</v>
      </c>
      <c r="E314" s="75" t="s">
        <v>469</v>
      </c>
      <c r="F314" s="76">
        <v>142.96474626126866</v>
      </c>
      <c r="G314" s="81">
        <v>118391393.81489676</v>
      </c>
      <c r="H314" s="77" t="s">
        <v>469</v>
      </c>
      <c r="I314">
        <f>IFERROR(G314/Base!$B$3,0)</f>
        <v>142.96474626126866</v>
      </c>
      <c r="J314" t="b">
        <f t="shared" si="4"/>
        <v>1</v>
      </c>
    </row>
    <row r="315" spans="1:10" x14ac:dyDescent="0.2">
      <c r="A315" s="74">
        <v>314</v>
      </c>
      <c r="B315" s="74">
        <v>900748884</v>
      </c>
      <c r="C315" s="74" t="s">
        <v>756</v>
      </c>
      <c r="D315" s="99" t="s">
        <v>470</v>
      </c>
      <c r="E315" s="75" t="s">
        <v>470</v>
      </c>
      <c r="F315" s="76">
        <v>0</v>
      </c>
      <c r="G315" s="75">
        <v>0</v>
      </c>
      <c r="H315" s="77" t="s">
        <v>470</v>
      </c>
      <c r="I315">
        <f>IFERROR(G315/Base!$B$3,0)</f>
        <v>0</v>
      </c>
      <c r="J315" t="b">
        <f t="shared" si="4"/>
        <v>1</v>
      </c>
    </row>
    <row r="316" spans="1:10" x14ac:dyDescent="0.2">
      <c r="A316" s="74">
        <v>315</v>
      </c>
      <c r="B316" s="74">
        <v>806014866</v>
      </c>
      <c r="C316" s="74" t="s">
        <v>434</v>
      </c>
      <c r="D316" s="99" t="s">
        <v>470</v>
      </c>
      <c r="E316" s="75" t="s">
        <v>469</v>
      </c>
      <c r="F316" s="76">
        <v>142.14190935012886</v>
      </c>
      <c r="G316" s="75">
        <v>117709989.4033913</v>
      </c>
      <c r="H316" s="77" t="s">
        <v>470</v>
      </c>
      <c r="I316">
        <f>IFERROR(G316/Base!$B$3,0)</f>
        <v>142.14190935012886</v>
      </c>
      <c r="J316" t="b">
        <f t="shared" si="4"/>
        <v>1</v>
      </c>
    </row>
    <row r="317" spans="1:10" x14ac:dyDescent="0.2">
      <c r="A317" s="74">
        <v>316</v>
      </c>
      <c r="B317" s="74">
        <v>900512759</v>
      </c>
      <c r="C317" s="74" t="s">
        <v>757</v>
      </c>
      <c r="D317" s="99" t="s">
        <v>470</v>
      </c>
      <c r="E317" s="75" t="s">
        <v>470</v>
      </c>
      <c r="F317" s="76">
        <v>730.70404082165362</v>
      </c>
      <c r="G317" s="75">
        <v>605107707.46906447</v>
      </c>
      <c r="H317" s="77" t="s">
        <v>470</v>
      </c>
      <c r="I317">
        <f>IFERROR(G317/Base!$B$3,0)</f>
        <v>730.70404082165362</v>
      </c>
      <c r="J317" t="b">
        <f t="shared" si="4"/>
        <v>1</v>
      </c>
    </row>
    <row r="318" spans="1:10" x14ac:dyDescent="0.2">
      <c r="A318" s="74">
        <v>317</v>
      </c>
      <c r="B318" s="74">
        <v>900054260</v>
      </c>
      <c r="C318" s="74" t="s">
        <v>758</v>
      </c>
      <c r="D318" s="99" t="s">
        <v>470</v>
      </c>
      <c r="E318" s="75" t="s">
        <v>470</v>
      </c>
      <c r="F318" s="76">
        <v>0</v>
      </c>
      <c r="G318" s="75">
        <v>0</v>
      </c>
      <c r="H318" s="77" t="s">
        <v>470</v>
      </c>
      <c r="I318">
        <f>IFERROR(G318/Base!$B$3,0)</f>
        <v>0</v>
      </c>
      <c r="J318" t="b">
        <f t="shared" si="4"/>
        <v>1</v>
      </c>
    </row>
    <row r="319" spans="1:10" x14ac:dyDescent="0.2">
      <c r="A319" s="74">
        <v>318</v>
      </c>
      <c r="B319" s="74">
        <v>900204863</v>
      </c>
      <c r="C319" s="74" t="s">
        <v>566</v>
      </c>
      <c r="D319" s="99" t="s">
        <v>469</v>
      </c>
      <c r="E319" s="75" t="s">
        <v>469</v>
      </c>
      <c r="F319" s="76">
        <v>962.84892091366726</v>
      </c>
      <c r="G319" s="81">
        <v>797350596.99134243</v>
      </c>
      <c r="H319" s="77" t="s">
        <v>469</v>
      </c>
      <c r="I319">
        <f>IFERROR(G319/Base!$B$3,0)</f>
        <v>962.84892091366714</v>
      </c>
      <c r="J319" t="b">
        <f t="shared" si="4"/>
        <v>1</v>
      </c>
    </row>
    <row r="320" spans="1:10" x14ac:dyDescent="0.2">
      <c r="A320" s="74">
        <v>319</v>
      </c>
      <c r="B320" s="74">
        <v>830075085</v>
      </c>
      <c r="C320" s="74" t="s">
        <v>440</v>
      </c>
      <c r="D320" s="99" t="s">
        <v>469</v>
      </c>
      <c r="E320" s="75" t="s">
        <v>470</v>
      </c>
      <c r="F320" s="76">
        <v>690.20990268970763</v>
      </c>
      <c r="G320" s="75">
        <v>571573863.77578998</v>
      </c>
      <c r="H320" s="77" t="s">
        <v>470</v>
      </c>
      <c r="I320">
        <f>IFERROR(G320/Base!$B$3,0)</f>
        <v>690.20990268970775</v>
      </c>
      <c r="J320" t="b">
        <f t="shared" si="4"/>
        <v>1</v>
      </c>
    </row>
    <row r="321" spans="1:10" x14ac:dyDescent="0.2">
      <c r="A321" s="74">
        <v>320</v>
      </c>
      <c r="B321" s="74">
        <v>860018862</v>
      </c>
      <c r="C321" s="74" t="s">
        <v>567</v>
      </c>
      <c r="D321" s="99" t="s">
        <v>469</v>
      </c>
      <c r="E321" s="75" t="s">
        <v>469</v>
      </c>
      <c r="F321" s="76">
        <v>1093.8188751913003</v>
      </c>
      <c r="G321" s="81">
        <v>905808911.64791882</v>
      </c>
      <c r="H321" s="77" t="s">
        <v>469</v>
      </c>
      <c r="I321">
        <f>IFERROR(G321/Base!$B$3,0)</f>
        <v>1093.8188751913003</v>
      </c>
      <c r="J321" t="b">
        <f t="shared" si="4"/>
        <v>1</v>
      </c>
    </row>
    <row r="322" spans="1:10" x14ac:dyDescent="0.2">
      <c r="A322" s="74">
        <v>321</v>
      </c>
      <c r="B322" s="74">
        <v>890807284</v>
      </c>
      <c r="C322" s="74" t="s">
        <v>442</v>
      </c>
      <c r="D322" s="99" t="s">
        <v>469</v>
      </c>
      <c r="E322" s="75" t="s">
        <v>469</v>
      </c>
      <c r="F322" s="76">
        <v>4182.4491255151133</v>
      </c>
      <c r="G322" s="81">
        <v>3463553040.0250735</v>
      </c>
      <c r="H322" s="77" t="s">
        <v>469</v>
      </c>
      <c r="I322">
        <f>IFERROR(G322/Base!$B$3,0)</f>
        <v>4182.4491255151133</v>
      </c>
      <c r="J322" t="b">
        <f t="shared" si="4"/>
        <v>1</v>
      </c>
    </row>
    <row r="323" spans="1:10" x14ac:dyDescent="0.2">
      <c r="A323" s="74">
        <v>322</v>
      </c>
      <c r="B323" s="74">
        <v>901011895</v>
      </c>
      <c r="C323" s="74" t="s">
        <v>759</v>
      </c>
      <c r="D323" s="99" t="s">
        <v>470</v>
      </c>
      <c r="E323" s="75" t="s">
        <v>470</v>
      </c>
      <c r="F323" s="76">
        <v>0</v>
      </c>
      <c r="G323" s="75">
        <v>0</v>
      </c>
      <c r="H323" s="77" t="s">
        <v>470</v>
      </c>
      <c r="I323">
        <f>IFERROR(G323/Base!$B$3,0)</f>
        <v>0</v>
      </c>
      <c r="J323" t="b">
        <f t="shared" ref="J323:J329" si="5">F323=I323</f>
        <v>1</v>
      </c>
    </row>
    <row r="324" spans="1:10" x14ac:dyDescent="0.2">
      <c r="A324" s="74">
        <v>323</v>
      </c>
      <c r="B324" s="74">
        <v>901123937</v>
      </c>
      <c r="C324" s="74" t="s">
        <v>760</v>
      </c>
      <c r="D324" s="99" t="s">
        <v>470</v>
      </c>
      <c r="E324" s="75" t="s">
        <v>469</v>
      </c>
      <c r="F324" s="76">
        <v>50.838294709913804</v>
      </c>
      <c r="G324" s="75">
        <v>42100005.26199498</v>
      </c>
      <c r="H324" s="77" t="s">
        <v>470</v>
      </c>
      <c r="I324">
        <f>IFERROR(G324/Base!$B$3,0)</f>
        <v>50.838294709913804</v>
      </c>
      <c r="J324" t="b">
        <f t="shared" si="5"/>
        <v>1</v>
      </c>
    </row>
    <row r="325" spans="1:10" x14ac:dyDescent="0.2">
      <c r="A325" s="74">
        <v>324</v>
      </c>
      <c r="B325" s="74">
        <v>900198924</v>
      </c>
      <c r="C325" s="74" t="s">
        <v>761</v>
      </c>
      <c r="D325" s="99" t="s">
        <v>470</v>
      </c>
      <c r="E325" s="75" t="s">
        <v>469</v>
      </c>
      <c r="F325" s="76">
        <v>519.88235320197305</v>
      </c>
      <c r="G325" s="75">
        <v>430522894.80420512</v>
      </c>
      <c r="H325" s="77" t="s">
        <v>470</v>
      </c>
      <c r="I325">
        <f>IFERROR(G325/Base!$B$3,0)</f>
        <v>519.88235320197305</v>
      </c>
      <c r="J325" t="b">
        <f t="shared" si="5"/>
        <v>1</v>
      </c>
    </row>
    <row r="326" spans="1:10" x14ac:dyDescent="0.2">
      <c r="A326" s="74">
        <v>325</v>
      </c>
      <c r="B326" s="74">
        <v>800181165</v>
      </c>
      <c r="C326" s="74" t="s">
        <v>568</v>
      </c>
      <c r="D326" s="99" t="s">
        <v>469</v>
      </c>
      <c r="E326" s="75" t="s">
        <v>469</v>
      </c>
      <c r="F326" s="76">
        <v>650.50445448795972</v>
      </c>
      <c r="G326" s="81">
        <v>538693146.83275127</v>
      </c>
      <c r="H326" s="77" t="s">
        <v>469</v>
      </c>
      <c r="I326">
        <f>IFERROR(G326/Base!$B$3,0)</f>
        <v>650.50445448795972</v>
      </c>
      <c r="J326" t="b">
        <f t="shared" si="5"/>
        <v>1</v>
      </c>
    </row>
    <row r="327" spans="1:10" x14ac:dyDescent="0.2">
      <c r="A327" s="74">
        <v>326</v>
      </c>
      <c r="B327" s="74">
        <v>860013779</v>
      </c>
      <c r="C327" s="74" t="s">
        <v>762</v>
      </c>
      <c r="D327" s="99" t="s">
        <v>470</v>
      </c>
      <c r="E327" s="75" t="s">
        <v>470</v>
      </c>
      <c r="F327" s="76">
        <v>1627.4750026584647</v>
      </c>
      <c r="G327" s="75">
        <v>1347738089.3015172</v>
      </c>
      <c r="H327" s="77" t="s">
        <v>470</v>
      </c>
      <c r="I327">
        <f>IFERROR(G327/Base!$B$3,0)</f>
        <v>1627.4750026584647</v>
      </c>
      <c r="J327" t="b">
        <f t="shared" si="5"/>
        <v>1</v>
      </c>
    </row>
    <row r="328" spans="1:10" x14ac:dyDescent="0.2">
      <c r="A328" s="74">
        <v>327</v>
      </c>
      <c r="B328" s="74" t="s">
        <v>659</v>
      </c>
      <c r="C328" s="74" t="s">
        <v>763</v>
      </c>
      <c r="D328" s="99" t="s">
        <v>470</v>
      </c>
      <c r="E328" s="75" t="s">
        <v>470</v>
      </c>
      <c r="F328" s="76">
        <v>0</v>
      </c>
      <c r="G328" s="75">
        <v>0</v>
      </c>
      <c r="H328" s="77" t="s">
        <v>470</v>
      </c>
      <c r="I328">
        <f>IFERROR(G328/Base!$B$3,0)</f>
        <v>0</v>
      </c>
      <c r="J328" t="b">
        <f t="shared" si="5"/>
        <v>1</v>
      </c>
    </row>
    <row r="329" spans="1:10" x14ac:dyDescent="0.2">
      <c r="A329" s="74">
        <v>328</v>
      </c>
      <c r="B329" s="74">
        <v>828001706</v>
      </c>
      <c r="C329" s="74" t="s">
        <v>569</v>
      </c>
      <c r="D329" s="99" t="s">
        <v>469</v>
      </c>
      <c r="E329" s="75" t="s">
        <v>469</v>
      </c>
      <c r="F329" s="76">
        <v>162.33813776446951</v>
      </c>
      <c r="G329" s="81">
        <v>134434809.29296142</v>
      </c>
      <c r="H329" s="77" t="s">
        <v>469</v>
      </c>
      <c r="I329">
        <f>IFERROR(G329/Base!$B$3,0)</f>
        <v>162.33813776446948</v>
      </c>
      <c r="J329" t="b">
        <f t="shared" si="5"/>
        <v>0</v>
      </c>
    </row>
  </sheetData>
  <autoFilter ref="A1:L329" xr:uid="{00000000-0009-0000-0000-000003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Informe final</vt:lpstr>
      <vt:lpstr>Indicadores (base datos)</vt:lpstr>
      <vt:lpstr>Base</vt:lpstr>
      <vt:lpstr>Hoja2</vt:lpstr>
      <vt:lpstr>'Informe final'!Área_de_impresión</vt:lpstr>
      <vt:lpstr>'Informe final'!Títulos_a_imprimir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Hoyos Salazar</dc:creator>
  <cp:lastModifiedBy>Diego Barbosa Molina</cp:lastModifiedBy>
  <cp:lastPrinted>2019-09-26T17:00:42Z</cp:lastPrinted>
  <dcterms:created xsi:type="dcterms:W3CDTF">2019-09-19T22:32:18Z</dcterms:created>
  <dcterms:modified xsi:type="dcterms:W3CDTF">2019-09-28T01:20:36Z</dcterms:modified>
</cp:coreProperties>
</file>