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14 VIGILANCIA NIV NAC 2015.E1\"/>
    </mc:Choice>
  </mc:AlternateContent>
  <bookViews>
    <workbookView xWindow="0" yWindow="0" windowWidth="20490" windowHeight="7755" tabRatio="884" activeTab="2"/>
  </bookViews>
  <sheets>
    <sheet name="INFO GENERAL Y FINANCIERA" sheetId="34" r:id="rId1"/>
    <sheet name=" Circular 00435 de 2015" sheetId="6" r:id="rId2"/>
    <sheet name="FORMATO COTIZACIÓN-ESCENARIO 1" sheetId="28" r:id="rId3"/>
    <sheet name="FORMATO COTIZACIÓN-ESCENARIO 2" sheetId="35" r:id="rId4"/>
    <sheet name="Medios Tecnológicos" sheetId="33" r:id="rId5"/>
    <sheet name="POLIZAS" sheetId="31" r:id="rId6"/>
    <sheet name="INFO EXPERIENCIA" sheetId="32" r:id="rId7"/>
  </sheets>
  <externalReferences>
    <externalReference r:id="rId8"/>
    <externalReference r:id="rId9"/>
    <externalReference r:id="rId10"/>
    <externalReference r:id="rId11"/>
    <externalReference r:id="rId12"/>
  </externalReferences>
  <definedNames>
    <definedName name="_xlnm._FilterDatabase" localSheetId="1" hidden="1">' Circular 00435 de 2015'!$B$23:$H$51</definedName>
    <definedName name="_xlnm._FilterDatabase" localSheetId="6" hidden="1">'INFO EXPERIENCIA'!#REF!</definedName>
    <definedName name="_xlnm._FilterDatabase" localSheetId="0" hidden="1">'INFO GENERAL Y FINANCIERA'!$B$42:$AP$42</definedName>
    <definedName name="_xlnm.Print_Area" localSheetId="2">'FORMATO COTIZACIÓN-ESCENARIO 1'!$B$2:$R$74</definedName>
    <definedName name="_xlnm.Print_Area" localSheetId="3">'FORMATO COTIZACIÓN-ESCENARIO 2'!$B$2:$R$74</definedName>
    <definedName name="_xlnm.Print_Area" localSheetId="6">'INFO EXPERIENCIA'!$B$2:$J$25</definedName>
    <definedName name="_xlnm.Print_Area" localSheetId="0">'INFO GENERAL Y FINANCIERA'!$B$2:$AJ$57</definedName>
    <definedName name="_xlnm.Print_Area" localSheetId="5">POLIZAS!$B$2:$G$22</definedName>
    <definedName name="Decision" localSheetId="6">[1]lista!$A$6:$A$7</definedName>
    <definedName name="Decision" localSheetId="0">[2]lista!$A$6:$A$7</definedName>
    <definedName name="Decision" localSheetId="5">[1]lista!$A$6:$A$7</definedName>
    <definedName name="Decision">[3]lista!$A$6:$A$7</definedName>
    <definedName name="PARTICIPACION" localSheetId="6">[1]lista!$A$15:$A$17</definedName>
    <definedName name="PARTICIPACION" localSheetId="0">[2]lista!$A$15:$A$17</definedName>
    <definedName name="PARTICIPACION" localSheetId="5">[1]lista!$A$15:$A$17</definedName>
    <definedName name="PARTICIPACION">[3]lista!$A$15:$A$17</definedName>
    <definedName name="Procedencia" localSheetId="6">[1]lista!$A$2:$A$3</definedName>
    <definedName name="Procedencia" localSheetId="0">[2]lista!$A$2:$A$3</definedName>
    <definedName name="Procedencia" localSheetId="5">[1]lista!$A$2:$A$3</definedName>
    <definedName name="Procedencia">[3]lista!$A$2:$A$3</definedName>
    <definedName name="tipo" localSheetId="6">[1]lista!$A$11:$A$13</definedName>
    <definedName name="tipo" localSheetId="0">[2]lista!$A$11:$A$13</definedName>
    <definedName name="tipo" localSheetId="5">[1]lista!$A$11:$A$13</definedName>
    <definedName name="tipo">[3]lista!$A$11:$A$13</definedName>
    <definedName name="_xlnm.Print_Titles" localSheetId="2">'FORMATO COTIZACIÓN-ESCENARIO 1'!$2:$17</definedName>
    <definedName name="_xlnm.Print_Titles" localSheetId="3">'FORMATO COTIZACIÓN-ESCENARIO 2'!$2:$17</definedName>
    <definedName name="_xlnm.Print_Titles" localSheetId="6">'INFO EXPERIENCIA'!$2:$10</definedName>
    <definedName name="_xlnm.Print_Titles" localSheetId="0">'INFO GENERAL Y FINANCIERA'!$2:$9</definedName>
    <definedName name="x" localSheetId="0">[4]lista!$A$11:$A$13</definedName>
    <definedName name="x">[5]lista!$A$11:$A$13</definedName>
  </definedNames>
  <calcPr calcId="152511"/>
</workbook>
</file>

<file path=xl/calcChain.xml><?xml version="1.0" encoding="utf-8"?>
<calcChain xmlns="http://schemas.openxmlformats.org/spreadsheetml/2006/main">
  <c r="F20" i="35" l="1"/>
  <c r="G20" i="35"/>
  <c r="H20" i="35"/>
  <c r="E20" i="35"/>
  <c r="R64" i="35"/>
  <c r="O64" i="35"/>
  <c r="L64" i="35"/>
  <c r="I64" i="35"/>
  <c r="F64" i="35"/>
  <c r="R63" i="35"/>
  <c r="P63" i="35"/>
  <c r="M63" i="35"/>
  <c r="O63" i="35" s="1"/>
  <c r="L63" i="35"/>
  <c r="J63" i="35"/>
  <c r="G63" i="35"/>
  <c r="I63" i="35" s="1"/>
  <c r="F63" i="35"/>
  <c r="D63" i="35"/>
  <c r="P62" i="35"/>
  <c r="R62" i="35" s="1"/>
  <c r="O62" i="35"/>
  <c r="M62" i="35"/>
  <c r="J62" i="35"/>
  <c r="L62" i="35" s="1"/>
  <c r="I62" i="35"/>
  <c r="G62" i="35"/>
  <c r="D62" i="35"/>
  <c r="F62" i="35" s="1"/>
  <c r="R61" i="35"/>
  <c r="P61" i="35"/>
  <c r="M61" i="35"/>
  <c r="O61" i="35" s="1"/>
  <c r="L61" i="35"/>
  <c r="J61" i="35"/>
  <c r="G61" i="35"/>
  <c r="I61" i="35" s="1"/>
  <c r="F61" i="35"/>
  <c r="D61" i="35"/>
  <c r="R60" i="35"/>
  <c r="O60" i="35"/>
  <c r="L60" i="35"/>
  <c r="I60" i="35"/>
  <c r="F60" i="35"/>
  <c r="P59" i="35"/>
  <c r="R59" i="35" s="1"/>
  <c r="O59" i="35"/>
  <c r="M59" i="35"/>
  <c r="J59" i="35"/>
  <c r="L59" i="35" s="1"/>
  <c r="I59" i="35"/>
  <c r="G59" i="35"/>
  <c r="D59" i="35"/>
  <c r="F59" i="35" s="1"/>
  <c r="R58" i="35"/>
  <c r="P58" i="35"/>
  <c r="M58" i="35"/>
  <c r="O58" i="35" s="1"/>
  <c r="L58" i="35"/>
  <c r="G58" i="35"/>
  <c r="I58" i="35" s="1"/>
  <c r="F58" i="35"/>
  <c r="D58" i="35"/>
  <c r="P57" i="35"/>
  <c r="R57" i="35" s="1"/>
  <c r="O57" i="35"/>
  <c r="M57" i="35"/>
  <c r="J57" i="35"/>
  <c r="L57" i="35" s="1"/>
  <c r="I57" i="35"/>
  <c r="G57" i="35"/>
  <c r="D57" i="35"/>
  <c r="F57" i="35" s="1"/>
  <c r="R56" i="35"/>
  <c r="P56" i="35"/>
  <c r="M56" i="35"/>
  <c r="O56" i="35" s="1"/>
  <c r="L56" i="35"/>
  <c r="J56" i="35"/>
  <c r="G56" i="35"/>
  <c r="I56" i="35" s="1"/>
  <c r="F56" i="35"/>
  <c r="D56" i="35"/>
  <c r="P55" i="35"/>
  <c r="R55" i="35" s="1"/>
  <c r="O55" i="35"/>
  <c r="M55" i="35"/>
  <c r="J55" i="35"/>
  <c r="L55" i="35" s="1"/>
  <c r="I55" i="35"/>
  <c r="G55" i="35"/>
  <c r="D55" i="35"/>
  <c r="F55" i="35" s="1"/>
  <c r="R54" i="35"/>
  <c r="P54" i="35"/>
  <c r="M54" i="35"/>
  <c r="O54" i="35" s="1"/>
  <c r="L54" i="35"/>
  <c r="J54" i="35"/>
  <c r="G54" i="35"/>
  <c r="I54" i="35" s="1"/>
  <c r="F54" i="35"/>
  <c r="D54" i="35"/>
  <c r="P53" i="35"/>
  <c r="R53" i="35" s="1"/>
  <c r="O53" i="35"/>
  <c r="M53" i="35"/>
  <c r="J53" i="35"/>
  <c r="L53" i="35" s="1"/>
  <c r="I53" i="35"/>
  <c r="G53" i="35"/>
  <c r="D53" i="35"/>
  <c r="F53" i="35" s="1"/>
  <c r="R52" i="35"/>
  <c r="P52" i="35"/>
  <c r="M52" i="35"/>
  <c r="O52" i="35" s="1"/>
  <c r="L52" i="35"/>
  <c r="J52" i="35"/>
  <c r="I52" i="35"/>
  <c r="D52" i="35"/>
  <c r="F52" i="35" s="1"/>
  <c r="R51" i="35"/>
  <c r="O51" i="35"/>
  <c r="J51" i="35"/>
  <c r="L51" i="35" s="1"/>
  <c r="I51" i="35"/>
  <c r="G51" i="35"/>
  <c r="D51" i="35"/>
  <c r="F51" i="35" s="1"/>
  <c r="R50" i="35"/>
  <c r="P50" i="35"/>
  <c r="M50" i="35"/>
  <c r="O50" i="35" s="1"/>
  <c r="L50" i="35"/>
  <c r="J50" i="35"/>
  <c r="G50" i="35"/>
  <c r="I50" i="35" s="1"/>
  <c r="F50" i="35"/>
  <c r="D50" i="35"/>
  <c r="R49" i="35"/>
  <c r="O49" i="35"/>
  <c r="L49" i="35"/>
  <c r="I49" i="35"/>
  <c r="D49" i="35"/>
  <c r="F49" i="35" s="1"/>
  <c r="P48" i="35"/>
  <c r="R48" i="35" s="1"/>
  <c r="M48" i="35"/>
  <c r="O48" i="35" s="1"/>
  <c r="J48" i="35"/>
  <c r="L48" i="35" s="1"/>
  <c r="G48" i="35"/>
  <c r="I48" i="35" s="1"/>
  <c r="D48" i="35"/>
  <c r="F48" i="35" s="1"/>
  <c r="P47" i="35"/>
  <c r="R47" i="35" s="1"/>
  <c r="M47" i="35"/>
  <c r="O47" i="35" s="1"/>
  <c r="J47" i="35"/>
  <c r="L47" i="35" s="1"/>
  <c r="G47" i="35"/>
  <c r="I47" i="35" s="1"/>
  <c r="D47" i="35"/>
  <c r="F47" i="35" s="1"/>
  <c r="P46" i="35"/>
  <c r="R46" i="35" s="1"/>
  <c r="M46" i="35"/>
  <c r="O46" i="35" s="1"/>
  <c r="J46" i="35"/>
  <c r="L46" i="35" s="1"/>
  <c r="G46" i="35"/>
  <c r="I46" i="35" s="1"/>
  <c r="I65" i="35" s="1"/>
  <c r="D46" i="35"/>
  <c r="F46" i="35" s="1"/>
  <c r="R38" i="35"/>
  <c r="O38" i="35"/>
  <c r="L38" i="35"/>
  <c r="I38" i="35"/>
  <c r="F38" i="35"/>
  <c r="Q37" i="35"/>
  <c r="R37" i="35" s="1"/>
  <c r="N37" i="35"/>
  <c r="O37" i="35" s="1"/>
  <c r="K37" i="35"/>
  <c r="L37" i="35" s="1"/>
  <c r="H37" i="35"/>
  <c r="I37" i="35" s="1"/>
  <c r="E37" i="35"/>
  <c r="F37" i="35" s="1"/>
  <c r="Q36" i="35"/>
  <c r="R36" i="35" s="1"/>
  <c r="N36" i="35"/>
  <c r="O36" i="35" s="1"/>
  <c r="K36" i="35"/>
  <c r="L36" i="35" s="1"/>
  <c r="H36" i="35"/>
  <c r="I36" i="35" s="1"/>
  <c r="E36" i="35"/>
  <c r="F36" i="35" s="1"/>
  <c r="Q35" i="35"/>
  <c r="R35" i="35" s="1"/>
  <c r="P35" i="35"/>
  <c r="M35" i="35"/>
  <c r="N35" i="35" s="1"/>
  <c r="O35" i="35" s="1"/>
  <c r="K35" i="35"/>
  <c r="L35" i="35" s="1"/>
  <c r="J35" i="35"/>
  <c r="I35" i="35"/>
  <c r="H35" i="35"/>
  <c r="F35" i="35"/>
  <c r="E35" i="35"/>
  <c r="P34" i="35"/>
  <c r="Q34" i="35" s="1"/>
  <c r="R34" i="35" s="1"/>
  <c r="N34" i="35"/>
  <c r="O34" i="35" s="1"/>
  <c r="K34" i="35"/>
  <c r="L34" i="35" s="1"/>
  <c r="H34" i="35"/>
  <c r="I34" i="35" s="1"/>
  <c r="E34" i="35"/>
  <c r="F34" i="35" s="1"/>
  <c r="Q33" i="35"/>
  <c r="R33" i="35" s="1"/>
  <c r="N33" i="35"/>
  <c r="O33" i="35" s="1"/>
  <c r="K33" i="35"/>
  <c r="L33" i="35" s="1"/>
  <c r="H33" i="35"/>
  <c r="I33" i="35" s="1"/>
  <c r="E33" i="35"/>
  <c r="F33" i="35" s="1"/>
  <c r="Q32" i="35"/>
  <c r="R32" i="35" s="1"/>
  <c r="N32" i="35"/>
  <c r="O32" i="35" s="1"/>
  <c r="M32" i="35"/>
  <c r="L32" i="35"/>
  <c r="K32" i="35"/>
  <c r="I32" i="35"/>
  <c r="H32" i="35"/>
  <c r="F32" i="35"/>
  <c r="E32" i="35"/>
  <c r="R31" i="35"/>
  <c r="Q31" i="35"/>
  <c r="M31" i="35"/>
  <c r="N31" i="35" s="1"/>
  <c r="O31" i="35" s="1"/>
  <c r="K31" i="35"/>
  <c r="L31" i="35" s="1"/>
  <c r="J31" i="35"/>
  <c r="I31" i="35"/>
  <c r="H31" i="35"/>
  <c r="F31" i="35"/>
  <c r="E31" i="35"/>
  <c r="R30" i="35"/>
  <c r="Q30" i="35"/>
  <c r="O30" i="35"/>
  <c r="N30" i="35"/>
  <c r="L30" i="35"/>
  <c r="K30" i="35"/>
  <c r="I30" i="35"/>
  <c r="H30" i="35"/>
  <c r="F30" i="35"/>
  <c r="E30" i="35"/>
  <c r="R29" i="35"/>
  <c r="Q29" i="35"/>
  <c r="O29" i="35"/>
  <c r="N29" i="35"/>
  <c r="J29" i="35"/>
  <c r="K29" i="35" s="1"/>
  <c r="L29" i="35" s="1"/>
  <c r="H29" i="35"/>
  <c r="I29" i="35" s="1"/>
  <c r="E29" i="35"/>
  <c r="F29" i="35" s="1"/>
  <c r="D29" i="35"/>
  <c r="R28" i="35"/>
  <c r="Q28" i="35"/>
  <c r="O28" i="35"/>
  <c r="N28" i="35"/>
  <c r="L28" i="35"/>
  <c r="K28" i="35"/>
  <c r="I28" i="35"/>
  <c r="H28" i="35"/>
  <c r="D28" i="35"/>
  <c r="E28" i="35" s="1"/>
  <c r="F28" i="35" s="1"/>
  <c r="Q27" i="35"/>
  <c r="R27" i="35" s="1"/>
  <c r="N27" i="35"/>
  <c r="O27" i="35" s="1"/>
  <c r="K27" i="35"/>
  <c r="L27" i="35" s="1"/>
  <c r="H27" i="35"/>
  <c r="I27" i="35" s="1"/>
  <c r="E27" i="35"/>
  <c r="F27" i="35" s="1"/>
  <c r="Q26" i="35"/>
  <c r="R26" i="35" s="1"/>
  <c r="N26" i="35"/>
  <c r="O26" i="35" s="1"/>
  <c r="K26" i="35"/>
  <c r="L26" i="35" s="1"/>
  <c r="H26" i="35"/>
  <c r="I26" i="35" s="1"/>
  <c r="E26" i="35"/>
  <c r="F26" i="35" s="1"/>
  <c r="Q25" i="35"/>
  <c r="R25" i="35" s="1"/>
  <c r="P25" i="35"/>
  <c r="M25" i="35"/>
  <c r="N25" i="35" s="1"/>
  <c r="O25" i="35" s="1"/>
  <c r="K25" i="35"/>
  <c r="L25" i="35" s="1"/>
  <c r="J25" i="35"/>
  <c r="G25" i="35"/>
  <c r="G39" i="35" s="1"/>
  <c r="E25" i="35"/>
  <c r="F25" i="35" s="1"/>
  <c r="D25" i="35"/>
  <c r="P24" i="35"/>
  <c r="P39" i="35" s="1"/>
  <c r="N24" i="35"/>
  <c r="O24" i="35" s="1"/>
  <c r="M24" i="35"/>
  <c r="M39" i="35" s="1"/>
  <c r="J24" i="35"/>
  <c r="K24" i="35" s="1"/>
  <c r="L24" i="35" s="1"/>
  <c r="H24" i="35"/>
  <c r="I24" i="35" s="1"/>
  <c r="E24" i="35"/>
  <c r="F24" i="35" s="1"/>
  <c r="D24" i="35"/>
  <c r="D39" i="35" s="1"/>
  <c r="R38" i="28"/>
  <c r="R39" i="28" s="1"/>
  <c r="O38" i="28"/>
  <c r="O39" i="28" s="1"/>
  <c r="L38" i="28"/>
  <c r="L39" i="28" s="1"/>
  <c r="I38" i="28"/>
  <c r="I39" i="28" s="1"/>
  <c r="F38" i="28"/>
  <c r="F39" i="28" s="1"/>
  <c r="M54" i="28"/>
  <c r="L65" i="35" l="1"/>
  <c r="O39" i="35"/>
  <c r="O40" i="35" s="1"/>
  <c r="O41" i="35" s="1"/>
  <c r="O42" i="35" s="1"/>
  <c r="I66" i="35"/>
  <c r="I67" i="35" s="1"/>
  <c r="I68" i="35" s="1"/>
  <c r="L66" i="35"/>
  <c r="L67" i="35" s="1"/>
  <c r="L68" i="35" s="1"/>
  <c r="F39" i="35"/>
  <c r="O65" i="35"/>
  <c r="L39" i="35"/>
  <c r="F65" i="35"/>
  <c r="R65" i="35"/>
  <c r="G65" i="35"/>
  <c r="M65" i="35"/>
  <c r="Q24" i="35"/>
  <c r="R24" i="35" s="1"/>
  <c r="R39" i="35" s="1"/>
  <c r="J39" i="35"/>
  <c r="D65" i="35"/>
  <c r="J65" i="35"/>
  <c r="P65" i="35"/>
  <c r="H25" i="35"/>
  <c r="I25" i="35" s="1"/>
  <c r="I39" i="35" s="1"/>
  <c r="P63" i="28"/>
  <c r="P62" i="28"/>
  <c r="P61" i="28"/>
  <c r="P59" i="28"/>
  <c r="P58" i="28"/>
  <c r="P57" i="28"/>
  <c r="P56" i="28"/>
  <c r="P55" i="28"/>
  <c r="P54" i="28"/>
  <c r="P53" i="28"/>
  <c r="P52" i="28"/>
  <c r="P50" i="28"/>
  <c r="P48" i="28"/>
  <c r="P47" i="28"/>
  <c r="P46" i="28"/>
  <c r="P35" i="28"/>
  <c r="P25" i="28"/>
  <c r="P24" i="28"/>
  <c r="P34" i="28"/>
  <c r="M63" i="28"/>
  <c r="M62" i="28"/>
  <c r="M61" i="28"/>
  <c r="M59" i="28"/>
  <c r="M57" i="28"/>
  <c r="M58" i="28"/>
  <c r="M55" i="28"/>
  <c r="M56" i="28"/>
  <c r="M52" i="28"/>
  <c r="M50" i="28"/>
  <c r="M53" i="28"/>
  <c r="M47" i="28"/>
  <c r="M46" i="28"/>
  <c r="M48" i="28"/>
  <c r="M25" i="28"/>
  <c r="M35" i="28"/>
  <c r="M32" i="28"/>
  <c r="M31" i="28"/>
  <c r="M24" i="28"/>
  <c r="I40" i="35" l="1"/>
  <c r="I41" i="35" s="1"/>
  <c r="I42" i="35" s="1"/>
  <c r="I70" i="35" s="1"/>
  <c r="R40" i="35"/>
  <c r="R41" i="35" s="1"/>
  <c r="R42" i="35" s="1"/>
  <c r="F66" i="35"/>
  <c r="F67" i="35" s="1"/>
  <c r="F68" i="35" s="1"/>
  <c r="R66" i="35"/>
  <c r="R67" i="35" s="1"/>
  <c r="R68" i="35" s="1"/>
  <c r="L40" i="35"/>
  <c r="L41" i="35" s="1"/>
  <c r="L42" i="35" s="1"/>
  <c r="L70" i="35" s="1"/>
  <c r="O66" i="35"/>
  <c r="O67" i="35" s="1"/>
  <c r="O68" i="35" s="1"/>
  <c r="O70" i="35" s="1"/>
  <c r="F40" i="35"/>
  <c r="F41" i="35" s="1"/>
  <c r="F42" i="35"/>
  <c r="J63" i="28"/>
  <c r="L63" i="28" s="1"/>
  <c r="J62" i="28"/>
  <c r="L62" i="28" s="1"/>
  <c r="J61" i="28"/>
  <c r="L61" i="28" s="1"/>
  <c r="J59" i="28"/>
  <c r="L59" i="28" s="1"/>
  <c r="J57" i="28"/>
  <c r="L57" i="28" s="1"/>
  <c r="J56" i="28"/>
  <c r="L56" i="28" s="1"/>
  <c r="J55" i="28"/>
  <c r="L55" i="28" s="1"/>
  <c r="J54" i="28"/>
  <c r="L54" i="28" s="1"/>
  <c r="J53" i="28"/>
  <c r="J52" i="28"/>
  <c r="L52" i="28" s="1"/>
  <c r="J51" i="28"/>
  <c r="L51" i="28" s="1"/>
  <c r="J50" i="28"/>
  <c r="L50" i="28" s="1"/>
  <c r="L53" i="28"/>
  <c r="J48" i="28"/>
  <c r="L48" i="28" s="1"/>
  <c r="J47" i="28"/>
  <c r="L47" i="28" s="1"/>
  <c r="J46" i="28"/>
  <c r="L46" i="28" s="1"/>
  <c r="J25" i="28"/>
  <c r="J35" i="28"/>
  <c r="J29" i="28"/>
  <c r="J31" i="28"/>
  <c r="J24" i="28"/>
  <c r="E50" i="6"/>
  <c r="D50" i="6"/>
  <c r="C50" i="6"/>
  <c r="F50" i="6" s="1"/>
  <c r="G25" i="28"/>
  <c r="D25" i="28"/>
  <c r="R46" i="28"/>
  <c r="R47" i="28"/>
  <c r="R48" i="28"/>
  <c r="R49" i="28"/>
  <c r="R50" i="28"/>
  <c r="R51" i="28"/>
  <c r="R52" i="28"/>
  <c r="R53" i="28"/>
  <c r="R54" i="28"/>
  <c r="R55" i="28"/>
  <c r="R56" i="28"/>
  <c r="R57" i="28"/>
  <c r="R58" i="28"/>
  <c r="R59" i="28"/>
  <c r="R60" i="28"/>
  <c r="R61" i="28"/>
  <c r="R62" i="28"/>
  <c r="R63" i="28"/>
  <c r="R64" i="28"/>
  <c r="O46" i="28"/>
  <c r="O47" i="28"/>
  <c r="O48" i="28"/>
  <c r="O49" i="28"/>
  <c r="O50" i="28"/>
  <c r="O51" i="28"/>
  <c r="O52" i="28"/>
  <c r="O53" i="28"/>
  <c r="O54" i="28"/>
  <c r="O55" i="28"/>
  <c r="O56" i="28"/>
  <c r="O57" i="28"/>
  <c r="O58" i="28"/>
  <c r="O59" i="28"/>
  <c r="O60" i="28"/>
  <c r="O61" i="28"/>
  <c r="O62" i="28"/>
  <c r="O63" i="28"/>
  <c r="O64" i="28"/>
  <c r="L49" i="28"/>
  <c r="L58" i="28"/>
  <c r="L60" i="28"/>
  <c r="L64" i="28"/>
  <c r="I49" i="28"/>
  <c r="I52" i="28"/>
  <c r="I60" i="28"/>
  <c r="I64" i="28"/>
  <c r="F60" i="28"/>
  <c r="F64" i="28"/>
  <c r="R70" i="35" l="1"/>
  <c r="F70" i="35"/>
  <c r="G50" i="6"/>
  <c r="H50" i="6" s="1"/>
  <c r="I50" i="6" s="1"/>
  <c r="K50" i="6" s="1"/>
  <c r="G63" i="28"/>
  <c r="I63" i="28" s="1"/>
  <c r="G62" i="28"/>
  <c r="I62" i="28" s="1"/>
  <c r="G61" i="28"/>
  <c r="I61" i="28" s="1"/>
  <c r="G59" i="28"/>
  <c r="I59" i="28" s="1"/>
  <c r="G57" i="28"/>
  <c r="I57" i="28" s="1"/>
  <c r="G58" i="28"/>
  <c r="I58" i="28" s="1"/>
  <c r="G56" i="28"/>
  <c r="I56" i="28" s="1"/>
  <c r="G55" i="28"/>
  <c r="I55" i="28" s="1"/>
  <c r="G54" i="28"/>
  <c r="I54" i="28" s="1"/>
  <c r="G53" i="28"/>
  <c r="I53" i="28" s="1"/>
  <c r="G51" i="28"/>
  <c r="I51" i="28" s="1"/>
  <c r="G50" i="28"/>
  <c r="I50" i="28" s="1"/>
  <c r="G48" i="28"/>
  <c r="I48" i="28" s="1"/>
  <c r="G47" i="28"/>
  <c r="I47" i="28" s="1"/>
  <c r="G46" i="28"/>
  <c r="I46" i="28" s="1"/>
  <c r="C38" i="6"/>
  <c r="D38" i="6"/>
  <c r="C37" i="6"/>
  <c r="E33" i="6"/>
  <c r="C29" i="6"/>
  <c r="D63" i="28"/>
  <c r="F63" i="28" s="1"/>
  <c r="D62" i="28"/>
  <c r="F62" i="28" s="1"/>
  <c r="D61" i="28"/>
  <c r="F61" i="28" s="1"/>
  <c r="D59" i="28"/>
  <c r="F59" i="28" s="1"/>
  <c r="D57" i="28"/>
  <c r="F57" i="28" s="1"/>
  <c r="D58" i="28"/>
  <c r="F58" i="28" s="1"/>
  <c r="D56" i="28"/>
  <c r="F56" i="28" s="1"/>
  <c r="D55" i="28"/>
  <c r="F55" i="28" s="1"/>
  <c r="D54" i="28"/>
  <c r="F54" i="28" s="1"/>
  <c r="D52" i="28"/>
  <c r="F52" i="28" s="1"/>
  <c r="D50" i="28"/>
  <c r="F50" i="28" s="1"/>
  <c r="D53" i="28"/>
  <c r="F53" i="28" s="1"/>
  <c r="D51" i="28"/>
  <c r="F51" i="28" s="1"/>
  <c r="D48" i="28"/>
  <c r="F48" i="28" s="1"/>
  <c r="D47" i="28"/>
  <c r="F47" i="28" s="1"/>
  <c r="D46" i="28"/>
  <c r="F46" i="28" s="1"/>
  <c r="D49" i="28"/>
  <c r="F49" i="28" s="1"/>
  <c r="D28" i="28" l="1"/>
  <c r="D24" i="28" l="1"/>
  <c r="D29" i="28"/>
  <c r="E51" i="6"/>
  <c r="D51" i="6"/>
  <c r="C51" i="6"/>
  <c r="I12" i="6" l="1"/>
  <c r="J12" i="6" s="1"/>
  <c r="H12" i="6"/>
  <c r="H7" i="6"/>
  <c r="F20" i="28" l="1"/>
  <c r="E20" i="28"/>
  <c r="AE53" i="34" l="1"/>
  <c r="AE51" i="34"/>
  <c r="AE49" i="34"/>
  <c r="AE47" i="34"/>
  <c r="AE45" i="34"/>
  <c r="AE43" i="34"/>
  <c r="L51" i="6" l="1"/>
  <c r="L50" i="6"/>
  <c r="L49" i="6"/>
  <c r="L48" i="6"/>
  <c r="L47" i="6"/>
  <c r="L46" i="6"/>
  <c r="L45" i="6"/>
  <c r="L44" i="6"/>
  <c r="L43" i="6"/>
  <c r="L42" i="6"/>
  <c r="L41" i="6"/>
  <c r="L40" i="6"/>
  <c r="L39" i="6"/>
  <c r="L38" i="6"/>
  <c r="L37" i="6"/>
  <c r="L36" i="6"/>
  <c r="L35" i="6"/>
  <c r="L34" i="6"/>
  <c r="L33" i="6"/>
  <c r="L32" i="6"/>
  <c r="L31" i="6"/>
  <c r="L30" i="6"/>
  <c r="L29" i="6"/>
  <c r="L28" i="6"/>
  <c r="L27" i="6"/>
  <c r="L25" i="6"/>
  <c r="L24" i="6"/>
  <c r="P39" i="28" l="1"/>
  <c r="Q37" i="28"/>
  <c r="R37" i="28" s="1"/>
  <c r="Q36" i="28"/>
  <c r="R36" i="28" s="1"/>
  <c r="Q35" i="28"/>
  <c r="R35" i="28" s="1"/>
  <c r="Q34" i="28"/>
  <c r="R34" i="28" s="1"/>
  <c r="Q33" i="28"/>
  <c r="R33" i="28" s="1"/>
  <c r="Q32" i="28"/>
  <c r="R32" i="28" s="1"/>
  <c r="Q29" i="28"/>
  <c r="R29" i="28" s="1"/>
  <c r="Q28" i="28"/>
  <c r="R28" i="28" s="1"/>
  <c r="M39" i="28"/>
  <c r="N37" i="28"/>
  <c r="O37" i="28" s="1"/>
  <c r="N36" i="28"/>
  <c r="O36" i="28" s="1"/>
  <c r="N35" i="28"/>
  <c r="O35" i="28" s="1"/>
  <c r="N34" i="28"/>
  <c r="O34" i="28" s="1"/>
  <c r="N33" i="28"/>
  <c r="O33" i="28" s="1"/>
  <c r="N30" i="28"/>
  <c r="O30" i="28" s="1"/>
  <c r="N29" i="28"/>
  <c r="O29" i="28" s="1"/>
  <c r="N28" i="28"/>
  <c r="O28" i="28" s="1"/>
  <c r="N26" i="28"/>
  <c r="O26" i="28" s="1"/>
  <c r="N24" i="28"/>
  <c r="O24" i="28" s="1"/>
  <c r="J39" i="28"/>
  <c r="K37" i="28"/>
  <c r="L37" i="28" s="1"/>
  <c r="K36" i="28"/>
  <c r="L36" i="28" s="1"/>
  <c r="K35" i="28"/>
  <c r="L35" i="28" s="1"/>
  <c r="K34" i="28"/>
  <c r="L34" i="28" s="1"/>
  <c r="K33" i="28"/>
  <c r="L33" i="28" s="1"/>
  <c r="K28" i="28"/>
  <c r="L28" i="28" s="1"/>
  <c r="K26" i="28"/>
  <c r="L26" i="28" s="1"/>
  <c r="G39" i="28"/>
  <c r="H36" i="28"/>
  <c r="I36" i="28" s="1"/>
  <c r="H33" i="28"/>
  <c r="I33" i="28" s="1"/>
  <c r="H29" i="28"/>
  <c r="I29" i="28" s="1"/>
  <c r="H28" i="28"/>
  <c r="I28" i="28" s="1"/>
  <c r="H26" i="28"/>
  <c r="I26" i="28" s="1"/>
  <c r="G65" i="28" l="1"/>
  <c r="I65" i="28"/>
  <c r="P65" i="28"/>
  <c r="R65" i="28"/>
  <c r="M65" i="28"/>
  <c r="O65" i="28"/>
  <c r="J65" i="28"/>
  <c r="L65" i="28"/>
  <c r="E30" i="28"/>
  <c r="F30" i="28" s="1"/>
  <c r="E32" i="28"/>
  <c r="F32" i="28" s="1"/>
  <c r="E34" i="28"/>
  <c r="F34" i="28" s="1"/>
  <c r="E37" i="28"/>
  <c r="F37" i="28" s="1"/>
  <c r="D39" i="28"/>
  <c r="I66" i="28" l="1"/>
  <c r="I67" i="28" s="1"/>
  <c r="I68" i="28" s="1"/>
  <c r="R66" i="28"/>
  <c r="R67" i="28" s="1"/>
  <c r="O66" i="28"/>
  <c r="O67" i="28" s="1"/>
  <c r="L66" i="28"/>
  <c r="L67" i="28" s="1"/>
  <c r="D65" i="28" l="1"/>
  <c r="F65" i="28"/>
  <c r="R68" i="28"/>
  <c r="O68" i="28"/>
  <c r="L68" i="28"/>
  <c r="D47" i="6"/>
  <c r="D46" i="6"/>
  <c r="D36" i="6"/>
  <c r="D35" i="6"/>
  <c r="D33" i="6"/>
  <c r="D45" i="6"/>
  <c r="D40" i="6"/>
  <c r="D49" i="6"/>
  <c r="D44" i="6"/>
  <c r="D41" i="6"/>
  <c r="D39" i="6"/>
  <c r="D34" i="6"/>
  <c r="D32" i="6"/>
  <c r="D31" i="6"/>
  <c r="D27" i="6"/>
  <c r="D26" i="6"/>
  <c r="D48" i="6"/>
  <c r="D43" i="6"/>
  <c r="D42" i="6"/>
  <c r="D37" i="6"/>
  <c r="D30" i="6"/>
  <c r="D29" i="6"/>
  <c r="D28" i="6"/>
  <c r="D25" i="6"/>
  <c r="C44" i="6"/>
  <c r="C42" i="6"/>
  <c r="C49" i="6"/>
  <c r="C48" i="6"/>
  <c r="C47" i="6"/>
  <c r="C46" i="6"/>
  <c r="C45" i="6"/>
  <c r="C43" i="6"/>
  <c r="C41" i="6"/>
  <c r="C40" i="6"/>
  <c r="C39" i="6"/>
  <c r="C36" i="6"/>
  <c r="C35" i="6"/>
  <c r="C34" i="6"/>
  <c r="C33" i="6"/>
  <c r="C32" i="6"/>
  <c r="C31" i="6"/>
  <c r="C30" i="6"/>
  <c r="C28" i="6"/>
  <c r="C27" i="6"/>
  <c r="C26" i="6"/>
  <c r="C25" i="6"/>
  <c r="C24" i="6"/>
  <c r="E49" i="6"/>
  <c r="E48" i="6"/>
  <c r="E47" i="6"/>
  <c r="E46" i="6"/>
  <c r="E45" i="6"/>
  <c r="E44" i="6"/>
  <c r="E43" i="6"/>
  <c r="E42" i="6"/>
  <c r="E41" i="6"/>
  <c r="E40" i="6"/>
  <c r="E39" i="6"/>
  <c r="E38" i="6"/>
  <c r="E37" i="6"/>
  <c r="E36" i="6"/>
  <c r="E35" i="6"/>
  <c r="E34" i="6"/>
  <c r="E32" i="6"/>
  <c r="E31" i="6"/>
  <c r="E30" i="6"/>
  <c r="E29" i="6"/>
  <c r="E28" i="6"/>
  <c r="E27" i="6"/>
  <c r="E24" i="6"/>
  <c r="E26" i="6"/>
  <c r="E25" i="6"/>
  <c r="D24" i="6"/>
  <c r="F66" i="28" l="1"/>
  <c r="F67" i="28" s="1"/>
  <c r="F68" i="28" s="1"/>
  <c r="F25" i="6"/>
  <c r="G25" i="6" s="1"/>
  <c r="H25" i="6" s="1"/>
  <c r="F26" i="6"/>
  <c r="G26" i="6" s="1"/>
  <c r="H26" i="6" s="1"/>
  <c r="F27" i="6"/>
  <c r="G27" i="6" s="1"/>
  <c r="H27" i="6" s="1"/>
  <c r="F28" i="6"/>
  <c r="G28" i="6" s="1"/>
  <c r="H28" i="6" s="1"/>
  <c r="F29" i="6"/>
  <c r="G29" i="6" s="1"/>
  <c r="H29" i="6" s="1"/>
  <c r="F30" i="6"/>
  <c r="G30" i="6" s="1"/>
  <c r="H30" i="6" s="1"/>
  <c r="F31" i="6"/>
  <c r="G31" i="6" s="1"/>
  <c r="H31" i="6" s="1"/>
  <c r="F32" i="6"/>
  <c r="G32" i="6" s="1"/>
  <c r="H32" i="6" s="1"/>
  <c r="F33" i="6"/>
  <c r="G33" i="6" s="1"/>
  <c r="H33" i="6" s="1"/>
  <c r="F34" i="6"/>
  <c r="G34" i="6" s="1"/>
  <c r="H34" i="6" s="1"/>
  <c r="F35" i="6"/>
  <c r="G35" i="6" s="1"/>
  <c r="H35" i="6" s="1"/>
  <c r="F36" i="6"/>
  <c r="G36" i="6" s="1"/>
  <c r="H36" i="6" s="1"/>
  <c r="F37" i="6"/>
  <c r="G37" i="6" s="1"/>
  <c r="H37" i="6" s="1"/>
  <c r="F38" i="6"/>
  <c r="G38" i="6" s="1"/>
  <c r="H38" i="6" s="1"/>
  <c r="H35" i="28" s="1"/>
  <c r="I35" i="28" s="1"/>
  <c r="F39" i="6"/>
  <c r="G39" i="6" s="1"/>
  <c r="H39" i="6" s="1"/>
  <c r="F40" i="6"/>
  <c r="G40" i="6" s="1"/>
  <c r="H40" i="6" s="1"/>
  <c r="F41" i="6"/>
  <c r="G41" i="6" s="1"/>
  <c r="H41" i="6" s="1"/>
  <c r="F42" i="6"/>
  <c r="G42" i="6" s="1"/>
  <c r="H42" i="6" s="1"/>
  <c r="F43" i="6"/>
  <c r="G43" i="6" s="1"/>
  <c r="H43" i="6" s="1"/>
  <c r="F44" i="6"/>
  <c r="G44" i="6" s="1"/>
  <c r="H44" i="6" s="1"/>
  <c r="F45" i="6"/>
  <c r="G45" i="6" s="1"/>
  <c r="H45" i="6" s="1"/>
  <c r="F46" i="6"/>
  <c r="G46" i="6" s="1"/>
  <c r="F47" i="6"/>
  <c r="G47" i="6" s="1"/>
  <c r="H47" i="6" s="1"/>
  <c r="F48" i="6"/>
  <c r="G48" i="6" s="1"/>
  <c r="H48" i="6" s="1"/>
  <c r="F49" i="6"/>
  <c r="G49" i="6" s="1"/>
  <c r="H49" i="6" s="1"/>
  <c r="F51" i="6"/>
  <c r="G51" i="6" s="1"/>
  <c r="H51" i="6" s="1"/>
  <c r="I42" i="6" l="1"/>
  <c r="K42" i="6" s="1"/>
  <c r="M42" i="6" s="1"/>
  <c r="I49" i="6"/>
  <c r="K49" i="6" s="1"/>
  <c r="M49" i="6" s="1"/>
  <c r="N49" i="6"/>
  <c r="I41" i="6"/>
  <c r="K41" i="6" s="1"/>
  <c r="M41" i="6" s="1"/>
  <c r="I33" i="6"/>
  <c r="K33" i="6" s="1"/>
  <c r="M33" i="6" s="1"/>
  <c r="K30" i="28"/>
  <c r="L30" i="28" s="1"/>
  <c r="H30" i="28"/>
  <c r="I30" i="28" s="1"/>
  <c r="Q30" i="28"/>
  <c r="R30" i="28" s="1"/>
  <c r="I25" i="6"/>
  <c r="K25" i="6" s="1"/>
  <c r="M25" i="6" s="1"/>
  <c r="K25" i="28"/>
  <c r="L25" i="28" s="1"/>
  <c r="Q25" i="28"/>
  <c r="R25" i="28" s="1"/>
  <c r="H25" i="28"/>
  <c r="I25" i="28" s="1"/>
  <c r="N25" i="28"/>
  <c r="O25" i="28" s="1"/>
  <c r="E25" i="28"/>
  <c r="F25" i="28" s="1"/>
  <c r="I48" i="6"/>
  <c r="K48" i="6" s="1"/>
  <c r="M48" i="6" s="1"/>
  <c r="I44" i="6"/>
  <c r="K44" i="6" s="1"/>
  <c r="M44" i="6"/>
  <c r="I40" i="6"/>
  <c r="K40" i="6" s="1"/>
  <c r="M40" i="6" s="1"/>
  <c r="I36" i="6"/>
  <c r="K36" i="6" s="1"/>
  <c r="M36" i="6" s="1"/>
  <c r="E33" i="28"/>
  <c r="F33" i="28" s="1"/>
  <c r="I32" i="6"/>
  <c r="K32" i="6" s="1"/>
  <c r="M32" i="6" s="1"/>
  <c r="K29" i="28"/>
  <c r="L29" i="28" s="1"/>
  <c r="E29" i="28"/>
  <c r="F29" i="28" s="1"/>
  <c r="I28" i="6"/>
  <c r="K28" i="6" s="1"/>
  <c r="M28" i="6" s="1"/>
  <c r="Q26" i="28"/>
  <c r="R26" i="28" s="1"/>
  <c r="E26" i="28"/>
  <c r="F26" i="28" s="1"/>
  <c r="I38" i="6"/>
  <c r="K38" i="6" s="1"/>
  <c r="M38" i="6" s="1"/>
  <c r="E35" i="28"/>
  <c r="F35" i="28" s="1"/>
  <c r="I45" i="6"/>
  <c r="K45" i="6" s="1"/>
  <c r="M45" i="6" s="1"/>
  <c r="I37" i="6"/>
  <c r="K37" i="6" s="1"/>
  <c r="M37" i="6" s="1"/>
  <c r="H34" i="28"/>
  <c r="I34" i="28" s="1"/>
  <c r="I29" i="6"/>
  <c r="K29" i="6" s="1"/>
  <c r="M29" i="6" s="1"/>
  <c r="K27" i="28"/>
  <c r="L27" i="28" s="1"/>
  <c r="H27" i="28"/>
  <c r="I27" i="28" s="1"/>
  <c r="Q27" i="28"/>
  <c r="R27" i="28" s="1"/>
  <c r="N27" i="28"/>
  <c r="O27" i="28" s="1"/>
  <c r="E27" i="28"/>
  <c r="F27" i="28" s="1"/>
  <c r="I51" i="6"/>
  <c r="K51" i="6" s="1"/>
  <c r="M51" i="6" s="1"/>
  <c r="H37" i="28"/>
  <c r="I37" i="28" s="1"/>
  <c r="I47" i="6"/>
  <c r="K47" i="6" s="1"/>
  <c r="M47" i="6" s="1"/>
  <c r="I43" i="6"/>
  <c r="K43" i="6" s="1"/>
  <c r="M43" i="6" s="1"/>
  <c r="I39" i="6"/>
  <c r="K39" i="6" s="1"/>
  <c r="M39" i="6" s="1"/>
  <c r="I35" i="6"/>
  <c r="K35" i="6" s="1"/>
  <c r="M35" i="6" s="1"/>
  <c r="N32" i="28"/>
  <c r="O32" i="28" s="1"/>
  <c r="K32" i="28"/>
  <c r="L32" i="28" s="1"/>
  <c r="H32" i="28"/>
  <c r="I32" i="28" s="1"/>
  <c r="I31" i="6"/>
  <c r="K31" i="6" s="1"/>
  <c r="M31" i="6" s="1"/>
  <c r="I27" i="6"/>
  <c r="K27" i="6" s="1"/>
  <c r="M27" i="6" s="1"/>
  <c r="M50" i="6"/>
  <c r="E36" i="28"/>
  <c r="F36" i="28" s="1"/>
  <c r="I34" i="6"/>
  <c r="K34" i="6" s="1"/>
  <c r="M34" i="6" s="1"/>
  <c r="H31" i="28"/>
  <c r="I31" i="28" s="1"/>
  <c r="Q31" i="28"/>
  <c r="R31" i="28" s="1"/>
  <c r="N31" i="28"/>
  <c r="O31" i="28" s="1"/>
  <c r="K31" i="28"/>
  <c r="L31" i="28" s="1"/>
  <c r="E31" i="28"/>
  <c r="F31" i="28" s="1"/>
  <c r="I30" i="6"/>
  <c r="K30" i="6" s="1"/>
  <c r="M30" i="6" s="1"/>
  <c r="E28" i="28"/>
  <c r="F28" i="28" s="1"/>
  <c r="I26" i="6"/>
  <c r="K26" i="6" s="1"/>
  <c r="M26" i="6" s="1"/>
  <c r="H46" i="6"/>
  <c r="I46" i="6" l="1"/>
  <c r="K46" i="6" s="1"/>
  <c r="M46" i="6" s="1"/>
  <c r="O40" i="28"/>
  <c r="O41" i="28" s="1"/>
  <c r="O42" i="28" s="1"/>
  <c r="O70" i="28" s="1"/>
  <c r="F19" i="28" l="1"/>
  <c r="E19" i="28"/>
  <c r="F24" i="6" l="1"/>
  <c r="G24" i="6" s="1"/>
  <c r="H24" i="6" s="1"/>
  <c r="I24" i="6" l="1"/>
  <c r="K24" i="6" s="1"/>
  <c r="M24" i="6" s="1"/>
  <c r="K24" i="28"/>
  <c r="L24" i="28" s="1"/>
  <c r="L40" i="28" s="1"/>
  <c r="L41" i="28" s="1"/>
  <c r="L42" i="28" s="1"/>
  <c r="L70" i="28" s="1"/>
  <c r="Q24" i="28"/>
  <c r="R24" i="28" s="1"/>
  <c r="R40" i="28" s="1"/>
  <c r="R41" i="28" s="1"/>
  <c r="R42" i="28" s="1"/>
  <c r="R70" i="28" s="1"/>
  <c r="H24" i="28"/>
  <c r="I24" i="28" s="1"/>
  <c r="I40" i="28" s="1"/>
  <c r="I41" i="28" s="1"/>
  <c r="I42" i="28" s="1"/>
  <c r="I70" i="28" s="1"/>
  <c r="E24" i="28"/>
  <c r="F24" i="28" s="1"/>
  <c r="F40" i="28" s="1"/>
  <c r="F41" i="28" s="1"/>
  <c r="F42" i="28" s="1"/>
  <c r="F70" i="28"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<sst xmlns="http://schemas.openxmlformats.org/spreadsheetml/2006/main" count="473" uniqueCount="218">
  <si>
    <t>24 horas lunes a domingo con arma</t>
  </si>
  <si>
    <t>valor unitario incluido A y S</t>
  </si>
  <si>
    <t>Con Arma</t>
  </si>
  <si>
    <t>Con Canino</t>
  </si>
  <si>
    <t>Administración y Supervisión</t>
  </si>
  <si>
    <t>Variable de Proporcionalidad</t>
  </si>
  <si>
    <t>06:00 a.m. A 02:00 p.m. Turno de 8 Horas Diurno</t>
  </si>
  <si>
    <t>02:00 p.m. A 10:00 p.m. Turno de 8 Horas Diurno</t>
  </si>
  <si>
    <t>Lunes a viernes sin festivos</t>
  </si>
  <si>
    <t>Lunes a viernes con festivos</t>
  </si>
  <si>
    <t>BASE DEL 10% PARA IMPUESTO IVA</t>
  </si>
  <si>
    <t>Proporción del Mes</t>
  </si>
  <si>
    <t>12 horas diurnas lunes a domingo con canino</t>
  </si>
  <si>
    <t>Instrucciones para el diligenciamiento del formato de cotización</t>
  </si>
  <si>
    <t>La presente cotización:</t>
  </si>
  <si>
    <t>SOLICITUD DE COTIZACIÓN</t>
  </si>
  <si>
    <t>Nit:</t>
  </si>
  <si>
    <t>Fecha:</t>
  </si>
  <si>
    <t>Cargo:</t>
  </si>
  <si>
    <t>Tel. celular:</t>
  </si>
  <si>
    <t>Dirección:</t>
  </si>
  <si>
    <t>Tel. fijo:</t>
  </si>
  <si>
    <t xml:space="preserve">Empresa: </t>
  </si>
  <si>
    <t xml:space="preserve">Contacto: </t>
  </si>
  <si>
    <t xml:space="preserve">E-Mail: </t>
  </si>
  <si>
    <t>JORNADA LABORAL</t>
  </si>
  <si>
    <t>TIEMPO DE EJECUCIÓN (meses)</t>
  </si>
  <si>
    <t>MACRO REGIÓN UNO (1)</t>
  </si>
  <si>
    <t>Cantidad</t>
  </si>
  <si>
    <t>TURNOS DE VIGILANCIA</t>
  </si>
  <si>
    <t>valor unitario
Turno</t>
  </si>
  <si>
    <t>valor A y S
(8%, 10%, 11%)</t>
  </si>
  <si>
    <t>IVA</t>
  </si>
  <si>
    <t>valor unitario incluido IVA</t>
  </si>
  <si>
    <t>Base del 10% para impuesto IVA</t>
  </si>
  <si>
    <t>24 horas lunes a domingo sin arma</t>
  </si>
  <si>
    <t>MACRO REGIÓN DOS (2)</t>
  </si>
  <si>
    <t>10:00 p.m. A 06:00 a.m. Turno de 8 Horas Nocturno</t>
  </si>
  <si>
    <t>Sin Arma</t>
  </si>
  <si>
    <t>16 horas diurnas lunes a viernes sin arma con festivos</t>
  </si>
  <si>
    <t>12 horas diurnas lunes a viernes con canino con festivos</t>
  </si>
  <si>
    <t>12 horas diurnas lunes a viernes sin arma con festivos</t>
  </si>
  <si>
    <t>12 horas diurnas lunes a viernes con arma con festivos</t>
  </si>
  <si>
    <t>12 horas diurnas lunes a domingo con arma</t>
  </si>
  <si>
    <t>12 horas diurnas lunes a domingo sin arma</t>
  </si>
  <si>
    <t>8 horas nocturnas lunes a viernes con arma con festivos</t>
  </si>
  <si>
    <t>4 horas diurnas lunes a viernes con arma con festivos</t>
  </si>
  <si>
    <t>12 horas diurnas lunes a viernes sin arma sin festivos</t>
  </si>
  <si>
    <t>12 horas diurnas lunes a viernes con arma sin festivos</t>
  </si>
  <si>
    <t>16 horas diurnas lunes a viernes con arma con festivos</t>
  </si>
  <si>
    <t>8 horas nocturnas lunes a domingo con arma</t>
  </si>
  <si>
    <t>8 horas diurnas lunes a domingo con arma</t>
  </si>
  <si>
    <t>10 horas diurnas lunes a viernes con arma con festivos</t>
  </si>
  <si>
    <t>9 horas diurnas lunes a viernes con arma con festivos</t>
  </si>
  <si>
    <t>9 horas diurnas lunes a viernes sin arma con festivos</t>
  </si>
  <si>
    <t>8 horas diurnas lunes a viernes sin arma con festivos</t>
  </si>
  <si>
    <t>4 horas diurnas lunes a domingo con arma</t>
  </si>
  <si>
    <t>8 horas diurnas domingo con arma</t>
  </si>
  <si>
    <t>CANTIDADES DE DÍAS MES (CIRCULAR 20143200000025 DE 2014)</t>
  </si>
  <si>
    <t>Lunes a sábados sin festivos</t>
  </si>
  <si>
    <t>Lunes a sábados con festivos</t>
  </si>
  <si>
    <t xml:space="preserve">Sábados y Domingos </t>
  </si>
  <si>
    <t xml:space="preserve">Sábados, Domingos y festivos </t>
  </si>
  <si>
    <t>12 horas diurnas lunes a sábado con arma con festivos</t>
  </si>
  <si>
    <t>8 horas diurnas sábado con arma</t>
  </si>
  <si>
    <t>MACRO REGIÓN TRES (3)</t>
  </si>
  <si>
    <t>MACRO REGIÓN CUATRO (4)</t>
  </si>
  <si>
    <t>MACRO REGIÓN CINCO (5)</t>
  </si>
  <si>
    <t>TOTAL POR MACRO REGIÓN</t>
  </si>
  <si>
    <t>MEDIOS TECNOLÓGICOS Y MONITOREO</t>
  </si>
  <si>
    <t>Presupuesto Estimado Area Técnica Turnos de Vigilancia</t>
  </si>
  <si>
    <t>Diferencia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</si>
  <si>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</si>
  <si>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</si>
  <si>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</si>
  <si>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</si>
  <si>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</si>
  <si>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</si>
  <si>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</si>
  <si>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</si>
  <si>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</si>
  <si>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</si>
  <si>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</si>
  <si>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</si>
  <si>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</si>
  <si>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</si>
  <si>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</si>
  <si>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</si>
  <si>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</si>
  <si>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</si>
  <si>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</si>
  <si>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</si>
  <si>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</si>
  <si>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</si>
  <si>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</si>
  <si>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</si>
  <si>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</si>
  <si>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</si>
  <si>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</si>
  <si>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</si>
  <si>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</si>
  <si>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</si>
  <si>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</si>
  <si>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</si>
  <si>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 xml:space="preserve">Nombre Del Indicador  </t>
  </si>
  <si>
    <t>Cuenta</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</si>
  <si>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</si>
  <si>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</si>
  <si>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</si>
  <si>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</si>
  <si>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</si>
  <si>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</si>
  <si>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</si>
  <si>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</si>
  <si>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</si>
  <si>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</si>
  <si>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</si>
  <si>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</si>
  <si>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</si>
  <si>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</si>
  <si>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</si>
  <si>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</si>
  <si>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</si>
  <si>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</si>
  <si>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</si>
  <si>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</si>
  <si>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</si>
  <si>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</si>
  <si>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</si>
  <si>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</si>
  <si>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</si>
  <si>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</si>
  <si>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</si>
  <si>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</si>
  <si>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</si>
  <si>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</si>
  <si>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</si>
  <si>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</si>
  <si>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</si>
  <si>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</si>
  <si>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</si>
  <si>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</si>
  <si>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</si>
  <si>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</si>
  <si>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</si>
  <si>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</si>
  <si>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</si>
  <si>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</si>
  <si>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</si>
  <si>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</si>
  <si>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</si>
  <si>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</si>
  <si>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 xml:space="preserve">Detectores Manuales de Metales </t>
  </si>
  <si>
    <t xml:space="preserve">Computadores All in One </t>
  </si>
  <si>
    <t xml:space="preserve">Arcos Detectores de Metales </t>
  </si>
  <si>
    <t>Equipos Propios</t>
  </si>
  <si>
    <t>Equipos Alquilados</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</si>
  <si>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Drecreto 1082 de 2015). Se aclara que esta inscripción no se requiere para remitir cotización durante el estudio de mercado.</t>
    </r>
  </si>
  <si>
    <t>2. Información Financiera</t>
  </si>
  <si>
    <t>Valores En Pesos a Diciembre 31 De 2014</t>
  </si>
  <si>
    <t xml:space="preserve">Indicador </t>
  </si>
  <si>
    <t>Veces-
Porcentaje</t>
  </si>
  <si>
    <t>Capital de Trabajo</t>
  </si>
  <si>
    <t>Activo Corriente--&gt;</t>
  </si>
  <si>
    <t>Pesos</t>
  </si>
  <si>
    <t>Pasivo corriente--&gt;</t>
  </si>
  <si>
    <t>CIRCULAR No. 20147000000435 - SUPERVIGILANCIA</t>
  </si>
  <si>
    <t>TARIFA MÍNIMA REGULADA PARA EL 2015</t>
  </si>
  <si>
    <t>• Por favor diligenciar solo las celdas en AMARILLO. Se deben llenar todas las casillas.
• Revisar todos los requerimientos que se exponen en el documento "Ficha de Condiciones Técnicas" y anexos; y formular su cotización en concordancia con este.
• Asignar precio MENSUAL sin incluir el IVA para cada ítem de los elementos tecnológicos en cada Macro Región.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 Por favor indicar en la hoja "Medios Tecnológicos" si los equipos cotizados son propios o alquilados.</t>
  </si>
  <si>
    <r>
      <t xml:space="preserve">SMMLV </t>
    </r>
    <r>
      <rPr>
        <b/>
        <sz val="10"/>
        <color rgb="FFFF0000"/>
        <rFont val="Arial"/>
        <family val="2"/>
      </rPr>
      <t>(Nota 1)</t>
    </r>
  </si>
  <si>
    <r>
      <rPr>
        <b/>
        <sz val="10"/>
        <color rgb="FFFF0000"/>
        <rFont val="Arial"/>
        <family val="2"/>
      </rPr>
      <t>Nota 1:</t>
    </r>
    <r>
      <rPr>
        <b/>
        <sz val="10"/>
        <color theme="1"/>
        <rFont val="Arial"/>
        <family val="2"/>
      </rPr>
      <t xml:space="preserve"> </t>
    </r>
    <r>
      <rPr>
        <sz val="10"/>
        <color theme="1"/>
        <rFont val="Arial"/>
        <family val="2"/>
      </rPr>
      <t>Se estima un incremento del 3,66% para el SMMLV del 2016, 2017 y 2018 a partir de lo definido en la Circular No.07 de 2015 del Ministerio de Hacienda. Sin embargo, para dichas vigencias en el contrato a suscribir, se ajustará el porcentaje de incremento del SMMLV de acuerdo a la normatividad que regula el servicio de vigilancia.</t>
    </r>
  </si>
  <si>
    <r>
      <t xml:space="preserve">ESCENARIO 1: </t>
    </r>
    <r>
      <rPr>
        <b/>
        <sz val="10"/>
        <color rgb="FFFF0000"/>
        <rFont val="Arial"/>
        <family val="2"/>
      </rPr>
      <t>(1 año de ejecución)</t>
    </r>
  </si>
  <si>
    <r>
      <t xml:space="preserve">ESCENARIO 2: </t>
    </r>
    <r>
      <rPr>
        <b/>
        <sz val="10"/>
        <color rgb="FFFF0000"/>
        <rFont val="Arial"/>
        <family val="2"/>
      </rPr>
      <t>(2 años y 6 meses de ejecución)</t>
    </r>
  </si>
  <si>
    <r>
      <t xml:space="preserve">SMMLV </t>
    </r>
    <r>
      <rPr>
        <b/>
        <sz val="10"/>
        <color rgb="FFFF0000"/>
        <rFont val="Arial"/>
        <family val="2"/>
      </rPr>
      <t>(Nota 2)</t>
    </r>
  </si>
  <si>
    <r>
      <t xml:space="preserve">TIEMPO DE EJECUCIÓN </t>
    </r>
    <r>
      <rPr>
        <b/>
        <sz val="10"/>
        <rFont val="Arial"/>
        <family val="2"/>
      </rPr>
      <t xml:space="preserve">(meses) </t>
    </r>
    <r>
      <rPr>
        <b/>
        <sz val="10"/>
        <color rgb="FFFF0000"/>
        <rFont val="Arial"/>
        <family val="2"/>
      </rPr>
      <t>(Nota 1)</t>
    </r>
  </si>
  <si>
    <t>SUBTOTAL 2015</t>
  </si>
  <si>
    <t>12 horas diurnas lunes a sábado sin arma con festivos</t>
  </si>
  <si>
    <t>Precio Unitario Mensual
Antes de IVA</t>
  </si>
  <si>
    <t>Precio Total Mensual
Antes de IVA</t>
  </si>
  <si>
    <t>TOTAL SERVICIO MENSUAL DE VIGILANCIA 2015
MACRO REGIÓN No.1</t>
  </si>
  <si>
    <t>TOTAL SERVICIO MENSUAL DE VIGILANCIA 2015
MACRO REGIÓN No.2</t>
  </si>
  <si>
    <t>TOTAL SERVICIO MENSUAL DE VIGILANCIA 2015
MACRO REGIÓN No.3</t>
  </si>
  <si>
    <t>TOTAL SERVICIO MENSUAL DE VIGILANCIA 2015
MACRO REGIÓN No.4</t>
  </si>
  <si>
    <t>TOTAL SERVICIO MENSUAL DE VIGILANCIA 2015
MACRO REGIÓN No.5</t>
  </si>
  <si>
    <t>• Incluye todos los costos y gastos directos e indirectos en que debe incurrir el contratista durante la ejecución del contrato de acuerdo con las especificaciones de la Ficha de Condiciones Técnicas y sus anexos,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</si>
  <si>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Rayos X</t>
  </si>
  <si>
    <t>Domos</t>
  </si>
  <si>
    <t>Cámaras IP</t>
  </si>
  <si>
    <t>Alarmas monitoreadas</t>
  </si>
  <si>
    <t>Tecnologia IDEN - Trunking Digital</t>
  </si>
  <si>
    <t>Radio</t>
  </si>
  <si>
    <t>Armerillo Capacidad 3 Armas</t>
  </si>
  <si>
    <t>Armerillo Capacidad 6 Armas</t>
  </si>
  <si>
    <t>Tubos de descargue</t>
  </si>
  <si>
    <t>Espejos cóncavos con lámpara</t>
  </si>
  <si>
    <t>Linternas</t>
  </si>
  <si>
    <t>Alarmas de Panico</t>
  </si>
  <si>
    <t>Lamparas de emergencia</t>
  </si>
  <si>
    <t>Ronderos</t>
  </si>
  <si>
    <t>12 horas nocturnas lunes a domingo con arma</t>
  </si>
  <si>
    <t>12 horas diurnas lunes a viernes con canino sin festivos</t>
  </si>
  <si>
    <t>12 horas diurnas lunes a sábado con arma sin festivos</t>
  </si>
  <si>
    <t>PRECIO MENSUAL TURNOS DE VIGILANCIA
MACRO REGIÓN No.1 - 2015</t>
  </si>
  <si>
    <t>PRECIO MENSUAL TURNOS DE VIGILANCIA
MACRO REGIÓN No.2 - 2015</t>
  </si>
  <si>
    <t>PRECIO MENSUAL TURNOS DE VIGILANCIA
MACRO REGIÓN No.3 - 2015</t>
  </si>
  <si>
    <t>PRECIO MENSUAL TURNOS DE VIGILANCIA
MACRO REGIÓN No.4 - 2015</t>
  </si>
  <si>
    <t>PRECIO MENSUAL TURNOS DE VIGILANCIA
MACRO REGIÓN No.5 - 2015</t>
  </si>
  <si>
    <t>PRECIO MENSUAL MEDIOS TECNOLÓGICOS Y MONITOREO
MACRO REGIÓN No.1 - 2015</t>
  </si>
  <si>
    <t>PRECIO MENSUAL MEDIOS TECNOLÓGICOS Y MONITOREO
MACRO REGIÓN No.2 - 2015</t>
  </si>
  <si>
    <t>PRECIO MENSUAL MEDIOS TECNOLÓGICOS Y MONITOREO
MACRO REGIÓN No.3 - 2015</t>
  </si>
  <si>
    <t>PRECIO MENSUAL MEDIOS TECNOLÓGICOS Y MONITOREO
MACRO REGIÓN No.4 - 2015</t>
  </si>
  <si>
    <t>PRECIO MENSUAL MEDIOS TECNOLÓGICOS Y MONITOREO
MACRO REGIÓN No.5 - 2015</t>
  </si>
  <si>
    <r>
      <rPr>
        <b/>
        <sz val="10"/>
        <color theme="1"/>
        <rFont val="Arial"/>
        <family val="2"/>
      </rPr>
      <t xml:space="preserve">Notas:
</t>
    </r>
    <r>
      <rPr>
        <sz val="10"/>
        <color theme="1"/>
        <rFont val="Arial"/>
        <family val="2"/>
      </rPr>
      <t>(1) Se estima un incremento del 3,66% para el SMMLV del año 2016 a partir de lo definido en la Circular No.07 de 2015 del Ministerio de Hacienda. Sin embargo, para dicha vigencia en el contrato a suscribir, se ajustará el porcentaje de incremento del SMMLV de acuerdo a la normatividad que regula el servicio de vigilancia.
(2) Para efectos de cotización se requiere el valor unitario mensual para cada ítem de los elementos tecnológicos. Con dichos valores y los tomados de la circular 20147000000435 del 31 de diciembre de 2014 para los turnos de vigilancia, serán realizados los cálculos para la ejecución del contrato durante 1 mes en la vigencia 2015 y 11 meses en la vigencia 2016.
(3) El precio por concepto de la supervisión operativa móvil, (Coordinador del contrato – Supervisores) no generará costo alguno para la entidad contratante (ICBF).
(4) El número de cámaras requerido para cada uno de los circuitos cerrados de televisión (CCTV) se encuentra en la FCT de cada macroregión.</t>
    </r>
  </si>
  <si>
    <r>
      <t xml:space="preserve">Circuitos cerrados de televisión </t>
    </r>
    <r>
      <rPr>
        <sz val="10"/>
        <color rgb="FFFF0000"/>
        <rFont val="Arial"/>
        <family val="2"/>
      </rPr>
      <t>(Nota 4)</t>
    </r>
  </si>
  <si>
    <t>Conductor Escolta para el vehículo destinado al apoyo de la supervisión</t>
  </si>
  <si>
    <r>
      <rPr>
        <b/>
        <sz val="10"/>
        <color theme="1"/>
        <rFont val="Arial"/>
        <family val="2"/>
      </rPr>
      <t xml:space="preserve">Notas:
</t>
    </r>
    <r>
      <rPr>
        <sz val="10"/>
        <color theme="1"/>
        <rFont val="Arial"/>
        <family val="2"/>
      </rPr>
      <t>(1) Se estima un incremento del 3,66% para el SMMLV de los años 2016, 2017 y 2018 a partir de lo definido en la Circular No.07 de 2015 del Ministerio de Hacienda. Sin embargo, para dicha vigencia en el contrato a suscribir, se ajustará el porcentaje de incremento del SMMLV de acuerdo a la normatividad que regula el servicio de vigilancia.
(2) Para efectos de cotización se requiere el valor unitario mensual para cada ítem de los elementos tecnológicos. Con dichos valores y los tomados de la circular 20147000000435 del 31 de diciembre de 2014 para los turnos de vigilancia, serán realizados los cálculos para la ejecución del contrato durante 15 días de la vigencia 2015, 12 meses en las vigencia 2016 y 2017, y 5 meses 15 días para la vigencia 2018.
(3) El precio por concepto de la supervisión operativa móvil, (Coordinador del contrato – Supervisores) no generará costo alguno para la entidad contratante (ICBF).
(4) El número de cámaras requerido para cada uno de los circuitos cerrados de televisión (CCTV) se encuentra en la FCT de cada macroregión.</t>
    </r>
  </si>
  <si>
    <r>
      <t xml:space="preserve">Circuitos cerrados de televisión </t>
    </r>
    <r>
      <rPr>
        <sz val="11"/>
        <color rgb="FFFF0000"/>
        <rFont val="Arial"/>
        <family val="2"/>
      </rPr>
      <t>(Nota 4)</t>
    </r>
  </si>
  <si>
    <r>
      <rPr>
        <b/>
        <sz val="11"/>
        <color theme="1"/>
        <rFont val="Arial"/>
        <family val="2"/>
      </rPr>
      <t>Nota:</t>
    </r>
    <r>
      <rPr>
        <sz val="11"/>
        <color theme="1"/>
        <rFont val="Arial"/>
        <family val="2"/>
      </rPr>
      <t xml:space="preserve"> Por favor </t>
    </r>
    <r>
      <rPr>
        <b/>
        <sz val="11"/>
        <color theme="1"/>
        <rFont val="Arial"/>
        <family val="2"/>
      </rPr>
      <t>indicar con una X</t>
    </r>
    <r>
      <rPr>
        <sz val="11"/>
        <color theme="1"/>
        <rFont val="Arial"/>
        <family val="2"/>
      </rPr>
      <t xml:space="preserve"> en el siguiente cuadro si los equipos cotizados son propios o alquilados. (FAVOR DILIGENCIAR SEGÚN CORRESPONDA)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</si>
</sst>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164" formatCode="_(&quot;$&quot;\ * #,##0.00_);_(&quot;$&quot;\ * \(#,##0.00\);_(&quot;$&quot;\ * &quot;-&quot;??_);_(@_)"/>
    <numFmt numFmtId="165" formatCode="_(* #,##0.00_);_(* \(#,##0.00\);_(* &quot;-&quot;??_);_(@_)"/>
    <numFmt numFmtId="166" formatCode="_ * #,##0.00_ ;_ * \-#,##0.00_ ;_ * &quot;-&quot;??_ ;_ @_ "/>
    <numFmt numFmtId="167" formatCode="_ &quot;$&quot;\ * #,##0.00_ ;_ &quot;$&quot;\ * \-#,##0.00_ ;_ &quot;$&quot;\ * &quot;-&quot;??_ ;_ @_ "/>
    <numFmt numFmtId="168" formatCode="[$$-240A]\ #,##0"/>
    <numFmt numFmtId="169" formatCode="0.0000%"/>
    <numFmt numFmtId="170" formatCode="[$$-240A]\ #,##0.000"/>
    <numFmt numFmtId="171" formatCode="&quot;$&quot;\ #,##0"/>
    <numFmt numFmtId="172" formatCode="0.0"/>
    <numFmt numFmtId="173" formatCode="dd/mmm/yy"/>
    <numFmt numFmtId="174" formatCode="[$$-240A]#,##0.0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8"/>
      <color theme="1"/>
      <name val="Arial"/>
      <family val="2"/>
    </font>
    <font>
      <sz val="11"/>
      <color theme="1"/>
      <name val="Calibri"/>
      <family val="2"/>
      <scheme val="minor"/>
    </font>
    <font>
      <b/>
      <sz val="11"/>
      <color theme="1"/>
      <name val="Arial"/>
      <family val="2"/>
    </font>
    <font>
      <sz val="10"/>
      <color rgb="FF000000"/>
      <name val="Arial"/>
      <family val="2"/>
    </font>
    <font>
      <sz val="11"/>
      <color rgb="FF000000"/>
      <name val="Arial"/>
      <family val="2"/>
    </font>
    <font>
      <b/>
      <sz val="10"/>
      <name val="Arial"/>
      <family val="2"/>
    </font>
    <font>
      <b/>
      <sz val="10"/>
      <color rgb="FFFF0000"/>
      <name val="Arial"/>
      <family val="2"/>
    </font>
    <font>
      <b/>
      <sz val="8"/>
      <color theme="1"/>
      <name val="Arial"/>
      <family val="2"/>
    </font>
    <font>
      <b/>
      <sz val="11"/>
      <color theme="1"/>
      <name val="Calibri"/>
      <family val="2"/>
      <scheme val="minor"/>
    </font>
    <font>
      <b/>
      <sz val="8"/>
      <name val="Arial"/>
      <family val="2"/>
    </font>
    <font>
      <sz val="9"/>
      <color indexed="81"/>
      <name val="Tahoma"/>
      <family val="2"/>
    </font>
    <font>
      <b/>
      <sz val="10"/>
      <color rgb="FF000000"/>
      <name val="Arial"/>
      <family val="2"/>
    </font>
    <font>
      <b/>
      <u/>
      <sz val="10"/>
      <name val="Arial"/>
      <family val="2"/>
    </font>
    <font>
      <u/>
      <sz val="10"/>
      <name val="Arial"/>
      <family val="2"/>
    </font>
    <font>
      <sz val="10"/>
      <color rgb="FFFF0000"/>
      <name val="Arial"/>
      <family val="2"/>
    </font>
    <font>
      <sz val="10"/>
      <color theme="0"/>
      <name val="Arial"/>
      <family val="2"/>
    </font>
    <font>
      <sz val="11"/>
      <color rgb="FFFF000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1" fillId="0" borderId="0"/>
    <xf numFmtId="0" fontId="4" fillId="0" borderId="0"/>
    <xf numFmtId="9" fontId="4"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9" fontId="7" fillId="0" borderId="0" applyFont="0" applyFill="0" applyBorder="0" applyAlignment="0" applyProtection="0"/>
    <xf numFmtId="164" fontId="1" fillId="0" borderId="0" applyFont="0" applyFill="0" applyBorder="0" applyAlignment="0" applyProtection="0"/>
    <xf numFmtId="44" fontId="7" fillId="0" borderId="0" applyFont="0" applyFill="0" applyBorder="0" applyAlignment="0" applyProtection="0"/>
  </cellStyleXfs>
  <cellXfs count="309">
    <xf numFmtId="0" fontId="0" fillId="0" borderId="0" xfId="0"/>
    <xf numFmtId="0" fontId="3" fillId="0" borderId="2" xfId="0" applyNumberFormat="1" applyFont="1" applyFill="1" applyBorder="1" applyAlignment="1">
      <alignment horizontal="left" vertical="top" wrapText="1"/>
    </xf>
    <xf numFmtId="0" fontId="3" fillId="0" borderId="0" xfId="0" applyFont="1"/>
    <xf numFmtId="0" fontId="3" fillId="0" borderId="0" xfId="0" applyFont="1" applyProtection="1"/>
    <xf numFmtId="0" fontId="3" fillId="0" borderId="0" xfId="0" applyFont="1" applyAlignment="1">
      <alignment vertical="center"/>
    </xf>
    <xf numFmtId="0" fontId="3" fillId="0" borderId="2" xfId="0" applyFont="1" applyFill="1" applyBorder="1" applyAlignment="1" applyProtection="1">
      <alignment horizontal="left" vertical="center"/>
    </xf>
    <xf numFmtId="0" fontId="9" fillId="0" borderId="2" xfId="0" applyFont="1" applyFill="1" applyBorder="1" applyAlignment="1" applyProtection="1">
      <alignment horizontal="left" vertical="center" wrapText="1"/>
    </xf>
    <xf numFmtId="0" fontId="3" fillId="0" borderId="0" xfId="0" applyFont="1" applyAlignment="1" applyProtection="1">
      <alignment vertical="center"/>
    </xf>
    <xf numFmtId="0" fontId="6" fillId="0" borderId="0" xfId="0" applyFont="1" applyAlignment="1" applyProtection="1">
      <alignment vertical="center"/>
    </xf>
    <xf numFmtId="0" fontId="3" fillId="0" borderId="6" xfId="0" applyFont="1" applyFill="1" applyBorder="1" applyAlignment="1" applyProtection="1">
      <alignment vertical="center"/>
    </xf>
    <xf numFmtId="0" fontId="3" fillId="0" borderId="6"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3" fillId="0" borderId="2" xfId="0" applyFont="1" applyFill="1" applyBorder="1" applyAlignment="1" applyProtection="1">
      <alignment vertical="center"/>
    </xf>
    <xf numFmtId="0" fontId="0" fillId="0" borderId="0" xfId="0"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3" fillId="0" borderId="2" xfId="0" applyFont="1" applyBorder="1"/>
    <xf numFmtId="10" fontId="3" fillId="0" borderId="2" xfId="0" applyNumberFormat="1" applyFont="1" applyBorder="1"/>
    <xf numFmtId="0" fontId="3" fillId="0" borderId="0" xfId="0" applyFont="1" applyBorder="1"/>
    <xf numFmtId="10" fontId="3" fillId="0" borderId="0" xfId="0" applyNumberFormat="1" applyFont="1" applyBorder="1"/>
    <xf numFmtId="9" fontId="3" fillId="0" borderId="0" xfId="0" applyNumberFormat="1" applyFont="1" applyBorder="1"/>
    <xf numFmtId="9" fontId="3" fillId="0" borderId="2" xfId="0" applyNumberFormat="1" applyFont="1" applyBorder="1"/>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9" fontId="3" fillId="0" borderId="0" xfId="12" applyFont="1"/>
    <xf numFmtId="0" fontId="11" fillId="0" borderId="2" xfId="0" applyFont="1" applyFill="1" applyBorder="1" applyAlignment="1" applyProtection="1">
      <alignment horizontal="center" vertical="center"/>
    </xf>
    <xf numFmtId="0" fontId="2" fillId="0" borderId="0" xfId="0" applyFont="1" applyAlignment="1" applyProtection="1">
      <alignment vertical="center"/>
    </xf>
    <xf numFmtId="168" fontId="2" fillId="0" borderId="2" xfId="0" applyNumberFormat="1" applyFont="1" applyFill="1" applyBorder="1" applyAlignment="1" applyProtection="1">
      <alignment horizontal="center" vertical="center"/>
    </xf>
    <xf numFmtId="168" fontId="2" fillId="0" borderId="2" xfId="0" applyNumberFormat="1" applyFont="1" applyFill="1" applyBorder="1" applyAlignment="1" applyProtection="1">
      <alignment horizontal="center" vertical="center"/>
      <protection locked="0"/>
    </xf>
    <xf numFmtId="0" fontId="2" fillId="6"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2"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9" fontId="3" fillId="0" borderId="2" xfId="12" applyFont="1" applyBorder="1" applyAlignment="1">
      <alignment horizontal="center" vertical="center"/>
    </xf>
    <xf numFmtId="171" fontId="3" fillId="0" borderId="2" xfId="0" applyNumberFormat="1" applyFont="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protection locked="0"/>
    </xf>
    <xf numFmtId="169" fontId="3" fillId="0" borderId="2" xfId="0" applyNumberFormat="1" applyFont="1" applyFill="1" applyBorder="1" applyAlignment="1">
      <alignment horizontal="center" vertical="center"/>
    </xf>
    <xf numFmtId="10" fontId="3" fillId="0" borderId="2" xfId="12" applyNumberFormat="1" applyFont="1" applyFill="1" applyBorder="1" applyAlignment="1">
      <alignment horizontal="center" vertical="center"/>
    </xf>
    <xf numFmtId="9" fontId="3" fillId="0" borderId="2" xfId="0" applyNumberFormat="1" applyFont="1" applyFill="1" applyBorder="1" applyAlignment="1">
      <alignment horizontal="center" vertical="center"/>
    </xf>
    <xf numFmtId="0" fontId="3" fillId="0" borderId="1" xfId="0" applyFont="1" applyBorder="1"/>
    <xf numFmtId="171" fontId="3" fillId="0" borderId="1" xfId="0" applyNumberFormat="1" applyFont="1" applyBorder="1" applyAlignment="1">
      <alignment horizontal="center" vertical="center"/>
    </xf>
    <xf numFmtId="170" fontId="3" fillId="0" borderId="2" xfId="0" applyNumberFormat="1" applyFont="1" applyBorder="1" applyAlignment="1" applyProtection="1">
      <alignment horizontal="center" vertical="center"/>
    </xf>
    <xf numFmtId="9" fontId="3" fillId="0" borderId="2" xfId="12" applyFont="1" applyBorder="1" applyAlignment="1" applyProtection="1">
      <alignment horizontal="center" vertical="center"/>
    </xf>
    <xf numFmtId="168" fontId="3" fillId="0" borderId="7" xfId="0" applyNumberFormat="1" applyFont="1" applyBorder="1" applyAlignment="1" applyProtection="1">
      <alignment horizontal="right" vertical="center"/>
    </xf>
    <xf numFmtId="170" fontId="3" fillId="0" borderId="8" xfId="0" applyNumberFormat="1" applyFont="1" applyBorder="1" applyAlignment="1" applyProtection="1">
      <alignment horizontal="center" vertical="center"/>
    </xf>
    <xf numFmtId="168" fontId="2" fillId="0" borderId="7" xfId="0" applyNumberFormat="1" applyFont="1" applyBorder="1" applyAlignment="1" applyProtection="1">
      <alignment horizontal="right" vertical="center"/>
    </xf>
    <xf numFmtId="0" fontId="2" fillId="2" borderId="2" xfId="0" applyNumberFormat="1" applyFont="1" applyFill="1" applyBorder="1" applyAlignment="1">
      <alignment horizontal="center" vertical="center" wrapText="1"/>
    </xf>
    <xf numFmtId="0" fontId="0" fillId="0" borderId="2" xfId="0" applyBorder="1" applyAlignment="1">
      <alignment horizontal="center" vertical="center"/>
    </xf>
    <xf numFmtId="171" fontId="3" fillId="0" borderId="0" xfId="0" applyNumberFormat="1" applyFont="1"/>
    <xf numFmtId="171" fontId="3" fillId="0" borderId="2" xfId="0" applyNumberFormat="1" applyFont="1" applyBorder="1"/>
    <xf numFmtId="171" fontId="3" fillId="7" borderId="2" xfId="0" applyNumberFormat="1" applyFont="1" applyFill="1" applyBorder="1"/>
    <xf numFmtId="171" fontId="3" fillId="8" borderId="2" xfId="0" applyNumberFormat="1" applyFont="1" applyFill="1" applyBorder="1"/>
    <xf numFmtId="171" fontId="3" fillId="0" borderId="2" xfId="0" applyNumberFormat="1" applyFont="1" applyFill="1" applyBorder="1"/>
    <xf numFmtId="0" fontId="6" fillId="0" borderId="0" xfId="0" applyFont="1" applyAlignment="1">
      <alignment vertical="center"/>
    </xf>
    <xf numFmtId="0" fontId="6" fillId="0" borderId="11" xfId="0" applyFont="1" applyBorder="1" applyAlignment="1">
      <alignment vertical="center"/>
    </xf>
    <xf numFmtId="0" fontId="6" fillId="0" borderId="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0" xfId="0" applyFont="1" applyAlignment="1">
      <alignment horizontal="center" vertical="center"/>
    </xf>
    <xf numFmtId="0" fontId="3" fillId="0" borderId="0" xfId="1" applyFont="1" applyAlignment="1">
      <alignment vertical="center"/>
    </xf>
    <xf numFmtId="0" fontId="3" fillId="0" borderId="0" xfId="1" applyFont="1" applyAlignment="1">
      <alignment vertical="center" wrapText="1"/>
    </xf>
    <xf numFmtId="0" fontId="2" fillId="0" borderId="11" xfId="1" applyFont="1" applyBorder="1" applyAlignment="1" applyProtection="1">
      <alignment horizontal="right" vertical="center"/>
      <protection locked="0"/>
    </xf>
    <xf numFmtId="0" fontId="2" fillId="0" borderId="1" xfId="1" applyFont="1" applyBorder="1" applyAlignment="1" applyProtection="1">
      <alignment horizontal="right" vertical="center"/>
      <protection locked="0"/>
    </xf>
    <xf numFmtId="0" fontId="2" fillId="0" borderId="1" xfId="1" applyFont="1" applyBorder="1" applyAlignment="1" applyProtection="1">
      <alignment horizontal="right" vertical="center" wrapText="1"/>
      <protection locked="0"/>
    </xf>
    <xf numFmtId="0" fontId="2" fillId="0" borderId="1" xfId="1" applyFont="1" applyBorder="1" applyAlignment="1" applyProtection="1">
      <alignment vertical="center" wrapText="1"/>
      <protection locked="0"/>
    </xf>
    <xf numFmtId="0" fontId="2" fillId="0" borderId="12" xfId="1" applyFont="1" applyBorder="1" applyAlignment="1" applyProtection="1">
      <alignment vertical="center" wrapText="1"/>
      <protection locked="0"/>
    </xf>
    <xf numFmtId="0" fontId="3" fillId="10" borderId="0" xfId="1" applyFont="1" applyFill="1" applyBorder="1" applyAlignment="1">
      <alignment vertical="center"/>
    </xf>
    <xf numFmtId="0" fontId="2" fillId="0" borderId="13"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2" fillId="0" borderId="0" xfId="1" applyFont="1" applyBorder="1" applyAlignment="1" applyProtection="1">
      <alignment vertical="center" wrapText="1"/>
      <protection locked="0"/>
    </xf>
    <xf numFmtId="0" fontId="2" fillId="0" borderId="14" xfId="1" applyFont="1" applyBorder="1" applyAlignment="1" applyProtection="1">
      <alignment vertical="center" wrapText="1"/>
      <protection locked="0"/>
    </xf>
    <xf numFmtId="0" fontId="3" fillId="10" borderId="14" xfId="1" applyFont="1" applyFill="1" applyBorder="1" applyAlignment="1">
      <alignment vertical="center"/>
    </xf>
    <xf numFmtId="0" fontId="2" fillId="0" borderId="11" xfId="1" applyFont="1" applyFill="1" applyBorder="1" applyAlignment="1" applyProtection="1">
      <alignment horizontal="left" vertical="center"/>
      <protection locked="0"/>
    </xf>
    <xf numFmtId="0" fontId="2" fillId="0" borderId="1" xfId="1" applyFont="1" applyFill="1" applyBorder="1" applyAlignment="1" applyProtection="1">
      <alignment horizontal="left" vertical="center"/>
      <protection locked="0"/>
    </xf>
    <xf numFmtId="0" fontId="2" fillId="0" borderId="1" xfId="1" applyFont="1" applyFill="1" applyBorder="1" applyAlignment="1" applyProtection="1">
      <alignment horizontal="left" vertical="center" wrapText="1"/>
      <protection locked="0"/>
    </xf>
    <xf numFmtId="0" fontId="17" fillId="0" borderId="12" xfId="1" applyFont="1" applyFill="1" applyBorder="1" applyAlignment="1" applyProtection="1">
      <alignment horizontal="left" vertical="center" wrapText="1"/>
      <protection locked="0"/>
    </xf>
    <xf numFmtId="0" fontId="3" fillId="0" borderId="0" xfId="1" applyFont="1" applyFill="1" applyBorder="1" applyAlignment="1">
      <alignment vertical="center"/>
    </xf>
    <xf numFmtId="0" fontId="3" fillId="0" borderId="13"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14" xfId="1" applyFont="1" applyBorder="1" applyAlignment="1">
      <alignment vertical="center"/>
    </xf>
    <xf numFmtId="0" fontId="2" fillId="0" borderId="13" xfId="1" applyFont="1" applyBorder="1" applyAlignment="1">
      <alignment vertical="center"/>
    </xf>
    <xf numFmtId="0" fontId="3" fillId="0" borderId="15" xfId="1" applyFont="1" applyBorder="1" applyAlignment="1">
      <alignment vertical="center"/>
    </xf>
    <xf numFmtId="0" fontId="3" fillId="0" borderId="16" xfId="1" applyFont="1" applyBorder="1" applyAlignment="1">
      <alignment vertical="center"/>
    </xf>
    <xf numFmtId="0" fontId="3" fillId="0" borderId="16" xfId="1" applyFont="1" applyBorder="1" applyAlignment="1">
      <alignment vertical="center" wrapText="1"/>
    </xf>
    <xf numFmtId="0" fontId="3" fillId="0" borderId="17" xfId="1" applyFont="1" applyBorder="1" applyAlignment="1">
      <alignment vertical="center"/>
    </xf>
    <xf numFmtId="0" fontId="17" fillId="9" borderId="2" xfId="2" applyFont="1" applyFill="1" applyBorder="1" applyAlignment="1">
      <alignment horizontal="center" vertical="center" wrapText="1"/>
    </xf>
    <xf numFmtId="10" fontId="5" fillId="0" borderId="2" xfId="3" applyNumberFormat="1" applyFont="1" applyFill="1" applyBorder="1" applyAlignment="1">
      <alignment horizontal="center" vertical="center"/>
    </xf>
    <xf numFmtId="0" fontId="11" fillId="0" borderId="0" xfId="8" applyFont="1" applyFill="1" applyBorder="1" applyAlignment="1">
      <alignment horizontal="center" vertical="center" wrapText="1"/>
    </xf>
    <xf numFmtId="0" fontId="3" fillId="0" borderId="0" xfId="0" applyFont="1" applyFill="1" applyAlignment="1">
      <alignment vertical="center"/>
    </xf>
    <xf numFmtId="0" fontId="5" fillId="0" borderId="0" xfId="8" applyFont="1" applyFill="1" applyBorder="1" applyAlignment="1">
      <alignment horizontal="left" vertical="center"/>
    </xf>
    <xf numFmtId="0" fontId="11" fillId="0" borderId="0" xfId="8" applyFont="1" applyFill="1" applyBorder="1" applyAlignment="1">
      <alignment horizontal="center" vertical="center"/>
    </xf>
    <xf numFmtId="0" fontId="11" fillId="10" borderId="2" xfId="8" applyNumberFormat="1" applyFont="1" applyFill="1" applyBorder="1" applyAlignment="1">
      <alignment horizontal="center" vertical="center" wrapText="1"/>
    </xf>
    <xf numFmtId="0" fontId="5" fillId="3" borderId="2" xfId="8" applyFont="1" applyFill="1" applyBorder="1" applyAlignment="1" applyProtection="1">
      <alignment horizontal="center" vertical="center" wrapText="1"/>
      <protection locked="0" hidden="1"/>
    </xf>
    <xf numFmtId="173" fontId="5" fillId="3" borderId="2" xfId="8" applyNumberFormat="1" applyFont="1" applyFill="1" applyBorder="1" applyAlignment="1" applyProtection="1">
      <alignment horizontal="center" vertical="center" wrapText="1"/>
      <protection locked="0" hidden="1"/>
    </xf>
    <xf numFmtId="171" fontId="5" fillId="3" borderId="2" xfId="8" applyNumberFormat="1" applyFont="1" applyFill="1" applyBorder="1" applyAlignment="1" applyProtection="1">
      <alignment horizontal="center" vertical="center" wrapText="1"/>
      <protection locked="0" hidden="1"/>
    </xf>
    <xf numFmtId="0" fontId="5" fillId="10" borderId="0" xfId="8" applyFont="1" applyFill="1" applyBorder="1" applyAlignment="1">
      <alignment horizontal="center" vertical="center"/>
    </xf>
    <xf numFmtId="0" fontId="5" fillId="10" borderId="0" xfId="8" applyFont="1" applyFill="1" applyBorder="1" applyAlignment="1">
      <alignment horizontal="left" vertical="center"/>
    </xf>
    <xf numFmtId="173" fontId="5" fillId="10" borderId="0" xfId="8" applyNumberFormat="1" applyFont="1" applyFill="1" applyBorder="1" applyAlignment="1">
      <alignment horizontal="center" vertical="center"/>
    </xf>
    <xf numFmtId="0" fontId="5" fillId="10" borderId="0" xfId="8" applyFont="1" applyFill="1" applyBorder="1" applyAlignment="1">
      <alignment vertical="center"/>
    </xf>
    <xf numFmtId="171" fontId="5" fillId="10" borderId="0" xfId="8" applyNumberFormat="1" applyFont="1" applyFill="1" applyBorder="1" applyAlignment="1">
      <alignment vertical="center"/>
    </xf>
    <xf numFmtId="0" fontId="3" fillId="0" borderId="0" xfId="0" applyFont="1" applyBorder="1" applyAlignment="1" applyProtection="1">
      <alignment horizontal="center" vertical="center"/>
    </xf>
    <xf numFmtId="0" fontId="3" fillId="6" borderId="2" xfId="0" applyFont="1" applyFill="1" applyBorder="1" applyAlignment="1" applyProtection="1">
      <alignment horizontal="center" vertical="center" wrapText="1"/>
    </xf>
    <xf numFmtId="0" fontId="3" fillId="6" borderId="7" xfId="0" applyFont="1" applyFill="1" applyBorder="1" applyAlignment="1" applyProtection="1">
      <alignment horizontal="center" vertical="center" wrapText="1"/>
    </xf>
    <xf numFmtId="0" fontId="3" fillId="6" borderId="8" xfId="0" applyFont="1" applyFill="1" applyBorder="1" applyAlignment="1" applyProtection="1">
      <alignment horizontal="center" vertical="center" wrapText="1"/>
    </xf>
    <xf numFmtId="1" fontId="3" fillId="0" borderId="2" xfId="0" applyNumberFormat="1" applyFont="1" applyFill="1" applyBorder="1" applyAlignment="1" applyProtection="1">
      <alignment horizontal="center" vertical="center"/>
    </xf>
    <xf numFmtId="171" fontId="3" fillId="0" borderId="2" xfId="12" applyNumberFormat="1" applyFont="1" applyFill="1" applyBorder="1" applyAlignment="1" applyProtection="1">
      <alignment horizontal="right" vertical="center"/>
    </xf>
    <xf numFmtId="171" fontId="3" fillId="0" borderId="7" xfId="0" applyNumberFormat="1" applyFont="1" applyFill="1" applyBorder="1" applyAlignment="1" applyProtection="1">
      <alignment horizontal="right" vertical="center"/>
    </xf>
    <xf numFmtId="1" fontId="3" fillId="0" borderId="8" xfId="0" applyNumberFormat="1" applyFont="1" applyFill="1" applyBorder="1" applyAlignment="1" applyProtection="1">
      <alignment horizontal="center" vertical="center"/>
    </xf>
    <xf numFmtId="171" fontId="5" fillId="0" borderId="2" xfId="12" applyNumberFormat="1" applyFont="1" applyFill="1" applyBorder="1" applyAlignment="1" applyProtection="1">
      <alignment horizontal="center" vertical="center"/>
    </xf>
    <xf numFmtId="0" fontId="0" fillId="0" borderId="0" xfId="0" applyFont="1" applyBorder="1" applyAlignment="1" applyProtection="1">
      <alignment horizontal="left" vertical="top" wrapText="1"/>
    </xf>
    <xf numFmtId="0" fontId="3" fillId="0" borderId="0" xfId="0" applyFont="1" applyFill="1" applyProtection="1"/>
    <xf numFmtId="0" fontId="3" fillId="0" borderId="0" xfId="0" applyFont="1" applyBorder="1" applyProtection="1"/>
    <xf numFmtId="0" fontId="3" fillId="0" borderId="5" xfId="0" applyFont="1" applyBorder="1" applyProtection="1"/>
    <xf numFmtId="0" fontId="3" fillId="0" borderId="10" xfId="0" applyFont="1" applyBorder="1" applyProtection="1"/>
    <xf numFmtId="0" fontId="3" fillId="0" borderId="1" xfId="0" applyFont="1" applyBorder="1" applyProtection="1"/>
    <xf numFmtId="171" fontId="3" fillId="3" borderId="2" xfId="12" applyNumberFormat="1" applyFont="1" applyFill="1" applyBorder="1" applyAlignment="1" applyProtection="1">
      <alignment horizontal="right" vertical="center"/>
      <protection locked="0" hidden="1"/>
    </xf>
    <xf numFmtId="0" fontId="0" fillId="0" borderId="0" xfId="0" applyProtection="1"/>
    <xf numFmtId="0" fontId="3" fillId="3" borderId="6" xfId="0" applyFont="1" applyFill="1" applyBorder="1" applyAlignment="1" applyProtection="1">
      <alignment horizontal="left" vertical="center" wrapText="1"/>
      <protection locked="0" hidden="1"/>
    </xf>
    <xf numFmtId="0" fontId="6" fillId="0" borderId="0" xfId="0" applyFont="1" applyAlignment="1" applyProtection="1">
      <alignment vertical="center"/>
      <protection locked="0"/>
    </xf>
    <xf numFmtId="0" fontId="2" fillId="4" borderId="2"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xf>
    <xf numFmtId="0" fontId="3" fillId="3" borderId="2" xfId="0" applyFont="1" applyFill="1" applyBorder="1" applyAlignment="1" applyProtection="1">
      <alignment horizontal="left" vertical="center" wrapText="1"/>
      <protection locked="0" hidden="1"/>
    </xf>
    <xf numFmtId="0" fontId="3" fillId="0" borderId="0" xfId="0" applyNumberFormat="1" applyFont="1" applyFill="1" applyBorder="1" applyAlignment="1" applyProtection="1">
      <alignment horizontal="left" vertical="top" wrapText="1"/>
    </xf>
    <xf numFmtId="0" fontId="8" fillId="6" borderId="2" xfId="0" applyFont="1" applyFill="1" applyBorder="1" applyAlignment="1" applyProtection="1">
      <alignment horizontal="center" vertical="center"/>
    </xf>
    <xf numFmtId="0" fontId="21" fillId="0" borderId="0" xfId="0" applyFont="1"/>
    <xf numFmtId="0" fontId="21" fillId="0" borderId="0" xfId="0" applyFont="1" applyProtection="1"/>
    <xf numFmtId="0" fontId="1" fillId="0" borderId="2" xfId="0" applyFont="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3" fillId="3" borderId="2" xfId="0" applyFont="1" applyFill="1" applyBorder="1" applyAlignment="1" applyProtection="1">
      <alignment horizontal="center" vertical="center" wrapText="1"/>
      <protection locked="0" hidden="1"/>
    </xf>
    <xf numFmtId="0" fontId="3" fillId="3" borderId="2" xfId="0" applyFont="1" applyFill="1" applyBorder="1" applyAlignment="1" applyProtection="1">
      <alignment horizontal="center" vertical="center"/>
      <protection locked="0" hidden="1"/>
    </xf>
    <xf numFmtId="0" fontId="13" fillId="9" borderId="2" xfId="0" applyNumberFormat="1" applyFont="1" applyFill="1" applyBorder="1" applyAlignment="1">
      <alignment horizontal="center" vertical="center" wrapText="1"/>
    </xf>
    <xf numFmtId="0" fontId="13" fillId="9" borderId="2" xfId="0" applyFont="1" applyFill="1" applyBorder="1" applyAlignment="1">
      <alignment horizontal="center" vertical="center" wrapText="1"/>
    </xf>
    <xf numFmtId="0" fontId="6" fillId="0" borderId="1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12" xfId="0" applyNumberFormat="1" applyFont="1" applyBorder="1" applyAlignment="1">
      <alignment horizontal="center" vertical="center"/>
    </xf>
    <xf numFmtId="0" fontId="6" fillId="0" borderId="15" xfId="0" applyNumberFormat="1" applyFont="1" applyBorder="1" applyAlignment="1">
      <alignment horizontal="center" vertical="center"/>
    </xf>
    <xf numFmtId="0" fontId="6" fillId="0" borderId="16" xfId="0" applyNumberFormat="1" applyFont="1" applyBorder="1" applyAlignment="1">
      <alignment horizontal="center" vertical="center"/>
    </xf>
    <xf numFmtId="0" fontId="6" fillId="0" borderId="17" xfId="0" applyNumberFormat="1" applyFont="1" applyBorder="1" applyAlignment="1">
      <alignment horizontal="center" vertical="center"/>
    </xf>
    <xf numFmtId="0" fontId="6" fillId="3" borderId="11" xfId="0" applyFont="1" applyFill="1" applyBorder="1" applyAlignment="1" applyProtection="1">
      <alignment horizontal="center" vertical="center"/>
      <protection locked="0" hidden="1"/>
    </xf>
    <xf numFmtId="0" fontId="6" fillId="3" borderId="1" xfId="0" applyFont="1" applyFill="1" applyBorder="1" applyAlignment="1" applyProtection="1">
      <alignment horizontal="center" vertical="center"/>
      <protection locked="0" hidden="1"/>
    </xf>
    <xf numFmtId="0" fontId="6" fillId="3" borderId="12" xfId="0" applyFont="1" applyFill="1" applyBorder="1" applyAlignment="1" applyProtection="1">
      <alignment horizontal="center" vertical="center"/>
      <protection locked="0" hidden="1"/>
    </xf>
    <xf numFmtId="0" fontId="6" fillId="3" borderId="15" xfId="0" applyFont="1" applyFill="1" applyBorder="1" applyAlignment="1" applyProtection="1">
      <alignment horizontal="center" vertical="center"/>
      <protection locked="0" hidden="1"/>
    </xf>
    <xf numFmtId="0" fontId="6" fillId="3" borderId="16" xfId="0" applyFont="1" applyFill="1" applyBorder="1" applyAlignment="1" applyProtection="1">
      <alignment horizontal="center" vertical="center"/>
      <protection locked="0" hidden="1"/>
    </xf>
    <xf numFmtId="0" fontId="6" fillId="3" borderId="17" xfId="0" applyFont="1" applyFill="1" applyBorder="1" applyAlignment="1" applyProtection="1">
      <alignment horizontal="center" vertical="center"/>
      <protection locked="0" hidden="1"/>
    </xf>
    <xf numFmtId="0" fontId="6" fillId="0" borderId="1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6" fillId="3" borderId="2" xfId="0" applyNumberFormat="1" applyFont="1" applyFill="1" applyBorder="1" applyAlignment="1" applyProtection="1">
      <alignment horizontal="center" vertical="center" wrapText="1"/>
      <protection locked="0" hidden="1"/>
    </xf>
    <xf numFmtId="0" fontId="6" fillId="3" borderId="3" xfId="0" applyNumberFormat="1" applyFont="1" applyFill="1" applyBorder="1" applyAlignment="1" applyProtection="1">
      <alignment horizontal="center" vertical="center"/>
      <protection locked="0" hidden="1"/>
    </xf>
    <xf numFmtId="0" fontId="6" fillId="3" borderId="5" xfId="0" applyNumberFormat="1" applyFont="1" applyFill="1" applyBorder="1" applyAlignment="1" applyProtection="1">
      <alignment horizontal="center" vertical="center"/>
      <protection locked="0" hidden="1"/>
    </xf>
    <xf numFmtId="0" fontId="6" fillId="3" borderId="4" xfId="0" applyNumberFormat="1" applyFont="1" applyFill="1" applyBorder="1" applyAlignment="1" applyProtection="1">
      <alignment horizontal="center" vertical="center"/>
      <protection locked="0" hidden="1"/>
    </xf>
    <xf numFmtId="0" fontId="6" fillId="0" borderId="2" xfId="0" applyNumberFormat="1" applyFont="1" applyBorder="1" applyAlignment="1">
      <alignment horizontal="center" vertical="center"/>
    </xf>
    <xf numFmtId="0" fontId="13"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7" xfId="0" applyNumberFormat="1" applyFont="1" applyBorder="1" applyAlignment="1">
      <alignment horizontal="center" vertical="center" wrapText="1"/>
    </xf>
    <xf numFmtId="0" fontId="6" fillId="0" borderId="3" xfId="0" applyNumberFormat="1" applyFont="1" applyBorder="1" applyAlignment="1">
      <alignment horizontal="center" vertical="center"/>
    </xf>
    <xf numFmtId="0" fontId="6" fillId="0" borderId="5" xfId="0" applyNumberFormat="1" applyFont="1" applyBorder="1" applyAlignment="1">
      <alignment horizontal="center" vertical="center"/>
    </xf>
    <xf numFmtId="0" fontId="6" fillId="0" borderId="5" xfId="0" applyFont="1" applyBorder="1" applyAlignment="1">
      <alignment horizontal="center" vertical="center"/>
    </xf>
    <xf numFmtId="0" fontId="6" fillId="0" borderId="4" xfId="0" applyNumberFormat="1" applyFont="1" applyBorder="1" applyAlignment="1">
      <alignment horizontal="center" vertical="center"/>
    </xf>
    <xf numFmtId="0" fontId="6" fillId="0" borderId="3"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3" borderId="3" xfId="0" applyFont="1" applyFill="1" applyBorder="1" applyAlignment="1" applyProtection="1">
      <alignment horizontal="center" vertical="center"/>
      <protection locked="0" hidden="1"/>
    </xf>
    <xf numFmtId="0" fontId="6" fillId="3" borderId="5" xfId="0" applyFont="1" applyFill="1" applyBorder="1" applyAlignment="1" applyProtection="1">
      <alignment horizontal="center" vertical="center"/>
      <protection locked="0" hidden="1"/>
    </xf>
    <xf numFmtId="0" fontId="6" fillId="3" borderId="4" xfId="0" applyFont="1" applyFill="1" applyBorder="1" applyAlignment="1" applyProtection="1">
      <alignment horizontal="center" vertical="center"/>
      <protection locked="0" hidden="1"/>
    </xf>
    <xf numFmtId="0" fontId="6" fillId="0" borderId="2" xfId="0" applyFont="1" applyBorder="1" applyAlignment="1">
      <alignment horizontal="center" vertical="center"/>
    </xf>
    <xf numFmtId="0" fontId="6" fillId="3" borderId="2" xfId="0" applyFont="1" applyFill="1" applyBorder="1" applyAlignment="1" applyProtection="1">
      <alignment horizontal="center" vertical="center"/>
      <protection locked="0" hidden="1"/>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6" fillId="3" borderId="3" xfId="0" applyFont="1" applyFill="1" applyBorder="1" applyAlignment="1" applyProtection="1">
      <alignment horizontal="left" vertical="center"/>
      <protection locked="0"/>
    </xf>
    <xf numFmtId="0" fontId="6" fillId="3" borderId="5" xfId="0" applyFont="1" applyFill="1" applyBorder="1" applyAlignment="1" applyProtection="1">
      <alignment horizontal="left" vertical="center"/>
      <protection locked="0"/>
    </xf>
    <xf numFmtId="0" fontId="6" fillId="3" borderId="4" xfId="0" applyFont="1" applyFill="1" applyBorder="1" applyAlignment="1" applyProtection="1">
      <alignment horizontal="left" vertical="center"/>
      <protection locked="0"/>
    </xf>
    <xf numFmtId="0" fontId="6" fillId="3" borderId="3"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6" fillId="3" borderId="3" xfId="0" applyNumberFormat="1" applyFont="1" applyFill="1" applyBorder="1" applyAlignment="1" applyProtection="1">
      <alignment horizontal="left" vertical="center"/>
      <protection locked="0"/>
    </xf>
    <xf numFmtId="0" fontId="6" fillId="3" borderId="5" xfId="0" applyNumberFormat="1" applyFont="1" applyFill="1" applyBorder="1" applyAlignment="1" applyProtection="1">
      <alignment horizontal="left" vertical="center"/>
      <protection locked="0"/>
    </xf>
    <xf numFmtId="0" fontId="6" fillId="0" borderId="3" xfId="0" applyNumberFormat="1" applyFont="1" applyBorder="1" applyAlignment="1">
      <alignment horizontal="left" vertical="center" wrapText="1"/>
    </xf>
    <xf numFmtId="0" fontId="6" fillId="0" borderId="5" xfId="0" applyNumberFormat="1" applyFont="1" applyBorder="1" applyAlignment="1">
      <alignment horizontal="left" vertical="center" wrapText="1"/>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5" xfId="0" applyNumberFormat="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1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12" xfId="0" applyNumberFormat="1" applyFont="1" applyFill="1" applyBorder="1" applyAlignment="1">
      <alignment horizontal="center" vertical="center" wrapText="1"/>
    </xf>
    <xf numFmtId="0" fontId="13" fillId="2" borderId="15" xfId="0" applyNumberFormat="1" applyFont="1" applyFill="1" applyBorder="1" applyAlignment="1">
      <alignment horizontal="center" vertical="center" wrapText="1"/>
    </xf>
    <xf numFmtId="0" fontId="13" fillId="2" borderId="16" xfId="0" applyNumberFormat="1" applyFont="1" applyFill="1" applyBorder="1" applyAlignment="1">
      <alignment horizontal="center" vertical="center" wrapText="1"/>
    </xf>
    <xf numFmtId="0" fontId="13" fillId="2" borderId="17" xfId="0" applyNumberFormat="1" applyFont="1" applyFill="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3" borderId="1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4" xfId="0" applyNumberFormat="1" applyFont="1" applyBorder="1" applyAlignment="1">
      <alignment horizontal="center" vertical="center"/>
    </xf>
    <xf numFmtId="0" fontId="13" fillId="0" borderId="6" xfId="0" applyNumberFormat="1" applyFont="1" applyBorder="1" applyAlignment="1">
      <alignment horizontal="center" vertical="center" textRotation="90" wrapText="1"/>
    </xf>
    <xf numFmtId="0" fontId="13" fillId="0" borderId="2" xfId="0" applyNumberFormat="1" applyFont="1" applyBorder="1" applyAlignment="1">
      <alignment horizontal="center" vertical="center" textRotation="90" wrapText="1"/>
    </xf>
    <xf numFmtId="0" fontId="6" fillId="0" borderId="2" xfId="0" applyNumberFormat="1" applyFont="1" applyBorder="1" applyAlignment="1">
      <alignment horizontal="left" vertical="center" wrapText="1"/>
    </xf>
    <xf numFmtId="168" fontId="6" fillId="3" borderId="11" xfId="0" applyNumberFormat="1" applyFont="1" applyFill="1" applyBorder="1" applyAlignment="1" applyProtection="1">
      <alignment horizontal="right" vertical="center" wrapText="1"/>
      <protection locked="0" hidden="1"/>
    </xf>
    <xf numFmtId="168" fontId="6" fillId="3" borderId="1" xfId="0" applyNumberFormat="1" applyFont="1" applyFill="1" applyBorder="1" applyAlignment="1" applyProtection="1">
      <alignment horizontal="right" vertical="center" wrapText="1"/>
      <protection locked="0" hidden="1"/>
    </xf>
    <xf numFmtId="168" fontId="6" fillId="3" borderId="12" xfId="0" applyNumberFormat="1" applyFont="1" applyFill="1" applyBorder="1" applyAlignment="1" applyProtection="1">
      <alignment horizontal="right" vertical="center" wrapText="1"/>
      <protection locked="0" hidden="1"/>
    </xf>
    <xf numFmtId="4" fontId="6" fillId="0" borderId="2" xfId="0" applyNumberFormat="1" applyFont="1" applyBorder="1" applyAlignment="1">
      <alignment horizontal="center" vertical="center"/>
    </xf>
    <xf numFmtId="168" fontId="6" fillId="3" borderId="2" xfId="0" applyNumberFormat="1" applyFont="1" applyFill="1" applyBorder="1" applyAlignment="1" applyProtection="1">
      <alignment horizontal="right" vertical="center" wrapText="1"/>
      <protection locked="0" hidden="1"/>
    </xf>
    <xf numFmtId="10" fontId="6" fillId="0" borderId="2" xfId="0" applyNumberFormat="1" applyFont="1" applyBorder="1" applyAlignment="1">
      <alignment horizontal="center" vertical="center"/>
    </xf>
    <xf numFmtId="4" fontId="6" fillId="0" borderId="1" xfId="0" applyNumberFormat="1" applyFont="1" applyFill="1" applyBorder="1" applyAlignment="1">
      <alignment horizontal="center" vertical="center" wrapText="1"/>
    </xf>
    <xf numFmtId="4" fontId="6" fillId="0" borderId="12" xfId="0" applyNumberFormat="1" applyFont="1" applyFill="1" applyBorder="1" applyAlignment="1">
      <alignment horizontal="center" vertical="center" wrapText="1"/>
    </xf>
    <xf numFmtId="4" fontId="6" fillId="0" borderId="16" xfId="0" applyNumberFormat="1" applyFont="1" applyFill="1" applyBorder="1" applyAlignment="1">
      <alignment horizontal="center" vertical="center" wrapText="1"/>
    </xf>
    <xf numFmtId="4" fontId="6" fillId="0" borderId="17" xfId="0" applyNumberFormat="1" applyFont="1" applyFill="1" applyBorder="1" applyAlignment="1">
      <alignment horizontal="center" vertical="center" wrapText="1"/>
    </xf>
    <xf numFmtId="174" fontId="6" fillId="0" borderId="2" xfId="0" applyNumberFormat="1" applyFont="1" applyBorder="1" applyAlignment="1">
      <alignment horizontal="center" vertical="center"/>
    </xf>
    <xf numFmtId="168" fontId="6" fillId="0" borderId="1" xfId="0" applyNumberFormat="1" applyFont="1" applyFill="1" applyBorder="1" applyAlignment="1">
      <alignment horizontal="center" vertical="center" wrapText="1"/>
    </xf>
    <xf numFmtId="168" fontId="6" fillId="0" borderId="12" xfId="0" applyNumberFormat="1" applyFont="1" applyFill="1" applyBorder="1" applyAlignment="1">
      <alignment horizontal="center" vertical="center" wrapText="1"/>
    </xf>
    <xf numFmtId="168" fontId="6" fillId="0" borderId="16" xfId="0" applyNumberFormat="1" applyFont="1" applyFill="1" applyBorder="1" applyAlignment="1">
      <alignment horizontal="center" vertical="center" wrapText="1"/>
    </xf>
    <xf numFmtId="168" fontId="6" fillId="0" borderId="17" xfId="0" applyNumberFormat="1" applyFont="1" applyFill="1" applyBorder="1" applyAlignment="1">
      <alignment horizontal="center" vertical="center" wrapText="1"/>
    </xf>
    <xf numFmtId="0" fontId="6" fillId="3" borderId="2" xfId="0" applyFont="1" applyFill="1" applyBorder="1" applyAlignment="1" applyProtection="1">
      <alignment horizontal="justify" vertical="center" wrapText="1"/>
      <protection locked="0" hidden="1"/>
    </xf>
    <xf numFmtId="0" fontId="3" fillId="0" borderId="0" xfId="0" applyFont="1" applyFill="1" applyAlignment="1">
      <alignment horizontal="left" vertical="top" wrapText="1"/>
    </xf>
    <xf numFmtId="0" fontId="3" fillId="4" borderId="2" xfId="0" applyFont="1" applyFill="1" applyBorder="1" applyAlignment="1">
      <alignment horizontal="center"/>
    </xf>
    <xf numFmtId="0" fontId="3" fillId="5" borderId="2" xfId="0" applyFont="1" applyFill="1" applyBorder="1" applyAlignment="1">
      <alignment horizont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4" borderId="3" xfId="0" applyFont="1" applyFill="1" applyBorder="1" applyAlignment="1" applyProtection="1">
      <alignment horizontal="center" wrapText="1"/>
      <protection locked="0"/>
    </xf>
    <xf numFmtId="0" fontId="2" fillId="4" borderId="4" xfId="0" applyFont="1" applyFill="1" applyBorder="1" applyAlignment="1" applyProtection="1">
      <alignment horizontal="center" wrapText="1"/>
      <protection locked="0"/>
    </xf>
    <xf numFmtId="0" fontId="2" fillId="4" borderId="3" xfId="0" applyFont="1" applyFill="1" applyBorder="1" applyAlignment="1" applyProtection="1">
      <alignment horizontal="center" vertical="center" wrapText="1"/>
      <protection locked="0"/>
    </xf>
    <xf numFmtId="0" fontId="2" fillId="4" borderId="4"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3" fillId="0" borderId="2" xfId="0" applyFont="1" applyBorder="1" applyAlignment="1" applyProtection="1">
      <alignment horizontal="justify" vertical="center" wrapText="1"/>
    </xf>
    <xf numFmtId="0" fontId="3" fillId="0" borderId="0" xfId="0" applyNumberFormat="1" applyFont="1" applyFill="1" applyBorder="1" applyAlignment="1" applyProtection="1">
      <alignment horizontal="left" vertical="top" wrapText="1"/>
    </xf>
    <xf numFmtId="0" fontId="3" fillId="0" borderId="3" xfId="0" applyFont="1" applyBorder="1" applyAlignment="1" applyProtection="1">
      <alignment horizontal="left" vertical="center" wrapText="1"/>
    </xf>
    <xf numFmtId="0" fontId="0" fillId="0" borderId="4" xfId="0"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3" xfId="0" applyFont="1" applyFill="1" applyBorder="1" applyAlignment="1" applyProtection="1">
      <alignment horizontal="justify" vertical="center" wrapText="1"/>
    </xf>
    <xf numFmtId="0" fontId="0" fillId="0" borderId="4" xfId="0" applyBorder="1" applyAlignment="1" applyProtection="1">
      <alignment horizontal="justify" vertical="center" wrapText="1"/>
    </xf>
    <xf numFmtId="0" fontId="3" fillId="0" borderId="4" xfId="0" applyFont="1" applyFill="1" applyBorder="1" applyAlignment="1" applyProtection="1">
      <alignment horizontal="left" vertical="center" wrapText="1"/>
    </xf>
    <xf numFmtId="0" fontId="2" fillId="0" borderId="2" xfId="0" applyFont="1" applyBorder="1" applyAlignment="1" applyProtection="1">
      <alignment horizontal="center" vertical="center"/>
    </xf>
    <xf numFmtId="0" fontId="2" fillId="0" borderId="7" xfId="0" applyFont="1" applyBorder="1" applyAlignment="1" applyProtection="1">
      <alignment horizontal="center" vertical="center"/>
    </xf>
    <xf numFmtId="0" fontId="3" fillId="0" borderId="2" xfId="0" applyNumberFormat="1" applyFont="1" applyBorder="1" applyAlignment="1" applyProtection="1">
      <alignment horizontal="left" vertical="center" wrapText="1"/>
    </xf>
    <xf numFmtId="0" fontId="3" fillId="0" borderId="2" xfId="0" applyNumberFormat="1" applyFont="1" applyFill="1" applyBorder="1" applyAlignment="1" applyProtection="1">
      <alignment horizontal="left" vertical="top" wrapText="1"/>
    </xf>
    <xf numFmtId="0" fontId="2" fillId="0" borderId="2" xfId="0" applyFont="1" applyFill="1" applyBorder="1" applyAlignment="1" applyProtection="1">
      <alignment horizontal="left" vertical="top"/>
    </xf>
    <xf numFmtId="0" fontId="3" fillId="3" borderId="2" xfId="0" applyFont="1" applyFill="1" applyBorder="1" applyAlignment="1" applyProtection="1">
      <alignment horizontal="left" vertical="center" wrapText="1"/>
      <protection locked="0" hidden="1"/>
    </xf>
    <xf numFmtId="0" fontId="2" fillId="0" borderId="8" xfId="0" applyFont="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xf>
    <xf numFmtId="0" fontId="3" fillId="0" borderId="2" xfId="0" applyFont="1" applyBorder="1" applyAlignment="1" applyProtection="1">
      <alignment horizontal="center" vertical="center"/>
    </xf>
    <xf numFmtId="0" fontId="8" fillId="0" borderId="2" xfId="0" applyFont="1" applyBorder="1" applyAlignment="1" applyProtection="1">
      <alignment horizontal="center" vertical="center"/>
    </xf>
    <xf numFmtId="0" fontId="3" fillId="6" borderId="2" xfId="0" applyFont="1" applyFill="1" applyBorder="1" applyAlignment="1" applyProtection="1">
      <alignment horizontal="center" vertical="center"/>
    </xf>
    <xf numFmtId="0" fontId="3" fillId="0" borderId="2" xfId="0" applyNumberFormat="1" applyFont="1" applyFill="1" applyBorder="1" applyAlignment="1" applyProtection="1">
      <alignment horizontal="left" vertical="center" wrapText="1"/>
    </xf>
    <xf numFmtId="0" fontId="0" fillId="0" borderId="2" xfId="0" applyFill="1" applyBorder="1" applyAlignment="1" applyProtection="1">
      <alignment horizontal="left" vertical="center" wrapText="1"/>
    </xf>
    <xf numFmtId="0" fontId="3" fillId="0" borderId="4" xfId="0" applyFont="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14" fillId="0" borderId="2" xfId="0" applyFont="1" applyBorder="1" applyAlignment="1" applyProtection="1">
      <alignment horizontal="left" vertical="center" wrapText="1"/>
    </xf>
    <xf numFmtId="170" fontId="6" fillId="0" borderId="9" xfId="0" applyNumberFormat="1" applyFont="1" applyBorder="1" applyAlignment="1" applyProtection="1">
      <alignment horizontal="center" vertical="center" wrapText="1"/>
    </xf>
    <xf numFmtId="170" fontId="6" fillId="0" borderId="4" xfId="0" applyNumberFormat="1" applyFont="1" applyBorder="1" applyAlignment="1" applyProtection="1">
      <alignment horizontal="center" vertical="center" wrapText="1"/>
    </xf>
    <xf numFmtId="170" fontId="15" fillId="0" borderId="3" xfId="0" applyNumberFormat="1" applyFont="1" applyBorder="1" applyAlignment="1" applyProtection="1">
      <alignment horizontal="center" vertical="top" wrapText="1"/>
    </xf>
    <xf numFmtId="170" fontId="15" fillId="0" borderId="4" xfId="0" applyNumberFormat="1" applyFont="1" applyBorder="1" applyAlignment="1" applyProtection="1">
      <alignment horizontal="center" vertical="top" wrapText="1"/>
    </xf>
    <xf numFmtId="170" fontId="6" fillId="0" borderId="3" xfId="0" applyNumberFormat="1" applyFont="1" applyBorder="1" applyAlignment="1" applyProtection="1">
      <alignment horizontal="center" vertical="center" wrapText="1"/>
    </xf>
    <xf numFmtId="170" fontId="15" fillId="0" borderId="3" xfId="0" applyNumberFormat="1" applyFont="1" applyBorder="1" applyAlignment="1" applyProtection="1">
      <alignment horizontal="center" vertical="center" wrapText="1"/>
    </xf>
    <xf numFmtId="170" fontId="15" fillId="0" borderId="4" xfId="0" applyNumberFormat="1" applyFont="1" applyBorder="1" applyAlignment="1" applyProtection="1">
      <alignment horizontal="center" vertical="center" wrapText="1"/>
    </xf>
    <xf numFmtId="0" fontId="1" fillId="0" borderId="2" xfId="0" applyFont="1" applyBorder="1" applyAlignment="1" applyProtection="1">
      <alignment horizontal="justify" wrapText="1"/>
    </xf>
    <xf numFmtId="0" fontId="5" fillId="10" borderId="3" xfId="2" applyFont="1" applyFill="1" applyBorder="1" applyAlignment="1">
      <alignment horizontal="left" vertical="center"/>
    </xf>
    <xf numFmtId="0" fontId="5" fillId="10" borderId="4" xfId="2" applyFont="1" applyFill="1" applyBorder="1" applyAlignment="1">
      <alignment horizontal="left" vertical="center"/>
    </xf>
    <xf numFmtId="172" fontId="5" fillId="0" borderId="2" xfId="2" applyNumberFormat="1" applyFont="1" applyFill="1" applyBorder="1" applyAlignment="1">
      <alignment horizontal="left" vertical="center" wrapText="1"/>
    </xf>
    <xf numFmtId="0" fontId="5" fillId="10" borderId="2" xfId="2" applyFont="1" applyFill="1" applyBorder="1" applyAlignment="1">
      <alignment horizontal="left" vertical="center"/>
    </xf>
    <xf numFmtId="0" fontId="5" fillId="0" borderId="2" xfId="2" applyFont="1" applyFill="1" applyBorder="1" applyAlignment="1">
      <alignment horizontal="left" vertical="center" wrapText="1"/>
    </xf>
    <xf numFmtId="0" fontId="2" fillId="9" borderId="11" xfId="1" applyFont="1" applyFill="1" applyBorder="1" applyAlignment="1" applyProtection="1">
      <alignment horizontal="center" vertical="center" wrapText="1"/>
      <protection locked="0"/>
    </xf>
    <xf numFmtId="0" fontId="2" fillId="9" borderId="1" xfId="1" applyFont="1" applyFill="1" applyBorder="1" applyAlignment="1" applyProtection="1">
      <alignment horizontal="center" vertical="center" wrapText="1"/>
      <protection locked="0"/>
    </xf>
    <xf numFmtId="0" fontId="2" fillId="9" borderId="12" xfId="1" applyFont="1" applyFill="1" applyBorder="1" applyAlignment="1" applyProtection="1">
      <alignment horizontal="center" vertical="center" wrapText="1"/>
      <protection locked="0"/>
    </xf>
    <xf numFmtId="0" fontId="2" fillId="9" borderId="15" xfId="1" applyFont="1" applyFill="1" applyBorder="1" applyAlignment="1" applyProtection="1">
      <alignment horizontal="center" vertical="center" wrapText="1"/>
      <protection locked="0"/>
    </xf>
    <xf numFmtId="0" fontId="2" fillId="9" borderId="16" xfId="1" applyFont="1" applyFill="1" applyBorder="1" applyAlignment="1" applyProtection="1">
      <alignment horizontal="center" vertical="center" wrapText="1"/>
      <protection locked="0"/>
    </xf>
    <xf numFmtId="0" fontId="2" fillId="9" borderId="17" xfId="1" applyFont="1" applyFill="1" applyBorder="1" applyAlignment="1" applyProtection="1">
      <alignment horizontal="center" vertical="center" wrapText="1"/>
      <protection locked="0"/>
    </xf>
    <xf numFmtId="0" fontId="12" fillId="0" borderId="13" xfId="1" applyFont="1" applyFill="1" applyBorder="1" applyAlignment="1" applyProtection="1">
      <alignment horizontal="left" vertical="center" wrapText="1"/>
      <protection locked="0"/>
    </xf>
    <xf numFmtId="0" fontId="12" fillId="0" borderId="0" xfId="1" applyFont="1" applyFill="1" applyBorder="1" applyAlignment="1" applyProtection="1">
      <alignment horizontal="left" vertical="center" wrapText="1"/>
      <protection locked="0"/>
    </xf>
    <xf numFmtId="0" fontId="12" fillId="0" borderId="14" xfId="1" applyFont="1" applyFill="1" applyBorder="1" applyAlignment="1" applyProtection="1">
      <alignment horizontal="left" vertical="center" wrapText="1"/>
      <protection locked="0"/>
    </xf>
    <xf numFmtId="0" fontId="17" fillId="9" borderId="2" xfId="2" applyFont="1" applyFill="1" applyBorder="1" applyAlignment="1">
      <alignment horizontal="center" vertical="center" wrapText="1"/>
    </xf>
    <xf numFmtId="0" fontId="5" fillId="10" borderId="2" xfId="8" applyFont="1" applyFill="1" applyBorder="1" applyAlignment="1">
      <alignment horizontal="center" vertical="center"/>
    </xf>
    <xf numFmtId="0" fontId="11" fillId="2" borderId="3" xfId="8" applyFont="1" applyFill="1" applyBorder="1" applyAlignment="1">
      <alignment horizontal="center" vertical="center" wrapText="1"/>
    </xf>
    <xf numFmtId="0" fontId="11" fillId="2" borderId="5" xfId="8" applyFont="1" applyFill="1" applyBorder="1" applyAlignment="1">
      <alignment horizontal="center" vertical="center" wrapText="1"/>
    </xf>
    <xf numFmtId="0" fontId="11" fillId="2" borderId="4" xfId="8" applyFont="1" applyFill="1" applyBorder="1" applyAlignment="1">
      <alignment horizontal="center" vertical="center" wrapText="1"/>
    </xf>
    <xf numFmtId="0" fontId="5" fillId="0" borderId="0" xfId="8" applyFont="1" applyFill="1" applyBorder="1" applyAlignment="1">
      <alignment horizontal="left" vertical="center" wrapText="1"/>
    </xf>
  </cellXfs>
  <cellStyles count="15">
    <cellStyle name="Millares 2" xfId="4"/>
    <cellStyle name="Millares 5" xfId="5"/>
    <cellStyle name="Moneda 2" xfId="13"/>
    <cellStyle name="Moneda 3" xfId="14"/>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color rgb="FFCCFFFF"/>
      <color rgb="FFFFCCFF"/>
      <color rgb="FF66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1668992</xdr:colOff>
      <xdr:row>1</xdr:row>
      <xdr:rowOff>46301</xdr:rowOff>
    </xdr:from>
    <xdr:to>
      <xdr:col>8</xdr:col>
      <xdr:colOff>736866</xdr:colOff>
      <xdr:row>6</xdr:row>
      <xdr:rowOff>47624</xdr:rowOff>
    </xdr:to>
    <xdr:sp macro="" textlink="">
      <xdr:nvSpPr>
        <xdr:cNvPr id="2" name="1 CuadroTexto"/>
        <xdr:cNvSpPr txBox="1"/>
      </xdr:nvSpPr>
      <xdr:spPr>
        <a:xfrm>
          <a:off x="2550055" y="129645"/>
          <a:ext cx="7092686" cy="751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latin typeface="Arial" panose="020B0604020202020204" pitchFamily="34" charset="0"/>
              <a:cs typeface="Arial" panose="020B0604020202020204" pitchFamily="34" charset="0"/>
            </a:rPr>
            <a:t>República de Colombia</a:t>
          </a:r>
        </a:p>
        <a:p>
          <a:pPr algn="ctr"/>
          <a:r>
            <a:rPr lang="es-ES" sz="1050" b="1">
              <a:latin typeface="Arial" panose="020B0604020202020204" pitchFamily="34" charset="0"/>
              <a:cs typeface="Arial" panose="020B0604020202020204" pitchFamily="34" charset="0"/>
            </a:rPr>
            <a:t>Instituto Colombiano de Bienestar Familiar</a:t>
          </a:r>
        </a:p>
        <a:p>
          <a:pPr algn="ctr"/>
          <a:r>
            <a:rPr lang="es-ES" sz="1050" b="1">
              <a:latin typeface="Arial" panose="020B0604020202020204" pitchFamily="34" charset="0"/>
              <a:cs typeface="Arial" panose="020B0604020202020204" pitchFamily="34" charset="0"/>
            </a:rPr>
            <a:t>Cecilia de la Fuente de Lleras </a:t>
          </a:r>
        </a:p>
        <a:p>
          <a:pPr algn="ctr"/>
          <a:r>
            <a:rPr lang="es-ES" sz="1050" b="1">
              <a:solidFill>
                <a:schemeClr val="dk1"/>
              </a:solidFill>
              <a:latin typeface="Arial" panose="020B0604020202020204" pitchFamily="34" charset="0"/>
              <a:ea typeface="+mn-ea"/>
              <a:cs typeface="Arial" panose="020B0604020202020204" pitchFamily="34" charset="0"/>
            </a:rPr>
            <a:t>Dirección de</a:t>
          </a:r>
          <a:r>
            <a:rPr lang="es-ES" sz="1050" b="1" baseline="0">
              <a:solidFill>
                <a:schemeClr val="dk1"/>
              </a:solidFill>
              <a:latin typeface="Arial" panose="020B0604020202020204" pitchFamily="34" charset="0"/>
              <a:ea typeface="+mn-ea"/>
              <a:cs typeface="Arial" panose="020B0604020202020204" pitchFamily="34" charset="0"/>
            </a:rPr>
            <a:t> Abastecimiento</a:t>
          </a:r>
          <a:endParaRPr lang="es-ES" sz="105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100012</xdr:colOff>
      <xdr:row>1</xdr:row>
      <xdr:rowOff>74083</xdr:rowOff>
    </xdr:from>
    <xdr:to>
      <xdr:col>2</xdr:col>
      <xdr:colOff>71437</xdr:colOff>
      <xdr:row>6</xdr:row>
      <xdr:rowOff>60255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57427"/>
          <a:ext cx="685800" cy="736266"/>
        </a:xfrm>
        <a:prstGeom prst="rect">
          <a:avLst/>
        </a:prstGeom>
        <a:noFill/>
        <a:ln w="9525">
          <a:noFill/>
          <a:miter lim="800000"/>
          <a:headEnd/>
          <a:tailEnd/>
        </a:ln>
      </xdr:spPr>
    </xdr:pic>
    <xdr:clientData/>
  </xdr:twoCellAnchor>
  <xdr:twoCellAnchor>
    <xdr:from>
      <xdr:col>9</xdr:col>
      <xdr:colOff>440531</xdr:colOff>
      <xdr:row>1</xdr:row>
      <xdr:rowOff>95248</xdr:rowOff>
    </xdr:from>
    <xdr:to>
      <xdr:col>10</xdr:col>
      <xdr:colOff>1081089</xdr:colOff>
      <xdr:row>6</xdr:row>
      <xdr:rowOff>22621</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65656" y="178592"/>
          <a:ext cx="1354933" cy="677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1668992</xdr:colOff>
      <xdr:row>1</xdr:row>
      <xdr:rowOff>46301</xdr:rowOff>
    </xdr:from>
    <xdr:to>
      <xdr:col>8</xdr:col>
      <xdr:colOff>736866</xdr:colOff>
      <xdr:row>6</xdr:row>
      <xdr:rowOff>47624</xdr:rowOff>
    </xdr:to>
    <xdr:sp macro="" textlink="">
      <xdr:nvSpPr>
        <xdr:cNvPr id="2" name="1 CuadroTexto"/>
        <xdr:cNvSpPr txBox="1"/>
      </xdr:nvSpPr>
      <xdr:spPr>
        <a:xfrm>
          <a:off x="2650067" y="132026"/>
          <a:ext cx="7535599" cy="7442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latin typeface="Arial" panose="020B0604020202020204" pitchFamily="34" charset="0"/>
              <a:cs typeface="Arial" panose="020B0604020202020204" pitchFamily="34" charset="0"/>
            </a:rPr>
            <a:t>República de Colombia</a:t>
          </a:r>
        </a:p>
        <a:p>
          <a:pPr algn="ctr"/>
          <a:r>
            <a:rPr lang="es-ES" sz="1050" b="1">
              <a:latin typeface="Arial" panose="020B0604020202020204" pitchFamily="34" charset="0"/>
              <a:cs typeface="Arial" panose="020B0604020202020204" pitchFamily="34" charset="0"/>
            </a:rPr>
            <a:t>Instituto Colombiano de Bienestar Familiar</a:t>
          </a:r>
        </a:p>
        <a:p>
          <a:pPr algn="ctr"/>
          <a:r>
            <a:rPr lang="es-ES" sz="1050" b="1">
              <a:latin typeface="Arial" panose="020B0604020202020204" pitchFamily="34" charset="0"/>
              <a:cs typeface="Arial" panose="020B0604020202020204" pitchFamily="34" charset="0"/>
            </a:rPr>
            <a:t>Cecilia de la Fuente de Lleras </a:t>
          </a:r>
        </a:p>
        <a:p>
          <a:pPr algn="ctr"/>
          <a:r>
            <a:rPr lang="es-ES" sz="1050" b="1">
              <a:solidFill>
                <a:schemeClr val="dk1"/>
              </a:solidFill>
              <a:latin typeface="Arial" panose="020B0604020202020204" pitchFamily="34" charset="0"/>
              <a:ea typeface="+mn-ea"/>
              <a:cs typeface="Arial" panose="020B0604020202020204" pitchFamily="34" charset="0"/>
            </a:rPr>
            <a:t>Dirección de</a:t>
          </a:r>
          <a:r>
            <a:rPr lang="es-ES" sz="1050" b="1" baseline="0">
              <a:solidFill>
                <a:schemeClr val="dk1"/>
              </a:solidFill>
              <a:latin typeface="Arial" panose="020B0604020202020204" pitchFamily="34" charset="0"/>
              <a:ea typeface="+mn-ea"/>
              <a:cs typeface="Arial" panose="020B0604020202020204" pitchFamily="34" charset="0"/>
            </a:rPr>
            <a:t> Abastecimiento</a:t>
          </a:r>
          <a:endParaRPr lang="es-ES" sz="105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100012</xdr:colOff>
      <xdr:row>1</xdr:row>
      <xdr:rowOff>74083</xdr:rowOff>
    </xdr:from>
    <xdr:to>
      <xdr:col>2</xdr:col>
      <xdr:colOff>71437</xdr:colOff>
      <xdr:row>6</xdr:row>
      <xdr:rowOff>60255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66712" y="159808"/>
          <a:ext cx="685800" cy="729122"/>
        </a:xfrm>
        <a:prstGeom prst="rect">
          <a:avLst/>
        </a:prstGeom>
        <a:noFill/>
        <a:ln w="9525">
          <a:noFill/>
          <a:miter lim="800000"/>
          <a:headEnd/>
          <a:tailEnd/>
        </a:ln>
      </xdr:spPr>
    </xdr:pic>
    <xdr:clientData/>
  </xdr:twoCellAnchor>
  <xdr:twoCellAnchor>
    <xdr:from>
      <xdr:col>9</xdr:col>
      <xdr:colOff>440531</xdr:colOff>
      <xdr:row>1</xdr:row>
      <xdr:rowOff>95248</xdr:rowOff>
    </xdr:from>
    <xdr:to>
      <xdr:col>10</xdr:col>
      <xdr:colOff>1081089</xdr:colOff>
      <xdr:row>6</xdr:row>
      <xdr:rowOff>22621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70431" y="180973"/>
          <a:ext cx="1354933" cy="670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0</xdr:colOff>
      <xdr:row>23</xdr:row>
      <xdr:rowOff>0</xdr:rowOff>
    </xdr:from>
    <xdr:to>
      <xdr:col>5</xdr:col>
      <xdr:colOff>259557</xdr:colOff>
      <xdr:row>1048575</xdr:row>
      <xdr:rowOff>832248</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50" y="5405438"/>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1333500</xdr:colOff>
      <xdr:row>2</xdr:row>
      <xdr:rowOff>107157</xdr:rowOff>
    </xdr:from>
    <xdr:to>
      <xdr:col>6</xdr:col>
      <xdr:colOff>640557</xdr:colOff>
      <xdr:row>6</xdr:row>
      <xdr:rowOff>46437</xdr:rowOff>
    </xdr:to>
    <xdr:pic>
      <xdr:nvPicPr>
        <xdr:cNvPr id="7" name="Imagen 6"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0750" y="464345"/>
          <a:ext cx="1473995" cy="7369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140494</xdr:colOff>
      <xdr:row>2</xdr:row>
      <xdr:rowOff>30956</xdr:rowOff>
    </xdr:from>
    <xdr:to>
      <xdr:col>2</xdr:col>
      <xdr:colOff>170028</xdr:colOff>
      <xdr:row>6</xdr:row>
      <xdr:rowOff>59531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2894" y="269081"/>
          <a:ext cx="782009" cy="828675"/>
        </a:xfrm>
        <a:prstGeom prst="rect">
          <a:avLst/>
        </a:prstGeom>
        <a:noFill/>
        <a:ln w="9525">
          <a:noFill/>
          <a:miter lim="800000"/>
          <a:headEnd/>
          <a:tailEnd/>
        </a:ln>
      </xdr:spPr>
    </xdr:pic>
    <xdr:clientData/>
  </xdr:twoCellAnchor>
  <xdr:twoCellAnchor>
    <xdr:from>
      <xdr:col>4</xdr:col>
      <xdr:colOff>404819</xdr:colOff>
      <xdr:row>2</xdr:row>
      <xdr:rowOff>47636</xdr:rowOff>
    </xdr:from>
    <xdr:to>
      <xdr:col>7</xdr:col>
      <xdr:colOff>333431</xdr:colOff>
      <xdr:row>7</xdr:row>
      <xdr:rowOff>23812</xdr:rowOff>
    </xdr:to>
    <xdr:sp macro="" textlink="">
      <xdr:nvSpPr>
        <xdr:cNvPr id="4" name="3 CuadroTexto"/>
        <xdr:cNvSpPr txBox="1"/>
      </xdr:nvSpPr>
      <xdr:spPr>
        <a:xfrm>
          <a:off x="3852869" y="285761"/>
          <a:ext cx="5938887" cy="938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652465</xdr:colOff>
      <xdr:row>2</xdr:row>
      <xdr:rowOff>71436</xdr:rowOff>
    </xdr:from>
    <xdr:to>
      <xdr:col>9</xdr:col>
      <xdr:colOff>1533525</xdr:colOff>
      <xdr:row>7</xdr:row>
      <xdr:rowOff>23810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15715" y="309561"/>
          <a:ext cx="1857373" cy="928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BC87"/>
  <sheetViews>
    <sheetView showGridLines="0" zoomScaleNormal="100" workbookViewId="0">
      <selection activeCell="I10" sqref="I10:Q11"/>
    </sheetView>
  </sheetViews>
  <sheetFormatPr baseColWidth="10" defaultColWidth="0" defaultRowHeight="0" customHeight="1" zeroHeight="1"/>
  <cols>
    <col min="1" max="1" width="2.42578125" style="56" customWidth="1"/>
    <col min="2" max="3" width="3.140625" style="56" customWidth="1"/>
    <col min="4" max="6" width="3.7109375" style="56" customWidth="1"/>
    <col min="7" max="7" width="3.140625" style="56" customWidth="1"/>
    <col min="8" max="20" width="2.7109375" style="56" customWidth="1"/>
    <col min="21" max="30" width="3.140625" style="56" customWidth="1"/>
    <col min="31" max="34" width="3.28515625" style="56" customWidth="1"/>
    <col min="35" max="36" width="5.42578125" style="56" customWidth="1"/>
    <col min="37" max="37" width="3" style="56" customWidth="1"/>
    <col min="38" max="55" width="0" style="56" hidden="1" customWidth="1"/>
    <col min="56" max="16384" width="11.42578125" style="56" hidden="1"/>
  </cols>
  <sheetData>
    <row r="1" spans="2:36" ht="6" customHeight="1"/>
    <row r="2" spans="2:36" ht="15.75" customHeight="1">
      <c r="B2" s="57"/>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9"/>
    </row>
    <row r="3" spans="2:36" ht="15.75" customHeight="1">
      <c r="B3" s="60"/>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2"/>
    </row>
    <row r="4" spans="2:36" ht="15.75" customHeight="1">
      <c r="B4" s="60"/>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2"/>
    </row>
    <row r="5" spans="2:36" ht="15.75" customHeight="1">
      <c r="B5" s="60"/>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2"/>
    </row>
    <row r="6" spans="2:36" ht="15.75" customHeight="1">
      <c r="B6" s="63"/>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5"/>
    </row>
    <row r="7" spans="2:36" ht="8.25" customHeight="1"/>
    <row r="8" spans="2:36" ht="18.75" customHeight="1">
      <c r="B8" s="140" t="s">
        <v>72</v>
      </c>
      <c r="C8" s="140"/>
      <c r="D8" s="140"/>
      <c r="E8" s="140"/>
      <c r="F8" s="140"/>
      <c r="G8" s="140"/>
      <c r="H8" s="140"/>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row>
    <row r="9" spans="2:36" ht="6.75" customHeight="1"/>
    <row r="10" spans="2:36" ht="16.5" customHeight="1">
      <c r="B10" s="142" t="s">
        <v>73</v>
      </c>
      <c r="C10" s="143"/>
      <c r="D10" s="143"/>
      <c r="E10" s="143"/>
      <c r="F10" s="143"/>
      <c r="G10" s="143"/>
      <c r="H10" s="144"/>
      <c r="I10" s="148"/>
      <c r="J10" s="149"/>
      <c r="K10" s="149"/>
      <c r="L10" s="149"/>
      <c r="M10" s="149"/>
      <c r="N10" s="149"/>
      <c r="O10" s="149"/>
      <c r="P10" s="149"/>
      <c r="Q10" s="150"/>
      <c r="R10" s="154" t="s">
        <v>74</v>
      </c>
      <c r="S10" s="155"/>
      <c r="T10" s="155"/>
      <c r="U10" s="155"/>
      <c r="V10" s="155"/>
      <c r="W10" s="158"/>
      <c r="X10" s="158"/>
      <c r="Y10" s="158"/>
      <c r="Z10" s="158"/>
      <c r="AA10" s="142" t="s">
        <v>75</v>
      </c>
      <c r="AB10" s="143"/>
      <c r="AC10" s="143"/>
      <c r="AD10" s="143"/>
      <c r="AE10" s="144"/>
      <c r="AF10" s="159"/>
      <c r="AG10" s="160"/>
      <c r="AH10" s="160"/>
      <c r="AI10" s="160"/>
      <c r="AJ10" s="161"/>
    </row>
    <row r="11" spans="2:36" ht="16.5" customHeight="1">
      <c r="B11" s="145"/>
      <c r="C11" s="146"/>
      <c r="D11" s="146"/>
      <c r="E11" s="146"/>
      <c r="F11" s="146"/>
      <c r="G11" s="146"/>
      <c r="H11" s="147"/>
      <c r="I11" s="151"/>
      <c r="J11" s="152"/>
      <c r="K11" s="152"/>
      <c r="L11" s="152"/>
      <c r="M11" s="152"/>
      <c r="N11" s="152"/>
      <c r="O11" s="152"/>
      <c r="P11" s="152"/>
      <c r="Q11" s="153"/>
      <c r="R11" s="156"/>
      <c r="S11" s="157"/>
      <c r="T11" s="157"/>
      <c r="U11" s="157"/>
      <c r="V11" s="157"/>
      <c r="W11" s="158"/>
      <c r="X11" s="158"/>
      <c r="Y11" s="158"/>
      <c r="Z11" s="158"/>
      <c r="AA11" s="162" t="s">
        <v>76</v>
      </c>
      <c r="AB11" s="162"/>
      <c r="AC11" s="162"/>
      <c r="AD11" s="162"/>
      <c r="AE11" s="162"/>
      <c r="AF11" s="159"/>
      <c r="AG11" s="160"/>
      <c r="AH11" s="160"/>
      <c r="AI11" s="160"/>
      <c r="AJ11" s="161"/>
    </row>
    <row r="12" spans="2:36" ht="16.5" customHeight="1">
      <c r="B12" s="163" t="s">
        <v>77</v>
      </c>
      <c r="C12" s="163"/>
      <c r="D12" s="163"/>
      <c r="E12" s="163"/>
      <c r="F12" s="163"/>
      <c r="G12" s="163"/>
      <c r="H12" s="163"/>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row>
    <row r="13" spans="2:36" ht="16.5" customHeight="1">
      <c r="B13" s="163" t="s">
        <v>78</v>
      </c>
      <c r="C13" s="163"/>
      <c r="D13" s="163"/>
      <c r="E13" s="163"/>
      <c r="F13" s="163"/>
      <c r="G13" s="163"/>
      <c r="H13" s="163"/>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row>
    <row r="14" spans="2:36" ht="16.5" customHeight="1">
      <c r="B14" s="154" t="s">
        <v>79</v>
      </c>
      <c r="C14" s="155"/>
      <c r="D14" s="155"/>
      <c r="E14" s="155"/>
      <c r="F14" s="155"/>
      <c r="G14" s="155"/>
      <c r="H14" s="165"/>
      <c r="I14" s="167" t="s">
        <v>80</v>
      </c>
      <c r="J14" s="168"/>
      <c r="K14" s="168"/>
      <c r="L14" s="168"/>
      <c r="M14" s="168"/>
      <c r="N14" s="168"/>
      <c r="O14" s="168"/>
      <c r="P14" s="169"/>
      <c r="Q14" s="169"/>
      <c r="R14" s="169"/>
      <c r="S14" s="169"/>
      <c r="T14" s="169"/>
      <c r="U14" s="169"/>
      <c r="V14" s="169"/>
      <c r="W14" s="168"/>
      <c r="X14" s="168"/>
      <c r="Y14" s="168"/>
      <c r="Z14" s="168"/>
      <c r="AA14" s="168"/>
      <c r="AB14" s="168"/>
      <c r="AC14" s="168"/>
      <c r="AD14" s="168"/>
      <c r="AE14" s="170"/>
      <c r="AF14" s="171" t="s">
        <v>81</v>
      </c>
      <c r="AG14" s="172"/>
      <c r="AH14" s="172"/>
      <c r="AI14" s="172"/>
      <c r="AJ14" s="173"/>
    </row>
    <row r="15" spans="2:36" ht="16.5" customHeight="1">
      <c r="B15" s="156"/>
      <c r="C15" s="157"/>
      <c r="D15" s="157"/>
      <c r="E15" s="157"/>
      <c r="F15" s="157"/>
      <c r="G15" s="157"/>
      <c r="H15" s="166"/>
      <c r="I15" s="174"/>
      <c r="J15" s="175"/>
      <c r="K15" s="175"/>
      <c r="L15" s="175"/>
      <c r="M15" s="175"/>
      <c r="N15" s="175"/>
      <c r="O15" s="175"/>
      <c r="P15" s="175"/>
      <c r="Q15" s="175"/>
      <c r="R15" s="175"/>
      <c r="S15" s="175"/>
      <c r="T15" s="175"/>
      <c r="U15" s="175"/>
      <c r="V15" s="175"/>
      <c r="W15" s="175"/>
      <c r="X15" s="175"/>
      <c r="Y15" s="175"/>
      <c r="Z15" s="175"/>
      <c r="AA15" s="175"/>
      <c r="AB15" s="175"/>
      <c r="AC15" s="175"/>
      <c r="AD15" s="175"/>
      <c r="AE15" s="176"/>
      <c r="AF15" s="174"/>
      <c r="AG15" s="175"/>
      <c r="AH15" s="175"/>
      <c r="AI15" s="175"/>
      <c r="AJ15" s="176"/>
    </row>
    <row r="16" spans="2:36" ht="16.5" customHeight="1">
      <c r="B16" s="154" t="s">
        <v>82</v>
      </c>
      <c r="C16" s="155"/>
      <c r="D16" s="155"/>
      <c r="E16" s="155"/>
      <c r="F16" s="155"/>
      <c r="G16" s="155"/>
      <c r="H16" s="165"/>
      <c r="I16" s="162" t="s">
        <v>83</v>
      </c>
      <c r="J16" s="162"/>
      <c r="K16" s="162"/>
      <c r="L16" s="162"/>
      <c r="M16" s="162"/>
      <c r="N16" s="162"/>
      <c r="O16" s="162"/>
      <c r="P16" s="177"/>
      <c r="Q16" s="177"/>
      <c r="R16" s="177"/>
      <c r="S16" s="177"/>
      <c r="T16" s="177"/>
      <c r="U16" s="177"/>
      <c r="V16" s="177"/>
      <c r="W16" s="168"/>
      <c r="X16" s="168"/>
      <c r="Y16" s="168"/>
      <c r="Z16" s="168"/>
      <c r="AA16" s="168"/>
      <c r="AB16" s="168"/>
      <c r="AC16" s="168"/>
      <c r="AD16" s="168"/>
      <c r="AE16" s="170"/>
      <c r="AF16" s="167" t="s">
        <v>84</v>
      </c>
      <c r="AG16" s="168"/>
      <c r="AH16" s="168"/>
      <c r="AI16" s="168"/>
      <c r="AJ16" s="170"/>
    </row>
    <row r="17" spans="2:36" ht="16.5" customHeight="1">
      <c r="B17" s="156"/>
      <c r="C17" s="157"/>
      <c r="D17" s="157"/>
      <c r="E17" s="157"/>
      <c r="F17" s="157"/>
      <c r="G17" s="157"/>
      <c r="H17" s="166"/>
      <c r="I17" s="178"/>
      <c r="J17" s="178"/>
      <c r="K17" s="178"/>
      <c r="L17" s="178"/>
      <c r="M17" s="178"/>
      <c r="N17" s="178"/>
      <c r="O17" s="178"/>
      <c r="P17" s="178"/>
      <c r="Q17" s="178"/>
      <c r="R17" s="178"/>
      <c r="S17" s="178"/>
      <c r="T17" s="178"/>
      <c r="U17" s="178"/>
      <c r="V17" s="178"/>
      <c r="W17" s="175"/>
      <c r="X17" s="175"/>
      <c r="Y17" s="175"/>
      <c r="Z17" s="175"/>
      <c r="AA17" s="175"/>
      <c r="AB17" s="175"/>
      <c r="AC17" s="175"/>
      <c r="AD17" s="175"/>
      <c r="AE17" s="176"/>
      <c r="AF17" s="174"/>
      <c r="AG17" s="175"/>
      <c r="AH17" s="175"/>
      <c r="AI17" s="175"/>
      <c r="AJ17" s="176"/>
    </row>
    <row r="18" spans="2:36" s="66" customFormat="1" ht="16.5" customHeight="1">
      <c r="B18" s="167" t="s">
        <v>85</v>
      </c>
      <c r="C18" s="168"/>
      <c r="D18" s="168"/>
      <c r="E18" s="168"/>
      <c r="F18" s="168"/>
      <c r="G18" s="168"/>
      <c r="H18" s="168"/>
      <c r="I18" s="169"/>
      <c r="J18" s="169"/>
      <c r="K18" s="169"/>
      <c r="L18" s="169"/>
      <c r="M18" s="169"/>
      <c r="N18" s="169"/>
      <c r="O18" s="169"/>
      <c r="P18" s="169"/>
      <c r="Q18" s="169"/>
      <c r="R18" s="169"/>
      <c r="S18" s="169"/>
      <c r="T18" s="169"/>
      <c r="U18" s="169"/>
      <c r="V18" s="169"/>
      <c r="W18" s="168"/>
      <c r="X18" s="168"/>
      <c r="Y18" s="168"/>
      <c r="Z18" s="168"/>
      <c r="AA18" s="167" t="s">
        <v>86</v>
      </c>
      <c r="AB18" s="168"/>
      <c r="AC18" s="168"/>
      <c r="AD18" s="168"/>
      <c r="AE18" s="170"/>
      <c r="AF18" s="167" t="s">
        <v>73</v>
      </c>
      <c r="AG18" s="168"/>
      <c r="AH18" s="168"/>
      <c r="AI18" s="168"/>
      <c r="AJ18" s="170"/>
    </row>
    <row r="19" spans="2:36" ht="16.5" customHeight="1">
      <c r="B19" s="174"/>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4"/>
      <c r="AB19" s="175"/>
      <c r="AC19" s="175"/>
      <c r="AD19" s="175"/>
      <c r="AE19" s="176"/>
      <c r="AF19" s="174"/>
      <c r="AG19" s="175"/>
      <c r="AH19" s="175"/>
      <c r="AI19" s="175"/>
      <c r="AJ19" s="176"/>
    </row>
    <row r="20" spans="2:36" s="66" customFormat="1" ht="16.5" customHeight="1">
      <c r="B20" s="167" t="s">
        <v>87</v>
      </c>
      <c r="C20" s="168"/>
      <c r="D20" s="168"/>
      <c r="E20" s="168"/>
      <c r="F20" s="168"/>
      <c r="G20" s="168"/>
      <c r="H20" s="168"/>
      <c r="I20" s="169"/>
      <c r="J20" s="169"/>
      <c r="K20" s="169"/>
      <c r="L20" s="169"/>
      <c r="M20" s="169"/>
      <c r="N20" s="169"/>
      <c r="O20" s="169"/>
      <c r="P20" s="169"/>
      <c r="Q20" s="169"/>
      <c r="R20" s="169"/>
      <c r="S20" s="169"/>
      <c r="T20" s="169"/>
      <c r="U20" s="169"/>
      <c r="V20" s="169"/>
      <c r="W20" s="168"/>
      <c r="X20" s="168"/>
      <c r="Y20" s="168"/>
      <c r="Z20" s="168"/>
      <c r="AA20" s="179" t="s">
        <v>88</v>
      </c>
      <c r="AB20" s="180"/>
      <c r="AC20" s="180"/>
      <c r="AD20" s="180"/>
      <c r="AE20" s="180"/>
      <c r="AF20" s="180"/>
      <c r="AG20" s="180"/>
      <c r="AH20" s="180"/>
      <c r="AI20" s="180"/>
      <c r="AJ20" s="181"/>
    </row>
    <row r="21" spans="2:36" ht="16.5" customHeight="1">
      <c r="B21" s="174"/>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4"/>
      <c r="AB21" s="175"/>
      <c r="AC21" s="175"/>
      <c r="AD21" s="175"/>
      <c r="AE21" s="175"/>
      <c r="AF21" s="175"/>
      <c r="AG21" s="175"/>
      <c r="AH21" s="175"/>
      <c r="AI21" s="175"/>
      <c r="AJ21" s="176"/>
    </row>
    <row r="22" spans="2:36" ht="16.5" customHeight="1">
      <c r="B22" s="163" t="s">
        <v>89</v>
      </c>
      <c r="C22" s="163"/>
      <c r="D22" s="163"/>
      <c r="E22" s="163"/>
      <c r="F22" s="163"/>
      <c r="G22" s="163"/>
      <c r="H22" s="163"/>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row>
    <row r="23" spans="2:36" ht="16.5" customHeight="1">
      <c r="B23" s="167" t="s">
        <v>90</v>
      </c>
      <c r="C23" s="168"/>
      <c r="D23" s="168"/>
      <c r="E23" s="168"/>
      <c r="F23" s="168"/>
      <c r="G23" s="168"/>
      <c r="H23" s="168"/>
      <c r="I23" s="168"/>
      <c r="J23" s="168"/>
      <c r="K23" s="168"/>
      <c r="L23" s="168"/>
      <c r="M23" s="168"/>
      <c r="N23" s="168"/>
      <c r="O23" s="170"/>
      <c r="P23" s="167" t="s">
        <v>91</v>
      </c>
      <c r="Q23" s="168"/>
      <c r="R23" s="168"/>
      <c r="S23" s="168"/>
      <c r="T23" s="168"/>
      <c r="U23" s="168"/>
      <c r="V23" s="168"/>
      <c r="W23" s="168"/>
      <c r="X23" s="168"/>
      <c r="Y23" s="168"/>
      <c r="Z23" s="168"/>
      <c r="AA23" s="167" t="s">
        <v>92</v>
      </c>
      <c r="AB23" s="168"/>
      <c r="AC23" s="168"/>
      <c r="AD23" s="168"/>
      <c r="AE23" s="170"/>
      <c r="AF23" s="167" t="s">
        <v>93</v>
      </c>
      <c r="AG23" s="168"/>
      <c r="AH23" s="168"/>
      <c r="AI23" s="168"/>
      <c r="AJ23" s="170"/>
    </row>
    <row r="24" spans="2:36" ht="16.5" customHeight="1">
      <c r="B24" s="174"/>
      <c r="C24" s="175"/>
      <c r="D24" s="175"/>
      <c r="E24" s="175"/>
      <c r="F24" s="175"/>
      <c r="G24" s="175"/>
      <c r="H24" s="175"/>
      <c r="I24" s="175"/>
      <c r="J24" s="175"/>
      <c r="K24" s="175"/>
      <c r="L24" s="175"/>
      <c r="M24" s="175"/>
      <c r="N24" s="175"/>
      <c r="O24" s="176"/>
      <c r="P24" s="174"/>
      <c r="Q24" s="175"/>
      <c r="R24" s="175"/>
      <c r="S24" s="175"/>
      <c r="T24" s="175"/>
      <c r="U24" s="175"/>
      <c r="V24" s="175"/>
      <c r="W24" s="175"/>
      <c r="X24" s="175"/>
      <c r="Y24" s="175"/>
      <c r="Z24" s="175"/>
      <c r="AA24" s="174"/>
      <c r="AB24" s="175"/>
      <c r="AC24" s="175"/>
      <c r="AD24" s="175"/>
      <c r="AE24" s="176"/>
      <c r="AF24" s="174"/>
      <c r="AG24" s="175"/>
      <c r="AH24" s="175"/>
      <c r="AI24" s="175"/>
      <c r="AJ24" s="176"/>
    </row>
    <row r="25" spans="2:36" ht="16.5" customHeight="1">
      <c r="B25" s="167" t="s">
        <v>94</v>
      </c>
      <c r="C25" s="168"/>
      <c r="D25" s="168"/>
      <c r="E25" s="168"/>
      <c r="F25" s="168"/>
      <c r="G25" s="168"/>
      <c r="H25" s="168"/>
      <c r="I25" s="168"/>
      <c r="J25" s="168"/>
      <c r="K25" s="168"/>
      <c r="L25" s="168"/>
      <c r="M25" s="168"/>
      <c r="N25" s="168"/>
      <c r="O25" s="170"/>
      <c r="P25" s="167" t="s">
        <v>91</v>
      </c>
      <c r="Q25" s="168"/>
      <c r="R25" s="168"/>
      <c r="S25" s="168"/>
      <c r="T25" s="168"/>
      <c r="U25" s="168"/>
      <c r="V25" s="168"/>
      <c r="W25" s="168"/>
      <c r="X25" s="168"/>
      <c r="Y25" s="168"/>
      <c r="Z25" s="168"/>
      <c r="AA25" s="167" t="s">
        <v>92</v>
      </c>
      <c r="AB25" s="168"/>
      <c r="AC25" s="168"/>
      <c r="AD25" s="168"/>
      <c r="AE25" s="170"/>
      <c r="AF25" s="167" t="s">
        <v>93</v>
      </c>
      <c r="AG25" s="168"/>
      <c r="AH25" s="168"/>
      <c r="AI25" s="168"/>
      <c r="AJ25" s="170"/>
    </row>
    <row r="26" spans="2:36" ht="16.5" customHeight="1">
      <c r="B26" s="174"/>
      <c r="C26" s="175"/>
      <c r="D26" s="175"/>
      <c r="E26" s="175"/>
      <c r="F26" s="175"/>
      <c r="G26" s="175"/>
      <c r="H26" s="175"/>
      <c r="I26" s="175"/>
      <c r="J26" s="175"/>
      <c r="K26" s="175"/>
      <c r="L26" s="175"/>
      <c r="M26" s="175"/>
      <c r="N26" s="175"/>
      <c r="O26" s="176"/>
      <c r="P26" s="174"/>
      <c r="Q26" s="175"/>
      <c r="R26" s="175"/>
      <c r="S26" s="175"/>
      <c r="T26" s="175"/>
      <c r="U26" s="175"/>
      <c r="V26" s="175"/>
      <c r="W26" s="175"/>
      <c r="X26" s="175"/>
      <c r="Y26" s="175"/>
      <c r="Z26" s="175"/>
      <c r="AA26" s="174"/>
      <c r="AB26" s="175"/>
      <c r="AC26" s="175"/>
      <c r="AD26" s="175"/>
      <c r="AE26" s="176"/>
      <c r="AF26" s="174"/>
      <c r="AG26" s="175"/>
      <c r="AH26" s="175"/>
      <c r="AI26" s="175"/>
      <c r="AJ26" s="176"/>
    </row>
    <row r="27" spans="2:36" ht="16.5" customHeight="1">
      <c r="B27" s="167" t="s">
        <v>95</v>
      </c>
      <c r="C27" s="168"/>
      <c r="D27" s="168"/>
      <c r="E27" s="168"/>
      <c r="F27" s="168"/>
      <c r="G27" s="168"/>
      <c r="H27" s="168"/>
      <c r="I27" s="168"/>
      <c r="J27" s="168"/>
      <c r="K27" s="168"/>
      <c r="L27" s="168"/>
      <c r="M27" s="168"/>
      <c r="N27" s="168"/>
      <c r="O27" s="170"/>
      <c r="P27" s="167" t="s">
        <v>91</v>
      </c>
      <c r="Q27" s="168"/>
      <c r="R27" s="168"/>
      <c r="S27" s="168"/>
      <c r="T27" s="168"/>
      <c r="U27" s="168"/>
      <c r="V27" s="168"/>
      <c r="W27" s="168"/>
      <c r="X27" s="168"/>
      <c r="Y27" s="168"/>
      <c r="Z27" s="168"/>
      <c r="AA27" s="167" t="s">
        <v>92</v>
      </c>
      <c r="AB27" s="168"/>
      <c r="AC27" s="168"/>
      <c r="AD27" s="168"/>
      <c r="AE27" s="170"/>
      <c r="AF27" s="167" t="s">
        <v>93</v>
      </c>
      <c r="AG27" s="168"/>
      <c r="AH27" s="168"/>
      <c r="AI27" s="168"/>
      <c r="AJ27" s="170"/>
    </row>
    <row r="28" spans="2:36" ht="16.5" customHeight="1">
      <c r="B28" s="174"/>
      <c r="C28" s="175"/>
      <c r="D28" s="175"/>
      <c r="E28" s="175"/>
      <c r="F28" s="175"/>
      <c r="G28" s="175"/>
      <c r="H28" s="175"/>
      <c r="I28" s="175"/>
      <c r="J28" s="175"/>
      <c r="K28" s="175"/>
      <c r="L28" s="175"/>
      <c r="M28" s="175"/>
      <c r="N28" s="175"/>
      <c r="O28" s="176"/>
      <c r="P28" s="174"/>
      <c r="Q28" s="175"/>
      <c r="R28" s="175"/>
      <c r="S28" s="175"/>
      <c r="T28" s="175"/>
      <c r="U28" s="175"/>
      <c r="V28" s="175"/>
      <c r="W28" s="175"/>
      <c r="X28" s="175"/>
      <c r="Y28" s="175"/>
      <c r="Z28" s="175"/>
      <c r="AA28" s="174"/>
      <c r="AB28" s="175"/>
      <c r="AC28" s="175"/>
      <c r="AD28" s="175"/>
      <c r="AE28" s="176"/>
      <c r="AF28" s="174"/>
      <c r="AG28" s="175"/>
      <c r="AH28" s="175"/>
      <c r="AI28" s="175"/>
      <c r="AJ28" s="176"/>
    </row>
    <row r="29" spans="2:36" ht="16.5" customHeight="1">
      <c r="B29" s="163" t="s">
        <v>96</v>
      </c>
      <c r="C29" s="163"/>
      <c r="D29" s="163"/>
      <c r="E29" s="163"/>
      <c r="F29" s="163"/>
      <c r="G29" s="163"/>
      <c r="H29" s="163"/>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row>
    <row r="30" spans="2:36" ht="24.75" customHeight="1">
      <c r="B30" s="190" t="s">
        <v>97</v>
      </c>
      <c r="C30" s="191"/>
      <c r="D30" s="191"/>
      <c r="E30" s="191"/>
      <c r="F30" s="191"/>
      <c r="G30" s="191"/>
      <c r="H30" s="191"/>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3"/>
      <c r="AF30" s="194" t="s">
        <v>98</v>
      </c>
      <c r="AG30" s="195"/>
      <c r="AH30" s="195"/>
      <c r="AI30" s="195"/>
      <c r="AJ30" s="196"/>
    </row>
    <row r="31" spans="2:36" s="128" customFormat="1" ht="16.5" customHeight="1">
      <c r="B31" s="182"/>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4"/>
      <c r="AF31" s="185"/>
      <c r="AG31" s="186"/>
      <c r="AH31" s="186"/>
      <c r="AI31" s="186"/>
      <c r="AJ31" s="187"/>
    </row>
    <row r="32" spans="2:36" s="128" customFormat="1" ht="16.5" customHeight="1">
      <c r="B32" s="182"/>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4"/>
      <c r="AF32" s="185"/>
      <c r="AG32" s="186"/>
      <c r="AH32" s="186"/>
      <c r="AI32" s="186"/>
      <c r="AJ32" s="187"/>
    </row>
    <row r="33" spans="2:36" s="128" customFormat="1" ht="16.5" customHeight="1">
      <c r="B33" s="18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4"/>
      <c r="AF33" s="185"/>
      <c r="AG33" s="186"/>
      <c r="AH33" s="186"/>
      <c r="AI33" s="186"/>
      <c r="AJ33" s="187"/>
    </row>
    <row r="34" spans="2:36" s="128" customFormat="1" ht="16.5" customHeight="1">
      <c r="B34" s="182"/>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4"/>
      <c r="AF34" s="185"/>
      <c r="AG34" s="186"/>
      <c r="AH34" s="186"/>
      <c r="AI34" s="186"/>
      <c r="AJ34" s="187"/>
    </row>
    <row r="35" spans="2:36" s="128" customFormat="1" ht="16.5" customHeight="1">
      <c r="B35" s="188"/>
      <c r="C35" s="189"/>
      <c r="D35" s="189"/>
      <c r="E35" s="189"/>
      <c r="F35" s="189"/>
      <c r="G35" s="189"/>
      <c r="H35" s="189"/>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4"/>
      <c r="AF35" s="185"/>
      <c r="AG35" s="186"/>
      <c r="AH35" s="186"/>
      <c r="AI35" s="186"/>
      <c r="AJ35" s="187"/>
    </row>
    <row r="36" spans="2:36" ht="16.5" customHeight="1">
      <c r="B36" s="197" t="s">
        <v>99</v>
      </c>
      <c r="C36" s="198"/>
      <c r="D36" s="198"/>
      <c r="E36" s="198"/>
      <c r="F36" s="198"/>
      <c r="G36" s="198"/>
      <c r="H36" s="198"/>
      <c r="I36" s="199"/>
      <c r="J36" s="199"/>
      <c r="K36" s="199"/>
      <c r="L36" s="199"/>
      <c r="M36" s="199"/>
      <c r="N36" s="199"/>
      <c r="O36" s="199"/>
      <c r="P36" s="199"/>
      <c r="Q36" s="199"/>
      <c r="R36" s="199"/>
      <c r="S36" s="199"/>
      <c r="T36" s="199"/>
      <c r="U36" s="199"/>
      <c r="V36" s="199"/>
      <c r="W36" s="199"/>
      <c r="X36" s="199"/>
      <c r="Y36" s="199"/>
      <c r="Z36" s="199"/>
      <c r="AA36" s="199"/>
      <c r="AB36" s="199"/>
      <c r="AC36" s="199"/>
      <c r="AD36" s="199"/>
      <c r="AE36" s="200"/>
      <c r="AF36" s="201" t="s">
        <v>100</v>
      </c>
      <c r="AG36" s="202"/>
      <c r="AH36" s="202"/>
      <c r="AI36" s="202"/>
      <c r="AJ36" s="203"/>
    </row>
    <row r="37" spans="2:36" ht="21.75" customHeight="1">
      <c r="B37" s="207" t="s">
        <v>101</v>
      </c>
      <c r="C37" s="208"/>
      <c r="D37" s="208"/>
      <c r="E37" s="208"/>
      <c r="F37" s="208"/>
      <c r="G37" s="208"/>
      <c r="H37" s="209"/>
      <c r="I37" s="207" t="s">
        <v>102</v>
      </c>
      <c r="J37" s="208"/>
      <c r="K37" s="208"/>
      <c r="L37" s="208"/>
      <c r="M37" s="208"/>
      <c r="N37" s="208"/>
      <c r="O37" s="208"/>
      <c r="P37" s="210"/>
      <c r="Q37" s="210"/>
      <c r="R37" s="210"/>
      <c r="S37" s="210"/>
      <c r="T37" s="210"/>
      <c r="U37" s="210"/>
      <c r="V37" s="210"/>
      <c r="W37" s="210"/>
      <c r="X37" s="210"/>
      <c r="Y37" s="210"/>
      <c r="Z37" s="210"/>
      <c r="AA37" s="207" t="s">
        <v>103</v>
      </c>
      <c r="AB37" s="208"/>
      <c r="AC37" s="208"/>
      <c r="AD37" s="208"/>
      <c r="AE37" s="209"/>
      <c r="AF37" s="204"/>
      <c r="AG37" s="205"/>
      <c r="AH37" s="205"/>
      <c r="AI37" s="205"/>
      <c r="AJ37" s="206"/>
    </row>
    <row r="38" spans="2:36" s="128" customFormat="1" ht="16.5" customHeight="1">
      <c r="B38" s="185"/>
      <c r="C38" s="186"/>
      <c r="D38" s="186"/>
      <c r="E38" s="186"/>
      <c r="F38" s="186"/>
      <c r="G38" s="186"/>
      <c r="H38" s="187"/>
      <c r="I38" s="182"/>
      <c r="J38" s="183"/>
      <c r="K38" s="183"/>
      <c r="L38" s="183"/>
      <c r="M38" s="183"/>
      <c r="N38" s="183"/>
      <c r="O38" s="183"/>
      <c r="P38" s="183"/>
      <c r="Q38" s="183"/>
      <c r="R38" s="183"/>
      <c r="S38" s="183"/>
      <c r="T38" s="183"/>
      <c r="U38" s="183"/>
      <c r="V38" s="183"/>
      <c r="W38" s="183"/>
      <c r="X38" s="183"/>
      <c r="Y38" s="183"/>
      <c r="Z38" s="183"/>
      <c r="AA38" s="185"/>
      <c r="AB38" s="186"/>
      <c r="AC38" s="186"/>
      <c r="AD38" s="186"/>
      <c r="AE38" s="187"/>
      <c r="AF38" s="211"/>
      <c r="AG38" s="212"/>
      <c r="AH38" s="212"/>
      <c r="AI38" s="212"/>
      <c r="AJ38" s="213"/>
    </row>
    <row r="39" spans="2:36" s="128" customFormat="1" ht="16.5" customHeight="1">
      <c r="B39" s="185"/>
      <c r="C39" s="186"/>
      <c r="D39" s="186"/>
      <c r="E39" s="186"/>
      <c r="F39" s="186"/>
      <c r="G39" s="186"/>
      <c r="H39" s="187"/>
      <c r="I39" s="182"/>
      <c r="J39" s="183"/>
      <c r="K39" s="183"/>
      <c r="L39" s="183"/>
      <c r="M39" s="183"/>
      <c r="N39" s="183"/>
      <c r="O39" s="183"/>
      <c r="P39" s="183"/>
      <c r="Q39" s="183"/>
      <c r="R39" s="183"/>
      <c r="S39" s="183"/>
      <c r="T39" s="183"/>
      <c r="U39" s="183"/>
      <c r="V39" s="183"/>
      <c r="W39" s="183"/>
      <c r="X39" s="183"/>
      <c r="Y39" s="183"/>
      <c r="Z39" s="183"/>
      <c r="AA39" s="185"/>
      <c r="AB39" s="186"/>
      <c r="AC39" s="186"/>
      <c r="AD39" s="186"/>
      <c r="AE39" s="187"/>
      <c r="AF39" s="214"/>
      <c r="AG39" s="215"/>
      <c r="AH39" s="215"/>
      <c r="AI39" s="215"/>
      <c r="AJ39" s="216"/>
    </row>
    <row r="40" spans="2:36" s="128" customFormat="1" ht="16.5" customHeight="1">
      <c r="B40" s="185"/>
      <c r="C40" s="186"/>
      <c r="D40" s="186"/>
      <c r="E40" s="186"/>
      <c r="F40" s="186"/>
      <c r="G40" s="186"/>
      <c r="H40" s="187"/>
      <c r="I40" s="182"/>
      <c r="J40" s="183"/>
      <c r="K40" s="183"/>
      <c r="L40" s="183"/>
      <c r="M40" s="183"/>
      <c r="N40" s="183"/>
      <c r="O40" s="183"/>
      <c r="P40" s="183"/>
      <c r="Q40" s="183"/>
      <c r="R40" s="183"/>
      <c r="S40" s="183"/>
      <c r="T40" s="183"/>
      <c r="U40" s="183"/>
      <c r="V40" s="183"/>
      <c r="W40" s="183"/>
      <c r="X40" s="183"/>
      <c r="Y40" s="183"/>
      <c r="Z40" s="183"/>
      <c r="AA40" s="185"/>
      <c r="AB40" s="186"/>
      <c r="AC40" s="186"/>
      <c r="AD40" s="186"/>
      <c r="AE40" s="187"/>
      <c r="AF40" s="217"/>
      <c r="AG40" s="218"/>
      <c r="AH40" s="218"/>
      <c r="AI40" s="218"/>
      <c r="AJ40" s="219"/>
    </row>
    <row r="41" spans="2:36" ht="16.5" customHeight="1">
      <c r="B41" s="163" t="s">
        <v>158</v>
      </c>
      <c r="C41" s="163"/>
      <c r="D41" s="163"/>
      <c r="E41" s="163"/>
      <c r="F41" s="163"/>
      <c r="G41" s="163"/>
      <c r="H41" s="163"/>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row>
    <row r="42" spans="2:36" ht="30" customHeight="1">
      <c r="B42" s="220" t="s">
        <v>104</v>
      </c>
      <c r="C42" s="220"/>
      <c r="D42" s="220"/>
      <c r="E42" s="220"/>
      <c r="F42" s="220"/>
      <c r="G42" s="220"/>
      <c r="H42" s="220"/>
      <c r="I42" s="220"/>
      <c r="J42" s="220"/>
      <c r="K42" s="220"/>
      <c r="L42" s="220"/>
      <c r="M42" s="220"/>
      <c r="N42" s="220"/>
      <c r="O42" s="221" t="s">
        <v>105</v>
      </c>
      <c r="P42" s="221"/>
      <c r="Q42" s="221"/>
      <c r="R42" s="221"/>
      <c r="S42" s="221"/>
      <c r="T42" s="221"/>
      <c r="U42" s="221"/>
      <c r="V42" s="221"/>
      <c r="W42" s="221" t="s">
        <v>159</v>
      </c>
      <c r="X42" s="221"/>
      <c r="Y42" s="221"/>
      <c r="Z42" s="221"/>
      <c r="AA42" s="221"/>
      <c r="AB42" s="221"/>
      <c r="AC42" s="221"/>
      <c r="AD42" s="221"/>
      <c r="AE42" s="220" t="s">
        <v>160</v>
      </c>
      <c r="AF42" s="220"/>
      <c r="AG42" s="220"/>
      <c r="AH42" s="220"/>
      <c r="AI42" s="222" t="s">
        <v>161</v>
      </c>
      <c r="AJ42" s="223"/>
    </row>
    <row r="43" spans="2:36" ht="16.5" customHeight="1">
      <c r="B43" s="224" t="s">
        <v>106</v>
      </c>
      <c r="C43" s="224"/>
      <c r="D43" s="224"/>
      <c r="E43" s="154" t="s">
        <v>107</v>
      </c>
      <c r="F43" s="155"/>
      <c r="G43" s="155"/>
      <c r="H43" s="155"/>
      <c r="I43" s="155"/>
      <c r="J43" s="155"/>
      <c r="K43" s="155"/>
      <c r="L43" s="155"/>
      <c r="M43" s="155"/>
      <c r="N43" s="165"/>
      <c r="O43" s="226" t="s">
        <v>108</v>
      </c>
      <c r="P43" s="226"/>
      <c r="Q43" s="226"/>
      <c r="R43" s="226"/>
      <c r="S43" s="226"/>
      <c r="T43" s="226"/>
      <c r="U43" s="226"/>
      <c r="V43" s="226"/>
      <c r="W43" s="227"/>
      <c r="X43" s="228"/>
      <c r="Y43" s="228"/>
      <c r="Z43" s="228"/>
      <c r="AA43" s="228"/>
      <c r="AB43" s="228"/>
      <c r="AC43" s="228"/>
      <c r="AD43" s="229"/>
      <c r="AE43" s="230">
        <f>+IFERROR(W43/W44,0)</f>
        <v>0</v>
      </c>
      <c r="AF43" s="230"/>
      <c r="AG43" s="230"/>
      <c r="AH43" s="230"/>
      <c r="AI43" s="154" t="s">
        <v>109</v>
      </c>
      <c r="AJ43" s="165"/>
    </row>
    <row r="44" spans="2:36" ht="16.5" customHeight="1">
      <c r="B44" s="225"/>
      <c r="C44" s="225"/>
      <c r="D44" s="225"/>
      <c r="E44" s="156"/>
      <c r="F44" s="157"/>
      <c r="G44" s="157"/>
      <c r="H44" s="157"/>
      <c r="I44" s="157"/>
      <c r="J44" s="157"/>
      <c r="K44" s="157"/>
      <c r="L44" s="157"/>
      <c r="M44" s="157"/>
      <c r="N44" s="166"/>
      <c r="O44" s="226" t="s">
        <v>110</v>
      </c>
      <c r="P44" s="226"/>
      <c r="Q44" s="226"/>
      <c r="R44" s="226"/>
      <c r="S44" s="226"/>
      <c r="T44" s="226"/>
      <c r="U44" s="226"/>
      <c r="V44" s="226"/>
      <c r="W44" s="227"/>
      <c r="X44" s="228"/>
      <c r="Y44" s="228"/>
      <c r="Z44" s="228"/>
      <c r="AA44" s="228"/>
      <c r="AB44" s="228"/>
      <c r="AC44" s="228"/>
      <c r="AD44" s="229"/>
      <c r="AE44" s="230"/>
      <c r="AF44" s="230"/>
      <c r="AG44" s="230"/>
      <c r="AH44" s="230"/>
      <c r="AI44" s="156"/>
      <c r="AJ44" s="166"/>
    </row>
    <row r="45" spans="2:36" ht="16.5" customHeight="1">
      <c r="B45" s="225"/>
      <c r="C45" s="225"/>
      <c r="D45" s="225"/>
      <c r="E45" s="154" t="s">
        <v>111</v>
      </c>
      <c r="F45" s="155"/>
      <c r="G45" s="155"/>
      <c r="H45" s="155"/>
      <c r="I45" s="155"/>
      <c r="J45" s="155"/>
      <c r="K45" s="155"/>
      <c r="L45" s="155"/>
      <c r="M45" s="155"/>
      <c r="N45" s="165"/>
      <c r="O45" s="226" t="s">
        <v>112</v>
      </c>
      <c r="P45" s="226"/>
      <c r="Q45" s="226"/>
      <c r="R45" s="226"/>
      <c r="S45" s="226"/>
      <c r="T45" s="226"/>
      <c r="U45" s="226"/>
      <c r="V45" s="226"/>
      <c r="W45" s="231"/>
      <c r="X45" s="231"/>
      <c r="Y45" s="231"/>
      <c r="Z45" s="231"/>
      <c r="AA45" s="231"/>
      <c r="AB45" s="231"/>
      <c r="AC45" s="231"/>
      <c r="AD45" s="231"/>
      <c r="AE45" s="232">
        <f>+IFERROR(W45/W46,0)</f>
        <v>0</v>
      </c>
      <c r="AF45" s="232"/>
      <c r="AG45" s="232"/>
      <c r="AH45" s="232"/>
      <c r="AI45" s="233" t="s">
        <v>113</v>
      </c>
      <c r="AJ45" s="234"/>
    </row>
    <row r="46" spans="2:36" ht="16.5" customHeight="1">
      <c r="B46" s="225"/>
      <c r="C46" s="225"/>
      <c r="D46" s="225"/>
      <c r="E46" s="156"/>
      <c r="F46" s="157"/>
      <c r="G46" s="157"/>
      <c r="H46" s="157"/>
      <c r="I46" s="157"/>
      <c r="J46" s="157"/>
      <c r="K46" s="157"/>
      <c r="L46" s="157"/>
      <c r="M46" s="157"/>
      <c r="N46" s="166"/>
      <c r="O46" s="226" t="s">
        <v>114</v>
      </c>
      <c r="P46" s="226"/>
      <c r="Q46" s="226"/>
      <c r="R46" s="226"/>
      <c r="S46" s="226"/>
      <c r="T46" s="226"/>
      <c r="U46" s="226"/>
      <c r="V46" s="226"/>
      <c r="W46" s="231"/>
      <c r="X46" s="231"/>
      <c r="Y46" s="231"/>
      <c r="Z46" s="231"/>
      <c r="AA46" s="231"/>
      <c r="AB46" s="231"/>
      <c r="AC46" s="231"/>
      <c r="AD46" s="231"/>
      <c r="AE46" s="232"/>
      <c r="AF46" s="232"/>
      <c r="AG46" s="232"/>
      <c r="AH46" s="232"/>
      <c r="AI46" s="235"/>
      <c r="AJ46" s="236"/>
    </row>
    <row r="47" spans="2:36" ht="16.5" customHeight="1">
      <c r="B47" s="225"/>
      <c r="C47" s="225"/>
      <c r="D47" s="225"/>
      <c r="E47" s="154" t="s">
        <v>115</v>
      </c>
      <c r="F47" s="155"/>
      <c r="G47" s="155"/>
      <c r="H47" s="155"/>
      <c r="I47" s="155"/>
      <c r="J47" s="155"/>
      <c r="K47" s="155"/>
      <c r="L47" s="155"/>
      <c r="M47" s="155"/>
      <c r="N47" s="165"/>
      <c r="O47" s="226" t="s">
        <v>116</v>
      </c>
      <c r="P47" s="226"/>
      <c r="Q47" s="226"/>
      <c r="R47" s="226"/>
      <c r="S47" s="226"/>
      <c r="T47" s="226"/>
      <c r="U47" s="226"/>
      <c r="V47" s="226"/>
      <c r="W47" s="231"/>
      <c r="X47" s="231"/>
      <c r="Y47" s="231"/>
      <c r="Z47" s="231"/>
      <c r="AA47" s="231"/>
      <c r="AB47" s="231"/>
      <c r="AC47" s="231"/>
      <c r="AD47" s="231"/>
      <c r="AE47" s="230">
        <f>+IFERROR(W47/W48,0)</f>
        <v>0</v>
      </c>
      <c r="AF47" s="230"/>
      <c r="AG47" s="230"/>
      <c r="AH47" s="230"/>
      <c r="AI47" s="238" t="s">
        <v>109</v>
      </c>
      <c r="AJ47" s="239"/>
    </row>
    <row r="48" spans="2:36" ht="16.5" customHeight="1">
      <c r="B48" s="225"/>
      <c r="C48" s="225"/>
      <c r="D48" s="225"/>
      <c r="E48" s="156"/>
      <c r="F48" s="157"/>
      <c r="G48" s="157"/>
      <c r="H48" s="157"/>
      <c r="I48" s="157"/>
      <c r="J48" s="157"/>
      <c r="K48" s="157"/>
      <c r="L48" s="157"/>
      <c r="M48" s="157"/>
      <c r="N48" s="166"/>
      <c r="O48" s="226" t="s">
        <v>117</v>
      </c>
      <c r="P48" s="226"/>
      <c r="Q48" s="226"/>
      <c r="R48" s="226"/>
      <c r="S48" s="226"/>
      <c r="T48" s="226"/>
      <c r="U48" s="226"/>
      <c r="V48" s="226"/>
      <c r="W48" s="231"/>
      <c r="X48" s="231"/>
      <c r="Y48" s="231"/>
      <c r="Z48" s="231"/>
      <c r="AA48" s="231"/>
      <c r="AB48" s="231"/>
      <c r="AC48" s="231"/>
      <c r="AD48" s="231"/>
      <c r="AE48" s="230"/>
      <c r="AF48" s="230"/>
      <c r="AG48" s="230"/>
      <c r="AH48" s="230"/>
      <c r="AI48" s="240"/>
      <c r="AJ48" s="241"/>
    </row>
    <row r="49" spans="2:36" ht="16.5" customHeight="1">
      <c r="B49" s="225"/>
      <c r="C49" s="225"/>
      <c r="D49" s="225"/>
      <c r="E49" s="154" t="s">
        <v>162</v>
      </c>
      <c r="F49" s="155"/>
      <c r="G49" s="155"/>
      <c r="H49" s="155"/>
      <c r="I49" s="155"/>
      <c r="J49" s="155"/>
      <c r="K49" s="155"/>
      <c r="L49" s="155"/>
      <c r="M49" s="155"/>
      <c r="N49" s="165"/>
      <c r="O49" s="226" t="s">
        <v>163</v>
      </c>
      <c r="P49" s="226"/>
      <c r="Q49" s="226"/>
      <c r="R49" s="226"/>
      <c r="S49" s="226"/>
      <c r="T49" s="226"/>
      <c r="U49" s="226"/>
      <c r="V49" s="226"/>
      <c r="W49" s="231"/>
      <c r="X49" s="231"/>
      <c r="Y49" s="231"/>
      <c r="Z49" s="231"/>
      <c r="AA49" s="231"/>
      <c r="AB49" s="231"/>
      <c r="AC49" s="231"/>
      <c r="AD49" s="231"/>
      <c r="AE49" s="237">
        <f>+W49-W50</f>
        <v>0</v>
      </c>
      <c r="AF49" s="237"/>
      <c r="AG49" s="237"/>
      <c r="AH49" s="237"/>
      <c r="AI49" s="238" t="s">
        <v>164</v>
      </c>
      <c r="AJ49" s="239"/>
    </row>
    <row r="50" spans="2:36" ht="16.5" customHeight="1">
      <c r="B50" s="225"/>
      <c r="C50" s="225"/>
      <c r="D50" s="225"/>
      <c r="E50" s="156"/>
      <c r="F50" s="157"/>
      <c r="G50" s="157"/>
      <c r="H50" s="157"/>
      <c r="I50" s="157"/>
      <c r="J50" s="157"/>
      <c r="K50" s="157"/>
      <c r="L50" s="157"/>
      <c r="M50" s="157"/>
      <c r="N50" s="166"/>
      <c r="O50" s="226" t="s">
        <v>165</v>
      </c>
      <c r="P50" s="226"/>
      <c r="Q50" s="226"/>
      <c r="R50" s="226"/>
      <c r="S50" s="226"/>
      <c r="T50" s="226"/>
      <c r="U50" s="226"/>
      <c r="V50" s="226"/>
      <c r="W50" s="231"/>
      <c r="X50" s="231"/>
      <c r="Y50" s="231"/>
      <c r="Z50" s="231"/>
      <c r="AA50" s="231"/>
      <c r="AB50" s="231"/>
      <c r="AC50" s="231"/>
      <c r="AD50" s="231"/>
      <c r="AE50" s="237"/>
      <c r="AF50" s="237"/>
      <c r="AG50" s="237"/>
      <c r="AH50" s="237"/>
      <c r="AI50" s="240"/>
      <c r="AJ50" s="241"/>
    </row>
    <row r="51" spans="2:36" ht="16.5" customHeight="1">
      <c r="B51" s="225" t="s">
        <v>118</v>
      </c>
      <c r="C51" s="225"/>
      <c r="D51" s="225"/>
      <c r="E51" s="154" t="s">
        <v>119</v>
      </c>
      <c r="F51" s="155"/>
      <c r="G51" s="155"/>
      <c r="H51" s="155"/>
      <c r="I51" s="155"/>
      <c r="J51" s="155"/>
      <c r="K51" s="155"/>
      <c r="L51" s="155"/>
      <c r="M51" s="155"/>
      <c r="N51" s="165"/>
      <c r="O51" s="226" t="s">
        <v>116</v>
      </c>
      <c r="P51" s="226"/>
      <c r="Q51" s="226"/>
      <c r="R51" s="226"/>
      <c r="S51" s="226"/>
      <c r="T51" s="226"/>
      <c r="U51" s="226"/>
      <c r="V51" s="226"/>
      <c r="W51" s="231"/>
      <c r="X51" s="231"/>
      <c r="Y51" s="231"/>
      <c r="Z51" s="231"/>
      <c r="AA51" s="231"/>
      <c r="AB51" s="231"/>
      <c r="AC51" s="231"/>
      <c r="AD51" s="231"/>
      <c r="AE51" s="232">
        <f>+IFERROR(W51/W52,0)</f>
        <v>0</v>
      </c>
      <c r="AF51" s="232"/>
      <c r="AG51" s="232"/>
      <c r="AH51" s="232"/>
      <c r="AI51" s="233" t="s">
        <v>113</v>
      </c>
      <c r="AJ51" s="234"/>
    </row>
    <row r="52" spans="2:36" ht="16.5" customHeight="1">
      <c r="B52" s="225"/>
      <c r="C52" s="225"/>
      <c r="D52" s="225"/>
      <c r="E52" s="156"/>
      <c r="F52" s="157"/>
      <c r="G52" s="157"/>
      <c r="H52" s="157"/>
      <c r="I52" s="157"/>
      <c r="J52" s="157"/>
      <c r="K52" s="157"/>
      <c r="L52" s="157"/>
      <c r="M52" s="157"/>
      <c r="N52" s="166"/>
      <c r="O52" s="226" t="s">
        <v>120</v>
      </c>
      <c r="P52" s="226"/>
      <c r="Q52" s="226"/>
      <c r="R52" s="226"/>
      <c r="S52" s="226"/>
      <c r="T52" s="226"/>
      <c r="U52" s="226"/>
      <c r="V52" s="226"/>
      <c r="W52" s="231"/>
      <c r="X52" s="231"/>
      <c r="Y52" s="231"/>
      <c r="Z52" s="231"/>
      <c r="AA52" s="231"/>
      <c r="AB52" s="231"/>
      <c r="AC52" s="231"/>
      <c r="AD52" s="231"/>
      <c r="AE52" s="232"/>
      <c r="AF52" s="232"/>
      <c r="AG52" s="232"/>
      <c r="AH52" s="232"/>
      <c r="AI52" s="235"/>
      <c r="AJ52" s="236"/>
    </row>
    <row r="53" spans="2:36" ht="16.5" customHeight="1">
      <c r="B53" s="225"/>
      <c r="C53" s="225"/>
      <c r="D53" s="225"/>
      <c r="E53" s="154" t="s">
        <v>121</v>
      </c>
      <c r="F53" s="155"/>
      <c r="G53" s="155"/>
      <c r="H53" s="155"/>
      <c r="I53" s="155"/>
      <c r="J53" s="155"/>
      <c r="K53" s="155"/>
      <c r="L53" s="155"/>
      <c r="M53" s="155"/>
      <c r="N53" s="165"/>
      <c r="O53" s="226" t="s">
        <v>116</v>
      </c>
      <c r="P53" s="226"/>
      <c r="Q53" s="226"/>
      <c r="R53" s="226"/>
      <c r="S53" s="226"/>
      <c r="T53" s="226"/>
      <c r="U53" s="226"/>
      <c r="V53" s="226"/>
      <c r="W53" s="231"/>
      <c r="X53" s="231"/>
      <c r="Y53" s="231"/>
      <c r="Z53" s="231"/>
      <c r="AA53" s="231"/>
      <c r="AB53" s="231"/>
      <c r="AC53" s="231"/>
      <c r="AD53" s="231"/>
      <c r="AE53" s="232">
        <f>+IFERROR(W53/W54,0)</f>
        <v>0</v>
      </c>
      <c r="AF53" s="232"/>
      <c r="AG53" s="232"/>
      <c r="AH53" s="232"/>
      <c r="AI53" s="233" t="s">
        <v>113</v>
      </c>
      <c r="AJ53" s="234"/>
    </row>
    <row r="54" spans="2:36" ht="16.5" customHeight="1">
      <c r="B54" s="225"/>
      <c r="C54" s="225"/>
      <c r="D54" s="225"/>
      <c r="E54" s="156"/>
      <c r="F54" s="157"/>
      <c r="G54" s="157"/>
      <c r="H54" s="157"/>
      <c r="I54" s="157"/>
      <c r="J54" s="157"/>
      <c r="K54" s="157"/>
      <c r="L54" s="157"/>
      <c r="M54" s="157"/>
      <c r="N54" s="166"/>
      <c r="O54" s="226" t="s">
        <v>114</v>
      </c>
      <c r="P54" s="226"/>
      <c r="Q54" s="226"/>
      <c r="R54" s="226"/>
      <c r="S54" s="226"/>
      <c r="T54" s="226"/>
      <c r="U54" s="226"/>
      <c r="V54" s="226"/>
      <c r="W54" s="231"/>
      <c r="X54" s="231"/>
      <c r="Y54" s="231"/>
      <c r="Z54" s="231"/>
      <c r="AA54" s="231"/>
      <c r="AB54" s="231"/>
      <c r="AC54" s="231"/>
      <c r="AD54" s="231"/>
      <c r="AE54" s="232"/>
      <c r="AF54" s="232"/>
      <c r="AG54" s="232"/>
      <c r="AH54" s="232"/>
      <c r="AI54" s="235"/>
      <c r="AJ54" s="236"/>
    </row>
    <row r="55" spans="2:36" ht="44.25" customHeight="1">
      <c r="B55" s="190" t="s">
        <v>122</v>
      </c>
      <c r="C55" s="191"/>
      <c r="D55" s="191"/>
      <c r="E55" s="191"/>
      <c r="F55" s="191"/>
      <c r="G55" s="191"/>
      <c r="H55" s="191"/>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3"/>
    </row>
    <row r="56" spans="2:36" ht="20.25" customHeight="1">
      <c r="B56" s="163" t="s">
        <v>123</v>
      </c>
      <c r="C56" s="163"/>
      <c r="D56" s="163"/>
      <c r="E56" s="163"/>
      <c r="F56" s="163"/>
      <c r="G56" s="163"/>
      <c r="H56" s="163"/>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row>
    <row r="57" spans="2:36" ht="11.25">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row>
    <row r="58" spans="2:36" ht="11.25">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row>
    <row r="59" spans="2:36" ht="11.25">
      <c r="B59" s="242"/>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242"/>
      <c r="AA59" s="242"/>
      <c r="AB59" s="242"/>
      <c r="AC59" s="242"/>
      <c r="AD59" s="242"/>
      <c r="AE59" s="242"/>
      <c r="AF59" s="242"/>
      <c r="AG59" s="242"/>
      <c r="AH59" s="242"/>
      <c r="AI59" s="242"/>
      <c r="AJ59" s="242"/>
    </row>
    <row r="60" spans="2:36" ht="11.25">
      <c r="B60" s="242"/>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242"/>
      <c r="AA60" s="242"/>
      <c r="AB60" s="242"/>
      <c r="AC60" s="242"/>
      <c r="AD60" s="242"/>
      <c r="AE60" s="242"/>
      <c r="AF60" s="242"/>
      <c r="AG60" s="242"/>
      <c r="AH60" s="242"/>
      <c r="AI60" s="242"/>
      <c r="AJ60" s="242"/>
    </row>
    <row r="61" spans="2:36" ht="11.25">
      <c r="B61" s="242"/>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242"/>
      <c r="AA61" s="242"/>
      <c r="AB61" s="242"/>
      <c r="AC61" s="242"/>
      <c r="AD61" s="242"/>
      <c r="AE61" s="242"/>
      <c r="AF61" s="242"/>
      <c r="AG61" s="242"/>
      <c r="AH61" s="242"/>
      <c r="AI61" s="242"/>
      <c r="AJ61" s="242"/>
    </row>
    <row r="62" spans="2:36" ht="11.25">
      <c r="B62" s="242"/>
      <c r="C62" s="242"/>
      <c r="D62" s="242"/>
      <c r="E62" s="242"/>
      <c r="F62" s="242"/>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row>
    <row r="63" spans="2:36" ht="11.25">
      <c r="B63" s="242"/>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242"/>
      <c r="AA63" s="242"/>
      <c r="AB63" s="242"/>
      <c r="AC63" s="242"/>
      <c r="AD63" s="242"/>
      <c r="AE63" s="242"/>
      <c r="AF63" s="242"/>
      <c r="AG63" s="242"/>
      <c r="AH63" s="242"/>
      <c r="AI63" s="242"/>
      <c r="AJ63" s="242"/>
    </row>
    <row r="64" spans="2:36" ht="11.25">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242"/>
      <c r="AA64" s="242"/>
      <c r="AB64" s="242"/>
      <c r="AC64" s="242"/>
      <c r="AD64" s="242"/>
      <c r="AE64" s="242"/>
      <c r="AF64" s="242"/>
      <c r="AG64" s="242"/>
      <c r="AH64" s="242"/>
      <c r="AI64" s="242"/>
      <c r="AJ64" s="242"/>
    </row>
    <row r="65" spans="2:36" ht="11.25">
      <c r="B65" s="242"/>
      <c r="C65" s="242"/>
      <c r="D65" s="242"/>
      <c r="E65" s="242"/>
      <c r="F65" s="242"/>
      <c r="G65" s="242"/>
      <c r="H65" s="242"/>
      <c r="I65" s="242"/>
      <c r="J65" s="242"/>
      <c r="K65" s="242"/>
      <c r="L65" s="242"/>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row>
    <row r="66" spans="2:36" ht="11.25">
      <c r="B66" s="242"/>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row>
    <row r="67" spans="2:36" ht="11.25">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242"/>
      <c r="AA67" s="242"/>
      <c r="AB67" s="242"/>
      <c r="AC67" s="242"/>
      <c r="AD67" s="242"/>
      <c r="AE67" s="242"/>
      <c r="AF67" s="242"/>
      <c r="AG67" s="242"/>
      <c r="AH67" s="242"/>
      <c r="AI67" s="242"/>
      <c r="AJ67" s="242"/>
    </row>
    <row r="68" spans="2:36" ht="11.25">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242"/>
      <c r="AA68" s="242"/>
      <c r="AB68" s="242"/>
      <c r="AC68" s="242"/>
      <c r="AD68" s="242"/>
      <c r="AE68" s="242"/>
      <c r="AF68" s="242"/>
      <c r="AG68" s="242"/>
      <c r="AH68" s="242"/>
      <c r="AI68" s="242"/>
      <c r="AJ68" s="242"/>
    </row>
    <row r="69" spans="2:36" ht="11.25">
      <c r="B69" s="242"/>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row>
    <row r="70" spans="2:36" ht="11.25">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242"/>
      <c r="AA70" s="242"/>
      <c r="AB70" s="242"/>
      <c r="AC70" s="242"/>
      <c r="AD70" s="242"/>
      <c r="AE70" s="242"/>
      <c r="AF70" s="242"/>
      <c r="AG70" s="242"/>
      <c r="AH70" s="242"/>
      <c r="AI70" s="242"/>
      <c r="AJ70" s="242"/>
    </row>
    <row r="71" spans="2:36" ht="11.25">
      <c r="B71" s="242"/>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242"/>
      <c r="AG71" s="242"/>
      <c r="AH71" s="242"/>
      <c r="AI71" s="242"/>
      <c r="AJ71" s="242"/>
    </row>
    <row r="72" spans="2:36" ht="11.25">
      <c r="B72" s="242"/>
      <c r="C72" s="242"/>
      <c r="D72" s="242"/>
      <c r="E72" s="242"/>
      <c r="F72" s="242"/>
      <c r="G72" s="242"/>
      <c r="H72" s="242"/>
      <c r="I72" s="242"/>
      <c r="J72" s="242"/>
      <c r="K72" s="242"/>
      <c r="L72" s="242"/>
      <c r="M72" s="242"/>
      <c r="N72" s="242"/>
      <c r="O72" s="242"/>
      <c r="P72" s="242"/>
      <c r="Q72" s="242"/>
      <c r="R72" s="242"/>
      <c r="S72" s="242"/>
      <c r="T72" s="242"/>
      <c r="U72" s="242"/>
      <c r="V72" s="242"/>
      <c r="W72" s="242"/>
      <c r="X72" s="242"/>
      <c r="Y72" s="242"/>
      <c r="Z72" s="242"/>
      <c r="AA72" s="242"/>
      <c r="AB72" s="242"/>
      <c r="AC72" s="242"/>
      <c r="AD72" s="242"/>
      <c r="AE72" s="242"/>
      <c r="AF72" s="242"/>
      <c r="AG72" s="242"/>
      <c r="AH72" s="242"/>
      <c r="AI72" s="242"/>
      <c r="AJ72" s="242"/>
    </row>
    <row r="73" spans="2:36" ht="11.25">
      <c r="B73" s="242"/>
      <c r="C73" s="242"/>
      <c r="D73" s="242"/>
      <c r="E73" s="242"/>
      <c r="F73" s="242"/>
      <c r="G73" s="242"/>
      <c r="H73" s="242"/>
      <c r="I73" s="242"/>
      <c r="J73" s="242"/>
      <c r="K73" s="242"/>
      <c r="L73" s="242"/>
      <c r="M73" s="242"/>
      <c r="N73" s="242"/>
      <c r="O73" s="242"/>
      <c r="P73" s="242"/>
      <c r="Q73" s="242"/>
      <c r="R73" s="242"/>
      <c r="S73" s="242"/>
      <c r="T73" s="242"/>
      <c r="U73" s="242"/>
      <c r="V73" s="242"/>
      <c r="W73" s="242"/>
      <c r="X73" s="242"/>
      <c r="Y73" s="242"/>
      <c r="Z73" s="242"/>
      <c r="AA73" s="242"/>
      <c r="AB73" s="242"/>
      <c r="AC73" s="242"/>
      <c r="AD73" s="242"/>
      <c r="AE73" s="242"/>
      <c r="AF73" s="242"/>
      <c r="AG73" s="242"/>
      <c r="AH73" s="242"/>
      <c r="AI73" s="242"/>
      <c r="AJ73" s="242"/>
    </row>
    <row r="74" spans="2:36" ht="11.25">
      <c r="B74" s="242"/>
      <c r="C74" s="242"/>
      <c r="D74" s="242"/>
      <c r="E74" s="242"/>
      <c r="F74" s="242"/>
      <c r="G74" s="242"/>
      <c r="H74" s="242"/>
      <c r="I74" s="242"/>
      <c r="J74" s="242"/>
      <c r="K74" s="242"/>
      <c r="L74" s="242"/>
      <c r="M74" s="242"/>
      <c r="N74" s="242"/>
      <c r="O74" s="242"/>
      <c r="P74" s="242"/>
      <c r="Q74" s="242"/>
      <c r="R74" s="242"/>
      <c r="S74" s="242"/>
      <c r="T74" s="242"/>
      <c r="U74" s="242"/>
      <c r="V74" s="242"/>
      <c r="W74" s="242"/>
      <c r="X74" s="242"/>
      <c r="Y74" s="242"/>
      <c r="Z74" s="242"/>
      <c r="AA74" s="242"/>
      <c r="AB74" s="242"/>
      <c r="AC74" s="242"/>
      <c r="AD74" s="242"/>
      <c r="AE74" s="242"/>
      <c r="AF74" s="242"/>
      <c r="AG74" s="242"/>
      <c r="AH74" s="242"/>
      <c r="AI74" s="242"/>
      <c r="AJ74" s="242"/>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password="CBC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N53"/>
  <sheetViews>
    <sheetView showGridLines="0" zoomScale="80" zoomScaleNormal="80" workbookViewId="0">
      <selection activeCell="B23" sqref="B23"/>
    </sheetView>
  </sheetViews>
  <sheetFormatPr baseColWidth="10" defaultRowHeight="12.75"/>
  <cols>
    <col min="1" max="1" width="3.42578125" style="2" customWidth="1"/>
    <col min="2" max="2" width="74.42578125" style="2" bestFit="1" customWidth="1"/>
    <col min="3" max="3" width="18" style="2" customWidth="1"/>
    <col min="4" max="4" width="13" style="2" customWidth="1"/>
    <col min="5" max="5" width="16.140625" style="2" customWidth="1"/>
    <col min="6" max="9" width="14.7109375" style="2" customWidth="1"/>
    <col min="10" max="10" width="13" style="2" customWidth="1"/>
    <col min="11" max="11" width="14.7109375" style="2" customWidth="1"/>
    <col min="12" max="12" width="26.140625" style="2" hidden="1" customWidth="1"/>
    <col min="13" max="13" width="13" style="2" hidden="1" customWidth="1"/>
    <col min="14" max="14" width="0" style="2" hidden="1" customWidth="1"/>
    <col min="15" max="16384" width="11.42578125" style="2"/>
  </cols>
  <sheetData>
    <row r="1" spans="2:10" ht="6" customHeight="1"/>
    <row r="2" spans="2:10">
      <c r="B2" s="245" t="s">
        <v>166</v>
      </c>
      <c r="C2" s="245"/>
    </row>
    <row r="3" spans="2:10" ht="5.25" customHeight="1"/>
    <row r="4" spans="2:10">
      <c r="B4" s="244" t="s">
        <v>167</v>
      </c>
      <c r="C4" s="244"/>
    </row>
    <row r="5" spans="2:10" ht="27" customHeight="1">
      <c r="B5" s="24" t="s">
        <v>25</v>
      </c>
      <c r="C5" s="25" t="s">
        <v>5</v>
      </c>
      <c r="E5" s="253" t="s">
        <v>171</v>
      </c>
      <c r="F5" s="253"/>
      <c r="G5" s="129">
        <v>2015</v>
      </c>
      <c r="H5" s="129">
        <v>2016</v>
      </c>
    </row>
    <row r="6" spans="2:10">
      <c r="B6" s="18" t="s">
        <v>6</v>
      </c>
      <c r="C6" s="19">
        <v>0.29849999999999999</v>
      </c>
      <c r="E6" s="249" t="s">
        <v>26</v>
      </c>
      <c r="F6" s="250"/>
      <c r="G6" s="38">
        <v>1</v>
      </c>
      <c r="H6" s="38">
        <v>11</v>
      </c>
    </row>
    <row r="7" spans="2:10">
      <c r="B7" s="18" t="s">
        <v>7</v>
      </c>
      <c r="C7" s="19">
        <v>0.29849999999999999</v>
      </c>
      <c r="E7" s="251" t="s">
        <v>169</v>
      </c>
      <c r="F7" s="252"/>
      <c r="G7" s="30">
        <v>644350</v>
      </c>
      <c r="H7" s="30">
        <f>G7*(1+3.66%)</f>
        <v>667933.21</v>
      </c>
    </row>
    <row r="8" spans="2:10">
      <c r="B8" s="18" t="s">
        <v>37</v>
      </c>
      <c r="C8" s="19">
        <v>0.40300000000000002</v>
      </c>
    </row>
    <row r="9" spans="2:10" ht="3.75" customHeight="1">
      <c r="B9" s="20"/>
      <c r="C9" s="21"/>
      <c r="E9" s="20"/>
      <c r="F9" s="22"/>
      <c r="G9" s="26"/>
    </row>
    <row r="10" spans="2:10" ht="26.25" customHeight="1">
      <c r="B10" s="248" t="s">
        <v>58</v>
      </c>
      <c r="C10" s="248"/>
      <c r="E10" s="253" t="s">
        <v>172</v>
      </c>
      <c r="F10" s="253"/>
      <c r="G10" s="129">
        <v>2015</v>
      </c>
      <c r="H10" s="129">
        <v>2016</v>
      </c>
      <c r="I10" s="129">
        <v>2017</v>
      </c>
      <c r="J10" s="129">
        <v>2018</v>
      </c>
    </row>
    <row r="11" spans="2:10">
      <c r="B11" s="18" t="s">
        <v>8</v>
      </c>
      <c r="C11" s="18">
        <v>20</v>
      </c>
      <c r="E11" s="249" t="s">
        <v>26</v>
      </c>
      <c r="F11" s="250"/>
      <c r="G11" s="38">
        <v>0.5</v>
      </c>
      <c r="H11" s="38">
        <v>12</v>
      </c>
      <c r="I11" s="38">
        <v>12</v>
      </c>
      <c r="J11" s="38">
        <v>5.5</v>
      </c>
    </row>
    <row r="12" spans="2:10">
      <c r="B12" s="18" t="s">
        <v>59</v>
      </c>
      <c r="C12" s="18">
        <v>24</v>
      </c>
      <c r="E12" s="251" t="s">
        <v>169</v>
      </c>
      <c r="F12" s="252"/>
      <c r="G12" s="30">
        <v>644350</v>
      </c>
      <c r="H12" s="30">
        <f>G12*(1+3.66%)</f>
        <v>667933.21</v>
      </c>
      <c r="I12" s="30">
        <f>H12*(1+3.66%)</f>
        <v>692379.56548599992</v>
      </c>
      <c r="J12" s="30">
        <f>I12*(1+3.66%)</f>
        <v>717720.65758278745</v>
      </c>
    </row>
    <row r="13" spans="2:10">
      <c r="B13" s="18" t="s">
        <v>9</v>
      </c>
      <c r="C13" s="18">
        <v>22</v>
      </c>
    </row>
    <row r="14" spans="2:10">
      <c r="B14" s="18" t="s">
        <v>60</v>
      </c>
      <c r="C14" s="18">
        <v>26</v>
      </c>
    </row>
    <row r="15" spans="2:10">
      <c r="B15" s="18" t="s">
        <v>61</v>
      </c>
      <c r="C15" s="18">
        <v>8</v>
      </c>
    </row>
    <row r="16" spans="2:10">
      <c r="B16" s="18" t="s">
        <v>62</v>
      </c>
      <c r="C16" s="18">
        <v>10</v>
      </c>
    </row>
    <row r="17" spans="1:13" ht="5.25" customHeight="1"/>
    <row r="18" spans="1:13">
      <c r="B18" s="246" t="s">
        <v>4</v>
      </c>
      <c r="C18" s="247"/>
    </row>
    <row r="19" spans="1:13">
      <c r="B19" s="18" t="s">
        <v>38</v>
      </c>
      <c r="C19" s="23">
        <v>0.08</v>
      </c>
    </row>
    <row r="20" spans="1:13">
      <c r="B20" s="18" t="s">
        <v>2</v>
      </c>
      <c r="C20" s="23">
        <v>0.1</v>
      </c>
    </row>
    <row r="21" spans="1:13">
      <c r="B21" s="18" t="s">
        <v>3</v>
      </c>
      <c r="C21" s="23">
        <v>0.11</v>
      </c>
      <c r="I21" s="34"/>
    </row>
    <row r="22" spans="1:13" ht="4.5" customHeight="1"/>
    <row r="23" spans="1:13" ht="42" customHeight="1">
      <c r="B23" s="32" t="s">
        <v>29</v>
      </c>
      <c r="C23" s="33" t="s">
        <v>5</v>
      </c>
      <c r="D23" s="33" t="s">
        <v>11</v>
      </c>
      <c r="E23" s="33" t="s">
        <v>4</v>
      </c>
      <c r="F23" s="31" t="s">
        <v>30</v>
      </c>
      <c r="G23" s="31" t="s">
        <v>31</v>
      </c>
      <c r="H23" s="31" t="s">
        <v>1</v>
      </c>
      <c r="I23" s="37" t="s">
        <v>34</v>
      </c>
      <c r="J23" s="37" t="s">
        <v>32</v>
      </c>
      <c r="K23" s="37" t="s">
        <v>33</v>
      </c>
      <c r="L23" s="49" t="s">
        <v>70</v>
      </c>
      <c r="M23" s="50" t="s">
        <v>71</v>
      </c>
    </row>
    <row r="24" spans="1:13">
      <c r="A24" s="134">
        <v>1</v>
      </c>
      <c r="B24" s="1" t="s">
        <v>35</v>
      </c>
      <c r="C24" s="39">
        <f>SUM($C$6:$C$8)</f>
        <v>1</v>
      </c>
      <c r="D24" s="40">
        <f>30/30</f>
        <v>1</v>
      </c>
      <c r="E24" s="41">
        <f>+C19</f>
        <v>0.08</v>
      </c>
      <c r="F24" s="36">
        <f>+(($G$7*8.8)*C24*D24)</f>
        <v>5670280</v>
      </c>
      <c r="G24" s="36">
        <f>+F24*E24</f>
        <v>453622.4</v>
      </c>
      <c r="H24" s="36">
        <f>+ROUND(F24+G24,0)</f>
        <v>6123902</v>
      </c>
      <c r="I24" s="36">
        <f>+H24*10%</f>
        <v>612390.20000000007</v>
      </c>
      <c r="J24" s="35">
        <v>0.16</v>
      </c>
      <c r="K24" s="36">
        <f>+ROUND((I24*J24),0)+H24</f>
        <v>6221884</v>
      </c>
      <c r="L24" s="52" t="e">
        <f>+#REF!</f>
        <v>#REF!</v>
      </c>
      <c r="M24" s="53" t="e">
        <f>+K24-L24</f>
        <v>#REF!</v>
      </c>
    </row>
    <row r="25" spans="1:13">
      <c r="A25" s="134">
        <v>2</v>
      </c>
      <c r="B25" s="1" t="s">
        <v>0</v>
      </c>
      <c r="C25" s="39">
        <f>SUM($C$6:$C$8)</f>
        <v>1</v>
      </c>
      <c r="D25" s="40">
        <f>30/30</f>
        <v>1</v>
      </c>
      <c r="E25" s="41">
        <f>+C20</f>
        <v>0.1</v>
      </c>
      <c r="F25" s="36">
        <f t="shared" ref="F25:F51" si="0">+(($G$7*8.8)*C25*D25)</f>
        <v>5670280</v>
      </c>
      <c r="G25" s="36">
        <f t="shared" ref="G25:G51" si="1">+F25*E25</f>
        <v>567028</v>
      </c>
      <c r="H25" s="36">
        <f t="shared" ref="H25:H51" si="2">+ROUND(F25+G25,0)</f>
        <v>6237308</v>
      </c>
      <c r="I25" s="36">
        <f t="shared" ref="I25:I51" si="3">+H25*10%</f>
        <v>623730.80000000005</v>
      </c>
      <c r="J25" s="35">
        <v>0.16</v>
      </c>
      <c r="K25" s="36">
        <f t="shared" ref="K25:K51" si="4">+ROUND((I25*J25),0)+H25</f>
        <v>6337105</v>
      </c>
      <c r="L25" s="52" t="e">
        <f>+#REF!</f>
        <v>#REF!</v>
      </c>
      <c r="M25" s="53" t="e">
        <f t="shared" ref="M25:M51" si="5">+K25-L25</f>
        <v>#REF!</v>
      </c>
    </row>
    <row r="26" spans="1:13" hidden="1">
      <c r="A26" s="134">
        <v>3</v>
      </c>
      <c r="B26" s="1" t="s">
        <v>39</v>
      </c>
      <c r="C26" s="39">
        <f>($C$6/8)*16</f>
        <v>0.59699999999999998</v>
      </c>
      <c r="D26" s="40">
        <f>$C$13/30</f>
        <v>0.73333333333333328</v>
      </c>
      <c r="E26" s="41">
        <f>+C19</f>
        <v>0.08</v>
      </c>
      <c r="F26" s="36">
        <f t="shared" si="0"/>
        <v>2482448.5839999998</v>
      </c>
      <c r="G26" s="36">
        <f t="shared" si="1"/>
        <v>198595.88671999998</v>
      </c>
      <c r="H26" s="36">
        <f t="shared" si="2"/>
        <v>2681044</v>
      </c>
      <c r="I26" s="36">
        <f t="shared" si="3"/>
        <v>268104.40000000002</v>
      </c>
      <c r="J26" s="35">
        <v>0.16</v>
      </c>
      <c r="K26" s="36">
        <f t="shared" si="4"/>
        <v>2723941</v>
      </c>
      <c r="L26" s="54"/>
      <c r="M26" s="53">
        <f t="shared" si="5"/>
        <v>2723941</v>
      </c>
    </row>
    <row r="27" spans="1:13" hidden="1">
      <c r="A27" s="134">
        <v>4</v>
      </c>
      <c r="B27" s="1" t="s">
        <v>49</v>
      </c>
      <c r="C27" s="39">
        <f>($C$6/8)*16</f>
        <v>0.59699999999999998</v>
      </c>
      <c r="D27" s="40">
        <f>$C$13/30</f>
        <v>0.73333333333333328</v>
      </c>
      <c r="E27" s="41">
        <f>+C20</f>
        <v>0.1</v>
      </c>
      <c r="F27" s="36">
        <f t="shared" si="0"/>
        <v>2482448.5839999998</v>
      </c>
      <c r="G27" s="36">
        <f t="shared" si="1"/>
        <v>248244.8584</v>
      </c>
      <c r="H27" s="36">
        <f t="shared" si="2"/>
        <v>2730693</v>
      </c>
      <c r="I27" s="36">
        <f t="shared" si="3"/>
        <v>273069.3</v>
      </c>
      <c r="J27" s="35">
        <v>0.16</v>
      </c>
      <c r="K27" s="36">
        <f t="shared" si="4"/>
        <v>2774384</v>
      </c>
      <c r="L27" s="52" t="e">
        <f>+#REF!</f>
        <v>#REF!</v>
      </c>
      <c r="M27" s="53" t="e">
        <f t="shared" si="5"/>
        <v>#REF!</v>
      </c>
    </row>
    <row r="28" spans="1:13">
      <c r="A28" s="134">
        <v>5</v>
      </c>
      <c r="B28" s="1" t="s">
        <v>44</v>
      </c>
      <c r="C28" s="39">
        <f>($C$6/8)*12</f>
        <v>0.44774999999999998</v>
      </c>
      <c r="D28" s="40">
        <f>30/30</f>
        <v>1</v>
      </c>
      <c r="E28" s="41">
        <f>+C19</f>
        <v>0.08</v>
      </c>
      <c r="F28" s="36">
        <f t="shared" si="0"/>
        <v>2538867.87</v>
      </c>
      <c r="G28" s="36">
        <f t="shared" si="1"/>
        <v>203109.4296</v>
      </c>
      <c r="H28" s="36">
        <f t="shared" si="2"/>
        <v>2741977</v>
      </c>
      <c r="I28" s="36">
        <f t="shared" si="3"/>
        <v>274197.7</v>
      </c>
      <c r="J28" s="35">
        <v>0.16</v>
      </c>
      <c r="K28" s="36">
        <f t="shared" si="4"/>
        <v>2785849</v>
      </c>
      <c r="L28" s="52" t="e">
        <f>+#REF!</f>
        <v>#REF!</v>
      </c>
      <c r="M28" s="53" t="e">
        <f t="shared" si="5"/>
        <v>#REF!</v>
      </c>
    </row>
    <row r="29" spans="1:13">
      <c r="A29" s="134">
        <v>6</v>
      </c>
      <c r="B29" s="1" t="s">
        <v>199</v>
      </c>
      <c r="C29" s="39">
        <f>($C$8/8)*12</f>
        <v>0.60450000000000004</v>
      </c>
      <c r="D29" s="40">
        <f>30/30</f>
        <v>1</v>
      </c>
      <c r="E29" s="41">
        <f>+C20</f>
        <v>0.1</v>
      </c>
      <c r="F29" s="36">
        <f t="shared" si="0"/>
        <v>3427684.2600000002</v>
      </c>
      <c r="G29" s="36">
        <f t="shared" si="1"/>
        <v>342768.42600000004</v>
      </c>
      <c r="H29" s="36">
        <f t="shared" si="2"/>
        <v>3770453</v>
      </c>
      <c r="I29" s="36">
        <f t="shared" si="3"/>
        <v>377045.30000000005</v>
      </c>
      <c r="J29" s="35">
        <v>0.16</v>
      </c>
      <c r="K29" s="36">
        <f t="shared" si="4"/>
        <v>3830780</v>
      </c>
      <c r="L29" s="52" t="e">
        <f>+#REF!</f>
        <v>#REF!</v>
      </c>
      <c r="M29" s="53" t="e">
        <f t="shared" si="5"/>
        <v>#REF!</v>
      </c>
    </row>
    <row r="30" spans="1:13">
      <c r="A30" s="134">
        <v>7</v>
      </c>
      <c r="B30" s="1" t="s">
        <v>12</v>
      </c>
      <c r="C30" s="39">
        <f t="shared" ref="C30:C36" si="6">($C$6/8)*12</f>
        <v>0.44774999999999998</v>
      </c>
      <c r="D30" s="40">
        <f>30/30</f>
        <v>1</v>
      </c>
      <c r="E30" s="41">
        <f>+C21</f>
        <v>0.11</v>
      </c>
      <c r="F30" s="36">
        <f t="shared" si="0"/>
        <v>2538867.87</v>
      </c>
      <c r="G30" s="36">
        <f t="shared" si="1"/>
        <v>279275.4657</v>
      </c>
      <c r="H30" s="36">
        <f t="shared" si="2"/>
        <v>2818143</v>
      </c>
      <c r="I30" s="36">
        <f t="shared" si="3"/>
        <v>281814.3</v>
      </c>
      <c r="J30" s="35">
        <v>0.16</v>
      </c>
      <c r="K30" s="36">
        <f t="shared" si="4"/>
        <v>2863233</v>
      </c>
      <c r="L30" s="52" t="e">
        <f>+#REF!</f>
        <v>#REF!</v>
      </c>
      <c r="M30" s="53" t="e">
        <f t="shared" si="5"/>
        <v>#REF!</v>
      </c>
    </row>
    <row r="31" spans="1:13" hidden="1">
      <c r="A31" s="134">
        <v>8</v>
      </c>
      <c r="B31" s="1" t="s">
        <v>63</v>
      </c>
      <c r="C31" s="39">
        <f t="shared" si="6"/>
        <v>0.44774999999999998</v>
      </c>
      <c r="D31" s="40">
        <f>$C$14/30</f>
        <v>0.8666666666666667</v>
      </c>
      <c r="E31" s="41">
        <f>+C20</f>
        <v>0.1</v>
      </c>
      <c r="F31" s="36">
        <f t="shared" si="0"/>
        <v>2200352.1540000001</v>
      </c>
      <c r="G31" s="36">
        <f t="shared" si="1"/>
        <v>220035.21540000002</v>
      </c>
      <c r="H31" s="36">
        <f t="shared" si="2"/>
        <v>2420387</v>
      </c>
      <c r="I31" s="36">
        <f t="shared" si="3"/>
        <v>242038.7</v>
      </c>
      <c r="J31" s="35">
        <v>0.16</v>
      </c>
      <c r="K31" s="36">
        <f t="shared" si="4"/>
        <v>2459113</v>
      </c>
      <c r="L31" s="52" t="e">
        <f>+#REF!</f>
        <v>#REF!</v>
      </c>
      <c r="M31" s="53" t="e">
        <f t="shared" si="5"/>
        <v>#REF!</v>
      </c>
    </row>
    <row r="32" spans="1:13">
      <c r="A32" s="134">
        <v>9</v>
      </c>
      <c r="B32" s="1" t="s">
        <v>41</v>
      </c>
      <c r="C32" s="39">
        <f t="shared" si="6"/>
        <v>0.44774999999999998</v>
      </c>
      <c r="D32" s="40">
        <f>$C$13/30</f>
        <v>0.73333333333333328</v>
      </c>
      <c r="E32" s="41">
        <f>+C19</f>
        <v>0.08</v>
      </c>
      <c r="F32" s="36">
        <f t="shared" si="0"/>
        <v>1861836.4379999998</v>
      </c>
      <c r="G32" s="36">
        <f t="shared" si="1"/>
        <v>148946.91503999999</v>
      </c>
      <c r="H32" s="36">
        <f t="shared" si="2"/>
        <v>2010783</v>
      </c>
      <c r="I32" s="36">
        <f t="shared" si="3"/>
        <v>201078.30000000002</v>
      </c>
      <c r="J32" s="35">
        <v>0.16</v>
      </c>
      <c r="K32" s="36">
        <f t="shared" si="4"/>
        <v>2042956</v>
      </c>
      <c r="L32" s="52" t="e">
        <f>+#REF!</f>
        <v>#REF!</v>
      </c>
      <c r="M32" s="53" t="e">
        <f t="shared" si="5"/>
        <v>#REF!</v>
      </c>
    </row>
    <row r="33" spans="1:14">
      <c r="A33" s="134">
        <v>10</v>
      </c>
      <c r="B33" s="1" t="s">
        <v>200</v>
      </c>
      <c r="C33" s="39">
        <f t="shared" si="6"/>
        <v>0.44774999999999998</v>
      </c>
      <c r="D33" s="40">
        <f>$C$11/30</f>
        <v>0.66666666666666663</v>
      </c>
      <c r="E33" s="41">
        <f>+C21</f>
        <v>0.11</v>
      </c>
      <c r="F33" s="36">
        <f t="shared" si="0"/>
        <v>1692578.58</v>
      </c>
      <c r="G33" s="36">
        <f t="shared" si="1"/>
        <v>186183.64380000002</v>
      </c>
      <c r="H33" s="36">
        <f t="shared" si="2"/>
        <v>1878762</v>
      </c>
      <c r="I33" s="36">
        <f t="shared" si="3"/>
        <v>187876.2</v>
      </c>
      <c r="J33" s="35">
        <v>0.16</v>
      </c>
      <c r="K33" s="36">
        <f t="shared" si="4"/>
        <v>1908822</v>
      </c>
      <c r="L33" s="52" t="e">
        <f>+#REF!</f>
        <v>#REF!</v>
      </c>
      <c r="M33" s="53" t="e">
        <f t="shared" si="5"/>
        <v>#REF!</v>
      </c>
    </row>
    <row r="34" spans="1:14">
      <c r="A34" s="134">
        <v>11</v>
      </c>
      <c r="B34" s="1" t="s">
        <v>42</v>
      </c>
      <c r="C34" s="39">
        <f t="shared" si="6"/>
        <v>0.44774999999999998</v>
      </c>
      <c r="D34" s="40">
        <f>$C$13/30</f>
        <v>0.73333333333333328</v>
      </c>
      <c r="E34" s="41">
        <f>+C20</f>
        <v>0.1</v>
      </c>
      <c r="F34" s="36">
        <f t="shared" si="0"/>
        <v>1861836.4379999998</v>
      </c>
      <c r="G34" s="36">
        <f t="shared" si="1"/>
        <v>186183.64379999999</v>
      </c>
      <c r="H34" s="36">
        <f t="shared" si="2"/>
        <v>2048020</v>
      </c>
      <c r="I34" s="36">
        <f t="shared" si="3"/>
        <v>204802</v>
      </c>
      <c r="J34" s="35">
        <v>0.16</v>
      </c>
      <c r="K34" s="36">
        <f t="shared" si="4"/>
        <v>2080788</v>
      </c>
      <c r="L34" s="52" t="e">
        <f>+#REF!</f>
        <v>#REF!</v>
      </c>
      <c r="M34" s="53" t="e">
        <f t="shared" si="5"/>
        <v>#REF!</v>
      </c>
    </row>
    <row r="35" spans="1:14">
      <c r="A35" s="134">
        <v>12</v>
      </c>
      <c r="B35" s="1" t="s">
        <v>48</v>
      </c>
      <c r="C35" s="39">
        <f t="shared" si="6"/>
        <v>0.44774999999999998</v>
      </c>
      <c r="D35" s="40">
        <f>$C$11/30</f>
        <v>0.66666666666666663</v>
      </c>
      <c r="E35" s="41">
        <f>+C20</f>
        <v>0.1</v>
      </c>
      <c r="F35" s="36">
        <f t="shared" si="0"/>
        <v>1692578.58</v>
      </c>
      <c r="G35" s="36">
        <f t="shared" si="1"/>
        <v>169257.85800000001</v>
      </c>
      <c r="H35" s="36">
        <f t="shared" si="2"/>
        <v>1861836</v>
      </c>
      <c r="I35" s="36">
        <f t="shared" si="3"/>
        <v>186183.6</v>
      </c>
      <c r="J35" s="35">
        <v>0.16</v>
      </c>
      <c r="K35" s="36">
        <f t="shared" si="4"/>
        <v>1891625</v>
      </c>
      <c r="L35" s="52" t="e">
        <f>+#REF!</f>
        <v>#REF!</v>
      </c>
      <c r="M35" s="53" t="e">
        <f t="shared" si="5"/>
        <v>#REF!</v>
      </c>
    </row>
    <row r="36" spans="1:14">
      <c r="A36" s="134">
        <v>13</v>
      </c>
      <c r="B36" s="1" t="s">
        <v>40</v>
      </c>
      <c r="C36" s="39">
        <f t="shared" si="6"/>
        <v>0.44774999999999998</v>
      </c>
      <c r="D36" s="40">
        <f>$C$13/30</f>
        <v>0.73333333333333328</v>
      </c>
      <c r="E36" s="41">
        <f>+C21</f>
        <v>0.11</v>
      </c>
      <c r="F36" s="36">
        <f t="shared" si="0"/>
        <v>1861836.4379999998</v>
      </c>
      <c r="G36" s="36">
        <f t="shared" si="1"/>
        <v>204802.00817999998</v>
      </c>
      <c r="H36" s="36">
        <f t="shared" si="2"/>
        <v>2066638</v>
      </c>
      <c r="I36" s="36">
        <f t="shared" si="3"/>
        <v>206663.80000000002</v>
      </c>
      <c r="J36" s="35">
        <v>0.16</v>
      </c>
      <c r="K36" s="36">
        <f t="shared" si="4"/>
        <v>2099704</v>
      </c>
      <c r="L36" s="52" t="e">
        <f>+#REF!</f>
        <v>#REF!</v>
      </c>
      <c r="M36" s="53" t="e">
        <f t="shared" si="5"/>
        <v>#REF!</v>
      </c>
    </row>
    <row r="37" spans="1:14">
      <c r="A37" s="134">
        <v>14</v>
      </c>
      <c r="B37" s="1" t="s">
        <v>43</v>
      </c>
      <c r="C37" s="39">
        <f>($C$6/8)*12</f>
        <v>0.44774999999999998</v>
      </c>
      <c r="D37" s="40">
        <f>30/30</f>
        <v>1</v>
      </c>
      <c r="E37" s="41">
        <f>+C20</f>
        <v>0.1</v>
      </c>
      <c r="F37" s="36">
        <f t="shared" si="0"/>
        <v>2538867.87</v>
      </c>
      <c r="G37" s="36">
        <f t="shared" si="1"/>
        <v>253886.78700000001</v>
      </c>
      <c r="H37" s="36">
        <f t="shared" si="2"/>
        <v>2792755</v>
      </c>
      <c r="I37" s="36">
        <f t="shared" si="3"/>
        <v>279275.5</v>
      </c>
      <c r="J37" s="35">
        <v>0.16</v>
      </c>
      <c r="K37" s="36">
        <f t="shared" si="4"/>
        <v>2837439</v>
      </c>
      <c r="L37" s="52" t="e">
        <f>+#REF!</f>
        <v>#REF!</v>
      </c>
      <c r="M37" s="53" t="e">
        <f t="shared" si="5"/>
        <v>#REF!</v>
      </c>
    </row>
    <row r="38" spans="1:14">
      <c r="A38" s="134">
        <v>15</v>
      </c>
      <c r="B38" s="1" t="s">
        <v>47</v>
      </c>
      <c r="C38" s="39">
        <f>($C$6/8)*12</f>
        <v>0.44774999999999998</v>
      </c>
      <c r="D38" s="40">
        <f>$C$11/30</f>
        <v>0.66666666666666663</v>
      </c>
      <c r="E38" s="41">
        <f>+C19</f>
        <v>0.08</v>
      </c>
      <c r="F38" s="36">
        <f t="shared" si="0"/>
        <v>1692578.58</v>
      </c>
      <c r="G38" s="36">
        <f t="shared" si="1"/>
        <v>135406.28640000001</v>
      </c>
      <c r="H38" s="36">
        <f t="shared" si="2"/>
        <v>1827985</v>
      </c>
      <c r="I38" s="36">
        <f t="shared" si="3"/>
        <v>182798.5</v>
      </c>
      <c r="J38" s="35">
        <v>0.16</v>
      </c>
      <c r="K38" s="36">
        <f t="shared" si="4"/>
        <v>1857233</v>
      </c>
      <c r="L38" s="52" t="e">
        <f>+#REF!</f>
        <v>#REF!</v>
      </c>
      <c r="M38" s="53" t="e">
        <f t="shared" si="5"/>
        <v>#REF!</v>
      </c>
    </row>
    <row r="39" spans="1:14" hidden="1">
      <c r="A39" s="134">
        <v>16</v>
      </c>
      <c r="B39" s="1" t="s">
        <v>52</v>
      </c>
      <c r="C39" s="39">
        <f t="shared" ref="C39" si="7">($C$6/8)*10</f>
        <v>0.37312499999999998</v>
      </c>
      <c r="D39" s="40">
        <f>$C$13/30</f>
        <v>0.73333333333333328</v>
      </c>
      <c r="E39" s="41">
        <f>+C20</f>
        <v>0.1</v>
      </c>
      <c r="F39" s="36">
        <f t="shared" si="0"/>
        <v>1551530.365</v>
      </c>
      <c r="G39" s="36">
        <f t="shared" si="1"/>
        <v>155153.03650000002</v>
      </c>
      <c r="H39" s="36">
        <f t="shared" si="2"/>
        <v>1706683</v>
      </c>
      <c r="I39" s="36">
        <f t="shared" si="3"/>
        <v>170668.30000000002</v>
      </c>
      <c r="J39" s="35">
        <v>0.16</v>
      </c>
      <c r="K39" s="36">
        <f t="shared" si="4"/>
        <v>1733990</v>
      </c>
      <c r="L39" s="52" t="e">
        <f>+#REF!</f>
        <v>#REF!</v>
      </c>
      <c r="M39" s="53" t="e">
        <f t="shared" si="5"/>
        <v>#REF!</v>
      </c>
    </row>
    <row r="40" spans="1:14" hidden="1">
      <c r="A40" s="134">
        <v>17</v>
      </c>
      <c r="B40" s="1" t="s">
        <v>54</v>
      </c>
      <c r="C40" s="39">
        <f>($C$6/8)*9</f>
        <v>0.33581249999999996</v>
      </c>
      <c r="D40" s="40">
        <f>$C$13/30</f>
        <v>0.73333333333333328</v>
      </c>
      <c r="E40" s="41">
        <f>+C19</f>
        <v>0.08</v>
      </c>
      <c r="F40" s="36">
        <f t="shared" si="0"/>
        <v>1396377.3284999998</v>
      </c>
      <c r="G40" s="36">
        <f t="shared" si="1"/>
        <v>111710.18627999999</v>
      </c>
      <c r="H40" s="36">
        <f t="shared" si="2"/>
        <v>1508088</v>
      </c>
      <c r="I40" s="36">
        <f t="shared" si="3"/>
        <v>150808.80000000002</v>
      </c>
      <c r="J40" s="35">
        <v>0.16</v>
      </c>
      <c r="K40" s="36">
        <f t="shared" si="4"/>
        <v>1532217</v>
      </c>
      <c r="L40" s="52" t="e">
        <f>+#REF!</f>
        <v>#REF!</v>
      </c>
      <c r="M40" s="53" t="e">
        <f t="shared" si="5"/>
        <v>#REF!</v>
      </c>
    </row>
    <row r="41" spans="1:14" hidden="1">
      <c r="A41" s="134">
        <v>18</v>
      </c>
      <c r="B41" s="1" t="s">
        <v>53</v>
      </c>
      <c r="C41" s="39">
        <f>($C$6/8)*9</f>
        <v>0.33581249999999996</v>
      </c>
      <c r="D41" s="40">
        <f>$C$13/30</f>
        <v>0.73333333333333328</v>
      </c>
      <c r="E41" s="41">
        <f>+C20</f>
        <v>0.1</v>
      </c>
      <c r="F41" s="36">
        <f t="shared" si="0"/>
        <v>1396377.3284999998</v>
      </c>
      <c r="G41" s="36">
        <f t="shared" si="1"/>
        <v>139637.73285</v>
      </c>
      <c r="H41" s="36">
        <f t="shared" si="2"/>
        <v>1536015</v>
      </c>
      <c r="I41" s="36">
        <f t="shared" si="3"/>
        <v>153601.5</v>
      </c>
      <c r="J41" s="35">
        <v>0.16</v>
      </c>
      <c r="K41" s="36">
        <f t="shared" si="4"/>
        <v>1560591</v>
      </c>
      <c r="L41" s="52" t="e">
        <f>+#REF!</f>
        <v>#REF!</v>
      </c>
      <c r="M41" s="53" t="e">
        <f t="shared" si="5"/>
        <v>#REF!</v>
      </c>
    </row>
    <row r="42" spans="1:14" hidden="1">
      <c r="A42" s="134">
        <v>19</v>
      </c>
      <c r="B42" s="1" t="s">
        <v>50</v>
      </c>
      <c r="C42" s="39">
        <f>($C$8/8)*8</f>
        <v>0.40300000000000002</v>
      </c>
      <c r="D42" s="40">
        <f>30/30</f>
        <v>1</v>
      </c>
      <c r="E42" s="41">
        <f>+C20</f>
        <v>0.1</v>
      </c>
      <c r="F42" s="36">
        <f t="shared" si="0"/>
        <v>2285122.8400000003</v>
      </c>
      <c r="G42" s="36">
        <f t="shared" si="1"/>
        <v>228512.28400000004</v>
      </c>
      <c r="H42" s="36">
        <f t="shared" si="2"/>
        <v>2513635</v>
      </c>
      <c r="I42" s="36">
        <f t="shared" si="3"/>
        <v>251363.5</v>
      </c>
      <c r="J42" s="35">
        <v>0.16</v>
      </c>
      <c r="K42" s="36">
        <f t="shared" si="4"/>
        <v>2553853</v>
      </c>
      <c r="L42" s="52" t="e">
        <f>+#REF!</f>
        <v>#REF!</v>
      </c>
      <c r="M42" s="53" t="e">
        <f t="shared" si="5"/>
        <v>#REF!</v>
      </c>
    </row>
    <row r="43" spans="1:14" hidden="1">
      <c r="A43" s="134">
        <v>20</v>
      </c>
      <c r="B43" s="1" t="s">
        <v>51</v>
      </c>
      <c r="C43" s="39">
        <f>($C$6/8)*8</f>
        <v>0.29849999999999999</v>
      </c>
      <c r="D43" s="40">
        <f>30/30</f>
        <v>1</v>
      </c>
      <c r="E43" s="41">
        <f>+C20</f>
        <v>0.1</v>
      </c>
      <c r="F43" s="36">
        <f t="shared" si="0"/>
        <v>1692578.5799999998</v>
      </c>
      <c r="G43" s="36">
        <f t="shared" si="1"/>
        <v>169257.85800000001</v>
      </c>
      <c r="H43" s="36">
        <f t="shared" si="2"/>
        <v>1861836</v>
      </c>
      <c r="I43" s="36">
        <f t="shared" si="3"/>
        <v>186183.6</v>
      </c>
      <c r="J43" s="35">
        <v>0.16</v>
      </c>
      <c r="K43" s="36">
        <f t="shared" si="4"/>
        <v>1891625</v>
      </c>
      <c r="L43" s="52" t="e">
        <f>+#REF!</f>
        <v>#REF!</v>
      </c>
      <c r="M43" s="53" t="e">
        <f t="shared" si="5"/>
        <v>#REF!</v>
      </c>
    </row>
    <row r="44" spans="1:14" hidden="1">
      <c r="A44" s="134">
        <v>21</v>
      </c>
      <c r="B44" s="1" t="s">
        <v>45</v>
      </c>
      <c r="C44" s="39">
        <f>($C$8/8)*8</f>
        <v>0.40300000000000002</v>
      </c>
      <c r="D44" s="40">
        <f>$C$13/30</f>
        <v>0.73333333333333328</v>
      </c>
      <c r="E44" s="41">
        <f>+C20</f>
        <v>0.1</v>
      </c>
      <c r="F44" s="36">
        <f t="shared" si="0"/>
        <v>1675756.7493333335</v>
      </c>
      <c r="G44" s="36">
        <f t="shared" si="1"/>
        <v>167575.67493333336</v>
      </c>
      <c r="H44" s="36">
        <f t="shared" si="2"/>
        <v>1843332</v>
      </c>
      <c r="I44" s="36">
        <f t="shared" si="3"/>
        <v>184333.2</v>
      </c>
      <c r="J44" s="35">
        <v>0.16</v>
      </c>
      <c r="K44" s="36">
        <f t="shared" si="4"/>
        <v>1872825</v>
      </c>
      <c r="L44" s="55" t="e">
        <f>+#REF!</f>
        <v>#REF!</v>
      </c>
      <c r="M44" s="53" t="e">
        <f>+H44-L44</f>
        <v>#REF!</v>
      </c>
      <c r="N44" s="51"/>
    </row>
    <row r="45" spans="1:14" hidden="1">
      <c r="A45" s="134">
        <v>22</v>
      </c>
      <c r="B45" s="1" t="s">
        <v>55</v>
      </c>
      <c r="C45" s="39">
        <f t="shared" ref="C45:C47" si="8">($C$6/8)*8</f>
        <v>0.29849999999999999</v>
      </c>
      <c r="D45" s="40">
        <f>$C$13/30</f>
        <v>0.73333333333333328</v>
      </c>
      <c r="E45" s="41">
        <f>+C19</f>
        <v>0.08</v>
      </c>
      <c r="F45" s="36">
        <f t="shared" si="0"/>
        <v>1241224.2919999999</v>
      </c>
      <c r="G45" s="36">
        <f t="shared" si="1"/>
        <v>99297.94335999999</v>
      </c>
      <c r="H45" s="36">
        <f t="shared" si="2"/>
        <v>1340522</v>
      </c>
      <c r="I45" s="36">
        <f t="shared" si="3"/>
        <v>134052.20000000001</v>
      </c>
      <c r="J45" s="35">
        <v>0.16</v>
      </c>
      <c r="K45" s="36">
        <f t="shared" si="4"/>
        <v>1361970</v>
      </c>
      <c r="L45" s="52" t="e">
        <f>+#REF!</f>
        <v>#REF!</v>
      </c>
      <c r="M45" s="53" t="e">
        <f t="shared" si="5"/>
        <v>#REF!</v>
      </c>
    </row>
    <row r="46" spans="1:14" hidden="1">
      <c r="A46" s="134">
        <v>23</v>
      </c>
      <c r="B46" s="1" t="s">
        <v>57</v>
      </c>
      <c r="C46" s="39">
        <f t="shared" si="8"/>
        <v>0.29849999999999999</v>
      </c>
      <c r="D46" s="40">
        <f>($C$15/2)/30</f>
        <v>0.13333333333333333</v>
      </c>
      <c r="E46" s="41">
        <f>+C20</f>
        <v>0.1</v>
      </c>
      <c r="F46" s="36">
        <f t="shared" si="0"/>
        <v>225677.14399999997</v>
      </c>
      <c r="G46" s="36">
        <f t="shared" si="1"/>
        <v>22567.714399999997</v>
      </c>
      <c r="H46" s="36">
        <f t="shared" si="2"/>
        <v>248245</v>
      </c>
      <c r="I46" s="36">
        <f t="shared" si="3"/>
        <v>24824.5</v>
      </c>
      <c r="J46" s="35">
        <v>0.16</v>
      </c>
      <c r="K46" s="36">
        <f t="shared" si="4"/>
        <v>252217</v>
      </c>
      <c r="L46" s="52" t="e">
        <f>+#REF!</f>
        <v>#REF!</v>
      </c>
      <c r="M46" s="53" t="e">
        <f t="shared" si="5"/>
        <v>#REF!</v>
      </c>
    </row>
    <row r="47" spans="1:14" hidden="1">
      <c r="A47" s="134">
        <v>24</v>
      </c>
      <c r="B47" s="1" t="s">
        <v>64</v>
      </c>
      <c r="C47" s="39">
        <f t="shared" si="8"/>
        <v>0.29849999999999999</v>
      </c>
      <c r="D47" s="40">
        <f>($C$15/2)/30</f>
        <v>0.13333333333333333</v>
      </c>
      <c r="E47" s="41">
        <f>+C20</f>
        <v>0.1</v>
      </c>
      <c r="F47" s="36">
        <f t="shared" si="0"/>
        <v>225677.14399999997</v>
      </c>
      <c r="G47" s="36">
        <f t="shared" si="1"/>
        <v>22567.714399999997</v>
      </c>
      <c r="H47" s="36">
        <f t="shared" si="2"/>
        <v>248245</v>
      </c>
      <c r="I47" s="36">
        <f t="shared" si="3"/>
        <v>24824.5</v>
      </c>
      <c r="J47" s="35">
        <v>0.16</v>
      </c>
      <c r="K47" s="36">
        <f t="shared" si="4"/>
        <v>252217</v>
      </c>
      <c r="L47" s="52" t="e">
        <f>+#REF!</f>
        <v>#REF!</v>
      </c>
      <c r="M47" s="53" t="e">
        <f t="shared" si="5"/>
        <v>#REF!</v>
      </c>
    </row>
    <row r="48" spans="1:14" hidden="1">
      <c r="A48" s="134">
        <v>25</v>
      </c>
      <c r="B48" s="1" t="s">
        <v>56</v>
      </c>
      <c r="C48" s="39">
        <f>($C$6/8)*4</f>
        <v>0.14924999999999999</v>
      </c>
      <c r="D48" s="40">
        <f>30/30</f>
        <v>1</v>
      </c>
      <c r="E48" s="41">
        <f>+C20</f>
        <v>0.1</v>
      </c>
      <c r="F48" s="36">
        <f t="shared" si="0"/>
        <v>846289.28999999992</v>
      </c>
      <c r="G48" s="36">
        <f t="shared" si="1"/>
        <v>84628.929000000004</v>
      </c>
      <c r="H48" s="36">
        <f t="shared" si="2"/>
        <v>930918</v>
      </c>
      <c r="I48" s="36">
        <f t="shared" si="3"/>
        <v>93091.8</v>
      </c>
      <c r="J48" s="35">
        <v>0.16</v>
      </c>
      <c r="K48" s="36">
        <f t="shared" si="4"/>
        <v>945813</v>
      </c>
      <c r="L48" s="52" t="e">
        <f>+#REF!</f>
        <v>#REF!</v>
      </c>
      <c r="M48" s="53" t="e">
        <f t="shared" si="5"/>
        <v>#REF!</v>
      </c>
    </row>
    <row r="49" spans="1:14" hidden="1">
      <c r="A49" s="134">
        <v>26</v>
      </c>
      <c r="B49" s="1" t="s">
        <v>46</v>
      </c>
      <c r="C49" s="39">
        <f t="shared" ref="C49" si="9">($C$6/8)*4</f>
        <v>0.14924999999999999</v>
      </c>
      <c r="D49" s="40">
        <f>$C$13/30</f>
        <v>0.73333333333333328</v>
      </c>
      <c r="E49" s="41">
        <f>+C20</f>
        <v>0.1</v>
      </c>
      <c r="F49" s="36">
        <f t="shared" si="0"/>
        <v>620612.14599999995</v>
      </c>
      <c r="G49" s="36">
        <f t="shared" si="1"/>
        <v>62061.214599999999</v>
      </c>
      <c r="H49" s="36">
        <f t="shared" si="2"/>
        <v>682673</v>
      </c>
      <c r="I49" s="36">
        <f t="shared" si="3"/>
        <v>68267.3</v>
      </c>
      <c r="J49" s="35">
        <v>0.16</v>
      </c>
      <c r="K49" s="36">
        <f t="shared" si="4"/>
        <v>693596</v>
      </c>
      <c r="L49" s="54" t="e">
        <f>+#REF!</f>
        <v>#REF!</v>
      </c>
      <c r="M49" s="53" t="e">
        <f t="shared" si="5"/>
        <v>#REF!</v>
      </c>
      <c r="N49" s="51" t="e">
        <f>+L49-H49</f>
        <v>#REF!</v>
      </c>
    </row>
    <row r="50" spans="1:14">
      <c r="A50" s="134">
        <v>27</v>
      </c>
      <c r="B50" s="1" t="s">
        <v>201</v>
      </c>
      <c r="C50" s="39">
        <f>($C$6/8)*12</f>
        <v>0.44774999999999998</v>
      </c>
      <c r="D50" s="40">
        <f>($C$12/2)/30</f>
        <v>0.4</v>
      </c>
      <c r="E50" s="41">
        <f>+C20</f>
        <v>0.1</v>
      </c>
      <c r="F50" s="36">
        <f t="shared" ref="F50" si="10">+(($G$7*8.8)*C50*D50)</f>
        <v>1015547.148</v>
      </c>
      <c r="G50" s="36">
        <f t="shared" ref="G50" si="11">+F50*E50</f>
        <v>101554.71480000002</v>
      </c>
      <c r="H50" s="36">
        <f t="shared" ref="H50" si="12">+ROUND(F50+G50,0)</f>
        <v>1117102</v>
      </c>
      <c r="I50" s="36">
        <f t="shared" ref="I50" si="13">+H50*10%</f>
        <v>111710.20000000001</v>
      </c>
      <c r="J50" s="35">
        <v>0.16</v>
      </c>
      <c r="K50" s="36">
        <f t="shared" ref="K50" si="14">+ROUND((I50*J50),0)+H50</f>
        <v>1134976</v>
      </c>
      <c r="L50" s="52" t="e">
        <f>+#REF!</f>
        <v>#REF!</v>
      </c>
      <c r="M50" s="53" t="e">
        <f t="shared" si="5"/>
        <v>#REF!</v>
      </c>
    </row>
    <row r="51" spans="1:14">
      <c r="A51" s="134">
        <v>28</v>
      </c>
      <c r="B51" s="1" t="s">
        <v>176</v>
      </c>
      <c r="C51" s="39">
        <f>($C$6/8)*12</f>
        <v>0.44774999999999998</v>
      </c>
      <c r="D51" s="40">
        <f>($C$14/2)/30</f>
        <v>0.43333333333333335</v>
      </c>
      <c r="E51" s="41">
        <f>+C19</f>
        <v>0.08</v>
      </c>
      <c r="F51" s="36">
        <f t="shared" si="0"/>
        <v>1100176.077</v>
      </c>
      <c r="G51" s="36">
        <f t="shared" si="1"/>
        <v>88014.086160000006</v>
      </c>
      <c r="H51" s="36">
        <f t="shared" si="2"/>
        <v>1188190</v>
      </c>
      <c r="I51" s="36">
        <f t="shared" si="3"/>
        <v>118819</v>
      </c>
      <c r="J51" s="35">
        <v>0.16</v>
      </c>
      <c r="K51" s="36">
        <f t="shared" si="4"/>
        <v>1207201</v>
      </c>
      <c r="L51" s="52" t="e">
        <f>+#REF!</f>
        <v>#REF!</v>
      </c>
      <c r="M51" s="53" t="e">
        <f t="shared" si="5"/>
        <v>#REF!</v>
      </c>
    </row>
    <row r="52" spans="1:14">
      <c r="G52" s="43"/>
      <c r="H52" s="42"/>
      <c r="M52" s="51"/>
    </row>
    <row r="53" spans="1:14" ht="33" customHeight="1">
      <c r="B53" s="243" t="s">
        <v>170</v>
      </c>
      <c r="C53" s="243"/>
      <c r="D53" s="243"/>
      <c r="E53" s="243"/>
      <c r="F53" s="243"/>
      <c r="G53" s="243"/>
      <c r="H53" s="243"/>
      <c r="I53" s="243"/>
      <c r="J53" s="243"/>
      <c r="K53" s="243"/>
    </row>
  </sheetData>
  <sheetProtection password="CBC9" sheet="1" objects="1" scenarios="1" selectLockedCells="1" selectUnlockedCells="1"/>
  <autoFilter ref="B23:H51"/>
  <mergeCells count="11">
    <mergeCell ref="B53:K53"/>
    <mergeCell ref="B4:C4"/>
    <mergeCell ref="B2:C2"/>
    <mergeCell ref="B18:C18"/>
    <mergeCell ref="B10:C10"/>
    <mergeCell ref="E6:F6"/>
    <mergeCell ref="E7:F7"/>
    <mergeCell ref="E10:F10"/>
    <mergeCell ref="E11:F11"/>
    <mergeCell ref="E12:F12"/>
    <mergeCell ref="E5:F5"/>
  </mergeCells>
  <pageMargins left="0.7" right="0.7" top="0.75" bottom="0.75" header="0.3" footer="0.3"/>
  <pageSetup orientation="portrait" r:id="rId1"/>
  <ignoredErrors>
    <ignoredError sqref="H7 H12:J12" unlockedFormula="1"/>
    <ignoredError sqref="C43:C44 D33:D34 D35 D37 M44 C2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74"/>
  <sheetViews>
    <sheetView showGridLines="0" tabSelected="1" zoomScale="80" zoomScaleNormal="80" zoomScaleSheetLayoutView="80" workbookViewId="0">
      <selection activeCell="C10" sqref="C10"/>
    </sheetView>
  </sheetViews>
  <sheetFormatPr baseColWidth="10" defaultColWidth="11.42578125" defaultRowHeight="12.75"/>
  <cols>
    <col min="1" max="1" width="4" style="3" customWidth="1"/>
    <col min="2" max="2" width="10.7109375" style="3" customWidth="1"/>
    <col min="3" max="3" width="52.42578125" style="3" customWidth="1"/>
    <col min="4" max="4" width="10.7109375" style="3" customWidth="1"/>
    <col min="5" max="6" width="17.7109375" style="3" customWidth="1"/>
    <col min="7" max="7" width="10.7109375" style="3" customWidth="1"/>
    <col min="8" max="9" width="17.7109375" style="3" customWidth="1"/>
    <col min="10" max="10" width="10.7109375" style="3" customWidth="1"/>
    <col min="11" max="12" width="17.7109375" style="3" customWidth="1"/>
    <col min="13" max="13" width="10.7109375" style="3" customWidth="1"/>
    <col min="14" max="15" width="17.7109375" style="3" customWidth="1"/>
    <col min="16" max="16" width="10.7109375" style="3" customWidth="1"/>
    <col min="17" max="18" width="17.7109375" style="3" customWidth="1"/>
    <col min="19" max="19" width="11.42578125" style="3" customWidth="1"/>
    <col min="20" max="16384" width="11.42578125" style="3"/>
  </cols>
  <sheetData>
    <row r="1" spans="2:11" ht="6.75" customHeight="1"/>
    <row r="2" spans="2:11" s="7" customFormat="1" ht="10.5" customHeight="1">
      <c r="B2" s="273"/>
      <c r="C2" s="273"/>
      <c r="D2" s="273"/>
      <c r="E2" s="273"/>
      <c r="F2" s="273"/>
      <c r="G2" s="273"/>
      <c r="H2" s="273"/>
      <c r="I2" s="273"/>
      <c r="J2" s="273"/>
      <c r="K2" s="273"/>
    </row>
    <row r="3" spans="2:11" s="7" customFormat="1" ht="12" customHeight="1">
      <c r="B3" s="273"/>
      <c r="C3" s="273"/>
      <c r="D3" s="273"/>
      <c r="E3" s="273"/>
      <c r="F3" s="273"/>
      <c r="G3" s="273"/>
      <c r="H3" s="273"/>
      <c r="I3" s="273"/>
      <c r="J3" s="273"/>
      <c r="K3" s="273"/>
    </row>
    <row r="4" spans="2:11" s="7" customFormat="1" ht="12" customHeight="1">
      <c r="B4" s="273"/>
      <c r="C4" s="273"/>
      <c r="D4" s="273"/>
      <c r="E4" s="273"/>
      <c r="F4" s="273"/>
      <c r="G4" s="273"/>
      <c r="H4" s="273"/>
      <c r="I4" s="273"/>
      <c r="J4" s="273"/>
      <c r="K4" s="273"/>
    </row>
    <row r="5" spans="2:11" s="7" customFormat="1" ht="12" customHeight="1">
      <c r="B5" s="273"/>
      <c r="C5" s="273"/>
      <c r="D5" s="273"/>
      <c r="E5" s="273"/>
      <c r="F5" s="273"/>
      <c r="G5" s="273"/>
      <c r="H5" s="273"/>
      <c r="I5" s="273"/>
      <c r="J5" s="273"/>
      <c r="K5" s="273"/>
    </row>
    <row r="6" spans="2:11" s="7" customFormat="1" ht="12" customHeight="1">
      <c r="B6" s="273"/>
      <c r="C6" s="273"/>
      <c r="D6" s="273"/>
      <c r="E6" s="273"/>
      <c r="F6" s="273"/>
      <c r="G6" s="273"/>
      <c r="H6" s="273"/>
      <c r="I6" s="273"/>
      <c r="J6" s="273"/>
      <c r="K6" s="273"/>
    </row>
    <row r="7" spans="2:11" s="7" customFormat="1" ht="7.5" customHeight="1">
      <c r="B7" s="273"/>
      <c r="C7" s="273"/>
      <c r="D7" s="273"/>
      <c r="E7" s="273"/>
      <c r="F7" s="273"/>
      <c r="G7" s="273"/>
      <c r="H7" s="273"/>
      <c r="I7" s="273"/>
      <c r="J7" s="273"/>
      <c r="K7" s="273"/>
    </row>
    <row r="8" spans="2:11" s="7" customFormat="1" ht="3.75" customHeight="1">
      <c r="B8" s="110"/>
      <c r="C8" s="110"/>
      <c r="D8" s="110"/>
      <c r="E8" s="110"/>
      <c r="F8" s="110"/>
      <c r="G8" s="110"/>
      <c r="H8" s="110"/>
      <c r="I8" s="110"/>
      <c r="J8" s="110"/>
      <c r="K8" s="110"/>
    </row>
    <row r="9" spans="2:11" s="7" customFormat="1" ht="15.75" customHeight="1">
      <c r="B9" s="274" t="s">
        <v>15</v>
      </c>
      <c r="C9" s="274"/>
      <c r="D9" s="274"/>
      <c r="E9" s="274"/>
      <c r="F9" s="274"/>
      <c r="G9" s="274"/>
      <c r="H9" s="274"/>
      <c r="I9" s="274"/>
      <c r="J9" s="274"/>
      <c r="K9" s="274"/>
    </row>
    <row r="10" spans="2:11" s="8" customFormat="1" ht="14.25" customHeight="1">
      <c r="B10" s="9" t="s">
        <v>22</v>
      </c>
      <c r="C10" s="127"/>
      <c r="D10" s="10" t="s">
        <v>16</v>
      </c>
      <c r="E10" s="267"/>
      <c r="F10" s="267"/>
      <c r="G10" s="267"/>
      <c r="H10" s="11" t="s">
        <v>17</v>
      </c>
      <c r="I10" s="267"/>
      <c r="J10" s="267"/>
      <c r="K10" s="267"/>
    </row>
    <row r="11" spans="2:11" s="8" customFormat="1" ht="14.25" customHeight="1">
      <c r="B11" s="12" t="s">
        <v>23</v>
      </c>
      <c r="C11" s="131"/>
      <c r="D11" s="5" t="s">
        <v>18</v>
      </c>
      <c r="E11" s="267"/>
      <c r="F11" s="267"/>
      <c r="G11" s="267"/>
      <c r="H11" s="6" t="s">
        <v>19</v>
      </c>
      <c r="I11" s="267"/>
      <c r="J11" s="267"/>
      <c r="K11" s="267"/>
    </row>
    <row r="12" spans="2:11" s="8" customFormat="1" ht="14.25" customHeight="1">
      <c r="B12" s="12" t="s">
        <v>24</v>
      </c>
      <c r="C12" s="131"/>
      <c r="D12" s="5" t="s">
        <v>20</v>
      </c>
      <c r="E12" s="267"/>
      <c r="F12" s="267"/>
      <c r="G12" s="267"/>
      <c r="H12" s="6" t="s">
        <v>21</v>
      </c>
      <c r="I12" s="267"/>
      <c r="J12" s="267"/>
      <c r="K12" s="267"/>
    </row>
    <row r="13" spans="2:11" s="13" customFormat="1" ht="5.25" customHeight="1">
      <c r="B13" s="14"/>
      <c r="C13" s="14"/>
      <c r="D13" s="14"/>
      <c r="E13" s="15"/>
      <c r="F13" s="15"/>
      <c r="G13" s="15"/>
      <c r="H13" s="16"/>
      <c r="I13" s="16"/>
      <c r="J13" s="17"/>
    </row>
    <row r="14" spans="2:11" s="13" customFormat="1" ht="15" customHeight="1">
      <c r="B14" s="272" t="s">
        <v>13</v>
      </c>
      <c r="C14" s="272"/>
      <c r="D14" s="272"/>
      <c r="E14" s="272"/>
      <c r="F14" s="272"/>
      <c r="G14" s="272"/>
      <c r="H14" s="272"/>
      <c r="I14" s="272"/>
      <c r="J14" s="272"/>
      <c r="K14" s="272"/>
    </row>
    <row r="15" spans="2:11" s="13" customFormat="1" ht="98.25" customHeight="1">
      <c r="B15" s="264" t="s">
        <v>168</v>
      </c>
      <c r="C15" s="264"/>
      <c r="D15" s="264"/>
      <c r="E15" s="264"/>
      <c r="F15" s="264"/>
      <c r="G15" s="264"/>
      <c r="H15" s="264"/>
      <c r="I15" s="264"/>
      <c r="J15" s="264"/>
      <c r="K15" s="264"/>
    </row>
    <row r="16" spans="2:11" s="13" customFormat="1" ht="93.75" customHeight="1">
      <c r="B16" s="265" t="s">
        <v>212</v>
      </c>
      <c r="C16" s="265"/>
      <c r="D16" s="265"/>
      <c r="E16" s="265"/>
      <c r="F16" s="265"/>
      <c r="G16" s="265"/>
      <c r="H16" s="265"/>
      <c r="I16" s="265"/>
      <c r="J16" s="265"/>
      <c r="K16" s="265"/>
    </row>
    <row r="17" spans="1:18" s="13" customFormat="1" ht="5.25" customHeight="1">
      <c r="B17" s="14"/>
      <c r="C17" s="14"/>
      <c r="D17" s="14"/>
      <c r="E17" s="15"/>
      <c r="F17" s="15"/>
      <c r="G17" s="15"/>
      <c r="H17" s="16"/>
      <c r="I17" s="16"/>
      <c r="J17" s="17"/>
    </row>
    <row r="18" spans="1:18" ht="15" customHeight="1">
      <c r="E18" s="130">
        <v>2015</v>
      </c>
      <c r="F18" s="130">
        <v>2016</v>
      </c>
    </row>
    <row r="19" spans="1:18" ht="15" customHeight="1">
      <c r="B19" s="269" t="s">
        <v>174</v>
      </c>
      <c r="C19" s="270"/>
      <c r="D19" s="271"/>
      <c r="E19" s="27">
        <f>+' Circular 00435 de 2015'!G6</f>
        <v>1</v>
      </c>
      <c r="F19" s="27">
        <f>+' Circular 00435 de 2015'!H6</f>
        <v>11</v>
      </c>
    </row>
    <row r="20" spans="1:18" ht="15" customHeight="1">
      <c r="B20" s="269" t="s">
        <v>173</v>
      </c>
      <c r="C20" s="270"/>
      <c r="D20" s="271"/>
      <c r="E20" s="29">
        <f>+' Circular 00435 de 2015'!G7</f>
        <v>644350</v>
      </c>
      <c r="F20" s="29">
        <f>+' Circular 00435 de 2015'!H7</f>
        <v>667933.21</v>
      </c>
    </row>
    <row r="21" spans="1:18" ht="4.5" customHeight="1"/>
    <row r="22" spans="1:18" s="28" customFormat="1" ht="15" customHeight="1">
      <c r="D22" s="262" t="s">
        <v>27</v>
      </c>
      <c r="E22" s="262"/>
      <c r="F22" s="263"/>
      <c r="G22" s="268" t="s">
        <v>36</v>
      </c>
      <c r="H22" s="262"/>
      <c r="I22" s="263"/>
      <c r="J22" s="268" t="s">
        <v>65</v>
      </c>
      <c r="K22" s="262"/>
      <c r="L22" s="263"/>
      <c r="M22" s="268" t="s">
        <v>66</v>
      </c>
      <c r="N22" s="262"/>
      <c r="O22" s="263"/>
      <c r="P22" s="268" t="s">
        <v>67</v>
      </c>
      <c r="Q22" s="262"/>
      <c r="R22" s="263"/>
    </row>
    <row r="23" spans="1:18" ht="40.5" customHeight="1">
      <c r="B23" s="275" t="s">
        <v>29</v>
      </c>
      <c r="C23" s="275"/>
      <c r="D23" s="111" t="s">
        <v>28</v>
      </c>
      <c r="E23" s="111" t="s">
        <v>177</v>
      </c>
      <c r="F23" s="112" t="s">
        <v>178</v>
      </c>
      <c r="G23" s="113" t="s">
        <v>28</v>
      </c>
      <c r="H23" s="111" t="s">
        <v>177</v>
      </c>
      <c r="I23" s="112" t="s">
        <v>178</v>
      </c>
      <c r="J23" s="113" t="s">
        <v>28</v>
      </c>
      <c r="K23" s="111" t="s">
        <v>177</v>
      </c>
      <c r="L23" s="112" t="s">
        <v>178</v>
      </c>
      <c r="M23" s="113" t="s">
        <v>28</v>
      </c>
      <c r="N23" s="111" t="s">
        <v>177</v>
      </c>
      <c r="O23" s="112" t="s">
        <v>178</v>
      </c>
      <c r="P23" s="113" t="s">
        <v>28</v>
      </c>
      <c r="Q23" s="111" t="s">
        <v>177</v>
      </c>
      <c r="R23" s="112" t="s">
        <v>178</v>
      </c>
    </row>
    <row r="24" spans="1:18" ht="15" customHeight="1">
      <c r="A24" s="135">
        <v>1</v>
      </c>
      <c r="B24" s="276" t="s">
        <v>35</v>
      </c>
      <c r="C24" s="276"/>
      <c r="D24" s="114">
        <f>3+4+1</f>
        <v>8</v>
      </c>
      <c r="E24" s="115">
        <f>+IF(D24=0,0,(VLOOKUP($B24,' Circular 00435 de 2015'!$B$24:$H$51,7,0)))</f>
        <v>6123902</v>
      </c>
      <c r="F24" s="116">
        <f>+E24*D24</f>
        <v>48991216</v>
      </c>
      <c r="G24" s="117">
        <v>1</v>
      </c>
      <c r="H24" s="115">
        <f>+IF(G24=0,0,(VLOOKUP($B24,' Circular 00435 de 2015'!$B$24:$H$51,7,0)))</f>
        <v>6123902</v>
      </c>
      <c r="I24" s="116">
        <f>+H24*G24</f>
        <v>6123902</v>
      </c>
      <c r="J24" s="117">
        <f>2+2</f>
        <v>4</v>
      </c>
      <c r="K24" s="115">
        <f>+IF(J24=0,0,(VLOOKUP($B24,' Circular 00435 de 2015'!$B$24:$H$51,7,0)))</f>
        <v>6123902</v>
      </c>
      <c r="L24" s="116">
        <f>+K24*J24</f>
        <v>24495608</v>
      </c>
      <c r="M24" s="117">
        <f>1+2</f>
        <v>3</v>
      </c>
      <c r="N24" s="115">
        <f>+IF(M24=0,0,(VLOOKUP($B24,' Circular 00435 de 2015'!$B$24:$H$51,7,0)))</f>
        <v>6123902</v>
      </c>
      <c r="O24" s="116">
        <f>+N24*M24</f>
        <v>18371706</v>
      </c>
      <c r="P24" s="117">
        <f>5+1+2+3</f>
        <v>11</v>
      </c>
      <c r="Q24" s="115">
        <f>+IF(P24=0,0,(VLOOKUP($B24,' Circular 00435 de 2015'!$B$24:$H$51,7,0)))</f>
        <v>6123902</v>
      </c>
      <c r="R24" s="116">
        <f>+Q24*P24</f>
        <v>67362922</v>
      </c>
    </row>
    <row r="25" spans="1:18" ht="15">
      <c r="A25" s="135">
        <v>2</v>
      </c>
      <c r="B25" s="276" t="s">
        <v>0</v>
      </c>
      <c r="C25" s="277"/>
      <c r="D25" s="114">
        <f>26-1+31+22+12+1+2+1+9+3</f>
        <v>106</v>
      </c>
      <c r="E25" s="115">
        <f>+IF(D25=0,0,(VLOOKUP($B25,' Circular 00435 de 2015'!$B$24:$H$51,7,0)))</f>
        <v>6237308</v>
      </c>
      <c r="F25" s="116">
        <f t="shared" ref="F25:F37" si="0">+E25*D25</f>
        <v>661154648</v>
      </c>
      <c r="G25" s="117">
        <f>23-1+12+14+7+9+8+13</f>
        <v>85</v>
      </c>
      <c r="H25" s="115">
        <f>+IF(G25=0,0,(VLOOKUP($B25,' Circular 00435 de 2015'!$B$24:$H$51,7,0)))</f>
        <v>6237308</v>
      </c>
      <c r="I25" s="116">
        <f t="shared" ref="I25:I37" si="1">+H25*G25</f>
        <v>530171180</v>
      </c>
      <c r="J25" s="117">
        <f>22-1+10+7+8+6+10</f>
        <v>62</v>
      </c>
      <c r="K25" s="115">
        <f>+IF(J25=0,0,(VLOOKUP($B25,' Circular 00435 de 2015'!$B$24:$H$51,7,0)))</f>
        <v>6237308</v>
      </c>
      <c r="L25" s="116">
        <f t="shared" ref="L25:L37" si="2">+K25*J25</f>
        <v>386713096</v>
      </c>
      <c r="M25" s="117">
        <f>16-1+18+8+9+6+4</f>
        <v>60</v>
      </c>
      <c r="N25" s="115">
        <f>+IF(M25=0,0,(VLOOKUP($B25,' Circular 00435 de 2015'!$B$24:$H$51,7,0)))</f>
        <v>6237308</v>
      </c>
      <c r="O25" s="116">
        <f t="shared" ref="O25:O37" si="3">+N25*M25</f>
        <v>374238480</v>
      </c>
      <c r="P25" s="117">
        <f>13-1+14+8+10+5+1+4</f>
        <v>54</v>
      </c>
      <c r="Q25" s="115">
        <f>+IF(P25=0,0,(VLOOKUP($B25,' Circular 00435 de 2015'!$B$24:$H$51,7,0)))</f>
        <v>6237308</v>
      </c>
      <c r="R25" s="116">
        <f t="shared" ref="R25:R37" si="4">+Q25*P25</f>
        <v>336814632</v>
      </c>
    </row>
    <row r="26" spans="1:18" ht="15">
      <c r="A26" s="135">
        <v>5</v>
      </c>
      <c r="B26" s="276" t="s">
        <v>44</v>
      </c>
      <c r="C26" s="277"/>
      <c r="D26" s="114"/>
      <c r="E26" s="115">
        <f>+IF(D26=0,0,(VLOOKUP($B26,' Circular 00435 de 2015'!$B$24:$H$51,7,0)))</f>
        <v>0</v>
      </c>
      <c r="F26" s="116">
        <f t="shared" si="0"/>
        <v>0</v>
      </c>
      <c r="G26" s="117"/>
      <c r="H26" s="115">
        <f>+IF(G26=0,0,(VLOOKUP($B26,' Circular 00435 de 2015'!$B$24:$H$51,7,0)))</f>
        <v>0</v>
      </c>
      <c r="I26" s="116">
        <f t="shared" si="1"/>
        <v>0</v>
      </c>
      <c r="J26" s="117">
        <v>3</v>
      </c>
      <c r="K26" s="115">
        <f>+IF(J26=0,0,(VLOOKUP($B26,' Circular 00435 de 2015'!$B$24:$H$51,7,0)))</f>
        <v>2741977</v>
      </c>
      <c r="L26" s="116">
        <f t="shared" si="2"/>
        <v>8225931</v>
      </c>
      <c r="M26" s="117"/>
      <c r="N26" s="115">
        <f>+IF(M26=0,0,(VLOOKUP($B26,' Circular 00435 de 2015'!$B$24:$H$51,7,0)))</f>
        <v>0</v>
      </c>
      <c r="O26" s="116">
        <f t="shared" si="3"/>
        <v>0</v>
      </c>
      <c r="P26" s="117">
        <v>1</v>
      </c>
      <c r="Q26" s="115">
        <f>+IF(P26=0,0,(VLOOKUP($B26,' Circular 00435 de 2015'!$B$24:$H$51,7,0)))</f>
        <v>2741977</v>
      </c>
      <c r="R26" s="116">
        <f t="shared" si="4"/>
        <v>2741977</v>
      </c>
    </row>
    <row r="27" spans="1:18" ht="15">
      <c r="A27" s="135">
        <v>6</v>
      </c>
      <c r="B27" s="276" t="s">
        <v>199</v>
      </c>
      <c r="C27" s="277"/>
      <c r="D27" s="114"/>
      <c r="E27" s="115">
        <f>+IF(D27=0,0,(VLOOKUP($B27,' Circular 00435 de 2015'!$B$24:$H$51,7,0)))</f>
        <v>0</v>
      </c>
      <c r="F27" s="116">
        <f t="shared" si="0"/>
        <v>0</v>
      </c>
      <c r="G27" s="117">
        <v>2</v>
      </c>
      <c r="H27" s="115">
        <f>+IF(G27=0,0,(VLOOKUP($B27,' Circular 00435 de 2015'!$B$24:$H$51,7,0)))</f>
        <v>3770453</v>
      </c>
      <c r="I27" s="116">
        <f t="shared" si="1"/>
        <v>7540906</v>
      </c>
      <c r="J27" s="117"/>
      <c r="K27" s="115">
        <f>+IF(J27=0,0,(VLOOKUP($B27,' Circular 00435 de 2015'!$B$24:$H$51,7,0)))</f>
        <v>0</v>
      </c>
      <c r="L27" s="116">
        <f t="shared" si="2"/>
        <v>0</v>
      </c>
      <c r="M27" s="117"/>
      <c r="N27" s="115">
        <f>+IF(M27=0,0,(VLOOKUP($B27,' Circular 00435 de 2015'!$B$24:$H$51,7,0)))</f>
        <v>0</v>
      </c>
      <c r="O27" s="116">
        <f t="shared" si="3"/>
        <v>0</v>
      </c>
      <c r="P27" s="117">
        <v>1</v>
      </c>
      <c r="Q27" s="115">
        <f>+IF(P27=0,0,(VLOOKUP($B27,' Circular 00435 de 2015'!$B$24:$H$51,7,0)))</f>
        <v>3770453</v>
      </c>
      <c r="R27" s="116">
        <f t="shared" si="4"/>
        <v>3770453</v>
      </c>
    </row>
    <row r="28" spans="1:18" ht="15">
      <c r="A28" s="135">
        <v>7</v>
      </c>
      <c r="B28" s="276" t="s">
        <v>12</v>
      </c>
      <c r="C28" s="277"/>
      <c r="D28" s="114">
        <f>1+1</f>
        <v>2</v>
      </c>
      <c r="E28" s="115">
        <f>+IF(D28=0,0,(VLOOKUP($B28,' Circular 00435 de 2015'!$B$24:$H$51,7,0)))</f>
        <v>2818143</v>
      </c>
      <c r="F28" s="116">
        <f t="shared" si="0"/>
        <v>5636286</v>
      </c>
      <c r="G28" s="117"/>
      <c r="H28" s="115">
        <f>+IF(G28=0,0,(VLOOKUP($B28,' Circular 00435 de 2015'!$B$24:$H$51,7,0)))</f>
        <v>0</v>
      </c>
      <c r="I28" s="116">
        <f t="shared" si="1"/>
        <v>0</v>
      </c>
      <c r="J28" s="117"/>
      <c r="K28" s="115">
        <f>+IF(J28=0,0,(VLOOKUP($B28,' Circular 00435 de 2015'!$B$24:$H$51,7,0)))</f>
        <v>0</v>
      </c>
      <c r="L28" s="116">
        <f t="shared" si="2"/>
        <v>0</v>
      </c>
      <c r="M28" s="117"/>
      <c r="N28" s="115">
        <f>+IF(M28=0,0,(VLOOKUP($B28,' Circular 00435 de 2015'!$B$24:$H$51,7,0)))</f>
        <v>0</v>
      </c>
      <c r="O28" s="116">
        <f t="shared" si="3"/>
        <v>0</v>
      </c>
      <c r="P28" s="117"/>
      <c r="Q28" s="115">
        <f>+IF(P28=0,0,(VLOOKUP($B28,' Circular 00435 de 2015'!$B$24:$H$51,7,0)))</f>
        <v>0</v>
      </c>
      <c r="R28" s="116">
        <f t="shared" si="4"/>
        <v>0</v>
      </c>
    </row>
    <row r="29" spans="1:18" ht="15">
      <c r="A29" s="135">
        <v>9</v>
      </c>
      <c r="B29" s="276" t="s">
        <v>41</v>
      </c>
      <c r="C29" s="277"/>
      <c r="D29" s="114">
        <f>13+30+14+2+1</f>
        <v>60</v>
      </c>
      <c r="E29" s="115">
        <f>+IF(D29=0,0,(VLOOKUP($B29,' Circular 00435 de 2015'!$B$24:$H$51,7,0)))</f>
        <v>2010783</v>
      </c>
      <c r="F29" s="116">
        <f t="shared" si="0"/>
        <v>120646980</v>
      </c>
      <c r="G29" s="117">
        <v>4</v>
      </c>
      <c r="H29" s="115">
        <f>+IF(G29=0,0,(VLOOKUP($B29,' Circular 00435 de 2015'!$B$24:$H$51,7,0)))</f>
        <v>2010783</v>
      </c>
      <c r="I29" s="116">
        <f t="shared" si="1"/>
        <v>8043132</v>
      </c>
      <c r="J29" s="117">
        <f>3+2</f>
        <v>5</v>
      </c>
      <c r="K29" s="115">
        <f>+IF(J29=0,0,(VLOOKUP($B29,' Circular 00435 de 2015'!$B$24:$H$51,7,0)))</f>
        <v>2010783</v>
      </c>
      <c r="L29" s="116">
        <f t="shared" si="2"/>
        <v>10053915</v>
      </c>
      <c r="M29" s="117"/>
      <c r="N29" s="115">
        <f>+IF(M29=0,0,(VLOOKUP($B29,' Circular 00435 de 2015'!$B$24:$H$51,7,0)))</f>
        <v>0</v>
      </c>
      <c r="O29" s="116">
        <f t="shared" si="3"/>
        <v>0</v>
      </c>
      <c r="P29" s="117"/>
      <c r="Q29" s="115">
        <f>+IF(P29=0,0,(VLOOKUP($B29,' Circular 00435 de 2015'!$B$24:$H$51,7,0)))</f>
        <v>0</v>
      </c>
      <c r="R29" s="116">
        <f t="shared" si="4"/>
        <v>0</v>
      </c>
    </row>
    <row r="30" spans="1:18" ht="15">
      <c r="A30" s="135">
        <v>10</v>
      </c>
      <c r="B30" s="276" t="s">
        <v>200</v>
      </c>
      <c r="C30" s="277"/>
      <c r="D30" s="114"/>
      <c r="E30" s="115">
        <f>+IF(D30=0,0,(VLOOKUP($B30,' Circular 00435 de 2015'!$B$24:$H$51,7,0)))</f>
        <v>0</v>
      </c>
      <c r="F30" s="116">
        <f t="shared" si="0"/>
        <v>0</v>
      </c>
      <c r="G30" s="117">
        <v>1</v>
      </c>
      <c r="H30" s="115">
        <f>+IF(G30=0,0,(VLOOKUP($B30,' Circular 00435 de 2015'!$B$24:$H$51,7,0)))</f>
        <v>1878762</v>
      </c>
      <c r="I30" s="116">
        <f t="shared" si="1"/>
        <v>1878762</v>
      </c>
      <c r="J30" s="117">
        <v>1</v>
      </c>
      <c r="K30" s="115">
        <f>+IF(J30=0,0,(VLOOKUP($B30,' Circular 00435 de 2015'!$B$24:$H$51,7,0)))</f>
        <v>1878762</v>
      </c>
      <c r="L30" s="116">
        <f t="shared" si="2"/>
        <v>1878762</v>
      </c>
      <c r="M30" s="117">
        <v>1</v>
      </c>
      <c r="N30" s="115">
        <f>+IF(M30=0,0,(VLOOKUP($B30,' Circular 00435 de 2015'!$B$24:$H$51,7,0)))</f>
        <v>1878762</v>
      </c>
      <c r="O30" s="116">
        <f t="shared" si="3"/>
        <v>1878762</v>
      </c>
      <c r="P30" s="117">
        <v>1</v>
      </c>
      <c r="Q30" s="115">
        <f>+IF(P30=0,0,(VLOOKUP($B30,' Circular 00435 de 2015'!$B$24:$H$51,7,0)))</f>
        <v>1878762</v>
      </c>
      <c r="R30" s="116">
        <f t="shared" si="4"/>
        <v>1878762</v>
      </c>
    </row>
    <row r="31" spans="1:18" ht="15">
      <c r="A31" s="135">
        <v>11</v>
      </c>
      <c r="B31" s="276" t="s">
        <v>42</v>
      </c>
      <c r="C31" s="277"/>
      <c r="D31" s="114">
        <v>4</v>
      </c>
      <c r="E31" s="115">
        <f>+IF(D31=0,0,(VLOOKUP($B31,' Circular 00435 de 2015'!$B$24:$H$51,7,0)))</f>
        <v>2048020</v>
      </c>
      <c r="F31" s="116">
        <f t="shared" si="0"/>
        <v>8192080</v>
      </c>
      <c r="G31" s="117">
        <v>6</v>
      </c>
      <c r="H31" s="115">
        <f>+IF(G31=0,0,(VLOOKUP($B31,' Circular 00435 de 2015'!$B$24:$H$51,7,0)))</f>
        <v>2048020</v>
      </c>
      <c r="I31" s="116">
        <f t="shared" si="1"/>
        <v>12288120</v>
      </c>
      <c r="J31" s="117">
        <f>1+4+3</f>
        <v>8</v>
      </c>
      <c r="K31" s="115">
        <f>+IF(J31=0,0,(VLOOKUP($B31,' Circular 00435 de 2015'!$B$24:$H$51,7,0)))</f>
        <v>2048020</v>
      </c>
      <c r="L31" s="116">
        <f t="shared" si="2"/>
        <v>16384160</v>
      </c>
      <c r="M31" s="117">
        <f>3+1</f>
        <v>4</v>
      </c>
      <c r="N31" s="115">
        <f>+IF(M31=0,0,(VLOOKUP($B31,' Circular 00435 de 2015'!$B$24:$H$51,7,0)))</f>
        <v>2048020</v>
      </c>
      <c r="O31" s="116">
        <f t="shared" si="3"/>
        <v>8192080</v>
      </c>
      <c r="P31" s="117"/>
      <c r="Q31" s="115">
        <f>+IF(P31=0,0,(VLOOKUP($B31,' Circular 00435 de 2015'!$B$24:$H$51,7,0)))</f>
        <v>0</v>
      </c>
      <c r="R31" s="116">
        <f t="shared" si="4"/>
        <v>0</v>
      </c>
    </row>
    <row r="32" spans="1:18" ht="15">
      <c r="A32" s="135">
        <v>12</v>
      </c>
      <c r="B32" s="276" t="s">
        <v>48</v>
      </c>
      <c r="C32" s="277"/>
      <c r="D32" s="114"/>
      <c r="E32" s="115">
        <f>+IF(D32=0,0,(VLOOKUP($B32,' Circular 00435 de 2015'!$B$24:$H$51,7,0)))</f>
        <v>0</v>
      </c>
      <c r="F32" s="116">
        <f t="shared" si="0"/>
        <v>0</v>
      </c>
      <c r="G32" s="117">
        <v>4</v>
      </c>
      <c r="H32" s="115">
        <f>+IF(G32=0,0,(VLOOKUP($B32,' Circular 00435 de 2015'!$B$24:$H$51,7,0)))</f>
        <v>1861836</v>
      </c>
      <c r="I32" s="116">
        <f t="shared" si="1"/>
        <v>7447344</v>
      </c>
      <c r="J32" s="117"/>
      <c r="K32" s="115">
        <f>+IF(J32=0,0,(VLOOKUP($B32,' Circular 00435 de 2015'!$B$24:$H$51,7,0)))</f>
        <v>0</v>
      </c>
      <c r="L32" s="116">
        <f t="shared" si="2"/>
        <v>0</v>
      </c>
      <c r="M32" s="117">
        <f>2+1</f>
        <v>3</v>
      </c>
      <c r="N32" s="115">
        <f>+IF(M32=0,0,(VLOOKUP($B32,' Circular 00435 de 2015'!$B$24:$H$51,7,0)))</f>
        <v>1861836</v>
      </c>
      <c r="O32" s="116">
        <f t="shared" si="3"/>
        <v>5585508</v>
      </c>
      <c r="P32" s="117">
        <v>1</v>
      </c>
      <c r="Q32" s="115">
        <f>+IF(P32=0,0,(VLOOKUP($B32,' Circular 00435 de 2015'!$B$24:$H$51,7,0)))</f>
        <v>1861836</v>
      </c>
      <c r="R32" s="116">
        <f t="shared" si="4"/>
        <v>1861836</v>
      </c>
    </row>
    <row r="33" spans="1:18" ht="15">
      <c r="A33" s="135">
        <v>13</v>
      </c>
      <c r="B33" s="276" t="s">
        <v>40</v>
      </c>
      <c r="C33" s="277"/>
      <c r="D33" s="114">
        <v>1</v>
      </c>
      <c r="E33" s="115">
        <f>+IF(D33=0,0,(VLOOKUP($B33,' Circular 00435 de 2015'!$B$24:$H$51,7,0)))</f>
        <v>2066638</v>
      </c>
      <c r="F33" s="116">
        <f t="shared" si="0"/>
        <v>2066638</v>
      </c>
      <c r="G33" s="117"/>
      <c r="H33" s="115">
        <f>+IF(G33=0,0,(VLOOKUP($B33,' Circular 00435 de 2015'!$B$24:$H$51,7,0)))</f>
        <v>0</v>
      </c>
      <c r="I33" s="116">
        <f t="shared" si="1"/>
        <v>0</v>
      </c>
      <c r="J33" s="117"/>
      <c r="K33" s="115">
        <f>+IF(J33=0,0,(VLOOKUP($B33,' Circular 00435 de 2015'!$B$24:$H$51,7,0)))</f>
        <v>0</v>
      </c>
      <c r="L33" s="116">
        <f t="shared" si="2"/>
        <v>0</v>
      </c>
      <c r="M33" s="117"/>
      <c r="N33" s="115">
        <f>+IF(M33=0,0,(VLOOKUP($B33,' Circular 00435 de 2015'!$B$24:$H$51,7,0)))</f>
        <v>0</v>
      </c>
      <c r="O33" s="116">
        <f t="shared" si="3"/>
        <v>0</v>
      </c>
      <c r="P33" s="117"/>
      <c r="Q33" s="115">
        <f>+IF(P33=0,0,(VLOOKUP($B33,' Circular 00435 de 2015'!$B$24:$H$51,7,0)))</f>
        <v>0</v>
      </c>
      <c r="R33" s="116">
        <f t="shared" si="4"/>
        <v>0</v>
      </c>
    </row>
    <row r="34" spans="1:18" ht="15" customHeight="1">
      <c r="A34" s="135">
        <v>14</v>
      </c>
      <c r="B34" s="276" t="s">
        <v>43</v>
      </c>
      <c r="C34" s="277"/>
      <c r="D34" s="114"/>
      <c r="E34" s="115">
        <f>+IF(D34=0,0,(VLOOKUP($B34,' Circular 00435 de 2015'!$B$24:$H$51,7,0)))</f>
        <v>0</v>
      </c>
      <c r="F34" s="116">
        <f t="shared" si="0"/>
        <v>0</v>
      </c>
      <c r="G34" s="117">
        <v>2</v>
      </c>
      <c r="H34" s="115">
        <f>+IF(G34=0,0,(VLOOKUP($B34,' Circular 00435 de 2015'!$B$24:$H$51,7,0)))</f>
        <v>2792755</v>
      </c>
      <c r="I34" s="116">
        <f t="shared" si="1"/>
        <v>5585510</v>
      </c>
      <c r="J34" s="117">
        <v>2</v>
      </c>
      <c r="K34" s="115">
        <f>+IF(J34=0,0,(VLOOKUP($B34,' Circular 00435 de 2015'!$B$24:$H$51,7,0)))</f>
        <v>2792755</v>
      </c>
      <c r="L34" s="116">
        <f t="shared" si="2"/>
        <v>5585510</v>
      </c>
      <c r="M34" s="117">
        <v>1</v>
      </c>
      <c r="N34" s="115">
        <f>+IF(M34=0,0,(VLOOKUP($B34,' Circular 00435 de 2015'!$B$24:$H$51,7,0)))</f>
        <v>2792755</v>
      </c>
      <c r="O34" s="116">
        <f t="shared" si="3"/>
        <v>2792755</v>
      </c>
      <c r="P34" s="117">
        <f>1+2</f>
        <v>3</v>
      </c>
      <c r="Q34" s="115">
        <f>+IF(P34=0,0,(VLOOKUP($B34,' Circular 00435 de 2015'!$B$24:$H$51,7,0)))</f>
        <v>2792755</v>
      </c>
      <c r="R34" s="116">
        <f t="shared" si="4"/>
        <v>8378265</v>
      </c>
    </row>
    <row r="35" spans="1:18" ht="15">
      <c r="A35" s="135">
        <v>15</v>
      </c>
      <c r="B35" s="276" t="s">
        <v>47</v>
      </c>
      <c r="C35" s="277"/>
      <c r="D35" s="114"/>
      <c r="E35" s="115">
        <f>+IF(D35=0,0,(VLOOKUP($B35,' Circular 00435 de 2015'!$B$24:$H$51,7,0)))</f>
        <v>0</v>
      </c>
      <c r="F35" s="116">
        <f t="shared" si="0"/>
        <v>0</v>
      </c>
      <c r="G35" s="117">
        <v>3</v>
      </c>
      <c r="H35" s="115">
        <f>+IF(G35=0,0,(VLOOKUP($B35,' Circular 00435 de 2015'!$B$24:$H$51,7,0)))</f>
        <v>1827985</v>
      </c>
      <c r="I35" s="116">
        <f t="shared" si="1"/>
        <v>5483955</v>
      </c>
      <c r="J35" s="117">
        <f>5+3+2+3</f>
        <v>13</v>
      </c>
      <c r="K35" s="115">
        <f>+IF(J35=0,0,(VLOOKUP($B35,' Circular 00435 de 2015'!$B$24:$H$51,7,0)))</f>
        <v>1827985</v>
      </c>
      <c r="L35" s="116">
        <f t="shared" si="2"/>
        <v>23763805</v>
      </c>
      <c r="M35" s="117">
        <f>1+2</f>
        <v>3</v>
      </c>
      <c r="N35" s="115">
        <f>+IF(M35=0,0,(VLOOKUP($B35,' Circular 00435 de 2015'!$B$24:$H$51,7,0)))</f>
        <v>1827985</v>
      </c>
      <c r="O35" s="116">
        <f t="shared" si="3"/>
        <v>5483955</v>
      </c>
      <c r="P35" s="117">
        <f>12+7+5+8+2+1+2</f>
        <v>37</v>
      </c>
      <c r="Q35" s="115">
        <f>+IF(P35=0,0,(VLOOKUP($B35,' Circular 00435 de 2015'!$B$24:$H$51,7,0)))</f>
        <v>1827985</v>
      </c>
      <c r="R35" s="116">
        <f t="shared" si="4"/>
        <v>67635445</v>
      </c>
    </row>
    <row r="36" spans="1:18" ht="15">
      <c r="A36" s="135">
        <v>27</v>
      </c>
      <c r="B36" s="276" t="s">
        <v>201</v>
      </c>
      <c r="C36" s="277"/>
      <c r="D36" s="114"/>
      <c r="E36" s="115">
        <f>+IF(D36=0,0,(VLOOKUP($B36,' Circular 00435 de 2015'!$B$24:$H$51,7,0)))</f>
        <v>0</v>
      </c>
      <c r="F36" s="116">
        <f t="shared" si="0"/>
        <v>0</v>
      </c>
      <c r="G36" s="117"/>
      <c r="H36" s="115">
        <f>+IF(G36=0,0,(VLOOKUP($B36,' Circular 00435 de 2015'!$B$24:$H$51,7,0)))</f>
        <v>0</v>
      </c>
      <c r="I36" s="116">
        <f t="shared" si="1"/>
        <v>0</v>
      </c>
      <c r="J36" s="117">
        <v>2</v>
      </c>
      <c r="K36" s="115">
        <f>+IF(J36=0,0,(VLOOKUP($B36,' Circular 00435 de 2015'!$B$24:$H$51,7,0)))</f>
        <v>1117102</v>
      </c>
      <c r="L36" s="116">
        <f t="shared" si="2"/>
        <v>2234204</v>
      </c>
      <c r="M36" s="117"/>
      <c r="N36" s="115">
        <f>+IF(M36=0,0,(VLOOKUP($B36,' Circular 00435 de 2015'!$B$24:$H$51,7,0)))</f>
        <v>0</v>
      </c>
      <c r="O36" s="116">
        <f t="shared" si="3"/>
        <v>0</v>
      </c>
      <c r="P36" s="117"/>
      <c r="Q36" s="115">
        <f>+IF(P36=0,0,(VLOOKUP($B36,' Circular 00435 de 2015'!$B$24:$H$51,7,0)))</f>
        <v>0</v>
      </c>
      <c r="R36" s="116">
        <f t="shared" si="4"/>
        <v>0</v>
      </c>
    </row>
    <row r="37" spans="1:18" ht="15">
      <c r="A37" s="135">
        <v>28</v>
      </c>
      <c r="B37" s="276" t="s">
        <v>176</v>
      </c>
      <c r="C37" s="277"/>
      <c r="D37" s="114">
        <v>1</v>
      </c>
      <c r="E37" s="115">
        <f>+IF(D37=0,0,(VLOOKUP($B37,' Circular 00435 de 2015'!$B$24:$H$51,7,0)))</f>
        <v>1188190</v>
      </c>
      <c r="F37" s="116">
        <f t="shared" si="0"/>
        <v>1188190</v>
      </c>
      <c r="G37" s="117"/>
      <c r="H37" s="115">
        <f>+IF(G37=0,0,(VLOOKUP($B37,' Circular 00435 de 2015'!$B$24:$H$51,7,0)))</f>
        <v>0</v>
      </c>
      <c r="I37" s="116">
        <f t="shared" si="1"/>
        <v>0</v>
      </c>
      <c r="J37" s="117"/>
      <c r="K37" s="115">
        <f>+IF(J37=0,0,(VLOOKUP($B37,' Circular 00435 de 2015'!$B$24:$H$51,7,0)))</f>
        <v>0</v>
      </c>
      <c r="L37" s="116">
        <f t="shared" si="2"/>
        <v>0</v>
      </c>
      <c r="M37" s="117"/>
      <c r="N37" s="115">
        <f>+IF(M37=0,0,(VLOOKUP($B37,' Circular 00435 de 2015'!$B$24:$H$51,7,0)))</f>
        <v>0</v>
      </c>
      <c r="O37" s="116">
        <f t="shared" si="3"/>
        <v>0</v>
      </c>
      <c r="P37" s="117"/>
      <c r="Q37" s="115">
        <f>+IF(P37=0,0,(VLOOKUP($B37,' Circular 00435 de 2015'!$B$24:$H$51,7,0)))</f>
        <v>0</v>
      </c>
      <c r="R37" s="116">
        <f t="shared" si="4"/>
        <v>0</v>
      </c>
    </row>
    <row r="38" spans="1:18" ht="15">
      <c r="A38" s="135"/>
      <c r="B38" s="276" t="s">
        <v>214</v>
      </c>
      <c r="C38" s="277"/>
      <c r="D38" s="114">
        <v>1</v>
      </c>
      <c r="E38" s="125"/>
      <c r="F38" s="116">
        <f>+E38*D38</f>
        <v>0</v>
      </c>
      <c r="G38" s="114">
        <v>1</v>
      </c>
      <c r="H38" s="125"/>
      <c r="I38" s="116">
        <f>+H38*G38</f>
        <v>0</v>
      </c>
      <c r="J38" s="114">
        <v>1</v>
      </c>
      <c r="K38" s="125"/>
      <c r="L38" s="116">
        <f>+K38*J38</f>
        <v>0</v>
      </c>
      <c r="M38" s="114">
        <v>1</v>
      </c>
      <c r="N38" s="125"/>
      <c r="O38" s="116">
        <f>+N38*M38</f>
        <v>0</v>
      </c>
      <c r="P38" s="114">
        <v>1</v>
      </c>
      <c r="Q38" s="125"/>
      <c r="R38" s="116">
        <f>+Q38*P38</f>
        <v>0</v>
      </c>
    </row>
    <row r="39" spans="1:18" ht="15">
      <c r="B39" s="279" t="s">
        <v>68</v>
      </c>
      <c r="C39" s="280"/>
      <c r="D39" s="114">
        <f>SUM(D24:D37)</f>
        <v>182</v>
      </c>
      <c r="E39" s="118" t="s">
        <v>175</v>
      </c>
      <c r="F39" s="116">
        <f>SUM(F24:F38)</f>
        <v>847876038</v>
      </c>
      <c r="G39" s="117">
        <f>SUM(G24:G37)</f>
        <v>108</v>
      </c>
      <c r="H39" s="118" t="s">
        <v>175</v>
      </c>
      <c r="I39" s="116">
        <f>SUM(I24:I38)</f>
        <v>584562811</v>
      </c>
      <c r="J39" s="117">
        <f>SUM(J24:J37)</f>
        <v>100</v>
      </c>
      <c r="K39" s="118" t="s">
        <v>175</v>
      </c>
      <c r="L39" s="116">
        <f>SUM(L24:L38)</f>
        <v>479334991</v>
      </c>
      <c r="M39" s="117">
        <f>SUM(M24:M37)</f>
        <v>75</v>
      </c>
      <c r="N39" s="118" t="s">
        <v>175</v>
      </c>
      <c r="O39" s="116">
        <f>SUM(O24:O38)</f>
        <v>416543246</v>
      </c>
      <c r="P39" s="117">
        <f>SUM(P24:P37)</f>
        <v>109</v>
      </c>
      <c r="Q39" s="118" t="s">
        <v>175</v>
      </c>
      <c r="R39" s="116">
        <f>SUM(R24:R38)</f>
        <v>490444292</v>
      </c>
    </row>
    <row r="40" spans="1:18" ht="23.25" customHeight="1">
      <c r="B40" s="132"/>
      <c r="C40" s="119"/>
      <c r="D40" s="285" t="s">
        <v>10</v>
      </c>
      <c r="E40" s="282"/>
      <c r="F40" s="46">
        <f>+F39*10%</f>
        <v>84787603.800000012</v>
      </c>
      <c r="G40" s="281" t="s">
        <v>10</v>
      </c>
      <c r="H40" s="282"/>
      <c r="I40" s="46">
        <f>+I39*10%</f>
        <v>58456281.100000001</v>
      </c>
      <c r="J40" s="281" t="s">
        <v>10</v>
      </c>
      <c r="K40" s="282"/>
      <c r="L40" s="46">
        <f>+L39*10%</f>
        <v>47933499.100000001</v>
      </c>
      <c r="M40" s="281" t="s">
        <v>10</v>
      </c>
      <c r="N40" s="282"/>
      <c r="O40" s="46">
        <f>+O39*10%</f>
        <v>41654324.600000001</v>
      </c>
      <c r="P40" s="281" t="s">
        <v>10</v>
      </c>
      <c r="Q40" s="282"/>
      <c r="R40" s="46">
        <f>+R39*10%</f>
        <v>49044429.200000003</v>
      </c>
    </row>
    <row r="41" spans="1:18" ht="15">
      <c r="B41" s="132"/>
      <c r="C41" s="119"/>
      <c r="D41" s="44" t="s">
        <v>32</v>
      </c>
      <c r="E41" s="45">
        <v>0.16</v>
      </c>
      <c r="F41" s="46">
        <f>+F40*E41</f>
        <v>13566016.608000003</v>
      </c>
      <c r="G41" s="47" t="s">
        <v>32</v>
      </c>
      <c r="H41" s="45">
        <v>0.16</v>
      </c>
      <c r="I41" s="46">
        <f>+I40*H41</f>
        <v>9353004.9759999998</v>
      </c>
      <c r="J41" s="47" t="s">
        <v>32</v>
      </c>
      <c r="K41" s="45">
        <v>0.16</v>
      </c>
      <c r="L41" s="46">
        <f>+L40*K41</f>
        <v>7669359.8560000006</v>
      </c>
      <c r="M41" s="47" t="s">
        <v>32</v>
      </c>
      <c r="N41" s="45">
        <v>0.16</v>
      </c>
      <c r="O41" s="46">
        <f>+O40*N41</f>
        <v>6664691.9360000007</v>
      </c>
      <c r="P41" s="47" t="s">
        <v>32</v>
      </c>
      <c r="Q41" s="45">
        <v>0.16</v>
      </c>
      <c r="R41" s="46">
        <f>+R40*Q41</f>
        <v>7847108.6720000003</v>
      </c>
    </row>
    <row r="42" spans="1:18" ht="34.5" customHeight="1">
      <c r="B42" s="132"/>
      <c r="C42" s="119"/>
      <c r="D42" s="283" t="s">
        <v>202</v>
      </c>
      <c r="E42" s="284"/>
      <c r="F42" s="48">
        <f>+ROUND(F39+F41,0)</f>
        <v>861442055</v>
      </c>
      <c r="G42" s="283" t="s">
        <v>203</v>
      </c>
      <c r="H42" s="284"/>
      <c r="I42" s="48">
        <f>+ROUND(I39+I41,0)</f>
        <v>593915816</v>
      </c>
      <c r="J42" s="283" t="s">
        <v>204</v>
      </c>
      <c r="K42" s="284"/>
      <c r="L42" s="48">
        <f>+ROUND(L39+L41,0)</f>
        <v>487004351</v>
      </c>
      <c r="M42" s="283" t="s">
        <v>205</v>
      </c>
      <c r="N42" s="284"/>
      <c r="O42" s="48">
        <f>+ROUND(O39+O41,0)</f>
        <v>423207938</v>
      </c>
      <c r="P42" s="283" t="s">
        <v>206</v>
      </c>
      <c r="Q42" s="284"/>
      <c r="R42" s="48">
        <f>+ROUND(R39+R41,0)</f>
        <v>498291401</v>
      </c>
    </row>
    <row r="43" spans="1:18" s="120" customFormat="1">
      <c r="B43" s="255"/>
      <c r="C43" s="255"/>
      <c r="D43" s="255"/>
      <c r="E43" s="255"/>
      <c r="F43" s="255"/>
      <c r="G43" s="255"/>
      <c r="H43" s="255"/>
    </row>
    <row r="44" spans="1:18" s="120" customFormat="1">
      <c r="B44" s="132"/>
      <c r="C44" s="132"/>
      <c r="D44" s="262" t="s">
        <v>27</v>
      </c>
      <c r="E44" s="262"/>
      <c r="F44" s="263"/>
      <c r="G44" s="268" t="s">
        <v>36</v>
      </c>
      <c r="H44" s="262"/>
      <c r="I44" s="263"/>
      <c r="J44" s="268" t="s">
        <v>65</v>
      </c>
      <c r="K44" s="262"/>
      <c r="L44" s="263"/>
      <c r="M44" s="268" t="s">
        <v>66</v>
      </c>
      <c r="N44" s="262"/>
      <c r="O44" s="263"/>
      <c r="P44" s="268" t="s">
        <v>67</v>
      </c>
      <c r="Q44" s="262"/>
      <c r="R44" s="263"/>
    </row>
    <row r="45" spans="1:18" ht="46.5" customHeight="1">
      <c r="B45" s="275" t="s">
        <v>69</v>
      </c>
      <c r="C45" s="275"/>
      <c r="D45" s="111" t="s">
        <v>28</v>
      </c>
      <c r="E45" s="111" t="s">
        <v>177</v>
      </c>
      <c r="F45" s="112" t="s">
        <v>178</v>
      </c>
      <c r="G45" s="113" t="s">
        <v>28</v>
      </c>
      <c r="H45" s="111" t="s">
        <v>177</v>
      </c>
      <c r="I45" s="112" t="s">
        <v>178</v>
      </c>
      <c r="J45" s="113" t="s">
        <v>28</v>
      </c>
      <c r="K45" s="111" t="s">
        <v>177</v>
      </c>
      <c r="L45" s="112" t="s">
        <v>178</v>
      </c>
      <c r="M45" s="113" t="s">
        <v>28</v>
      </c>
      <c r="N45" s="111" t="s">
        <v>177</v>
      </c>
      <c r="O45" s="112" t="s">
        <v>178</v>
      </c>
      <c r="P45" s="113" t="s">
        <v>28</v>
      </c>
      <c r="Q45" s="111" t="s">
        <v>177</v>
      </c>
      <c r="R45" s="112" t="s">
        <v>178</v>
      </c>
    </row>
    <row r="46" spans="1:18" ht="20.25" customHeight="1">
      <c r="B46" s="256" t="s">
        <v>152</v>
      </c>
      <c r="C46" s="278"/>
      <c r="D46" s="114">
        <f>4+21+16+10+1+2+2+7</f>
        <v>63</v>
      </c>
      <c r="E46" s="125"/>
      <c r="F46" s="116">
        <f t="shared" ref="F46:F64" si="5">+E46*D46</f>
        <v>0</v>
      </c>
      <c r="G46" s="117">
        <f>15+11+7+7+9+6+11</f>
        <v>66</v>
      </c>
      <c r="H46" s="125"/>
      <c r="I46" s="116">
        <f t="shared" ref="I46:I64" si="6">+H46*G46</f>
        <v>0</v>
      </c>
      <c r="J46" s="117">
        <f>20+9+9+9+6+10</f>
        <v>63</v>
      </c>
      <c r="K46" s="125"/>
      <c r="L46" s="116">
        <f t="shared" ref="L46:L64" si="7">+K46*J46</f>
        <v>0</v>
      </c>
      <c r="M46" s="117">
        <f>10+9+6+9+4+4</f>
        <v>42</v>
      </c>
      <c r="N46" s="125"/>
      <c r="O46" s="116">
        <f t="shared" ref="O46:O64" si="8">+N46*M46</f>
        <v>0</v>
      </c>
      <c r="P46" s="117">
        <f>12+13+5+8+3+1+3</f>
        <v>45</v>
      </c>
      <c r="Q46" s="125"/>
      <c r="R46" s="116">
        <f t="shared" ref="R46:R64" si="9">+Q46*P46</f>
        <v>0</v>
      </c>
    </row>
    <row r="47" spans="1:18" ht="20.25" customHeight="1">
      <c r="B47" s="256" t="s">
        <v>154</v>
      </c>
      <c r="C47" s="257"/>
      <c r="D47" s="114">
        <f>3+15+12+7+1+1+1+2</f>
        <v>42</v>
      </c>
      <c r="E47" s="125"/>
      <c r="F47" s="116">
        <f t="shared" si="5"/>
        <v>0</v>
      </c>
      <c r="G47" s="117">
        <f>3+2+2+1+4+2+1</f>
        <v>15</v>
      </c>
      <c r="H47" s="125"/>
      <c r="I47" s="116">
        <f t="shared" si="6"/>
        <v>0</v>
      </c>
      <c r="J47" s="117">
        <f>3+1+1+1+2+1</f>
        <v>9</v>
      </c>
      <c r="K47" s="125"/>
      <c r="L47" s="116">
        <f t="shared" si="7"/>
        <v>0</v>
      </c>
      <c r="M47" s="117">
        <f>2+1+1+1+1+1</f>
        <v>7</v>
      </c>
      <c r="N47" s="125"/>
      <c r="O47" s="116">
        <f t="shared" si="8"/>
        <v>0</v>
      </c>
      <c r="P47" s="117">
        <f>4+4+2+2+1+1+1</f>
        <v>15</v>
      </c>
      <c r="Q47" s="125"/>
      <c r="R47" s="116">
        <f t="shared" si="9"/>
        <v>0</v>
      </c>
    </row>
    <row r="48" spans="1:18" ht="20.25" customHeight="1">
      <c r="B48" s="256" t="s">
        <v>153</v>
      </c>
      <c r="C48" s="257"/>
      <c r="D48" s="114">
        <f>4+2+1+8+1+1+1+2</f>
        <v>20</v>
      </c>
      <c r="E48" s="125"/>
      <c r="F48" s="116">
        <f t="shared" si="5"/>
        <v>0</v>
      </c>
      <c r="G48" s="117">
        <f>3+1+1+1+1+1+1</f>
        <v>9</v>
      </c>
      <c r="H48" s="125"/>
      <c r="I48" s="116">
        <f t="shared" si="6"/>
        <v>0</v>
      </c>
      <c r="J48" s="117">
        <f>2+1+1+1+2+1</f>
        <v>8</v>
      </c>
      <c r="K48" s="125"/>
      <c r="L48" s="116">
        <f t="shared" si="7"/>
        <v>0</v>
      </c>
      <c r="M48" s="117">
        <f>2+1+1+1+1</f>
        <v>6</v>
      </c>
      <c r="N48" s="125"/>
      <c r="O48" s="116">
        <f t="shared" si="8"/>
        <v>0</v>
      </c>
      <c r="P48" s="117">
        <f>5+4+2+4+1+1+1</f>
        <v>18</v>
      </c>
      <c r="Q48" s="125"/>
      <c r="R48" s="116">
        <f t="shared" si="9"/>
        <v>0</v>
      </c>
    </row>
    <row r="49" spans="2:18" ht="20.25" customHeight="1">
      <c r="B49" s="256" t="s">
        <v>185</v>
      </c>
      <c r="C49" s="257"/>
      <c r="D49" s="114">
        <f>1+1</f>
        <v>2</v>
      </c>
      <c r="E49" s="125"/>
      <c r="F49" s="116">
        <f t="shared" si="5"/>
        <v>0</v>
      </c>
      <c r="G49" s="117">
        <v>1</v>
      </c>
      <c r="H49" s="125"/>
      <c r="I49" s="116">
        <f t="shared" si="6"/>
        <v>0</v>
      </c>
      <c r="J49" s="117">
        <v>1</v>
      </c>
      <c r="K49" s="125"/>
      <c r="L49" s="116">
        <f t="shared" si="7"/>
        <v>0</v>
      </c>
      <c r="M49" s="117">
        <v>1</v>
      </c>
      <c r="N49" s="125"/>
      <c r="O49" s="116">
        <f t="shared" si="8"/>
        <v>0</v>
      </c>
      <c r="P49" s="117">
        <v>1</v>
      </c>
      <c r="Q49" s="125"/>
      <c r="R49" s="116">
        <f t="shared" si="9"/>
        <v>0</v>
      </c>
    </row>
    <row r="50" spans="2:18" ht="20.25" customHeight="1">
      <c r="B50" s="256" t="s">
        <v>213</v>
      </c>
      <c r="C50" s="257"/>
      <c r="D50" s="114">
        <f>7+29+18+11+2+3+2+3</f>
        <v>75</v>
      </c>
      <c r="E50" s="125"/>
      <c r="F50" s="116">
        <f t="shared" si="5"/>
        <v>0</v>
      </c>
      <c r="G50" s="117">
        <f>31+12+9+7+10+6+15</f>
        <v>90</v>
      </c>
      <c r="H50" s="125"/>
      <c r="I50" s="116">
        <f t="shared" si="6"/>
        <v>0</v>
      </c>
      <c r="J50" s="117">
        <f>20+11+8+11+7+9</f>
        <v>66</v>
      </c>
      <c r="K50" s="125"/>
      <c r="L50" s="116">
        <f t="shared" si="7"/>
        <v>0</v>
      </c>
      <c r="M50" s="117">
        <f>9+11+7+10+6+4</f>
        <v>47</v>
      </c>
      <c r="N50" s="125"/>
      <c r="O50" s="116">
        <f t="shared" si="8"/>
        <v>0</v>
      </c>
      <c r="P50" s="117">
        <f>14+14+9+9+4+2+5</f>
        <v>57</v>
      </c>
      <c r="Q50" s="125"/>
      <c r="R50" s="116">
        <f t="shared" si="9"/>
        <v>0</v>
      </c>
    </row>
    <row r="51" spans="2:18" ht="20.25" customHeight="1">
      <c r="B51" s="256" t="s">
        <v>186</v>
      </c>
      <c r="C51" s="257"/>
      <c r="D51" s="114">
        <f>4+3</f>
        <v>7</v>
      </c>
      <c r="E51" s="125"/>
      <c r="F51" s="116">
        <f t="shared" si="5"/>
        <v>0</v>
      </c>
      <c r="G51" s="114">
        <f>1+1+1+1+1+1</f>
        <v>6</v>
      </c>
      <c r="H51" s="125"/>
      <c r="I51" s="116">
        <f t="shared" si="6"/>
        <v>0</v>
      </c>
      <c r="J51" s="114">
        <f>2+1+1+1+2+1</f>
        <v>8</v>
      </c>
      <c r="K51" s="125"/>
      <c r="L51" s="116">
        <f t="shared" si="7"/>
        <v>0</v>
      </c>
      <c r="M51" s="114"/>
      <c r="N51" s="125"/>
      <c r="O51" s="116">
        <f t="shared" si="8"/>
        <v>0</v>
      </c>
      <c r="P51" s="114"/>
      <c r="Q51" s="125"/>
      <c r="R51" s="116">
        <f t="shared" si="9"/>
        <v>0</v>
      </c>
    </row>
    <row r="52" spans="2:18" ht="20.25" customHeight="1">
      <c r="B52" s="256" t="s">
        <v>187</v>
      </c>
      <c r="C52" s="257"/>
      <c r="D52" s="114">
        <f>1+18+3+1+1+1+1+1</f>
        <v>27</v>
      </c>
      <c r="E52" s="125"/>
      <c r="F52" s="116">
        <f t="shared" si="5"/>
        <v>0</v>
      </c>
      <c r="G52" s="114">
        <v>6</v>
      </c>
      <c r="H52" s="125"/>
      <c r="I52" s="116">
        <f t="shared" si="6"/>
        <v>0</v>
      </c>
      <c r="J52" s="114">
        <f>3+1+2+8+1+1</f>
        <v>16</v>
      </c>
      <c r="K52" s="125"/>
      <c r="L52" s="116">
        <f t="shared" si="7"/>
        <v>0</v>
      </c>
      <c r="M52" s="114">
        <f>10+5+2+3+1+1</f>
        <v>22</v>
      </c>
      <c r="N52" s="125"/>
      <c r="O52" s="116">
        <f t="shared" si="8"/>
        <v>0</v>
      </c>
      <c r="P52" s="114">
        <f>5+7+3+4+1+1+1</f>
        <v>22</v>
      </c>
      <c r="Q52" s="125"/>
      <c r="R52" s="116">
        <f t="shared" si="9"/>
        <v>0</v>
      </c>
    </row>
    <row r="53" spans="2:18" ht="20.25" customHeight="1">
      <c r="B53" s="258" t="s">
        <v>188</v>
      </c>
      <c r="C53" s="257"/>
      <c r="D53" s="114">
        <f>1+18+6</f>
        <v>25</v>
      </c>
      <c r="E53" s="125"/>
      <c r="F53" s="116">
        <f t="shared" si="5"/>
        <v>0</v>
      </c>
      <c r="G53" s="114">
        <f>16+3+1+2+3</f>
        <v>25</v>
      </c>
      <c r="H53" s="125"/>
      <c r="I53" s="116">
        <f t="shared" si="6"/>
        <v>0</v>
      </c>
      <c r="J53" s="114">
        <f>15+3+4+1+1+1</f>
        <v>25</v>
      </c>
      <c r="K53" s="125"/>
      <c r="L53" s="116">
        <f t="shared" si="7"/>
        <v>0</v>
      </c>
      <c r="M53" s="114">
        <f>4+10+5+6</f>
        <v>25</v>
      </c>
      <c r="N53" s="125"/>
      <c r="O53" s="116">
        <f t="shared" si="8"/>
        <v>0</v>
      </c>
      <c r="P53" s="114">
        <f>7+7+3+5+3</f>
        <v>25</v>
      </c>
      <c r="Q53" s="125"/>
      <c r="R53" s="116">
        <f t="shared" si="9"/>
        <v>0</v>
      </c>
    </row>
    <row r="54" spans="2:18" s="120" customFormat="1" ht="20.25" customHeight="1">
      <c r="B54" s="259" t="s">
        <v>189</v>
      </c>
      <c r="C54" s="260"/>
      <c r="D54" s="114">
        <f>33+21+1</f>
        <v>55</v>
      </c>
      <c r="E54" s="125"/>
      <c r="F54" s="116">
        <f t="shared" si="5"/>
        <v>0</v>
      </c>
      <c r="G54" s="114">
        <f>10+4+2+3+3+5</f>
        <v>27</v>
      </c>
      <c r="H54" s="125"/>
      <c r="I54" s="116">
        <f t="shared" si="6"/>
        <v>0</v>
      </c>
      <c r="J54" s="114">
        <f>9+2+4+4+5</f>
        <v>24</v>
      </c>
      <c r="K54" s="125"/>
      <c r="L54" s="116">
        <f t="shared" si="7"/>
        <v>0</v>
      </c>
      <c r="M54" s="114">
        <f>22+8+3</f>
        <v>33</v>
      </c>
      <c r="N54" s="125"/>
      <c r="O54" s="116">
        <f t="shared" si="8"/>
        <v>0</v>
      </c>
      <c r="P54" s="114">
        <f>11+10+1+1+1+1</f>
        <v>25</v>
      </c>
      <c r="Q54" s="125"/>
      <c r="R54" s="116">
        <f t="shared" si="9"/>
        <v>0</v>
      </c>
    </row>
    <row r="55" spans="2:18" s="120" customFormat="1" ht="20.25" customHeight="1">
      <c r="B55" s="258" t="s">
        <v>93</v>
      </c>
      <c r="C55" s="261"/>
      <c r="D55" s="114">
        <f>27+20+19+10+1+2+1+7</f>
        <v>87</v>
      </c>
      <c r="E55" s="125"/>
      <c r="F55" s="116">
        <f t="shared" si="5"/>
        <v>0</v>
      </c>
      <c r="G55" s="114">
        <f>20+11+7+7+9+5+12</f>
        <v>71</v>
      </c>
      <c r="H55" s="125"/>
      <c r="I55" s="116">
        <f t="shared" si="6"/>
        <v>0</v>
      </c>
      <c r="J55" s="114">
        <f>24+9+7+9+5+9</f>
        <v>63</v>
      </c>
      <c r="K55" s="125"/>
      <c r="L55" s="116">
        <f t="shared" si="7"/>
        <v>0</v>
      </c>
      <c r="M55" s="114">
        <f>16+15+11+12+10+4</f>
        <v>68</v>
      </c>
      <c r="N55" s="125"/>
      <c r="O55" s="116">
        <f t="shared" si="8"/>
        <v>0</v>
      </c>
      <c r="P55" s="114">
        <f>19+17+8+10+6+5+4</f>
        <v>69</v>
      </c>
      <c r="Q55" s="125"/>
      <c r="R55" s="116">
        <f t="shared" si="9"/>
        <v>0</v>
      </c>
    </row>
    <row r="56" spans="2:18" s="120" customFormat="1" ht="20.25" customHeight="1">
      <c r="B56" s="258" t="s">
        <v>190</v>
      </c>
      <c r="C56" s="257"/>
      <c r="D56" s="114">
        <f>21+32+7+7+2+2+4</f>
        <v>75</v>
      </c>
      <c r="E56" s="125"/>
      <c r="F56" s="116">
        <f t="shared" si="5"/>
        <v>0</v>
      </c>
      <c r="G56" s="114">
        <f>10+2+5+2+2</f>
        <v>21</v>
      </c>
      <c r="H56" s="125"/>
      <c r="I56" s="116">
        <f t="shared" si="6"/>
        <v>0</v>
      </c>
      <c r="J56" s="114">
        <f>7+3+11+3+12+5</f>
        <v>41</v>
      </c>
      <c r="K56" s="125"/>
      <c r="L56" s="116">
        <f t="shared" si="7"/>
        <v>0</v>
      </c>
      <c r="M56" s="114">
        <f>2+2</f>
        <v>4</v>
      </c>
      <c r="N56" s="125"/>
      <c r="O56" s="116">
        <f t="shared" si="8"/>
        <v>0</v>
      </c>
      <c r="P56" s="114">
        <f>25+13+9+10+6+3+5</f>
        <v>71</v>
      </c>
      <c r="Q56" s="125"/>
      <c r="R56" s="116">
        <f t="shared" si="9"/>
        <v>0</v>
      </c>
    </row>
    <row r="57" spans="2:18" s="120" customFormat="1" ht="20.25" customHeight="1">
      <c r="B57" s="258" t="s">
        <v>191</v>
      </c>
      <c r="C57" s="257"/>
      <c r="D57" s="114">
        <f>1+14+14+7+1+1+1+2</f>
        <v>41</v>
      </c>
      <c r="E57" s="125"/>
      <c r="F57" s="116">
        <f t="shared" si="5"/>
        <v>0</v>
      </c>
      <c r="G57" s="114">
        <f>14+11+7+8+5+4+11</f>
        <v>60</v>
      </c>
      <c r="H57" s="125"/>
      <c r="I57" s="116">
        <f t="shared" si="6"/>
        <v>0</v>
      </c>
      <c r="J57" s="114">
        <f>3+1+3+4+4+1</f>
        <v>16</v>
      </c>
      <c r="K57" s="125"/>
      <c r="L57" s="116">
        <f t="shared" si="7"/>
        <v>0</v>
      </c>
      <c r="M57" s="114">
        <f>3+1+1</f>
        <v>5</v>
      </c>
      <c r="N57" s="125"/>
      <c r="O57" s="116">
        <f t="shared" si="8"/>
        <v>0</v>
      </c>
      <c r="P57" s="114">
        <f>7+7+4+7+2+2</f>
        <v>29</v>
      </c>
      <c r="Q57" s="125"/>
      <c r="R57" s="116">
        <f t="shared" si="9"/>
        <v>0</v>
      </c>
    </row>
    <row r="58" spans="2:18" s="120" customFormat="1" ht="20.25" customHeight="1">
      <c r="B58" s="258" t="s">
        <v>192</v>
      </c>
      <c r="C58" s="257"/>
      <c r="D58" s="114">
        <f>1+2+1</f>
        <v>4</v>
      </c>
      <c r="E58" s="125"/>
      <c r="F58" s="116">
        <f t="shared" si="5"/>
        <v>0</v>
      </c>
      <c r="G58" s="114">
        <f>1+1</f>
        <v>2</v>
      </c>
      <c r="H58" s="125"/>
      <c r="I58" s="116">
        <f t="shared" si="6"/>
        <v>0</v>
      </c>
      <c r="J58" s="114">
        <v>1</v>
      </c>
      <c r="K58" s="125"/>
      <c r="L58" s="116">
        <f t="shared" si="7"/>
        <v>0</v>
      </c>
      <c r="M58" s="114">
        <f>2+2+1+1+2</f>
        <v>8</v>
      </c>
      <c r="N58" s="125"/>
      <c r="O58" s="116">
        <f t="shared" si="8"/>
        <v>0</v>
      </c>
      <c r="P58" s="114">
        <f>3+6+2+2+1+1+1</f>
        <v>16</v>
      </c>
      <c r="Q58" s="125"/>
      <c r="R58" s="116">
        <f t="shared" si="9"/>
        <v>0</v>
      </c>
    </row>
    <row r="59" spans="2:18" s="120" customFormat="1" ht="20.25" customHeight="1">
      <c r="B59" s="258" t="s">
        <v>193</v>
      </c>
      <c r="C59" s="257"/>
      <c r="D59" s="114">
        <f>1+1+3+1+1+1+1+2</f>
        <v>11</v>
      </c>
      <c r="E59" s="125"/>
      <c r="F59" s="116">
        <f t="shared" si="5"/>
        <v>0</v>
      </c>
      <c r="G59" s="114">
        <f>1+1+1+2+1+1</f>
        <v>7</v>
      </c>
      <c r="H59" s="125"/>
      <c r="I59" s="116">
        <f t="shared" si="6"/>
        <v>0</v>
      </c>
      <c r="J59" s="114">
        <f>1+1+1+1+1+1</f>
        <v>6</v>
      </c>
      <c r="K59" s="125"/>
      <c r="L59" s="116">
        <f t="shared" si="7"/>
        <v>0</v>
      </c>
      <c r="M59" s="114">
        <f>4+3+2+2+1</f>
        <v>12</v>
      </c>
      <c r="N59" s="125"/>
      <c r="O59" s="116">
        <f t="shared" si="8"/>
        <v>0</v>
      </c>
      <c r="P59" s="114">
        <f>10+6+3+5+1+1+1</f>
        <v>27</v>
      </c>
      <c r="Q59" s="125"/>
      <c r="R59" s="116">
        <f t="shared" si="9"/>
        <v>0</v>
      </c>
    </row>
    <row r="60" spans="2:18" s="120" customFormat="1" ht="20.25" customHeight="1">
      <c r="B60" s="258" t="s">
        <v>194</v>
      </c>
      <c r="C60" s="257"/>
      <c r="D60" s="114">
        <v>35</v>
      </c>
      <c r="E60" s="125"/>
      <c r="F60" s="116">
        <f t="shared" si="5"/>
        <v>0</v>
      </c>
      <c r="G60" s="114">
        <v>18</v>
      </c>
      <c r="H60" s="125"/>
      <c r="I60" s="116">
        <f t="shared" si="6"/>
        <v>0</v>
      </c>
      <c r="J60" s="114">
        <v>19</v>
      </c>
      <c r="K60" s="125"/>
      <c r="L60" s="116">
        <f t="shared" si="7"/>
        <v>0</v>
      </c>
      <c r="M60" s="114">
        <v>9</v>
      </c>
      <c r="N60" s="125"/>
      <c r="O60" s="116">
        <f t="shared" si="8"/>
        <v>0</v>
      </c>
      <c r="P60" s="114">
        <v>7</v>
      </c>
      <c r="Q60" s="125"/>
      <c r="R60" s="116">
        <f t="shared" si="9"/>
        <v>0</v>
      </c>
    </row>
    <row r="61" spans="2:18" s="120" customFormat="1" ht="20.25" customHeight="1">
      <c r="B61" s="258" t="s">
        <v>195</v>
      </c>
      <c r="C61" s="261"/>
      <c r="D61" s="114">
        <f>29+35+22+12+1+2+1+9</f>
        <v>111</v>
      </c>
      <c r="E61" s="125"/>
      <c r="F61" s="116">
        <f t="shared" si="5"/>
        <v>0</v>
      </c>
      <c r="G61" s="114">
        <f>26+13+14+7+9+8+13</f>
        <v>90</v>
      </c>
      <c r="H61" s="125"/>
      <c r="I61" s="116">
        <f t="shared" si="6"/>
        <v>0</v>
      </c>
      <c r="J61" s="114">
        <f>24+10+8+8+6+10</f>
        <v>66</v>
      </c>
      <c r="K61" s="125"/>
      <c r="L61" s="116">
        <f t="shared" si="7"/>
        <v>0</v>
      </c>
      <c r="M61" s="114">
        <f>15+17+10+9+6+4</f>
        <v>61</v>
      </c>
      <c r="N61" s="125"/>
      <c r="O61" s="116">
        <f t="shared" si="8"/>
        <v>0</v>
      </c>
      <c r="P61" s="114">
        <f>17+15+8+11+7+5+4</f>
        <v>67</v>
      </c>
      <c r="Q61" s="125"/>
      <c r="R61" s="116">
        <f t="shared" si="9"/>
        <v>0</v>
      </c>
    </row>
    <row r="62" spans="2:18" s="120" customFormat="1" ht="20.25" customHeight="1">
      <c r="B62" s="258" t="s">
        <v>196</v>
      </c>
      <c r="C62" s="261"/>
      <c r="D62" s="114">
        <f>26+25+27+18+1+3+1+10</f>
        <v>111</v>
      </c>
      <c r="E62" s="125"/>
      <c r="F62" s="116">
        <f t="shared" si="5"/>
        <v>0</v>
      </c>
      <c r="G62" s="114">
        <f>15+15+10+10+10+10+20</f>
        <v>90</v>
      </c>
      <c r="H62" s="125"/>
      <c r="I62" s="116">
        <f t="shared" si="6"/>
        <v>0</v>
      </c>
      <c r="J62" s="114">
        <f>20+9+25+17+9+8</f>
        <v>88</v>
      </c>
      <c r="K62" s="125"/>
      <c r="L62" s="116">
        <f t="shared" si="7"/>
        <v>0</v>
      </c>
      <c r="M62" s="114">
        <f>18+16+25+17+15+6</f>
        <v>97</v>
      </c>
      <c r="N62" s="125"/>
      <c r="O62" s="116">
        <f t="shared" si="8"/>
        <v>0</v>
      </c>
      <c r="P62" s="114">
        <f>29+26+8+17+9+9+13</f>
        <v>111</v>
      </c>
      <c r="Q62" s="125"/>
      <c r="R62" s="116">
        <f t="shared" si="9"/>
        <v>0</v>
      </c>
    </row>
    <row r="63" spans="2:18" s="120" customFormat="1" ht="20.25" customHeight="1">
      <c r="B63" s="258" t="s">
        <v>197</v>
      </c>
      <c r="C63" s="257"/>
      <c r="D63" s="114">
        <f>10+59+23+10+1+3+1+9</f>
        <v>116</v>
      </c>
      <c r="E63" s="125"/>
      <c r="F63" s="116">
        <f t="shared" si="5"/>
        <v>0</v>
      </c>
      <c r="G63" s="114">
        <f>21+12+8+8+12+11+16</f>
        <v>88</v>
      </c>
      <c r="H63" s="125"/>
      <c r="I63" s="116">
        <f t="shared" si="6"/>
        <v>0</v>
      </c>
      <c r="J63" s="114">
        <f>31+14+11+13+8+11</f>
        <v>88</v>
      </c>
      <c r="K63" s="125"/>
      <c r="L63" s="116">
        <f t="shared" si="7"/>
        <v>0</v>
      </c>
      <c r="M63" s="114">
        <f>22+22+10+14+8+4</f>
        <v>80</v>
      </c>
      <c r="N63" s="125"/>
      <c r="O63" s="116">
        <f t="shared" si="8"/>
        <v>0</v>
      </c>
      <c r="P63" s="114">
        <f>19+21+5+17+7+6+16</f>
        <v>91</v>
      </c>
      <c r="Q63" s="125"/>
      <c r="R63" s="116">
        <f t="shared" si="9"/>
        <v>0</v>
      </c>
    </row>
    <row r="64" spans="2:18" s="120" customFormat="1" ht="20.25" customHeight="1">
      <c r="B64" s="258" t="s">
        <v>198</v>
      </c>
      <c r="C64" s="257"/>
      <c r="D64" s="114">
        <v>87</v>
      </c>
      <c r="E64" s="125"/>
      <c r="F64" s="116">
        <f t="shared" si="5"/>
        <v>0</v>
      </c>
      <c r="G64" s="114">
        <v>67</v>
      </c>
      <c r="H64" s="125"/>
      <c r="I64" s="116">
        <f t="shared" si="6"/>
        <v>0</v>
      </c>
      <c r="J64" s="114">
        <v>55</v>
      </c>
      <c r="K64" s="125"/>
      <c r="L64" s="116">
        <f t="shared" si="7"/>
        <v>0</v>
      </c>
      <c r="M64" s="114">
        <v>43</v>
      </c>
      <c r="N64" s="125"/>
      <c r="O64" s="116">
        <f t="shared" si="8"/>
        <v>0</v>
      </c>
      <c r="P64" s="114">
        <v>58</v>
      </c>
      <c r="Q64" s="125"/>
      <c r="R64" s="116">
        <f t="shared" si="9"/>
        <v>0</v>
      </c>
    </row>
    <row r="65" spans="2:18" ht="15" customHeight="1">
      <c r="B65" s="279" t="s">
        <v>68</v>
      </c>
      <c r="C65" s="280"/>
      <c r="D65" s="114">
        <f>SUM(D46:D64)</f>
        <v>994</v>
      </c>
      <c r="E65" s="118" t="s">
        <v>175</v>
      </c>
      <c r="F65" s="116">
        <f>SUM(F46:F64)</f>
        <v>0</v>
      </c>
      <c r="G65" s="114">
        <f>SUM(G46:G64)</f>
        <v>759</v>
      </c>
      <c r="H65" s="118" t="s">
        <v>175</v>
      </c>
      <c r="I65" s="116">
        <f>SUM(I46:I64)</f>
        <v>0</v>
      </c>
      <c r="J65" s="114">
        <f>SUM(J46:J64)</f>
        <v>663</v>
      </c>
      <c r="K65" s="118" t="s">
        <v>175</v>
      </c>
      <c r="L65" s="116">
        <f>SUM(L46:L64)</f>
        <v>0</v>
      </c>
      <c r="M65" s="114">
        <f>SUM(M46:M64)</f>
        <v>570</v>
      </c>
      <c r="N65" s="118" t="s">
        <v>175</v>
      </c>
      <c r="O65" s="116">
        <f>SUM(O46:O64)</f>
        <v>0</v>
      </c>
      <c r="P65" s="114">
        <f>SUM(P46:P64)</f>
        <v>754</v>
      </c>
      <c r="Q65" s="118" t="s">
        <v>175</v>
      </c>
      <c r="R65" s="116">
        <f>SUM(R46:R64)</f>
        <v>0</v>
      </c>
    </row>
    <row r="66" spans="2:18" ht="23.25" customHeight="1">
      <c r="B66" s="132"/>
      <c r="C66" s="119"/>
      <c r="D66" s="285" t="s">
        <v>10</v>
      </c>
      <c r="E66" s="282"/>
      <c r="F66" s="46">
        <f>+F65*10%</f>
        <v>0</v>
      </c>
      <c r="G66" s="281" t="s">
        <v>10</v>
      </c>
      <c r="H66" s="282"/>
      <c r="I66" s="46">
        <f>+I65*10%</f>
        <v>0</v>
      </c>
      <c r="J66" s="281" t="s">
        <v>10</v>
      </c>
      <c r="K66" s="282"/>
      <c r="L66" s="46">
        <f>+L65*10%</f>
        <v>0</v>
      </c>
      <c r="M66" s="281" t="s">
        <v>10</v>
      </c>
      <c r="N66" s="282"/>
      <c r="O66" s="46">
        <f>+O65*10%</f>
        <v>0</v>
      </c>
      <c r="P66" s="281" t="s">
        <v>10</v>
      </c>
      <c r="Q66" s="282"/>
      <c r="R66" s="46">
        <f>+R65*10%</f>
        <v>0</v>
      </c>
    </row>
    <row r="67" spans="2:18" ht="15" customHeight="1">
      <c r="B67" s="132"/>
      <c r="C67" s="119"/>
      <c r="D67" s="44" t="s">
        <v>32</v>
      </c>
      <c r="E67" s="45">
        <v>0.16</v>
      </c>
      <c r="F67" s="46">
        <f>+F66*E67</f>
        <v>0</v>
      </c>
      <c r="G67" s="47" t="s">
        <v>32</v>
      </c>
      <c r="H67" s="45">
        <v>0.16</v>
      </c>
      <c r="I67" s="46">
        <f>+I66*H67</f>
        <v>0</v>
      </c>
      <c r="J67" s="47" t="s">
        <v>32</v>
      </c>
      <c r="K67" s="45">
        <v>0.16</v>
      </c>
      <c r="L67" s="46">
        <f>+L66*K67</f>
        <v>0</v>
      </c>
      <c r="M67" s="47" t="s">
        <v>32</v>
      </c>
      <c r="N67" s="45">
        <v>0.16</v>
      </c>
      <c r="O67" s="46">
        <f>+O66*N67</f>
        <v>0</v>
      </c>
      <c r="P67" s="47" t="s">
        <v>32</v>
      </c>
      <c r="Q67" s="45">
        <v>0.16</v>
      </c>
      <c r="R67" s="46">
        <f>+R66*Q67</f>
        <v>0</v>
      </c>
    </row>
    <row r="68" spans="2:18" ht="48" customHeight="1">
      <c r="B68" s="132"/>
      <c r="C68" s="119"/>
      <c r="D68" s="283" t="s">
        <v>207</v>
      </c>
      <c r="E68" s="284"/>
      <c r="F68" s="48">
        <f>+ROUND(F65+F67,0)</f>
        <v>0</v>
      </c>
      <c r="G68" s="283" t="s">
        <v>208</v>
      </c>
      <c r="H68" s="284"/>
      <c r="I68" s="48">
        <f>+ROUND(I65+I67,0)</f>
        <v>0</v>
      </c>
      <c r="J68" s="283" t="s">
        <v>209</v>
      </c>
      <c r="K68" s="284"/>
      <c r="L68" s="48">
        <f>+ROUND(L65+L67,0)</f>
        <v>0</v>
      </c>
      <c r="M68" s="283" t="s">
        <v>210</v>
      </c>
      <c r="N68" s="284"/>
      <c r="O68" s="48">
        <f>+ROUND(O65+O67,0)</f>
        <v>0</v>
      </c>
      <c r="P68" s="283" t="s">
        <v>211</v>
      </c>
      <c r="Q68" s="284"/>
      <c r="R68" s="48">
        <f>+ROUND(R65+R67,0)</f>
        <v>0</v>
      </c>
    </row>
    <row r="69" spans="2:18">
      <c r="C69" s="121"/>
      <c r="D69" s="122"/>
      <c r="F69" s="123"/>
      <c r="I69" s="123"/>
      <c r="L69" s="123"/>
      <c r="O69" s="123"/>
      <c r="R69" s="123"/>
    </row>
    <row r="70" spans="2:18" ht="40.5" customHeight="1">
      <c r="B70" s="132"/>
      <c r="C70" s="119"/>
      <c r="D70" s="286" t="s">
        <v>179</v>
      </c>
      <c r="E70" s="287"/>
      <c r="F70" s="48">
        <f>+F42+F68</f>
        <v>861442055</v>
      </c>
      <c r="G70" s="286" t="s">
        <v>180</v>
      </c>
      <c r="H70" s="287"/>
      <c r="I70" s="48">
        <f>+I42+I68</f>
        <v>593915816</v>
      </c>
      <c r="J70" s="286" t="s">
        <v>181</v>
      </c>
      <c r="K70" s="287"/>
      <c r="L70" s="48">
        <f>+L42+L68</f>
        <v>487004351</v>
      </c>
      <c r="M70" s="286" t="s">
        <v>182</v>
      </c>
      <c r="N70" s="287"/>
      <c r="O70" s="48">
        <f>+O42+O68</f>
        <v>423207938</v>
      </c>
      <c r="P70" s="286" t="s">
        <v>183</v>
      </c>
      <c r="Q70" s="287"/>
      <c r="R70" s="48">
        <f>+R42+R68</f>
        <v>498291401</v>
      </c>
    </row>
    <row r="71" spans="2:18">
      <c r="M71" s="124"/>
    </row>
    <row r="72" spans="2:18" s="13" customFormat="1" ht="15.75" customHeight="1">
      <c r="B72" s="266" t="s">
        <v>14</v>
      </c>
      <c r="C72" s="266"/>
      <c r="D72" s="266"/>
      <c r="E72" s="266"/>
      <c r="F72" s="266"/>
      <c r="G72" s="266"/>
      <c r="H72" s="266"/>
      <c r="I72" s="266"/>
      <c r="J72" s="266"/>
      <c r="K72" s="266"/>
    </row>
    <row r="73" spans="2:18" s="13" customFormat="1" ht="59.25" customHeight="1">
      <c r="B73" s="254" t="s">
        <v>184</v>
      </c>
      <c r="C73" s="254"/>
      <c r="D73" s="254"/>
      <c r="E73" s="254"/>
      <c r="F73" s="254"/>
      <c r="G73" s="254"/>
      <c r="H73" s="254"/>
      <c r="I73" s="254"/>
      <c r="J73" s="254"/>
      <c r="K73" s="254"/>
    </row>
    <row r="74" spans="2:18" s="13" customFormat="1" ht="57" customHeight="1">
      <c r="B74" s="254" t="s">
        <v>157</v>
      </c>
      <c r="C74" s="254"/>
      <c r="D74" s="254"/>
      <c r="E74" s="254"/>
      <c r="F74" s="254"/>
      <c r="G74" s="254"/>
      <c r="H74" s="254"/>
      <c r="I74" s="254"/>
      <c r="J74" s="254"/>
      <c r="K74" s="254"/>
    </row>
  </sheetData>
  <sheetProtection password="CBC9" sheet="1" objects="1" scenarios="1" selectLockedCells="1"/>
  <mergeCells count="90">
    <mergeCell ref="J70:K70"/>
    <mergeCell ref="M70:N70"/>
    <mergeCell ref="P70:Q70"/>
    <mergeCell ref="J68:K68"/>
    <mergeCell ref="M68:N68"/>
    <mergeCell ref="P68:Q68"/>
    <mergeCell ref="J66:K66"/>
    <mergeCell ref="M66:N66"/>
    <mergeCell ref="P66:Q66"/>
    <mergeCell ref="D42:E42"/>
    <mergeCell ref="D40:E40"/>
    <mergeCell ref="D70:E70"/>
    <mergeCell ref="G70:H70"/>
    <mergeCell ref="B65:C65"/>
    <mergeCell ref="D66:E66"/>
    <mergeCell ref="G66:H66"/>
    <mergeCell ref="G44:I44"/>
    <mergeCell ref="G40:H40"/>
    <mergeCell ref="G42:H42"/>
    <mergeCell ref="D68:E68"/>
    <mergeCell ref="G68:H68"/>
    <mergeCell ref="J44:L44"/>
    <mergeCell ref="M44:O44"/>
    <mergeCell ref="P44:R44"/>
    <mergeCell ref="M22:O22"/>
    <mergeCell ref="M40:N40"/>
    <mergeCell ref="M42:N42"/>
    <mergeCell ref="P22:R22"/>
    <mergeCell ref="P40:Q40"/>
    <mergeCell ref="P42:Q42"/>
    <mergeCell ref="J22:L22"/>
    <mergeCell ref="J40:K40"/>
    <mergeCell ref="J42:K42"/>
    <mergeCell ref="B28:C28"/>
    <mergeCell ref="B29:C29"/>
    <mergeCell ref="B30:C30"/>
    <mergeCell ref="B45:C45"/>
    <mergeCell ref="B46:C46"/>
    <mergeCell ref="B31:C31"/>
    <mergeCell ref="B32:C32"/>
    <mergeCell ref="B33:C33"/>
    <mergeCell ref="B34:C34"/>
    <mergeCell ref="B35:C35"/>
    <mergeCell ref="B36:C36"/>
    <mergeCell ref="B37:C37"/>
    <mergeCell ref="B39:C39"/>
    <mergeCell ref="B38:C38"/>
    <mergeCell ref="B23:C23"/>
    <mergeCell ref="B24:C24"/>
    <mergeCell ref="B25:C25"/>
    <mergeCell ref="B26:C26"/>
    <mergeCell ref="B27:C27"/>
    <mergeCell ref="E10:G10"/>
    <mergeCell ref="E11:G11"/>
    <mergeCell ref="E12:G12"/>
    <mergeCell ref="B2:K7"/>
    <mergeCell ref="B9:K9"/>
    <mergeCell ref="I10:K10"/>
    <mergeCell ref="B15:K15"/>
    <mergeCell ref="B16:K16"/>
    <mergeCell ref="B72:K72"/>
    <mergeCell ref="B73:K73"/>
    <mergeCell ref="I11:K11"/>
    <mergeCell ref="I12:K12"/>
    <mergeCell ref="D22:F22"/>
    <mergeCell ref="G22:I22"/>
    <mergeCell ref="B60:C60"/>
    <mergeCell ref="B61:C61"/>
    <mergeCell ref="B62:C62"/>
    <mergeCell ref="B63:C63"/>
    <mergeCell ref="B64:C64"/>
    <mergeCell ref="B19:D19"/>
    <mergeCell ref="B20:D20"/>
    <mergeCell ref="B14:K14"/>
    <mergeCell ref="B74:K74"/>
    <mergeCell ref="B43:H43"/>
    <mergeCell ref="B49:C49"/>
    <mergeCell ref="B50:C50"/>
    <mergeCell ref="B51:C51"/>
    <mergeCell ref="B52:C52"/>
    <mergeCell ref="B53:C53"/>
    <mergeCell ref="B54:C54"/>
    <mergeCell ref="B47:C47"/>
    <mergeCell ref="B48:C48"/>
    <mergeCell ref="B55:C55"/>
    <mergeCell ref="B56:C56"/>
    <mergeCell ref="B57:C57"/>
    <mergeCell ref="B58:C58"/>
    <mergeCell ref="B59:C59"/>
    <mergeCell ref="D44:F44"/>
  </mergeCells>
  <pageMargins left="0.23622047244094491" right="0.23622047244094491" top="0.74803149606299213" bottom="0.74803149606299213" header="0.31496062992125984" footer="0.31496062992125984"/>
  <pageSetup scale="45" orientation="landscape" r:id="rId1"/>
  <rowBreaks count="1" manualBreakCount="1">
    <brk id="42" min="1"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74"/>
  <sheetViews>
    <sheetView showGridLines="0" zoomScale="80" zoomScaleNormal="80" zoomScaleSheetLayoutView="80" workbookViewId="0">
      <selection activeCell="C10" sqref="C10"/>
    </sheetView>
  </sheetViews>
  <sheetFormatPr baseColWidth="10" defaultColWidth="11.42578125" defaultRowHeight="12.75"/>
  <cols>
    <col min="1" max="1" width="4" style="3" customWidth="1"/>
    <col min="2" max="2" width="10.7109375" style="3" customWidth="1"/>
    <col min="3" max="3" width="52.42578125" style="3" customWidth="1"/>
    <col min="4" max="4" width="10.7109375" style="3" customWidth="1"/>
    <col min="5" max="6" width="17.7109375" style="3" customWidth="1"/>
    <col min="7" max="7" width="10.7109375" style="3" customWidth="1"/>
    <col min="8" max="9" width="17.7109375" style="3" customWidth="1"/>
    <col min="10" max="10" width="10.7109375" style="3" customWidth="1"/>
    <col min="11" max="12" width="17.7109375" style="3" customWidth="1"/>
    <col min="13" max="13" width="10.7109375" style="3" customWidth="1"/>
    <col min="14" max="15" width="17.7109375" style="3" customWidth="1"/>
    <col min="16" max="16" width="10.7109375" style="3" customWidth="1"/>
    <col min="17" max="18" width="17.7109375" style="3" customWidth="1"/>
    <col min="19" max="19" width="11.42578125" style="3" customWidth="1"/>
    <col min="20" max="16384" width="11.42578125" style="3"/>
  </cols>
  <sheetData>
    <row r="1" spans="2:11" ht="6.75" customHeight="1"/>
    <row r="2" spans="2:11" s="7" customFormat="1" ht="10.5" customHeight="1">
      <c r="B2" s="273"/>
      <c r="C2" s="273"/>
      <c r="D2" s="273"/>
      <c r="E2" s="273"/>
      <c r="F2" s="273"/>
      <c r="G2" s="273"/>
      <c r="H2" s="273"/>
      <c r="I2" s="273"/>
      <c r="J2" s="273"/>
      <c r="K2" s="273"/>
    </row>
    <row r="3" spans="2:11" s="7" customFormat="1" ht="12" customHeight="1">
      <c r="B3" s="273"/>
      <c r="C3" s="273"/>
      <c r="D3" s="273"/>
      <c r="E3" s="273"/>
      <c r="F3" s="273"/>
      <c r="G3" s="273"/>
      <c r="H3" s="273"/>
      <c r="I3" s="273"/>
      <c r="J3" s="273"/>
      <c r="K3" s="273"/>
    </row>
    <row r="4" spans="2:11" s="7" customFormat="1" ht="12" customHeight="1">
      <c r="B4" s="273"/>
      <c r="C4" s="273"/>
      <c r="D4" s="273"/>
      <c r="E4" s="273"/>
      <c r="F4" s="273"/>
      <c r="G4" s="273"/>
      <c r="H4" s="273"/>
      <c r="I4" s="273"/>
      <c r="J4" s="273"/>
      <c r="K4" s="273"/>
    </row>
    <row r="5" spans="2:11" s="7" customFormat="1" ht="12" customHeight="1">
      <c r="B5" s="273"/>
      <c r="C5" s="273"/>
      <c r="D5" s="273"/>
      <c r="E5" s="273"/>
      <c r="F5" s="273"/>
      <c r="G5" s="273"/>
      <c r="H5" s="273"/>
      <c r="I5" s="273"/>
      <c r="J5" s="273"/>
      <c r="K5" s="273"/>
    </row>
    <row r="6" spans="2:11" s="7" customFormat="1" ht="12" customHeight="1">
      <c r="B6" s="273"/>
      <c r="C6" s="273"/>
      <c r="D6" s="273"/>
      <c r="E6" s="273"/>
      <c r="F6" s="273"/>
      <c r="G6" s="273"/>
      <c r="H6" s="273"/>
      <c r="I6" s="273"/>
      <c r="J6" s="273"/>
      <c r="K6" s="273"/>
    </row>
    <row r="7" spans="2:11" s="7" customFormat="1" ht="7.5" customHeight="1">
      <c r="B7" s="273"/>
      <c r="C7" s="273"/>
      <c r="D7" s="273"/>
      <c r="E7" s="273"/>
      <c r="F7" s="273"/>
      <c r="G7" s="273"/>
      <c r="H7" s="273"/>
      <c r="I7" s="273"/>
      <c r="J7" s="273"/>
      <c r="K7" s="273"/>
    </row>
    <row r="8" spans="2:11" s="7" customFormat="1" ht="3.75" customHeight="1">
      <c r="B8" s="110"/>
      <c r="C8" s="110"/>
      <c r="D8" s="110"/>
      <c r="E8" s="110"/>
      <c r="F8" s="110"/>
      <c r="G8" s="110"/>
      <c r="H8" s="110"/>
      <c r="I8" s="110"/>
      <c r="J8" s="110"/>
      <c r="K8" s="110"/>
    </row>
    <row r="9" spans="2:11" s="7" customFormat="1" ht="15.75" customHeight="1">
      <c r="B9" s="274" t="s">
        <v>15</v>
      </c>
      <c r="C9" s="274"/>
      <c r="D9" s="274"/>
      <c r="E9" s="274"/>
      <c r="F9" s="274"/>
      <c r="G9" s="274"/>
      <c r="H9" s="274"/>
      <c r="I9" s="274"/>
      <c r="J9" s="274"/>
      <c r="K9" s="274"/>
    </row>
    <row r="10" spans="2:11" s="8" customFormat="1" ht="14.25" customHeight="1">
      <c r="B10" s="9" t="s">
        <v>22</v>
      </c>
      <c r="C10" s="127"/>
      <c r="D10" s="10" t="s">
        <v>16</v>
      </c>
      <c r="E10" s="267"/>
      <c r="F10" s="267"/>
      <c r="G10" s="267"/>
      <c r="H10" s="11" t="s">
        <v>17</v>
      </c>
      <c r="I10" s="267"/>
      <c r="J10" s="267"/>
      <c r="K10" s="267"/>
    </row>
    <row r="11" spans="2:11" s="8" customFormat="1" ht="14.25" customHeight="1">
      <c r="B11" s="12" t="s">
        <v>23</v>
      </c>
      <c r="C11" s="131"/>
      <c r="D11" s="5" t="s">
        <v>18</v>
      </c>
      <c r="E11" s="267"/>
      <c r="F11" s="267"/>
      <c r="G11" s="267"/>
      <c r="H11" s="6" t="s">
        <v>19</v>
      </c>
      <c r="I11" s="267"/>
      <c r="J11" s="267"/>
      <c r="K11" s="267"/>
    </row>
    <row r="12" spans="2:11" s="8" customFormat="1" ht="14.25" customHeight="1">
      <c r="B12" s="12" t="s">
        <v>24</v>
      </c>
      <c r="C12" s="131"/>
      <c r="D12" s="5" t="s">
        <v>20</v>
      </c>
      <c r="E12" s="267"/>
      <c r="F12" s="267"/>
      <c r="G12" s="267"/>
      <c r="H12" s="6" t="s">
        <v>21</v>
      </c>
      <c r="I12" s="267"/>
      <c r="J12" s="267"/>
      <c r="K12" s="267"/>
    </row>
    <row r="13" spans="2:11" s="13" customFormat="1" ht="5.25" customHeight="1">
      <c r="B13" s="14"/>
      <c r="C13" s="14"/>
      <c r="D13" s="14"/>
      <c r="E13" s="15"/>
      <c r="F13" s="15"/>
      <c r="G13" s="15"/>
      <c r="H13" s="16"/>
      <c r="I13" s="16"/>
      <c r="J13" s="17"/>
    </row>
    <row r="14" spans="2:11" s="13" customFormat="1" ht="15" customHeight="1">
      <c r="B14" s="272" t="s">
        <v>13</v>
      </c>
      <c r="C14" s="272"/>
      <c r="D14" s="272"/>
      <c r="E14" s="272"/>
      <c r="F14" s="272"/>
      <c r="G14" s="272"/>
      <c r="H14" s="272"/>
      <c r="I14" s="272"/>
      <c r="J14" s="272"/>
      <c r="K14" s="272"/>
    </row>
    <row r="15" spans="2:11" s="13" customFormat="1" ht="98.25" customHeight="1">
      <c r="B15" s="264" t="s">
        <v>168</v>
      </c>
      <c r="C15" s="264"/>
      <c r="D15" s="264"/>
      <c r="E15" s="264"/>
      <c r="F15" s="264"/>
      <c r="G15" s="264"/>
      <c r="H15" s="264"/>
      <c r="I15" s="264"/>
      <c r="J15" s="264"/>
      <c r="K15" s="264"/>
    </row>
    <row r="16" spans="2:11" s="13" customFormat="1" ht="93.75" customHeight="1">
      <c r="B16" s="265" t="s">
        <v>215</v>
      </c>
      <c r="C16" s="265"/>
      <c r="D16" s="265"/>
      <c r="E16" s="265"/>
      <c r="F16" s="265"/>
      <c r="G16" s="265"/>
      <c r="H16" s="265"/>
      <c r="I16" s="265"/>
      <c r="J16" s="265"/>
      <c r="K16" s="265"/>
    </row>
    <row r="17" spans="1:18" s="13" customFormat="1" ht="5.25" customHeight="1">
      <c r="B17" s="14"/>
      <c r="C17" s="14"/>
      <c r="D17" s="14"/>
      <c r="E17" s="15"/>
      <c r="F17" s="15"/>
      <c r="G17" s="15"/>
      <c r="H17" s="16"/>
      <c r="I17" s="16"/>
      <c r="J17" s="17"/>
    </row>
    <row r="18" spans="1:18" ht="15" customHeight="1">
      <c r="E18" s="129">
        <v>2015</v>
      </c>
      <c r="F18" s="129">
        <v>2016</v>
      </c>
      <c r="G18" s="129">
        <v>2017</v>
      </c>
      <c r="H18" s="129">
        <v>2018</v>
      </c>
    </row>
    <row r="19" spans="1:18" ht="15" customHeight="1">
      <c r="B19" s="269" t="s">
        <v>174</v>
      </c>
      <c r="C19" s="270"/>
      <c r="D19" s="271"/>
      <c r="E19" s="38">
        <v>0.5</v>
      </c>
      <c r="F19" s="38">
        <v>12</v>
      </c>
      <c r="G19" s="38">
        <v>12</v>
      </c>
      <c r="H19" s="38">
        <v>5.5</v>
      </c>
    </row>
    <row r="20" spans="1:18" ht="15" customHeight="1">
      <c r="B20" s="269" t="s">
        <v>173</v>
      </c>
      <c r="C20" s="270"/>
      <c r="D20" s="271"/>
      <c r="E20" s="30">
        <f>+' Circular 00435 de 2015'!G12</f>
        <v>644350</v>
      </c>
      <c r="F20" s="30">
        <f>+' Circular 00435 de 2015'!H12</f>
        <v>667933.21</v>
      </c>
      <c r="G20" s="30">
        <f>+' Circular 00435 de 2015'!I12</f>
        <v>692379.56548599992</v>
      </c>
      <c r="H20" s="30">
        <f>+' Circular 00435 de 2015'!J12</f>
        <v>717720.65758278745</v>
      </c>
    </row>
    <row r="21" spans="1:18" ht="4.5" customHeight="1"/>
    <row r="22" spans="1:18" s="28" customFormat="1" ht="15" customHeight="1">
      <c r="D22" s="262" t="s">
        <v>27</v>
      </c>
      <c r="E22" s="262"/>
      <c r="F22" s="263"/>
      <c r="G22" s="268" t="s">
        <v>36</v>
      </c>
      <c r="H22" s="262"/>
      <c r="I22" s="263"/>
      <c r="J22" s="268" t="s">
        <v>65</v>
      </c>
      <c r="K22" s="262"/>
      <c r="L22" s="263"/>
      <c r="M22" s="268" t="s">
        <v>66</v>
      </c>
      <c r="N22" s="262"/>
      <c r="O22" s="263"/>
      <c r="P22" s="268" t="s">
        <v>67</v>
      </c>
      <c r="Q22" s="262"/>
      <c r="R22" s="263"/>
    </row>
    <row r="23" spans="1:18" ht="40.5" customHeight="1">
      <c r="B23" s="275" t="s">
        <v>29</v>
      </c>
      <c r="C23" s="275"/>
      <c r="D23" s="111" t="s">
        <v>28</v>
      </c>
      <c r="E23" s="111" t="s">
        <v>177</v>
      </c>
      <c r="F23" s="112" t="s">
        <v>178</v>
      </c>
      <c r="G23" s="113" t="s">
        <v>28</v>
      </c>
      <c r="H23" s="111" t="s">
        <v>177</v>
      </c>
      <c r="I23" s="112" t="s">
        <v>178</v>
      </c>
      <c r="J23" s="113" t="s">
        <v>28</v>
      </c>
      <c r="K23" s="111" t="s">
        <v>177</v>
      </c>
      <c r="L23" s="112" t="s">
        <v>178</v>
      </c>
      <c r="M23" s="113" t="s">
        <v>28</v>
      </c>
      <c r="N23" s="111" t="s">
        <v>177</v>
      </c>
      <c r="O23" s="112" t="s">
        <v>178</v>
      </c>
      <c r="P23" s="113" t="s">
        <v>28</v>
      </c>
      <c r="Q23" s="111" t="s">
        <v>177</v>
      </c>
      <c r="R23" s="112" t="s">
        <v>178</v>
      </c>
    </row>
    <row r="24" spans="1:18" ht="15" customHeight="1">
      <c r="A24" s="135">
        <v>1</v>
      </c>
      <c r="B24" s="276" t="s">
        <v>35</v>
      </c>
      <c r="C24" s="276"/>
      <c r="D24" s="114">
        <f>3+4+1</f>
        <v>8</v>
      </c>
      <c r="E24" s="115">
        <f>+IF(D24=0,0,(VLOOKUP($B24,' Circular 00435 de 2015'!$B$24:$H$51,7,0)))</f>
        <v>6123902</v>
      </c>
      <c r="F24" s="116">
        <f>+E24*D24</f>
        <v>48991216</v>
      </c>
      <c r="G24" s="117">
        <v>1</v>
      </c>
      <c r="H24" s="115">
        <f>+IF(G24=0,0,(VLOOKUP($B24,' Circular 00435 de 2015'!$B$24:$H$51,7,0)))</f>
        <v>6123902</v>
      </c>
      <c r="I24" s="116">
        <f>+H24*G24</f>
        <v>6123902</v>
      </c>
      <c r="J24" s="117">
        <f>2+2</f>
        <v>4</v>
      </c>
      <c r="K24" s="115">
        <f>+IF(J24=0,0,(VLOOKUP($B24,' Circular 00435 de 2015'!$B$24:$H$51,7,0)))</f>
        <v>6123902</v>
      </c>
      <c r="L24" s="116">
        <f>+K24*J24</f>
        <v>24495608</v>
      </c>
      <c r="M24" s="117">
        <f>1+2</f>
        <v>3</v>
      </c>
      <c r="N24" s="115">
        <f>+IF(M24=0,0,(VLOOKUP($B24,' Circular 00435 de 2015'!$B$24:$H$51,7,0)))</f>
        <v>6123902</v>
      </c>
      <c r="O24" s="116">
        <f>+N24*M24</f>
        <v>18371706</v>
      </c>
      <c r="P24" s="117">
        <f>5+1+2+3</f>
        <v>11</v>
      </c>
      <c r="Q24" s="115">
        <f>+IF(P24=0,0,(VLOOKUP($B24,' Circular 00435 de 2015'!$B$24:$H$51,7,0)))</f>
        <v>6123902</v>
      </c>
      <c r="R24" s="116">
        <f>+Q24*P24</f>
        <v>67362922</v>
      </c>
    </row>
    <row r="25" spans="1:18" ht="15">
      <c r="A25" s="135">
        <v>2</v>
      </c>
      <c r="B25" s="276" t="s">
        <v>0</v>
      </c>
      <c r="C25" s="277"/>
      <c r="D25" s="114">
        <f>26-1+31+22+12+1+2+1+9+3</f>
        <v>106</v>
      </c>
      <c r="E25" s="115">
        <f>+IF(D25=0,0,(VLOOKUP($B25,' Circular 00435 de 2015'!$B$24:$H$51,7,0)))</f>
        <v>6237308</v>
      </c>
      <c r="F25" s="116">
        <f t="shared" ref="F25:F37" si="0">+E25*D25</f>
        <v>661154648</v>
      </c>
      <c r="G25" s="117">
        <f>23-1+12+14+7+9+8+13</f>
        <v>85</v>
      </c>
      <c r="H25" s="115">
        <f>+IF(G25=0,0,(VLOOKUP($B25,' Circular 00435 de 2015'!$B$24:$H$51,7,0)))</f>
        <v>6237308</v>
      </c>
      <c r="I25" s="116">
        <f t="shared" ref="I25:I37" si="1">+H25*G25</f>
        <v>530171180</v>
      </c>
      <c r="J25" s="117">
        <f>22-1+10+7+8+6+10</f>
        <v>62</v>
      </c>
      <c r="K25" s="115">
        <f>+IF(J25=0,0,(VLOOKUP($B25,' Circular 00435 de 2015'!$B$24:$H$51,7,0)))</f>
        <v>6237308</v>
      </c>
      <c r="L25" s="116">
        <f t="shared" ref="L25:L37" si="2">+K25*J25</f>
        <v>386713096</v>
      </c>
      <c r="M25" s="117">
        <f>16-1+18+8+9+6+4</f>
        <v>60</v>
      </c>
      <c r="N25" s="115">
        <f>+IF(M25=0,0,(VLOOKUP($B25,' Circular 00435 de 2015'!$B$24:$H$51,7,0)))</f>
        <v>6237308</v>
      </c>
      <c r="O25" s="116">
        <f t="shared" ref="O25:O37" si="3">+N25*M25</f>
        <v>374238480</v>
      </c>
      <c r="P25" s="117">
        <f>13-1+14+8+10+5+1+4</f>
        <v>54</v>
      </c>
      <c r="Q25" s="115">
        <f>+IF(P25=0,0,(VLOOKUP($B25,' Circular 00435 de 2015'!$B$24:$H$51,7,0)))</f>
        <v>6237308</v>
      </c>
      <c r="R25" s="116">
        <f t="shared" ref="R25:R37" si="4">+Q25*P25</f>
        <v>336814632</v>
      </c>
    </row>
    <row r="26" spans="1:18" ht="15">
      <c r="A26" s="135">
        <v>5</v>
      </c>
      <c r="B26" s="276" t="s">
        <v>44</v>
      </c>
      <c r="C26" s="277"/>
      <c r="D26" s="114"/>
      <c r="E26" s="115">
        <f>+IF(D26=0,0,(VLOOKUP($B26,' Circular 00435 de 2015'!$B$24:$H$51,7,0)))</f>
        <v>0</v>
      </c>
      <c r="F26" s="116">
        <f t="shared" si="0"/>
        <v>0</v>
      </c>
      <c r="G26" s="117"/>
      <c r="H26" s="115">
        <f>+IF(G26=0,0,(VLOOKUP($B26,' Circular 00435 de 2015'!$B$24:$H$51,7,0)))</f>
        <v>0</v>
      </c>
      <c r="I26" s="116">
        <f t="shared" si="1"/>
        <v>0</v>
      </c>
      <c r="J26" s="117">
        <v>3</v>
      </c>
      <c r="K26" s="115">
        <f>+IF(J26=0,0,(VLOOKUP($B26,' Circular 00435 de 2015'!$B$24:$H$51,7,0)))</f>
        <v>2741977</v>
      </c>
      <c r="L26" s="116">
        <f t="shared" si="2"/>
        <v>8225931</v>
      </c>
      <c r="M26" s="117"/>
      <c r="N26" s="115">
        <f>+IF(M26=0,0,(VLOOKUP($B26,' Circular 00435 de 2015'!$B$24:$H$51,7,0)))</f>
        <v>0</v>
      </c>
      <c r="O26" s="116">
        <f t="shared" si="3"/>
        <v>0</v>
      </c>
      <c r="P26" s="117">
        <v>1</v>
      </c>
      <c r="Q26" s="115">
        <f>+IF(P26=0,0,(VLOOKUP($B26,' Circular 00435 de 2015'!$B$24:$H$51,7,0)))</f>
        <v>2741977</v>
      </c>
      <c r="R26" s="116">
        <f t="shared" si="4"/>
        <v>2741977</v>
      </c>
    </row>
    <row r="27" spans="1:18" ht="15">
      <c r="A27" s="135">
        <v>6</v>
      </c>
      <c r="B27" s="276" t="s">
        <v>199</v>
      </c>
      <c r="C27" s="277"/>
      <c r="D27" s="114"/>
      <c r="E27" s="115">
        <f>+IF(D27=0,0,(VLOOKUP($B27,' Circular 00435 de 2015'!$B$24:$H$51,7,0)))</f>
        <v>0</v>
      </c>
      <c r="F27" s="116">
        <f t="shared" si="0"/>
        <v>0</v>
      </c>
      <c r="G27" s="117">
        <v>2</v>
      </c>
      <c r="H27" s="115">
        <f>+IF(G27=0,0,(VLOOKUP($B27,' Circular 00435 de 2015'!$B$24:$H$51,7,0)))</f>
        <v>3770453</v>
      </c>
      <c r="I27" s="116">
        <f t="shared" si="1"/>
        <v>7540906</v>
      </c>
      <c r="J27" s="117"/>
      <c r="K27" s="115">
        <f>+IF(J27=0,0,(VLOOKUP($B27,' Circular 00435 de 2015'!$B$24:$H$51,7,0)))</f>
        <v>0</v>
      </c>
      <c r="L27" s="116">
        <f t="shared" si="2"/>
        <v>0</v>
      </c>
      <c r="M27" s="117"/>
      <c r="N27" s="115">
        <f>+IF(M27=0,0,(VLOOKUP($B27,' Circular 00435 de 2015'!$B$24:$H$51,7,0)))</f>
        <v>0</v>
      </c>
      <c r="O27" s="116">
        <f t="shared" si="3"/>
        <v>0</v>
      </c>
      <c r="P27" s="117">
        <v>1</v>
      </c>
      <c r="Q27" s="115">
        <f>+IF(P27=0,0,(VLOOKUP($B27,' Circular 00435 de 2015'!$B$24:$H$51,7,0)))</f>
        <v>3770453</v>
      </c>
      <c r="R27" s="116">
        <f t="shared" si="4"/>
        <v>3770453</v>
      </c>
    </row>
    <row r="28" spans="1:18" ht="15">
      <c r="A28" s="135">
        <v>7</v>
      </c>
      <c r="B28" s="276" t="s">
        <v>12</v>
      </c>
      <c r="C28" s="277"/>
      <c r="D28" s="114">
        <f>1+1</f>
        <v>2</v>
      </c>
      <c r="E28" s="115">
        <f>+IF(D28=0,0,(VLOOKUP($B28,' Circular 00435 de 2015'!$B$24:$H$51,7,0)))</f>
        <v>2818143</v>
      </c>
      <c r="F28" s="116">
        <f t="shared" si="0"/>
        <v>5636286</v>
      </c>
      <c r="G28" s="117"/>
      <c r="H28" s="115">
        <f>+IF(G28=0,0,(VLOOKUP($B28,' Circular 00435 de 2015'!$B$24:$H$51,7,0)))</f>
        <v>0</v>
      </c>
      <c r="I28" s="116">
        <f t="shared" si="1"/>
        <v>0</v>
      </c>
      <c r="J28" s="117"/>
      <c r="K28" s="115">
        <f>+IF(J28=0,0,(VLOOKUP($B28,' Circular 00435 de 2015'!$B$24:$H$51,7,0)))</f>
        <v>0</v>
      </c>
      <c r="L28" s="116">
        <f t="shared" si="2"/>
        <v>0</v>
      </c>
      <c r="M28" s="117"/>
      <c r="N28" s="115">
        <f>+IF(M28=0,0,(VLOOKUP($B28,' Circular 00435 de 2015'!$B$24:$H$51,7,0)))</f>
        <v>0</v>
      </c>
      <c r="O28" s="116">
        <f t="shared" si="3"/>
        <v>0</v>
      </c>
      <c r="P28" s="117"/>
      <c r="Q28" s="115">
        <f>+IF(P28=0,0,(VLOOKUP($B28,' Circular 00435 de 2015'!$B$24:$H$51,7,0)))</f>
        <v>0</v>
      </c>
      <c r="R28" s="116">
        <f t="shared" si="4"/>
        <v>0</v>
      </c>
    </row>
    <row r="29" spans="1:18" ht="15">
      <c r="A29" s="135">
        <v>9</v>
      </c>
      <c r="B29" s="276" t="s">
        <v>41</v>
      </c>
      <c r="C29" s="277"/>
      <c r="D29" s="114">
        <f>13+30+14+2+1</f>
        <v>60</v>
      </c>
      <c r="E29" s="115">
        <f>+IF(D29=0,0,(VLOOKUP($B29,' Circular 00435 de 2015'!$B$24:$H$51,7,0)))</f>
        <v>2010783</v>
      </c>
      <c r="F29" s="116">
        <f t="shared" si="0"/>
        <v>120646980</v>
      </c>
      <c r="G29" s="117">
        <v>4</v>
      </c>
      <c r="H29" s="115">
        <f>+IF(G29=0,0,(VLOOKUP($B29,' Circular 00435 de 2015'!$B$24:$H$51,7,0)))</f>
        <v>2010783</v>
      </c>
      <c r="I29" s="116">
        <f t="shared" si="1"/>
        <v>8043132</v>
      </c>
      <c r="J29" s="117">
        <f>3+2</f>
        <v>5</v>
      </c>
      <c r="K29" s="115">
        <f>+IF(J29=0,0,(VLOOKUP($B29,' Circular 00435 de 2015'!$B$24:$H$51,7,0)))</f>
        <v>2010783</v>
      </c>
      <c r="L29" s="116">
        <f t="shared" si="2"/>
        <v>10053915</v>
      </c>
      <c r="M29" s="117"/>
      <c r="N29" s="115">
        <f>+IF(M29=0,0,(VLOOKUP($B29,' Circular 00435 de 2015'!$B$24:$H$51,7,0)))</f>
        <v>0</v>
      </c>
      <c r="O29" s="116">
        <f t="shared" si="3"/>
        <v>0</v>
      </c>
      <c r="P29" s="117"/>
      <c r="Q29" s="115">
        <f>+IF(P29=0,0,(VLOOKUP($B29,' Circular 00435 de 2015'!$B$24:$H$51,7,0)))</f>
        <v>0</v>
      </c>
      <c r="R29" s="116">
        <f t="shared" si="4"/>
        <v>0</v>
      </c>
    </row>
    <row r="30" spans="1:18" ht="15">
      <c r="A30" s="135">
        <v>10</v>
      </c>
      <c r="B30" s="276" t="s">
        <v>200</v>
      </c>
      <c r="C30" s="277"/>
      <c r="D30" s="114"/>
      <c r="E30" s="115">
        <f>+IF(D30=0,0,(VLOOKUP($B30,' Circular 00435 de 2015'!$B$24:$H$51,7,0)))</f>
        <v>0</v>
      </c>
      <c r="F30" s="116">
        <f t="shared" si="0"/>
        <v>0</v>
      </c>
      <c r="G30" s="117">
        <v>1</v>
      </c>
      <c r="H30" s="115">
        <f>+IF(G30=0,0,(VLOOKUP($B30,' Circular 00435 de 2015'!$B$24:$H$51,7,0)))</f>
        <v>1878762</v>
      </c>
      <c r="I30" s="116">
        <f t="shared" si="1"/>
        <v>1878762</v>
      </c>
      <c r="J30" s="117">
        <v>1</v>
      </c>
      <c r="K30" s="115">
        <f>+IF(J30=0,0,(VLOOKUP($B30,' Circular 00435 de 2015'!$B$24:$H$51,7,0)))</f>
        <v>1878762</v>
      </c>
      <c r="L30" s="116">
        <f t="shared" si="2"/>
        <v>1878762</v>
      </c>
      <c r="M30" s="117">
        <v>1</v>
      </c>
      <c r="N30" s="115">
        <f>+IF(M30=0,0,(VLOOKUP($B30,' Circular 00435 de 2015'!$B$24:$H$51,7,0)))</f>
        <v>1878762</v>
      </c>
      <c r="O30" s="116">
        <f t="shared" si="3"/>
        <v>1878762</v>
      </c>
      <c r="P30" s="117">
        <v>1</v>
      </c>
      <c r="Q30" s="115">
        <f>+IF(P30=0,0,(VLOOKUP($B30,' Circular 00435 de 2015'!$B$24:$H$51,7,0)))</f>
        <v>1878762</v>
      </c>
      <c r="R30" s="116">
        <f t="shared" si="4"/>
        <v>1878762</v>
      </c>
    </row>
    <row r="31" spans="1:18" ht="15">
      <c r="A31" s="135">
        <v>11</v>
      </c>
      <c r="B31" s="276" t="s">
        <v>42</v>
      </c>
      <c r="C31" s="277"/>
      <c r="D31" s="114">
        <v>4</v>
      </c>
      <c r="E31" s="115">
        <f>+IF(D31=0,0,(VLOOKUP($B31,' Circular 00435 de 2015'!$B$24:$H$51,7,0)))</f>
        <v>2048020</v>
      </c>
      <c r="F31" s="116">
        <f t="shared" si="0"/>
        <v>8192080</v>
      </c>
      <c r="G31" s="117">
        <v>6</v>
      </c>
      <c r="H31" s="115">
        <f>+IF(G31=0,0,(VLOOKUP($B31,' Circular 00435 de 2015'!$B$24:$H$51,7,0)))</f>
        <v>2048020</v>
      </c>
      <c r="I31" s="116">
        <f t="shared" si="1"/>
        <v>12288120</v>
      </c>
      <c r="J31" s="117">
        <f>1+4+3</f>
        <v>8</v>
      </c>
      <c r="K31" s="115">
        <f>+IF(J31=0,0,(VLOOKUP($B31,' Circular 00435 de 2015'!$B$24:$H$51,7,0)))</f>
        <v>2048020</v>
      </c>
      <c r="L31" s="116">
        <f t="shared" si="2"/>
        <v>16384160</v>
      </c>
      <c r="M31" s="117">
        <f>3+1</f>
        <v>4</v>
      </c>
      <c r="N31" s="115">
        <f>+IF(M31=0,0,(VLOOKUP($B31,' Circular 00435 de 2015'!$B$24:$H$51,7,0)))</f>
        <v>2048020</v>
      </c>
      <c r="O31" s="116">
        <f t="shared" si="3"/>
        <v>8192080</v>
      </c>
      <c r="P31" s="117"/>
      <c r="Q31" s="115">
        <f>+IF(P31=0,0,(VLOOKUP($B31,' Circular 00435 de 2015'!$B$24:$H$51,7,0)))</f>
        <v>0</v>
      </c>
      <c r="R31" s="116">
        <f t="shared" si="4"/>
        <v>0</v>
      </c>
    </row>
    <row r="32" spans="1:18" ht="15">
      <c r="A32" s="135">
        <v>12</v>
      </c>
      <c r="B32" s="276" t="s">
        <v>48</v>
      </c>
      <c r="C32" s="277"/>
      <c r="D32" s="114"/>
      <c r="E32" s="115">
        <f>+IF(D32=0,0,(VLOOKUP($B32,' Circular 00435 de 2015'!$B$24:$H$51,7,0)))</f>
        <v>0</v>
      </c>
      <c r="F32" s="116">
        <f t="shared" si="0"/>
        <v>0</v>
      </c>
      <c r="G32" s="117">
        <v>4</v>
      </c>
      <c r="H32" s="115">
        <f>+IF(G32=0,0,(VLOOKUP($B32,' Circular 00435 de 2015'!$B$24:$H$51,7,0)))</f>
        <v>1861836</v>
      </c>
      <c r="I32" s="116">
        <f t="shared" si="1"/>
        <v>7447344</v>
      </c>
      <c r="J32" s="117"/>
      <c r="K32" s="115">
        <f>+IF(J32=0,0,(VLOOKUP($B32,' Circular 00435 de 2015'!$B$24:$H$51,7,0)))</f>
        <v>0</v>
      </c>
      <c r="L32" s="116">
        <f t="shared" si="2"/>
        <v>0</v>
      </c>
      <c r="M32" s="117">
        <f>2+1</f>
        <v>3</v>
      </c>
      <c r="N32" s="115">
        <f>+IF(M32=0,0,(VLOOKUP($B32,' Circular 00435 de 2015'!$B$24:$H$51,7,0)))</f>
        <v>1861836</v>
      </c>
      <c r="O32" s="116">
        <f t="shared" si="3"/>
        <v>5585508</v>
      </c>
      <c r="P32" s="117">
        <v>1</v>
      </c>
      <c r="Q32" s="115">
        <f>+IF(P32=0,0,(VLOOKUP($B32,' Circular 00435 de 2015'!$B$24:$H$51,7,0)))</f>
        <v>1861836</v>
      </c>
      <c r="R32" s="116">
        <f t="shared" si="4"/>
        <v>1861836</v>
      </c>
    </row>
    <row r="33" spans="1:18" ht="15">
      <c r="A33" s="135">
        <v>13</v>
      </c>
      <c r="B33" s="276" t="s">
        <v>40</v>
      </c>
      <c r="C33" s="277"/>
      <c r="D33" s="114">
        <v>1</v>
      </c>
      <c r="E33" s="115">
        <f>+IF(D33=0,0,(VLOOKUP($B33,' Circular 00435 de 2015'!$B$24:$H$51,7,0)))</f>
        <v>2066638</v>
      </c>
      <c r="F33" s="116">
        <f t="shared" si="0"/>
        <v>2066638</v>
      </c>
      <c r="G33" s="117"/>
      <c r="H33" s="115">
        <f>+IF(G33=0,0,(VLOOKUP($B33,' Circular 00435 de 2015'!$B$24:$H$51,7,0)))</f>
        <v>0</v>
      </c>
      <c r="I33" s="116">
        <f t="shared" si="1"/>
        <v>0</v>
      </c>
      <c r="J33" s="117"/>
      <c r="K33" s="115">
        <f>+IF(J33=0,0,(VLOOKUP($B33,' Circular 00435 de 2015'!$B$24:$H$51,7,0)))</f>
        <v>0</v>
      </c>
      <c r="L33" s="116">
        <f t="shared" si="2"/>
        <v>0</v>
      </c>
      <c r="M33" s="117"/>
      <c r="N33" s="115">
        <f>+IF(M33=0,0,(VLOOKUP($B33,' Circular 00435 de 2015'!$B$24:$H$51,7,0)))</f>
        <v>0</v>
      </c>
      <c r="O33" s="116">
        <f t="shared" si="3"/>
        <v>0</v>
      </c>
      <c r="P33" s="117"/>
      <c r="Q33" s="115">
        <f>+IF(P33=0,0,(VLOOKUP($B33,' Circular 00435 de 2015'!$B$24:$H$51,7,0)))</f>
        <v>0</v>
      </c>
      <c r="R33" s="116">
        <f t="shared" si="4"/>
        <v>0</v>
      </c>
    </row>
    <row r="34" spans="1:18" ht="15" customHeight="1">
      <c r="A34" s="135">
        <v>14</v>
      </c>
      <c r="B34" s="276" t="s">
        <v>43</v>
      </c>
      <c r="C34" s="277"/>
      <c r="D34" s="114"/>
      <c r="E34" s="115">
        <f>+IF(D34=0,0,(VLOOKUP($B34,' Circular 00435 de 2015'!$B$24:$H$51,7,0)))</f>
        <v>0</v>
      </c>
      <c r="F34" s="116">
        <f t="shared" si="0"/>
        <v>0</v>
      </c>
      <c r="G34" s="117">
        <v>2</v>
      </c>
      <c r="H34" s="115">
        <f>+IF(G34=0,0,(VLOOKUP($B34,' Circular 00435 de 2015'!$B$24:$H$51,7,0)))</f>
        <v>2792755</v>
      </c>
      <c r="I34" s="116">
        <f t="shared" si="1"/>
        <v>5585510</v>
      </c>
      <c r="J34" s="117">
        <v>2</v>
      </c>
      <c r="K34" s="115">
        <f>+IF(J34=0,0,(VLOOKUP($B34,' Circular 00435 de 2015'!$B$24:$H$51,7,0)))</f>
        <v>2792755</v>
      </c>
      <c r="L34" s="116">
        <f t="shared" si="2"/>
        <v>5585510</v>
      </c>
      <c r="M34" s="117">
        <v>1</v>
      </c>
      <c r="N34" s="115">
        <f>+IF(M34=0,0,(VLOOKUP($B34,' Circular 00435 de 2015'!$B$24:$H$51,7,0)))</f>
        <v>2792755</v>
      </c>
      <c r="O34" s="116">
        <f t="shared" si="3"/>
        <v>2792755</v>
      </c>
      <c r="P34" s="117">
        <f>1+2</f>
        <v>3</v>
      </c>
      <c r="Q34" s="115">
        <f>+IF(P34=0,0,(VLOOKUP($B34,' Circular 00435 de 2015'!$B$24:$H$51,7,0)))</f>
        <v>2792755</v>
      </c>
      <c r="R34" s="116">
        <f t="shared" si="4"/>
        <v>8378265</v>
      </c>
    </row>
    <row r="35" spans="1:18" ht="15">
      <c r="A35" s="135">
        <v>15</v>
      </c>
      <c r="B35" s="276" t="s">
        <v>47</v>
      </c>
      <c r="C35" s="277"/>
      <c r="D35" s="114"/>
      <c r="E35" s="115">
        <f>+IF(D35=0,0,(VLOOKUP($B35,' Circular 00435 de 2015'!$B$24:$H$51,7,0)))</f>
        <v>0</v>
      </c>
      <c r="F35" s="116">
        <f t="shared" si="0"/>
        <v>0</v>
      </c>
      <c r="G35" s="117">
        <v>3</v>
      </c>
      <c r="H35" s="115">
        <f>+IF(G35=0,0,(VLOOKUP($B35,' Circular 00435 de 2015'!$B$24:$H$51,7,0)))</f>
        <v>1827985</v>
      </c>
      <c r="I35" s="116">
        <f t="shared" si="1"/>
        <v>5483955</v>
      </c>
      <c r="J35" s="117">
        <f>5+3+2+3</f>
        <v>13</v>
      </c>
      <c r="K35" s="115">
        <f>+IF(J35=0,0,(VLOOKUP($B35,' Circular 00435 de 2015'!$B$24:$H$51,7,0)))</f>
        <v>1827985</v>
      </c>
      <c r="L35" s="116">
        <f t="shared" si="2"/>
        <v>23763805</v>
      </c>
      <c r="M35" s="117">
        <f>1+2</f>
        <v>3</v>
      </c>
      <c r="N35" s="115">
        <f>+IF(M35=0,0,(VLOOKUP($B35,' Circular 00435 de 2015'!$B$24:$H$51,7,0)))</f>
        <v>1827985</v>
      </c>
      <c r="O35" s="116">
        <f t="shared" si="3"/>
        <v>5483955</v>
      </c>
      <c r="P35" s="117">
        <f>12+7+5+8+2+1+2</f>
        <v>37</v>
      </c>
      <c r="Q35" s="115">
        <f>+IF(P35=0,0,(VLOOKUP($B35,' Circular 00435 de 2015'!$B$24:$H$51,7,0)))</f>
        <v>1827985</v>
      </c>
      <c r="R35" s="116">
        <f t="shared" si="4"/>
        <v>67635445</v>
      </c>
    </row>
    <row r="36" spans="1:18" ht="15">
      <c r="A36" s="135">
        <v>27</v>
      </c>
      <c r="B36" s="276" t="s">
        <v>201</v>
      </c>
      <c r="C36" s="277"/>
      <c r="D36" s="114"/>
      <c r="E36" s="115">
        <f>+IF(D36=0,0,(VLOOKUP($B36,' Circular 00435 de 2015'!$B$24:$H$51,7,0)))</f>
        <v>0</v>
      </c>
      <c r="F36" s="116">
        <f t="shared" si="0"/>
        <v>0</v>
      </c>
      <c r="G36" s="117"/>
      <c r="H36" s="115">
        <f>+IF(G36=0,0,(VLOOKUP($B36,' Circular 00435 de 2015'!$B$24:$H$51,7,0)))</f>
        <v>0</v>
      </c>
      <c r="I36" s="116">
        <f t="shared" si="1"/>
        <v>0</v>
      </c>
      <c r="J36" s="117">
        <v>2</v>
      </c>
      <c r="K36" s="115">
        <f>+IF(J36=0,0,(VLOOKUP($B36,' Circular 00435 de 2015'!$B$24:$H$51,7,0)))</f>
        <v>1117102</v>
      </c>
      <c r="L36" s="116">
        <f t="shared" si="2"/>
        <v>2234204</v>
      </c>
      <c r="M36" s="117"/>
      <c r="N36" s="115">
        <f>+IF(M36=0,0,(VLOOKUP($B36,' Circular 00435 de 2015'!$B$24:$H$51,7,0)))</f>
        <v>0</v>
      </c>
      <c r="O36" s="116">
        <f t="shared" si="3"/>
        <v>0</v>
      </c>
      <c r="P36" s="117"/>
      <c r="Q36" s="115">
        <f>+IF(P36=0,0,(VLOOKUP($B36,' Circular 00435 de 2015'!$B$24:$H$51,7,0)))</f>
        <v>0</v>
      </c>
      <c r="R36" s="116">
        <f t="shared" si="4"/>
        <v>0</v>
      </c>
    </row>
    <row r="37" spans="1:18" ht="15">
      <c r="A37" s="135">
        <v>28</v>
      </c>
      <c r="B37" s="276" t="s">
        <v>176</v>
      </c>
      <c r="C37" s="277"/>
      <c r="D37" s="114">
        <v>1</v>
      </c>
      <c r="E37" s="115">
        <f>+IF(D37=0,0,(VLOOKUP($B37,' Circular 00435 de 2015'!$B$24:$H$51,7,0)))</f>
        <v>1188190</v>
      </c>
      <c r="F37" s="116">
        <f t="shared" si="0"/>
        <v>1188190</v>
      </c>
      <c r="G37" s="117"/>
      <c r="H37" s="115">
        <f>+IF(G37=0,0,(VLOOKUP($B37,' Circular 00435 de 2015'!$B$24:$H$51,7,0)))</f>
        <v>0</v>
      </c>
      <c r="I37" s="116">
        <f t="shared" si="1"/>
        <v>0</v>
      </c>
      <c r="J37" s="117"/>
      <c r="K37" s="115">
        <f>+IF(J37=0,0,(VLOOKUP($B37,' Circular 00435 de 2015'!$B$24:$H$51,7,0)))</f>
        <v>0</v>
      </c>
      <c r="L37" s="116">
        <f t="shared" si="2"/>
        <v>0</v>
      </c>
      <c r="M37" s="117"/>
      <c r="N37" s="115">
        <f>+IF(M37=0,0,(VLOOKUP($B37,' Circular 00435 de 2015'!$B$24:$H$51,7,0)))</f>
        <v>0</v>
      </c>
      <c r="O37" s="116">
        <f t="shared" si="3"/>
        <v>0</v>
      </c>
      <c r="P37" s="117"/>
      <c r="Q37" s="115">
        <f>+IF(P37=0,0,(VLOOKUP($B37,' Circular 00435 de 2015'!$B$24:$H$51,7,0)))</f>
        <v>0</v>
      </c>
      <c r="R37" s="116">
        <f t="shared" si="4"/>
        <v>0</v>
      </c>
    </row>
    <row r="38" spans="1:18" ht="15">
      <c r="A38" s="135"/>
      <c r="B38" s="276" t="s">
        <v>214</v>
      </c>
      <c r="C38" s="277"/>
      <c r="D38" s="114">
        <v>1</v>
      </c>
      <c r="E38" s="125"/>
      <c r="F38" s="116">
        <f>+E38*D38</f>
        <v>0</v>
      </c>
      <c r="G38" s="114">
        <v>1</v>
      </c>
      <c r="H38" s="125"/>
      <c r="I38" s="116">
        <f>+H38*G38</f>
        <v>0</v>
      </c>
      <c r="J38" s="114">
        <v>1</v>
      </c>
      <c r="K38" s="125"/>
      <c r="L38" s="116">
        <f>+K38*J38</f>
        <v>0</v>
      </c>
      <c r="M38" s="114">
        <v>1</v>
      </c>
      <c r="N38" s="125"/>
      <c r="O38" s="116">
        <f>+N38*M38</f>
        <v>0</v>
      </c>
      <c r="P38" s="114">
        <v>1</v>
      </c>
      <c r="Q38" s="125"/>
      <c r="R38" s="116">
        <f>+Q38*P38</f>
        <v>0</v>
      </c>
    </row>
    <row r="39" spans="1:18" ht="15">
      <c r="B39" s="279" t="s">
        <v>68</v>
      </c>
      <c r="C39" s="280"/>
      <c r="D39" s="114">
        <f>SUM(D24:D37)</f>
        <v>182</v>
      </c>
      <c r="E39" s="118" t="s">
        <v>175</v>
      </c>
      <c r="F39" s="116">
        <f>SUM(F24:F38)</f>
        <v>847876038</v>
      </c>
      <c r="G39" s="117">
        <f>SUM(G24:G37)</f>
        <v>108</v>
      </c>
      <c r="H39" s="118" t="s">
        <v>175</v>
      </c>
      <c r="I39" s="116">
        <f>SUM(I24:I38)</f>
        <v>584562811</v>
      </c>
      <c r="J39" s="117">
        <f>SUM(J24:J37)</f>
        <v>100</v>
      </c>
      <c r="K39" s="118" t="s">
        <v>175</v>
      </c>
      <c r="L39" s="116">
        <f>SUM(L24:L38)</f>
        <v>479334991</v>
      </c>
      <c r="M39" s="117">
        <f>SUM(M24:M37)</f>
        <v>75</v>
      </c>
      <c r="N39" s="118" t="s">
        <v>175</v>
      </c>
      <c r="O39" s="116">
        <f>SUM(O24:O38)</f>
        <v>416543246</v>
      </c>
      <c r="P39" s="117">
        <f>SUM(P24:P37)</f>
        <v>109</v>
      </c>
      <c r="Q39" s="118" t="s">
        <v>175</v>
      </c>
      <c r="R39" s="116">
        <f>SUM(R24:R38)</f>
        <v>490444292</v>
      </c>
    </row>
    <row r="40" spans="1:18" ht="23.25" customHeight="1">
      <c r="B40" s="132"/>
      <c r="C40" s="119"/>
      <c r="D40" s="285" t="s">
        <v>10</v>
      </c>
      <c r="E40" s="282"/>
      <c r="F40" s="46">
        <f>+F39*10%</f>
        <v>84787603.800000012</v>
      </c>
      <c r="G40" s="281" t="s">
        <v>10</v>
      </c>
      <c r="H40" s="282"/>
      <c r="I40" s="46">
        <f>+I39*10%</f>
        <v>58456281.100000001</v>
      </c>
      <c r="J40" s="281" t="s">
        <v>10</v>
      </c>
      <c r="K40" s="282"/>
      <c r="L40" s="46">
        <f>+L39*10%</f>
        <v>47933499.100000001</v>
      </c>
      <c r="M40" s="281" t="s">
        <v>10</v>
      </c>
      <c r="N40" s="282"/>
      <c r="O40" s="46">
        <f>+O39*10%</f>
        <v>41654324.600000001</v>
      </c>
      <c r="P40" s="281" t="s">
        <v>10</v>
      </c>
      <c r="Q40" s="282"/>
      <c r="R40" s="46">
        <f>+R39*10%</f>
        <v>49044429.200000003</v>
      </c>
    </row>
    <row r="41" spans="1:18" ht="15">
      <c r="B41" s="132"/>
      <c r="C41" s="119"/>
      <c r="D41" s="44" t="s">
        <v>32</v>
      </c>
      <c r="E41" s="45">
        <v>0.16</v>
      </c>
      <c r="F41" s="46">
        <f>+F40*E41</f>
        <v>13566016.608000003</v>
      </c>
      <c r="G41" s="47" t="s">
        <v>32</v>
      </c>
      <c r="H41" s="45">
        <v>0.16</v>
      </c>
      <c r="I41" s="46">
        <f>+I40*H41</f>
        <v>9353004.9759999998</v>
      </c>
      <c r="J41" s="47" t="s">
        <v>32</v>
      </c>
      <c r="K41" s="45">
        <v>0.16</v>
      </c>
      <c r="L41" s="46">
        <f>+L40*K41</f>
        <v>7669359.8560000006</v>
      </c>
      <c r="M41" s="47" t="s">
        <v>32</v>
      </c>
      <c r="N41" s="45">
        <v>0.16</v>
      </c>
      <c r="O41" s="46">
        <f>+O40*N41</f>
        <v>6664691.9360000007</v>
      </c>
      <c r="P41" s="47" t="s">
        <v>32</v>
      </c>
      <c r="Q41" s="45">
        <v>0.16</v>
      </c>
      <c r="R41" s="46">
        <f>+R40*Q41</f>
        <v>7847108.6720000003</v>
      </c>
    </row>
    <row r="42" spans="1:18" ht="34.5" customHeight="1">
      <c r="B42" s="132"/>
      <c r="C42" s="119"/>
      <c r="D42" s="283" t="s">
        <v>202</v>
      </c>
      <c r="E42" s="284"/>
      <c r="F42" s="48">
        <f>+ROUND(F39+F41,0)</f>
        <v>861442055</v>
      </c>
      <c r="G42" s="283" t="s">
        <v>203</v>
      </c>
      <c r="H42" s="284"/>
      <c r="I42" s="48">
        <f>+ROUND(I39+I41,0)</f>
        <v>593915816</v>
      </c>
      <c r="J42" s="283" t="s">
        <v>204</v>
      </c>
      <c r="K42" s="284"/>
      <c r="L42" s="48">
        <f>+ROUND(L39+L41,0)</f>
        <v>487004351</v>
      </c>
      <c r="M42" s="283" t="s">
        <v>205</v>
      </c>
      <c r="N42" s="284"/>
      <c r="O42" s="48">
        <f>+ROUND(O39+O41,0)</f>
        <v>423207938</v>
      </c>
      <c r="P42" s="283" t="s">
        <v>206</v>
      </c>
      <c r="Q42" s="284"/>
      <c r="R42" s="48">
        <f>+ROUND(R39+R41,0)</f>
        <v>498291401</v>
      </c>
    </row>
    <row r="43" spans="1:18" s="120" customFormat="1">
      <c r="B43" s="255"/>
      <c r="C43" s="255"/>
      <c r="D43" s="255"/>
      <c r="E43" s="255"/>
      <c r="F43" s="255"/>
      <c r="G43" s="255"/>
      <c r="H43" s="255"/>
    </row>
    <row r="44" spans="1:18" s="120" customFormat="1">
      <c r="B44" s="132"/>
      <c r="C44" s="132"/>
      <c r="D44" s="262" t="s">
        <v>27</v>
      </c>
      <c r="E44" s="262"/>
      <c r="F44" s="263"/>
      <c r="G44" s="268" t="s">
        <v>36</v>
      </c>
      <c r="H44" s="262"/>
      <c r="I44" s="263"/>
      <c r="J44" s="268" t="s">
        <v>65</v>
      </c>
      <c r="K44" s="262"/>
      <c r="L44" s="263"/>
      <c r="M44" s="268" t="s">
        <v>66</v>
      </c>
      <c r="N44" s="262"/>
      <c r="O44" s="263"/>
      <c r="P44" s="268" t="s">
        <v>67</v>
      </c>
      <c r="Q44" s="262"/>
      <c r="R44" s="263"/>
    </row>
    <row r="45" spans="1:18" ht="46.5" customHeight="1">
      <c r="B45" s="275" t="s">
        <v>69</v>
      </c>
      <c r="C45" s="275"/>
      <c r="D45" s="111" t="s">
        <v>28</v>
      </c>
      <c r="E45" s="111" t="s">
        <v>177</v>
      </c>
      <c r="F45" s="112" t="s">
        <v>178</v>
      </c>
      <c r="G45" s="113" t="s">
        <v>28</v>
      </c>
      <c r="H45" s="111" t="s">
        <v>177</v>
      </c>
      <c r="I45" s="112" t="s">
        <v>178</v>
      </c>
      <c r="J45" s="113" t="s">
        <v>28</v>
      </c>
      <c r="K45" s="111" t="s">
        <v>177</v>
      </c>
      <c r="L45" s="112" t="s">
        <v>178</v>
      </c>
      <c r="M45" s="113" t="s">
        <v>28</v>
      </c>
      <c r="N45" s="111" t="s">
        <v>177</v>
      </c>
      <c r="O45" s="112" t="s">
        <v>178</v>
      </c>
      <c r="P45" s="113" t="s">
        <v>28</v>
      </c>
      <c r="Q45" s="111" t="s">
        <v>177</v>
      </c>
      <c r="R45" s="112" t="s">
        <v>178</v>
      </c>
    </row>
    <row r="46" spans="1:18" ht="20.25" customHeight="1">
      <c r="B46" s="256" t="s">
        <v>152</v>
      </c>
      <c r="C46" s="278"/>
      <c r="D46" s="114">
        <f>4+21+16+10+1+2+2+7</f>
        <v>63</v>
      </c>
      <c r="E46" s="125"/>
      <c r="F46" s="116">
        <f t="shared" ref="F46:F64" si="5">+E46*D46</f>
        <v>0</v>
      </c>
      <c r="G46" s="117">
        <f>15+11+7+7+9+6+11</f>
        <v>66</v>
      </c>
      <c r="H46" s="125"/>
      <c r="I46" s="116">
        <f t="shared" ref="I46:I64" si="6">+H46*G46</f>
        <v>0</v>
      </c>
      <c r="J46" s="117">
        <f>20+9+9+9+6+10</f>
        <v>63</v>
      </c>
      <c r="K46" s="125"/>
      <c r="L46" s="116">
        <f t="shared" ref="L46:L64" si="7">+K46*J46</f>
        <v>0</v>
      </c>
      <c r="M46" s="117">
        <f>10+9+6+9+4+4</f>
        <v>42</v>
      </c>
      <c r="N46" s="125"/>
      <c r="O46" s="116">
        <f t="shared" ref="O46:O64" si="8">+N46*M46</f>
        <v>0</v>
      </c>
      <c r="P46" s="117">
        <f>12+13+5+8+3+1+3</f>
        <v>45</v>
      </c>
      <c r="Q46" s="125"/>
      <c r="R46" s="116">
        <f t="shared" ref="R46:R64" si="9">+Q46*P46</f>
        <v>0</v>
      </c>
    </row>
    <row r="47" spans="1:18" ht="20.25" customHeight="1">
      <c r="B47" s="256" t="s">
        <v>154</v>
      </c>
      <c r="C47" s="257"/>
      <c r="D47" s="114">
        <f>3+15+12+7+1+1+1+2</f>
        <v>42</v>
      </c>
      <c r="E47" s="125"/>
      <c r="F47" s="116">
        <f t="shared" si="5"/>
        <v>0</v>
      </c>
      <c r="G47" s="117">
        <f>3+2+2+1+4+2+1</f>
        <v>15</v>
      </c>
      <c r="H47" s="125"/>
      <c r="I47" s="116">
        <f t="shared" si="6"/>
        <v>0</v>
      </c>
      <c r="J47" s="117">
        <f>3+1+1+1+2+1</f>
        <v>9</v>
      </c>
      <c r="K47" s="125"/>
      <c r="L47" s="116">
        <f t="shared" si="7"/>
        <v>0</v>
      </c>
      <c r="M47" s="117">
        <f>2+1+1+1+1+1</f>
        <v>7</v>
      </c>
      <c r="N47" s="125"/>
      <c r="O47" s="116">
        <f t="shared" si="8"/>
        <v>0</v>
      </c>
      <c r="P47" s="117">
        <f>4+4+2+2+1+1+1</f>
        <v>15</v>
      </c>
      <c r="Q47" s="125"/>
      <c r="R47" s="116">
        <f t="shared" si="9"/>
        <v>0</v>
      </c>
    </row>
    <row r="48" spans="1:18" ht="20.25" customHeight="1">
      <c r="B48" s="256" t="s">
        <v>153</v>
      </c>
      <c r="C48" s="257"/>
      <c r="D48" s="114">
        <f>4+2+1+8+1+1+1+2</f>
        <v>20</v>
      </c>
      <c r="E48" s="125"/>
      <c r="F48" s="116">
        <f t="shared" si="5"/>
        <v>0</v>
      </c>
      <c r="G48" s="117">
        <f>3+1+1+1+1+1+1</f>
        <v>9</v>
      </c>
      <c r="H48" s="125"/>
      <c r="I48" s="116">
        <f t="shared" si="6"/>
        <v>0</v>
      </c>
      <c r="J48" s="117">
        <f>2+1+1+1+2+1</f>
        <v>8</v>
      </c>
      <c r="K48" s="125"/>
      <c r="L48" s="116">
        <f t="shared" si="7"/>
        <v>0</v>
      </c>
      <c r="M48" s="117">
        <f>2+1+1+1+1</f>
        <v>6</v>
      </c>
      <c r="N48" s="125"/>
      <c r="O48" s="116">
        <f t="shared" si="8"/>
        <v>0</v>
      </c>
      <c r="P48" s="117">
        <f>5+4+2+4+1+1+1</f>
        <v>18</v>
      </c>
      <c r="Q48" s="125"/>
      <c r="R48" s="116">
        <f t="shared" si="9"/>
        <v>0</v>
      </c>
    </row>
    <row r="49" spans="2:18" ht="20.25" customHeight="1">
      <c r="B49" s="256" t="s">
        <v>185</v>
      </c>
      <c r="C49" s="257"/>
      <c r="D49" s="114">
        <f>1+1</f>
        <v>2</v>
      </c>
      <c r="E49" s="125"/>
      <c r="F49" s="116">
        <f t="shared" si="5"/>
        <v>0</v>
      </c>
      <c r="G49" s="117">
        <v>1</v>
      </c>
      <c r="H49" s="125"/>
      <c r="I49" s="116">
        <f t="shared" si="6"/>
        <v>0</v>
      </c>
      <c r="J49" s="117">
        <v>1</v>
      </c>
      <c r="K49" s="125"/>
      <c r="L49" s="116">
        <f t="shared" si="7"/>
        <v>0</v>
      </c>
      <c r="M49" s="117">
        <v>1</v>
      </c>
      <c r="N49" s="125"/>
      <c r="O49" s="116">
        <f t="shared" si="8"/>
        <v>0</v>
      </c>
      <c r="P49" s="117">
        <v>1</v>
      </c>
      <c r="Q49" s="125"/>
      <c r="R49" s="116">
        <f t="shared" si="9"/>
        <v>0</v>
      </c>
    </row>
    <row r="50" spans="2:18" ht="20.25" customHeight="1">
      <c r="B50" s="256" t="s">
        <v>213</v>
      </c>
      <c r="C50" s="257"/>
      <c r="D50" s="114">
        <f>7+29+18+11+2+3+2+3</f>
        <v>75</v>
      </c>
      <c r="E50" s="125"/>
      <c r="F50" s="116">
        <f t="shared" si="5"/>
        <v>0</v>
      </c>
      <c r="G50" s="117">
        <f>31+12+9+7+10+6+15</f>
        <v>90</v>
      </c>
      <c r="H50" s="125"/>
      <c r="I50" s="116">
        <f t="shared" si="6"/>
        <v>0</v>
      </c>
      <c r="J50" s="117">
        <f>20+11+8+11+7+9</f>
        <v>66</v>
      </c>
      <c r="K50" s="125"/>
      <c r="L50" s="116">
        <f t="shared" si="7"/>
        <v>0</v>
      </c>
      <c r="M50" s="117">
        <f>9+11+7+10+6+4</f>
        <v>47</v>
      </c>
      <c r="N50" s="125"/>
      <c r="O50" s="116">
        <f t="shared" si="8"/>
        <v>0</v>
      </c>
      <c r="P50" s="117">
        <f>14+14+9+9+4+2+5</f>
        <v>57</v>
      </c>
      <c r="Q50" s="125"/>
      <c r="R50" s="116">
        <f t="shared" si="9"/>
        <v>0</v>
      </c>
    </row>
    <row r="51" spans="2:18" ht="20.25" customHeight="1">
      <c r="B51" s="256" t="s">
        <v>186</v>
      </c>
      <c r="C51" s="257"/>
      <c r="D51" s="114">
        <f>4+3</f>
        <v>7</v>
      </c>
      <c r="E51" s="125"/>
      <c r="F51" s="116">
        <f t="shared" si="5"/>
        <v>0</v>
      </c>
      <c r="G51" s="114">
        <f>1+1+1+1+1+1</f>
        <v>6</v>
      </c>
      <c r="H51" s="125"/>
      <c r="I51" s="116">
        <f t="shared" si="6"/>
        <v>0</v>
      </c>
      <c r="J51" s="114">
        <f>2+1+1+1+2+1</f>
        <v>8</v>
      </c>
      <c r="K51" s="125"/>
      <c r="L51" s="116">
        <f t="shared" si="7"/>
        <v>0</v>
      </c>
      <c r="M51" s="114"/>
      <c r="N51" s="125"/>
      <c r="O51" s="116">
        <f t="shared" si="8"/>
        <v>0</v>
      </c>
      <c r="P51" s="114"/>
      <c r="Q51" s="125"/>
      <c r="R51" s="116">
        <f t="shared" si="9"/>
        <v>0</v>
      </c>
    </row>
    <row r="52" spans="2:18" ht="20.25" customHeight="1">
      <c r="B52" s="256" t="s">
        <v>187</v>
      </c>
      <c r="C52" s="257"/>
      <c r="D52" s="114">
        <f>1+18+3+1+1+1+1+1</f>
        <v>27</v>
      </c>
      <c r="E52" s="125"/>
      <c r="F52" s="116">
        <f t="shared" si="5"/>
        <v>0</v>
      </c>
      <c r="G52" s="114">
        <v>6</v>
      </c>
      <c r="H52" s="125"/>
      <c r="I52" s="116">
        <f t="shared" si="6"/>
        <v>0</v>
      </c>
      <c r="J52" s="114">
        <f>3+1+2+8+1+1</f>
        <v>16</v>
      </c>
      <c r="K52" s="125"/>
      <c r="L52" s="116">
        <f t="shared" si="7"/>
        <v>0</v>
      </c>
      <c r="M52" s="114">
        <f>10+5+2+3+1+1</f>
        <v>22</v>
      </c>
      <c r="N52" s="125"/>
      <c r="O52" s="116">
        <f t="shared" si="8"/>
        <v>0</v>
      </c>
      <c r="P52" s="114">
        <f>5+7+3+4+1+1+1</f>
        <v>22</v>
      </c>
      <c r="Q52" s="125"/>
      <c r="R52" s="116">
        <f t="shared" si="9"/>
        <v>0</v>
      </c>
    </row>
    <row r="53" spans="2:18" ht="20.25" customHeight="1">
      <c r="B53" s="258" t="s">
        <v>188</v>
      </c>
      <c r="C53" s="257"/>
      <c r="D53" s="114">
        <f>1+18+6</f>
        <v>25</v>
      </c>
      <c r="E53" s="125"/>
      <c r="F53" s="116">
        <f t="shared" si="5"/>
        <v>0</v>
      </c>
      <c r="G53" s="114">
        <f>16+3+1+2+3</f>
        <v>25</v>
      </c>
      <c r="H53" s="125"/>
      <c r="I53" s="116">
        <f t="shared" si="6"/>
        <v>0</v>
      </c>
      <c r="J53" s="114">
        <f>15+3+4+1+1+1</f>
        <v>25</v>
      </c>
      <c r="K53" s="125"/>
      <c r="L53" s="116">
        <f t="shared" si="7"/>
        <v>0</v>
      </c>
      <c r="M53" s="114">
        <f>4+10+5+6</f>
        <v>25</v>
      </c>
      <c r="N53" s="125"/>
      <c r="O53" s="116">
        <f t="shared" si="8"/>
        <v>0</v>
      </c>
      <c r="P53" s="114">
        <f>7+7+3+5+3</f>
        <v>25</v>
      </c>
      <c r="Q53" s="125"/>
      <c r="R53" s="116">
        <f t="shared" si="9"/>
        <v>0</v>
      </c>
    </row>
    <row r="54" spans="2:18" s="120" customFormat="1" ht="20.25" customHeight="1">
      <c r="B54" s="259" t="s">
        <v>189</v>
      </c>
      <c r="C54" s="260"/>
      <c r="D54" s="114">
        <f>33+21+1</f>
        <v>55</v>
      </c>
      <c r="E54" s="125"/>
      <c r="F54" s="116">
        <f t="shared" si="5"/>
        <v>0</v>
      </c>
      <c r="G54" s="114">
        <f>10+4+2+3+3+5</f>
        <v>27</v>
      </c>
      <c r="H54" s="125"/>
      <c r="I54" s="116">
        <f t="shared" si="6"/>
        <v>0</v>
      </c>
      <c r="J54" s="114">
        <f>9+2+4+4+5</f>
        <v>24</v>
      </c>
      <c r="K54" s="125"/>
      <c r="L54" s="116">
        <f t="shared" si="7"/>
        <v>0</v>
      </c>
      <c r="M54" s="114">
        <f>22+8+3</f>
        <v>33</v>
      </c>
      <c r="N54" s="125"/>
      <c r="O54" s="116">
        <f t="shared" si="8"/>
        <v>0</v>
      </c>
      <c r="P54" s="114">
        <f>11+10+1+1+1+1</f>
        <v>25</v>
      </c>
      <c r="Q54" s="125"/>
      <c r="R54" s="116">
        <f t="shared" si="9"/>
        <v>0</v>
      </c>
    </row>
    <row r="55" spans="2:18" s="120" customFormat="1" ht="20.25" customHeight="1">
      <c r="B55" s="258" t="s">
        <v>93</v>
      </c>
      <c r="C55" s="261"/>
      <c r="D55" s="114">
        <f>27+20+19+10+1+2+1+7</f>
        <v>87</v>
      </c>
      <c r="E55" s="125"/>
      <c r="F55" s="116">
        <f t="shared" si="5"/>
        <v>0</v>
      </c>
      <c r="G55" s="114">
        <f>20+11+7+7+9+5+12</f>
        <v>71</v>
      </c>
      <c r="H55" s="125"/>
      <c r="I55" s="116">
        <f t="shared" si="6"/>
        <v>0</v>
      </c>
      <c r="J55" s="114">
        <f>24+9+7+9+5+9</f>
        <v>63</v>
      </c>
      <c r="K55" s="125"/>
      <c r="L55" s="116">
        <f t="shared" si="7"/>
        <v>0</v>
      </c>
      <c r="M55" s="114">
        <f>16+15+11+12+10+4</f>
        <v>68</v>
      </c>
      <c r="N55" s="125"/>
      <c r="O55" s="116">
        <f t="shared" si="8"/>
        <v>0</v>
      </c>
      <c r="P55" s="114">
        <f>19+17+8+10+6+5+4</f>
        <v>69</v>
      </c>
      <c r="Q55" s="125"/>
      <c r="R55" s="116">
        <f t="shared" si="9"/>
        <v>0</v>
      </c>
    </row>
    <row r="56" spans="2:18" s="120" customFormat="1" ht="20.25" customHeight="1">
      <c r="B56" s="258" t="s">
        <v>190</v>
      </c>
      <c r="C56" s="257"/>
      <c r="D56" s="114">
        <f>21+32+7+7+2+2+4</f>
        <v>75</v>
      </c>
      <c r="E56" s="125"/>
      <c r="F56" s="116">
        <f t="shared" si="5"/>
        <v>0</v>
      </c>
      <c r="G56" s="114">
        <f>10+2+5+2+2</f>
        <v>21</v>
      </c>
      <c r="H56" s="125"/>
      <c r="I56" s="116">
        <f t="shared" si="6"/>
        <v>0</v>
      </c>
      <c r="J56" s="114">
        <f>7+3+11+3+12+5</f>
        <v>41</v>
      </c>
      <c r="K56" s="125"/>
      <c r="L56" s="116">
        <f t="shared" si="7"/>
        <v>0</v>
      </c>
      <c r="M56" s="114">
        <f>2+2</f>
        <v>4</v>
      </c>
      <c r="N56" s="125"/>
      <c r="O56" s="116">
        <f t="shared" si="8"/>
        <v>0</v>
      </c>
      <c r="P56" s="114">
        <f>25+13+9+10+6+3+5</f>
        <v>71</v>
      </c>
      <c r="Q56" s="125"/>
      <c r="R56" s="116">
        <f t="shared" si="9"/>
        <v>0</v>
      </c>
    </row>
    <row r="57" spans="2:18" s="120" customFormat="1" ht="20.25" customHeight="1">
      <c r="B57" s="258" t="s">
        <v>191</v>
      </c>
      <c r="C57" s="257"/>
      <c r="D57" s="114">
        <f>1+14+14+7+1+1+1+2</f>
        <v>41</v>
      </c>
      <c r="E57" s="125"/>
      <c r="F57" s="116">
        <f t="shared" si="5"/>
        <v>0</v>
      </c>
      <c r="G57" s="114">
        <f>14+11+7+8+5+4+11</f>
        <v>60</v>
      </c>
      <c r="H57" s="125"/>
      <c r="I57" s="116">
        <f t="shared" si="6"/>
        <v>0</v>
      </c>
      <c r="J57" s="114">
        <f>3+1+3+4+4+1</f>
        <v>16</v>
      </c>
      <c r="K57" s="125"/>
      <c r="L57" s="116">
        <f t="shared" si="7"/>
        <v>0</v>
      </c>
      <c r="M57" s="114">
        <f>3+1+1</f>
        <v>5</v>
      </c>
      <c r="N57" s="125"/>
      <c r="O57" s="116">
        <f t="shared" si="8"/>
        <v>0</v>
      </c>
      <c r="P57" s="114">
        <f>7+7+4+7+2+2</f>
        <v>29</v>
      </c>
      <c r="Q57" s="125"/>
      <c r="R57" s="116">
        <f t="shared" si="9"/>
        <v>0</v>
      </c>
    </row>
    <row r="58" spans="2:18" s="120" customFormat="1" ht="20.25" customHeight="1">
      <c r="B58" s="258" t="s">
        <v>192</v>
      </c>
      <c r="C58" s="257"/>
      <c r="D58" s="114">
        <f>1+2+1</f>
        <v>4</v>
      </c>
      <c r="E58" s="125"/>
      <c r="F58" s="116">
        <f t="shared" si="5"/>
        <v>0</v>
      </c>
      <c r="G58" s="114">
        <f>1+1</f>
        <v>2</v>
      </c>
      <c r="H58" s="125"/>
      <c r="I58" s="116">
        <f t="shared" si="6"/>
        <v>0</v>
      </c>
      <c r="J58" s="114">
        <v>1</v>
      </c>
      <c r="K58" s="125"/>
      <c r="L58" s="116">
        <f t="shared" si="7"/>
        <v>0</v>
      </c>
      <c r="M58" s="114">
        <f>2+2+1+1+2</f>
        <v>8</v>
      </c>
      <c r="N58" s="125"/>
      <c r="O58" s="116">
        <f t="shared" si="8"/>
        <v>0</v>
      </c>
      <c r="P58" s="114">
        <f>3+6+2+2+1+1+1</f>
        <v>16</v>
      </c>
      <c r="Q58" s="125"/>
      <c r="R58" s="116">
        <f t="shared" si="9"/>
        <v>0</v>
      </c>
    </row>
    <row r="59" spans="2:18" s="120" customFormat="1" ht="20.25" customHeight="1">
      <c r="B59" s="258" t="s">
        <v>193</v>
      </c>
      <c r="C59" s="257"/>
      <c r="D59" s="114">
        <f>1+1+3+1+1+1+1+2</f>
        <v>11</v>
      </c>
      <c r="E59" s="125"/>
      <c r="F59" s="116">
        <f t="shared" si="5"/>
        <v>0</v>
      </c>
      <c r="G59" s="114">
        <f>1+1+1+2+1+1</f>
        <v>7</v>
      </c>
      <c r="H59" s="125"/>
      <c r="I59" s="116">
        <f t="shared" si="6"/>
        <v>0</v>
      </c>
      <c r="J59" s="114">
        <f>1+1+1+1+1+1</f>
        <v>6</v>
      </c>
      <c r="K59" s="125"/>
      <c r="L59" s="116">
        <f t="shared" si="7"/>
        <v>0</v>
      </c>
      <c r="M59" s="114">
        <f>4+3+2+2+1</f>
        <v>12</v>
      </c>
      <c r="N59" s="125"/>
      <c r="O59" s="116">
        <f t="shared" si="8"/>
        <v>0</v>
      </c>
      <c r="P59" s="114">
        <f>10+6+3+5+1+1+1</f>
        <v>27</v>
      </c>
      <c r="Q59" s="125"/>
      <c r="R59" s="116">
        <f t="shared" si="9"/>
        <v>0</v>
      </c>
    </row>
    <row r="60" spans="2:18" s="120" customFormat="1" ht="20.25" customHeight="1">
      <c r="B60" s="258" t="s">
        <v>194</v>
      </c>
      <c r="C60" s="257"/>
      <c r="D60" s="114">
        <v>35</v>
      </c>
      <c r="E60" s="125"/>
      <c r="F60" s="116">
        <f t="shared" si="5"/>
        <v>0</v>
      </c>
      <c r="G60" s="114">
        <v>18</v>
      </c>
      <c r="H60" s="125"/>
      <c r="I60" s="116">
        <f t="shared" si="6"/>
        <v>0</v>
      </c>
      <c r="J60" s="114">
        <v>19</v>
      </c>
      <c r="K60" s="125"/>
      <c r="L60" s="116">
        <f t="shared" si="7"/>
        <v>0</v>
      </c>
      <c r="M60" s="114">
        <v>9</v>
      </c>
      <c r="N60" s="125"/>
      <c r="O60" s="116">
        <f t="shared" si="8"/>
        <v>0</v>
      </c>
      <c r="P60" s="114">
        <v>7</v>
      </c>
      <c r="Q60" s="125"/>
      <c r="R60" s="116">
        <f t="shared" si="9"/>
        <v>0</v>
      </c>
    </row>
    <row r="61" spans="2:18" s="120" customFormat="1" ht="20.25" customHeight="1">
      <c r="B61" s="258" t="s">
        <v>195</v>
      </c>
      <c r="C61" s="261"/>
      <c r="D61" s="114">
        <f>29+35+22+12+1+2+1+9</f>
        <v>111</v>
      </c>
      <c r="E61" s="125"/>
      <c r="F61" s="116">
        <f t="shared" si="5"/>
        <v>0</v>
      </c>
      <c r="G61" s="114">
        <f>26+13+14+7+9+8+13</f>
        <v>90</v>
      </c>
      <c r="H61" s="125"/>
      <c r="I61" s="116">
        <f t="shared" si="6"/>
        <v>0</v>
      </c>
      <c r="J61" s="114">
        <f>24+10+8+8+6+10</f>
        <v>66</v>
      </c>
      <c r="K61" s="125"/>
      <c r="L61" s="116">
        <f t="shared" si="7"/>
        <v>0</v>
      </c>
      <c r="M61" s="114">
        <f>15+17+10+9+6+4</f>
        <v>61</v>
      </c>
      <c r="N61" s="125"/>
      <c r="O61" s="116">
        <f t="shared" si="8"/>
        <v>0</v>
      </c>
      <c r="P61" s="114">
        <f>17+15+8+11+7+5+4</f>
        <v>67</v>
      </c>
      <c r="Q61" s="125"/>
      <c r="R61" s="116">
        <f t="shared" si="9"/>
        <v>0</v>
      </c>
    </row>
    <row r="62" spans="2:18" s="120" customFormat="1" ht="20.25" customHeight="1">
      <c r="B62" s="258" t="s">
        <v>196</v>
      </c>
      <c r="C62" s="261"/>
      <c r="D62" s="114">
        <f>26+25+27+18+1+3+1+10</f>
        <v>111</v>
      </c>
      <c r="E62" s="125"/>
      <c r="F62" s="116">
        <f t="shared" si="5"/>
        <v>0</v>
      </c>
      <c r="G62" s="114">
        <f>15+15+10+10+10+10+20</f>
        <v>90</v>
      </c>
      <c r="H62" s="125"/>
      <c r="I62" s="116">
        <f t="shared" si="6"/>
        <v>0</v>
      </c>
      <c r="J62" s="114">
        <f>20+9+25+17+9+8</f>
        <v>88</v>
      </c>
      <c r="K62" s="125"/>
      <c r="L62" s="116">
        <f t="shared" si="7"/>
        <v>0</v>
      </c>
      <c r="M62" s="114">
        <f>18+16+25+17+15+6</f>
        <v>97</v>
      </c>
      <c r="N62" s="125"/>
      <c r="O62" s="116">
        <f t="shared" si="8"/>
        <v>0</v>
      </c>
      <c r="P62" s="114">
        <f>29+26+8+17+9+9+13</f>
        <v>111</v>
      </c>
      <c r="Q62" s="125"/>
      <c r="R62" s="116">
        <f t="shared" si="9"/>
        <v>0</v>
      </c>
    </row>
    <row r="63" spans="2:18" s="120" customFormat="1" ht="20.25" customHeight="1">
      <c r="B63" s="258" t="s">
        <v>197</v>
      </c>
      <c r="C63" s="257"/>
      <c r="D63" s="114">
        <f>10+59+23+10+1+3+1+9</f>
        <v>116</v>
      </c>
      <c r="E63" s="125"/>
      <c r="F63" s="116">
        <f t="shared" si="5"/>
        <v>0</v>
      </c>
      <c r="G63" s="114">
        <f>21+12+8+8+12+11+16</f>
        <v>88</v>
      </c>
      <c r="H63" s="125"/>
      <c r="I63" s="116">
        <f t="shared" si="6"/>
        <v>0</v>
      </c>
      <c r="J63" s="114">
        <f>31+14+11+13+8+11</f>
        <v>88</v>
      </c>
      <c r="K63" s="125"/>
      <c r="L63" s="116">
        <f t="shared" si="7"/>
        <v>0</v>
      </c>
      <c r="M63" s="114">
        <f>22+22+10+14+8+4</f>
        <v>80</v>
      </c>
      <c r="N63" s="125"/>
      <c r="O63" s="116">
        <f t="shared" si="8"/>
        <v>0</v>
      </c>
      <c r="P63" s="114">
        <f>19+21+5+17+7+6+16</f>
        <v>91</v>
      </c>
      <c r="Q63" s="125"/>
      <c r="R63" s="116">
        <f t="shared" si="9"/>
        <v>0</v>
      </c>
    </row>
    <row r="64" spans="2:18" s="120" customFormat="1" ht="20.25" customHeight="1">
      <c r="B64" s="258" t="s">
        <v>198</v>
      </c>
      <c r="C64" s="257"/>
      <c r="D64" s="114">
        <v>87</v>
      </c>
      <c r="E64" s="125"/>
      <c r="F64" s="116">
        <f t="shared" si="5"/>
        <v>0</v>
      </c>
      <c r="G64" s="114">
        <v>67</v>
      </c>
      <c r="H64" s="125"/>
      <c r="I64" s="116">
        <f t="shared" si="6"/>
        <v>0</v>
      </c>
      <c r="J64" s="114">
        <v>55</v>
      </c>
      <c r="K64" s="125"/>
      <c r="L64" s="116">
        <f t="shared" si="7"/>
        <v>0</v>
      </c>
      <c r="M64" s="114">
        <v>43</v>
      </c>
      <c r="N64" s="125"/>
      <c r="O64" s="116">
        <f t="shared" si="8"/>
        <v>0</v>
      </c>
      <c r="P64" s="114">
        <v>58</v>
      </c>
      <c r="Q64" s="125"/>
      <c r="R64" s="116">
        <f t="shared" si="9"/>
        <v>0</v>
      </c>
    </row>
    <row r="65" spans="2:18" ht="15" customHeight="1">
      <c r="B65" s="279" t="s">
        <v>68</v>
      </c>
      <c r="C65" s="280"/>
      <c r="D65" s="114">
        <f>SUM(D46:D64)</f>
        <v>994</v>
      </c>
      <c r="E65" s="118" t="s">
        <v>175</v>
      </c>
      <c r="F65" s="116">
        <f>SUM(F46:F64)</f>
        <v>0</v>
      </c>
      <c r="G65" s="114">
        <f>SUM(G46:G64)</f>
        <v>759</v>
      </c>
      <c r="H65" s="118" t="s">
        <v>175</v>
      </c>
      <c r="I65" s="116">
        <f>SUM(I46:I64)</f>
        <v>0</v>
      </c>
      <c r="J65" s="114">
        <f>SUM(J46:J64)</f>
        <v>663</v>
      </c>
      <c r="K65" s="118" t="s">
        <v>175</v>
      </c>
      <c r="L65" s="116">
        <f>SUM(L46:L64)</f>
        <v>0</v>
      </c>
      <c r="M65" s="114">
        <f>SUM(M46:M64)</f>
        <v>570</v>
      </c>
      <c r="N65" s="118" t="s">
        <v>175</v>
      </c>
      <c r="O65" s="116">
        <f>SUM(O46:O64)</f>
        <v>0</v>
      </c>
      <c r="P65" s="114">
        <f>SUM(P46:P64)</f>
        <v>754</v>
      </c>
      <c r="Q65" s="118" t="s">
        <v>175</v>
      </c>
      <c r="R65" s="116">
        <f>SUM(R46:R64)</f>
        <v>0</v>
      </c>
    </row>
    <row r="66" spans="2:18" ht="23.25" customHeight="1">
      <c r="B66" s="132"/>
      <c r="C66" s="119"/>
      <c r="D66" s="285" t="s">
        <v>10</v>
      </c>
      <c r="E66" s="282"/>
      <c r="F66" s="46">
        <f>+F65*10%</f>
        <v>0</v>
      </c>
      <c r="G66" s="281" t="s">
        <v>10</v>
      </c>
      <c r="H66" s="282"/>
      <c r="I66" s="46">
        <f>+I65*10%</f>
        <v>0</v>
      </c>
      <c r="J66" s="281" t="s">
        <v>10</v>
      </c>
      <c r="K66" s="282"/>
      <c r="L66" s="46">
        <f>+L65*10%</f>
        <v>0</v>
      </c>
      <c r="M66" s="281" t="s">
        <v>10</v>
      </c>
      <c r="N66" s="282"/>
      <c r="O66" s="46">
        <f>+O65*10%</f>
        <v>0</v>
      </c>
      <c r="P66" s="281" t="s">
        <v>10</v>
      </c>
      <c r="Q66" s="282"/>
      <c r="R66" s="46">
        <f>+R65*10%</f>
        <v>0</v>
      </c>
    </row>
    <row r="67" spans="2:18" ht="15" customHeight="1">
      <c r="B67" s="132"/>
      <c r="C67" s="119"/>
      <c r="D67" s="44" t="s">
        <v>32</v>
      </c>
      <c r="E67" s="45">
        <v>0.16</v>
      </c>
      <c r="F67" s="46">
        <f>+F66*E67</f>
        <v>0</v>
      </c>
      <c r="G67" s="47" t="s">
        <v>32</v>
      </c>
      <c r="H67" s="45">
        <v>0.16</v>
      </c>
      <c r="I67" s="46">
        <f>+I66*H67</f>
        <v>0</v>
      </c>
      <c r="J67" s="47" t="s">
        <v>32</v>
      </c>
      <c r="K67" s="45">
        <v>0.16</v>
      </c>
      <c r="L67" s="46">
        <f>+L66*K67</f>
        <v>0</v>
      </c>
      <c r="M67" s="47" t="s">
        <v>32</v>
      </c>
      <c r="N67" s="45">
        <v>0.16</v>
      </c>
      <c r="O67" s="46">
        <f>+O66*N67</f>
        <v>0</v>
      </c>
      <c r="P67" s="47" t="s">
        <v>32</v>
      </c>
      <c r="Q67" s="45">
        <v>0.16</v>
      </c>
      <c r="R67" s="46">
        <f>+R66*Q67</f>
        <v>0</v>
      </c>
    </row>
    <row r="68" spans="2:18" ht="48" customHeight="1">
      <c r="B68" s="132"/>
      <c r="C68" s="119"/>
      <c r="D68" s="283" t="s">
        <v>207</v>
      </c>
      <c r="E68" s="284"/>
      <c r="F68" s="48">
        <f>+ROUND(F65+F67,0)</f>
        <v>0</v>
      </c>
      <c r="G68" s="283" t="s">
        <v>208</v>
      </c>
      <c r="H68" s="284"/>
      <c r="I68" s="48">
        <f>+ROUND(I65+I67,0)</f>
        <v>0</v>
      </c>
      <c r="J68" s="283" t="s">
        <v>209</v>
      </c>
      <c r="K68" s="284"/>
      <c r="L68" s="48">
        <f>+ROUND(L65+L67,0)</f>
        <v>0</v>
      </c>
      <c r="M68" s="283" t="s">
        <v>210</v>
      </c>
      <c r="N68" s="284"/>
      <c r="O68" s="48">
        <f>+ROUND(O65+O67,0)</f>
        <v>0</v>
      </c>
      <c r="P68" s="283" t="s">
        <v>211</v>
      </c>
      <c r="Q68" s="284"/>
      <c r="R68" s="48">
        <f>+ROUND(R65+R67,0)</f>
        <v>0</v>
      </c>
    </row>
    <row r="69" spans="2:18">
      <c r="C69" s="121"/>
      <c r="D69" s="122"/>
      <c r="F69" s="123"/>
      <c r="I69" s="123"/>
      <c r="L69" s="123"/>
      <c r="O69" s="123"/>
      <c r="R69" s="123"/>
    </row>
    <row r="70" spans="2:18" ht="40.5" customHeight="1">
      <c r="B70" s="132"/>
      <c r="C70" s="119"/>
      <c r="D70" s="286" t="s">
        <v>179</v>
      </c>
      <c r="E70" s="287"/>
      <c r="F70" s="48">
        <f>+F42+F68</f>
        <v>861442055</v>
      </c>
      <c r="G70" s="286" t="s">
        <v>180</v>
      </c>
      <c r="H70" s="287"/>
      <c r="I70" s="48">
        <f>+I42+I68</f>
        <v>593915816</v>
      </c>
      <c r="J70" s="286" t="s">
        <v>181</v>
      </c>
      <c r="K70" s="287"/>
      <c r="L70" s="48">
        <f>+L42+L68</f>
        <v>487004351</v>
      </c>
      <c r="M70" s="286" t="s">
        <v>182</v>
      </c>
      <c r="N70" s="287"/>
      <c r="O70" s="48">
        <f>+O42+O68</f>
        <v>423207938</v>
      </c>
      <c r="P70" s="286" t="s">
        <v>183</v>
      </c>
      <c r="Q70" s="287"/>
      <c r="R70" s="48">
        <f>+R42+R68</f>
        <v>498291401</v>
      </c>
    </row>
    <row r="71" spans="2:18">
      <c r="M71" s="124"/>
    </row>
    <row r="72" spans="2:18" s="13" customFormat="1" ht="15.75" customHeight="1">
      <c r="B72" s="266" t="s">
        <v>14</v>
      </c>
      <c r="C72" s="266"/>
      <c r="D72" s="266"/>
      <c r="E72" s="266"/>
      <c r="F72" s="266"/>
      <c r="G72" s="266"/>
      <c r="H72" s="266"/>
      <c r="I72" s="266"/>
      <c r="J72" s="266"/>
      <c r="K72" s="266"/>
    </row>
    <row r="73" spans="2:18" s="13" customFormat="1" ht="59.25" customHeight="1">
      <c r="B73" s="254" t="s">
        <v>184</v>
      </c>
      <c r="C73" s="254"/>
      <c r="D73" s="254"/>
      <c r="E73" s="254"/>
      <c r="F73" s="254"/>
      <c r="G73" s="254"/>
      <c r="H73" s="254"/>
      <c r="I73" s="254"/>
      <c r="J73" s="254"/>
      <c r="K73" s="254"/>
    </row>
    <row r="74" spans="2:18" s="13" customFormat="1" ht="57" customHeight="1">
      <c r="B74" s="254" t="s">
        <v>157</v>
      </c>
      <c r="C74" s="254"/>
      <c r="D74" s="254"/>
      <c r="E74" s="254"/>
      <c r="F74" s="254"/>
      <c r="G74" s="254"/>
      <c r="H74" s="254"/>
      <c r="I74" s="254"/>
      <c r="J74" s="254"/>
      <c r="K74" s="254"/>
    </row>
  </sheetData>
  <sheetProtection password="C809" sheet="1" objects="1" scenarios="1" selectLockedCells="1"/>
  <mergeCells count="90">
    <mergeCell ref="B73:K73"/>
    <mergeCell ref="B74:K74"/>
    <mergeCell ref="D70:E70"/>
    <mergeCell ref="G70:H70"/>
    <mergeCell ref="J70:K70"/>
    <mergeCell ref="M70:N70"/>
    <mergeCell ref="P70:Q70"/>
    <mergeCell ref="B72:K72"/>
    <mergeCell ref="M66:N66"/>
    <mergeCell ref="P66:Q66"/>
    <mergeCell ref="D68:E68"/>
    <mergeCell ref="G68:H68"/>
    <mergeCell ref="J68:K68"/>
    <mergeCell ref="M68:N68"/>
    <mergeCell ref="P68:Q68"/>
    <mergeCell ref="J66:K66"/>
    <mergeCell ref="B63:C63"/>
    <mergeCell ref="B64:C64"/>
    <mergeCell ref="B65:C65"/>
    <mergeCell ref="D66:E66"/>
    <mergeCell ref="G66:H66"/>
    <mergeCell ref="B62:C62"/>
    <mergeCell ref="B51:C51"/>
    <mergeCell ref="B52:C52"/>
    <mergeCell ref="B53:C53"/>
    <mergeCell ref="B54:C54"/>
    <mergeCell ref="B55:C55"/>
    <mergeCell ref="B56:C56"/>
    <mergeCell ref="B57:C57"/>
    <mergeCell ref="B58:C58"/>
    <mergeCell ref="B59:C59"/>
    <mergeCell ref="B60:C60"/>
    <mergeCell ref="B61:C61"/>
    <mergeCell ref="B50:C50"/>
    <mergeCell ref="B43:H43"/>
    <mergeCell ref="D44:F44"/>
    <mergeCell ref="G44:I44"/>
    <mergeCell ref="J44:L44"/>
    <mergeCell ref="B45:C45"/>
    <mergeCell ref="B46:C46"/>
    <mergeCell ref="B47:C47"/>
    <mergeCell ref="B48:C48"/>
    <mergeCell ref="B49:C49"/>
    <mergeCell ref="M44:O44"/>
    <mergeCell ref="P44:R44"/>
    <mergeCell ref="G40:H40"/>
    <mergeCell ref="J40:K40"/>
    <mergeCell ref="M40:N40"/>
    <mergeCell ref="P40:Q40"/>
    <mergeCell ref="D42:E42"/>
    <mergeCell ref="G42:H42"/>
    <mergeCell ref="J42:K42"/>
    <mergeCell ref="M42:N42"/>
    <mergeCell ref="P42:Q42"/>
    <mergeCell ref="D40:E40"/>
    <mergeCell ref="B29:C29"/>
    <mergeCell ref="B30:C30"/>
    <mergeCell ref="B31:C31"/>
    <mergeCell ref="B32:C32"/>
    <mergeCell ref="B33:C33"/>
    <mergeCell ref="B34:C34"/>
    <mergeCell ref="B35:C35"/>
    <mergeCell ref="B36:C36"/>
    <mergeCell ref="B37:C37"/>
    <mergeCell ref="B38:C38"/>
    <mergeCell ref="B39:C39"/>
    <mergeCell ref="B28:C28"/>
    <mergeCell ref="B20:D20"/>
    <mergeCell ref="D22:F22"/>
    <mergeCell ref="G22:I22"/>
    <mergeCell ref="J22:L22"/>
    <mergeCell ref="B23:C23"/>
    <mergeCell ref="B24:C24"/>
    <mergeCell ref="B25:C25"/>
    <mergeCell ref="B26:C26"/>
    <mergeCell ref="B27:C27"/>
    <mergeCell ref="M22:O22"/>
    <mergeCell ref="P22:R22"/>
    <mergeCell ref="E12:G12"/>
    <mergeCell ref="I12:K12"/>
    <mergeCell ref="B14:K14"/>
    <mergeCell ref="B15:K15"/>
    <mergeCell ref="B16:K16"/>
    <mergeCell ref="B19:D19"/>
    <mergeCell ref="B2:K7"/>
    <mergeCell ref="B9:K9"/>
    <mergeCell ref="E10:G10"/>
    <mergeCell ref="I10:K10"/>
    <mergeCell ref="E11:G11"/>
    <mergeCell ref="I11:K11"/>
  </mergeCells>
  <pageMargins left="0.23622047244094491" right="0.23622047244094491" top="0.74803149606299213" bottom="0.74803149606299213" header="0.31496062992125984" footer="0.31496062992125984"/>
  <pageSetup scale="45" orientation="landscape" r:id="rId1"/>
  <rowBreaks count="1" manualBreakCount="1">
    <brk id="42" min="1" max="17" man="1"/>
  </rowBreaks>
  <ignoredErrors>
    <ignoredError sqref="E20:H20"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B2:D24"/>
  <sheetViews>
    <sheetView showGridLines="0" zoomScale="80" zoomScaleNormal="80" workbookViewId="0">
      <selection activeCell="D24" sqref="C24:D24"/>
    </sheetView>
  </sheetViews>
  <sheetFormatPr baseColWidth="10" defaultRowHeight="15"/>
  <cols>
    <col min="1" max="1" width="4.5703125" style="126" customWidth="1"/>
    <col min="2" max="2" width="49.85546875" style="126" customWidth="1"/>
    <col min="3" max="4" width="20.7109375" style="126" customWidth="1"/>
    <col min="5" max="16384" width="11.42578125" style="126"/>
  </cols>
  <sheetData>
    <row r="2" spans="2:4">
      <c r="B2" s="288" t="s">
        <v>217</v>
      </c>
      <c r="C2" s="288"/>
      <c r="D2" s="288"/>
    </row>
    <row r="3" spans="2:4">
      <c r="B3" s="288"/>
      <c r="C3" s="288"/>
      <c r="D3" s="288"/>
    </row>
    <row r="5" spans="2:4" ht="29.25" customHeight="1">
      <c r="B5" s="133" t="s">
        <v>69</v>
      </c>
      <c r="C5" s="133" t="s">
        <v>155</v>
      </c>
      <c r="D5" s="133" t="s">
        <v>156</v>
      </c>
    </row>
    <row r="6" spans="2:4" ht="21.75" customHeight="1">
      <c r="B6" s="136" t="s">
        <v>152</v>
      </c>
      <c r="C6" s="138"/>
      <c r="D6" s="139"/>
    </row>
    <row r="7" spans="2:4" ht="21.75" customHeight="1">
      <c r="B7" s="136" t="s">
        <v>154</v>
      </c>
      <c r="C7" s="138"/>
      <c r="D7" s="139"/>
    </row>
    <row r="8" spans="2:4" ht="21.75" customHeight="1">
      <c r="B8" s="136" t="s">
        <v>153</v>
      </c>
      <c r="C8" s="138"/>
      <c r="D8" s="139"/>
    </row>
    <row r="9" spans="2:4" ht="21.75" customHeight="1">
      <c r="B9" s="136" t="s">
        <v>185</v>
      </c>
      <c r="C9" s="138"/>
      <c r="D9" s="139"/>
    </row>
    <row r="10" spans="2:4" ht="21.75" customHeight="1">
      <c r="B10" s="136" t="s">
        <v>216</v>
      </c>
      <c r="C10" s="138"/>
      <c r="D10" s="139"/>
    </row>
    <row r="11" spans="2:4" ht="21.75" customHeight="1">
      <c r="B11" s="136" t="s">
        <v>186</v>
      </c>
      <c r="C11" s="138"/>
      <c r="D11" s="139"/>
    </row>
    <row r="12" spans="2:4" ht="21.75" customHeight="1">
      <c r="B12" s="136" t="s">
        <v>187</v>
      </c>
      <c r="C12" s="138"/>
      <c r="D12" s="139"/>
    </row>
    <row r="13" spans="2:4" ht="21.75" customHeight="1">
      <c r="B13" s="137" t="s">
        <v>188</v>
      </c>
      <c r="C13" s="138"/>
      <c r="D13" s="139"/>
    </row>
    <row r="14" spans="2:4" ht="21.75" customHeight="1">
      <c r="B14" s="137" t="s">
        <v>189</v>
      </c>
      <c r="C14" s="138"/>
      <c r="D14" s="139"/>
    </row>
    <row r="15" spans="2:4" ht="21.75" customHeight="1">
      <c r="B15" s="137" t="s">
        <v>93</v>
      </c>
      <c r="C15" s="138"/>
      <c r="D15" s="139"/>
    </row>
    <row r="16" spans="2:4" ht="21.75" customHeight="1">
      <c r="B16" s="137" t="s">
        <v>190</v>
      </c>
      <c r="C16" s="138"/>
      <c r="D16" s="139"/>
    </row>
    <row r="17" spans="2:4" ht="21.75" customHeight="1">
      <c r="B17" s="137" t="s">
        <v>191</v>
      </c>
      <c r="C17" s="138"/>
      <c r="D17" s="139"/>
    </row>
    <row r="18" spans="2:4" ht="21.75" customHeight="1">
      <c r="B18" s="137" t="s">
        <v>192</v>
      </c>
      <c r="C18" s="138"/>
      <c r="D18" s="139"/>
    </row>
    <row r="19" spans="2:4" ht="21.75" customHeight="1">
      <c r="B19" s="137" t="s">
        <v>193</v>
      </c>
      <c r="C19" s="138"/>
      <c r="D19" s="139"/>
    </row>
    <row r="20" spans="2:4" ht="21.75" customHeight="1">
      <c r="B20" s="137" t="s">
        <v>194</v>
      </c>
      <c r="C20" s="138"/>
      <c r="D20" s="139"/>
    </row>
    <row r="21" spans="2:4" ht="21.75" customHeight="1">
      <c r="B21" s="137" t="s">
        <v>195</v>
      </c>
      <c r="C21" s="138"/>
      <c r="D21" s="139"/>
    </row>
    <row r="22" spans="2:4" ht="21.75" customHeight="1">
      <c r="B22" s="137" t="s">
        <v>196</v>
      </c>
      <c r="C22" s="138"/>
      <c r="D22" s="139"/>
    </row>
    <row r="23" spans="2:4" ht="21.75" customHeight="1">
      <c r="B23" s="137" t="s">
        <v>197</v>
      </c>
      <c r="C23" s="138"/>
      <c r="D23" s="139"/>
    </row>
    <row r="24" spans="2:4" ht="21.75" customHeight="1">
      <c r="B24" s="137" t="s">
        <v>198</v>
      </c>
      <c r="C24" s="138"/>
      <c r="D24" s="139"/>
    </row>
  </sheetData>
  <sheetProtection password="C809" sheet="1" objects="1" scenarios="1" selectLockedCells="1"/>
  <mergeCells count="1">
    <mergeCell ref="B2:D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9" sqref="B9:G10"/>
    </sheetView>
  </sheetViews>
  <sheetFormatPr baseColWidth="10" defaultColWidth="0" defaultRowHeight="12.75" customHeight="1" zeroHeight="1"/>
  <cols>
    <col min="1" max="1" width="4" style="67" customWidth="1"/>
    <col min="2" max="2" width="47.42578125" style="67" customWidth="1"/>
    <col min="3" max="3" width="7.140625" style="67" bestFit="1" customWidth="1"/>
    <col min="4" max="4" width="11.42578125" style="67" customWidth="1"/>
    <col min="5" max="5" width="21" style="68" customWidth="1"/>
    <col min="6" max="7" width="11.42578125" style="67" customWidth="1"/>
    <col min="8" max="8" width="4.28515625" style="67" customWidth="1"/>
    <col min="9" max="16384" width="11.42578125" style="67" hidden="1"/>
  </cols>
  <sheetData>
    <row r="1" spans="2:7"/>
    <row r="2" spans="2:7" s="74" customFormat="1" ht="15" customHeight="1">
      <c r="B2" s="69"/>
      <c r="C2" s="70"/>
      <c r="D2" s="70"/>
      <c r="E2" s="71"/>
      <c r="F2" s="72"/>
      <c r="G2" s="73"/>
    </row>
    <row r="3" spans="2:7" s="74" customFormat="1" ht="15" customHeight="1">
      <c r="B3" s="75"/>
      <c r="C3" s="76"/>
      <c r="D3" s="76"/>
      <c r="E3" s="77"/>
      <c r="F3" s="78"/>
      <c r="G3" s="79"/>
    </row>
    <row r="4" spans="2:7" s="74" customFormat="1" ht="15.75" customHeight="1">
      <c r="B4" s="75"/>
      <c r="C4" s="76"/>
      <c r="D4" s="76"/>
      <c r="E4" s="77"/>
      <c r="F4" s="78"/>
      <c r="G4" s="79"/>
    </row>
    <row r="5" spans="2:7" s="74" customFormat="1" ht="15.75" customHeight="1">
      <c r="B5" s="75"/>
      <c r="C5" s="76"/>
      <c r="D5" s="76"/>
      <c r="E5" s="77"/>
      <c r="F5" s="78"/>
      <c r="G5" s="79"/>
    </row>
    <row r="6" spans="2:7" s="74" customFormat="1" ht="15.75" customHeight="1">
      <c r="B6" s="75"/>
      <c r="C6" s="76"/>
      <c r="D6" s="76"/>
      <c r="E6" s="77"/>
      <c r="G6" s="80"/>
    </row>
    <row r="7" spans="2:7" s="74" customFormat="1" ht="15.75" customHeight="1">
      <c r="B7" s="75"/>
      <c r="C7" s="76"/>
      <c r="D7" s="76"/>
      <c r="E7" s="77"/>
      <c r="G7" s="80"/>
    </row>
    <row r="8" spans="2:7" s="74" customFormat="1" ht="15.75" customHeight="1">
      <c r="B8" s="75"/>
      <c r="C8" s="76"/>
      <c r="D8" s="76"/>
      <c r="E8" s="77"/>
      <c r="G8" s="80"/>
    </row>
    <row r="9" spans="2:7" s="74" customFormat="1" ht="9" customHeight="1">
      <c r="B9" s="294" t="s">
        <v>124</v>
      </c>
      <c r="C9" s="295"/>
      <c r="D9" s="295"/>
      <c r="E9" s="295"/>
      <c r="F9" s="295"/>
      <c r="G9" s="296"/>
    </row>
    <row r="10" spans="2:7" s="74" customFormat="1" ht="9" customHeight="1">
      <c r="B10" s="297"/>
      <c r="C10" s="298"/>
      <c r="D10" s="298"/>
      <c r="E10" s="298"/>
      <c r="F10" s="298"/>
      <c r="G10" s="299"/>
    </row>
    <row r="11" spans="2:7" s="85" customFormat="1" ht="15.75" customHeight="1">
      <c r="B11" s="81"/>
      <c r="C11" s="82"/>
      <c r="D11" s="82"/>
      <c r="E11" s="83"/>
      <c r="F11" s="82"/>
      <c r="G11" s="84"/>
    </row>
    <row r="12" spans="2:7" s="85" customFormat="1" ht="34.5" customHeight="1">
      <c r="B12" s="300" t="s">
        <v>125</v>
      </c>
      <c r="C12" s="301"/>
      <c r="D12" s="301"/>
      <c r="E12" s="301"/>
      <c r="F12" s="301"/>
      <c r="G12" s="302"/>
    </row>
    <row r="13" spans="2:7">
      <c r="B13" s="86"/>
      <c r="C13" s="87"/>
      <c r="D13" s="87"/>
      <c r="E13" s="88"/>
      <c r="F13" s="87"/>
      <c r="G13" s="89"/>
    </row>
    <row r="14" spans="2:7">
      <c r="B14" s="90" t="s">
        <v>126</v>
      </c>
      <c r="C14" s="87"/>
      <c r="D14" s="87"/>
      <c r="E14" s="88"/>
      <c r="F14" s="87"/>
      <c r="G14" s="89"/>
    </row>
    <row r="15" spans="2:7">
      <c r="B15" s="91"/>
      <c r="C15" s="92"/>
      <c r="D15" s="92"/>
      <c r="E15" s="93"/>
      <c r="F15" s="92"/>
      <c r="G15" s="94"/>
    </row>
    <row r="16" spans="2:7" ht="25.5">
      <c r="B16" s="303" t="s">
        <v>127</v>
      </c>
      <c r="C16" s="303"/>
      <c r="D16" s="95" t="s">
        <v>128</v>
      </c>
      <c r="E16" s="303" t="s">
        <v>129</v>
      </c>
      <c r="F16" s="303"/>
      <c r="G16" s="303"/>
    </row>
    <row r="17" spans="2:7" ht="22.5" customHeight="1">
      <c r="B17" s="292" t="s">
        <v>130</v>
      </c>
      <c r="C17" s="292"/>
      <c r="D17" s="96">
        <v>0.1</v>
      </c>
      <c r="E17" s="291" t="s">
        <v>131</v>
      </c>
      <c r="F17" s="291"/>
      <c r="G17" s="291"/>
    </row>
    <row r="18" spans="2:7" ht="28.5" customHeight="1">
      <c r="B18" s="292" t="s">
        <v>132</v>
      </c>
      <c r="C18" s="292"/>
      <c r="D18" s="96">
        <v>0.2</v>
      </c>
      <c r="E18" s="293" t="s">
        <v>133</v>
      </c>
      <c r="F18" s="293"/>
      <c r="G18" s="293"/>
    </row>
    <row r="19" spans="2:7" ht="29.25" customHeight="1">
      <c r="B19" s="292" t="s">
        <v>134</v>
      </c>
      <c r="C19" s="292"/>
      <c r="D19" s="96">
        <v>0.1</v>
      </c>
      <c r="E19" s="293" t="s">
        <v>135</v>
      </c>
      <c r="F19" s="293"/>
      <c r="G19" s="293"/>
    </row>
    <row r="20" spans="2:7" ht="25.5" customHeight="1">
      <c r="B20" s="292" t="s">
        <v>136</v>
      </c>
      <c r="C20" s="292"/>
      <c r="D20" s="96">
        <v>0.2</v>
      </c>
      <c r="E20" s="293" t="s">
        <v>133</v>
      </c>
      <c r="F20" s="293"/>
      <c r="G20" s="293"/>
    </row>
    <row r="21" spans="2:7" ht="23.25" customHeight="1">
      <c r="B21" s="289" t="s">
        <v>137</v>
      </c>
      <c r="C21" s="290"/>
      <c r="D21" s="96">
        <v>0.1</v>
      </c>
      <c r="E21" s="291" t="s">
        <v>131</v>
      </c>
      <c r="F21" s="291"/>
      <c r="G21" s="291"/>
    </row>
    <row r="22" spans="2:7" ht="27" customHeight="1">
      <c r="B22" s="67" t="s">
        <v>138</v>
      </c>
    </row>
    <row r="23" spans="2:7"/>
  </sheetData>
  <sheetProtection password="CBC9"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B1:J91"/>
  <sheetViews>
    <sheetView showGridLines="0" zoomScale="80" zoomScaleNormal="80" workbookViewId="0">
      <selection activeCell="C13" sqref="C13"/>
    </sheetView>
  </sheetViews>
  <sheetFormatPr baseColWidth="10" defaultColWidth="11.42578125" defaultRowHeight="14.25" customHeight="1" zeroHeight="1"/>
  <cols>
    <col min="1" max="1" width="2.28515625" style="4" customWidth="1"/>
    <col min="2" max="2" width="11.28515625" style="4" customWidth="1"/>
    <col min="3" max="3" width="24.85546875" style="4" customWidth="1"/>
    <col min="4" max="4" width="13.28515625" style="4" customWidth="1"/>
    <col min="5" max="5" width="60.42578125" style="4" customWidth="1"/>
    <col min="6" max="6" width="16.5703125" style="4" customWidth="1"/>
    <col min="7" max="7" width="13.140625" style="4" customWidth="1"/>
    <col min="8" max="8" width="19.5703125" style="4" customWidth="1"/>
    <col min="9" max="9" width="14.5703125" style="4" customWidth="1"/>
    <col min="10" max="10" width="24.85546875" style="4" customWidth="1"/>
    <col min="11" max="11" width="3" style="4" customWidth="1"/>
    <col min="12" max="17" width="11.42578125" style="4" customWidth="1"/>
    <col min="18" max="16384" width="11.42578125" style="4"/>
  </cols>
  <sheetData>
    <row r="1" spans="2:10" ht="12.75"/>
    <row r="2" spans="2:10" ht="6" customHeight="1">
      <c r="B2" s="304"/>
      <c r="C2" s="304"/>
      <c r="D2" s="304"/>
      <c r="E2" s="304"/>
      <c r="F2" s="304"/>
      <c r="G2" s="304"/>
      <c r="H2" s="304"/>
      <c r="I2" s="304"/>
      <c r="J2" s="304"/>
    </row>
    <row r="3" spans="2:10" ht="15.75" customHeight="1">
      <c r="B3" s="304"/>
      <c r="C3" s="304"/>
      <c r="D3" s="304"/>
      <c r="E3" s="304"/>
      <c r="F3" s="304"/>
      <c r="G3" s="304"/>
      <c r="H3" s="304"/>
      <c r="I3" s="304"/>
      <c r="J3" s="304"/>
    </row>
    <row r="4" spans="2:10" ht="15.75" customHeight="1">
      <c r="B4" s="304"/>
      <c r="C4" s="304"/>
      <c r="D4" s="304"/>
      <c r="E4" s="304"/>
      <c r="F4" s="304"/>
      <c r="G4" s="304"/>
      <c r="H4" s="304"/>
      <c r="I4" s="304"/>
      <c r="J4" s="304"/>
    </row>
    <row r="5" spans="2:10" ht="15.75" customHeight="1">
      <c r="B5" s="304"/>
      <c r="C5" s="304"/>
      <c r="D5" s="304"/>
      <c r="E5" s="304"/>
      <c r="F5" s="304"/>
      <c r="G5" s="304"/>
      <c r="H5" s="304"/>
      <c r="I5" s="304"/>
      <c r="J5" s="304"/>
    </row>
    <row r="6" spans="2:10" ht="15.75" customHeight="1">
      <c r="B6" s="304"/>
      <c r="C6" s="304"/>
      <c r="D6" s="304"/>
      <c r="E6" s="304"/>
      <c r="F6" s="304"/>
      <c r="G6" s="304"/>
      <c r="H6" s="304"/>
      <c r="I6" s="304"/>
      <c r="J6" s="304"/>
    </row>
    <row r="7" spans="2:10" ht="12.75">
      <c r="B7" s="304"/>
      <c r="C7" s="304"/>
      <c r="D7" s="304"/>
      <c r="E7" s="304"/>
      <c r="F7" s="304"/>
      <c r="G7" s="304"/>
      <c r="H7" s="304"/>
      <c r="I7" s="304"/>
      <c r="J7" s="304"/>
    </row>
    <row r="8" spans="2:10" ht="12.75">
      <c r="B8" s="304" t="s">
        <v>139</v>
      </c>
      <c r="C8" s="304"/>
      <c r="D8" s="304"/>
      <c r="E8" s="304"/>
      <c r="F8" s="304"/>
      <c r="G8" s="304"/>
      <c r="H8" s="304"/>
      <c r="I8" s="304"/>
      <c r="J8" s="304"/>
    </row>
    <row r="9" spans="2:10" ht="18" customHeight="1">
      <c r="B9" s="305" t="s">
        <v>140</v>
      </c>
      <c r="C9" s="306"/>
      <c r="D9" s="306"/>
      <c r="E9" s="306"/>
      <c r="F9" s="306"/>
      <c r="G9" s="306"/>
      <c r="H9" s="306"/>
      <c r="I9" s="306"/>
      <c r="J9" s="307"/>
    </row>
    <row r="10" spans="2:10" s="98" customFormat="1" ht="9.75" customHeight="1">
      <c r="B10" s="97"/>
      <c r="C10" s="97"/>
      <c r="D10" s="97"/>
      <c r="E10" s="97"/>
      <c r="F10" s="97"/>
      <c r="G10" s="97"/>
      <c r="H10" s="97"/>
      <c r="I10" s="97"/>
      <c r="J10" s="97"/>
    </row>
    <row r="11" spans="2:10" ht="25.5" customHeight="1">
      <c r="B11" s="308" t="s">
        <v>141</v>
      </c>
      <c r="C11" s="308"/>
      <c r="D11" s="308"/>
      <c r="E11" s="308"/>
      <c r="F11" s="308"/>
      <c r="G11" s="308"/>
      <c r="H11" s="308"/>
      <c r="I11" s="308"/>
      <c r="J11" s="308"/>
    </row>
    <row r="12" spans="2:10" ht="9.75" customHeight="1">
      <c r="B12" s="99"/>
      <c r="C12" s="100"/>
      <c r="D12" s="100"/>
      <c r="E12" s="100"/>
      <c r="F12" s="100"/>
      <c r="G12" s="100"/>
      <c r="H12" s="100"/>
      <c r="I12" s="100"/>
      <c r="J12" s="100"/>
    </row>
    <row r="13" spans="2:10" ht="51">
      <c r="B13" s="101" t="s">
        <v>142</v>
      </c>
      <c r="C13" s="101" t="s">
        <v>143</v>
      </c>
      <c r="D13" s="101" t="s">
        <v>144</v>
      </c>
      <c r="E13" s="101" t="s">
        <v>145</v>
      </c>
      <c r="F13" s="101" t="s">
        <v>146</v>
      </c>
      <c r="G13" s="101" t="s">
        <v>147</v>
      </c>
      <c r="H13" s="101" t="s">
        <v>148</v>
      </c>
      <c r="I13" s="101" t="s">
        <v>149</v>
      </c>
      <c r="J13" s="101" t="s">
        <v>150</v>
      </c>
    </row>
    <row r="14" spans="2:10" ht="23.25" customHeight="1">
      <c r="B14" s="102"/>
      <c r="C14" s="102"/>
      <c r="D14" s="102"/>
      <c r="E14" s="102"/>
      <c r="F14" s="103"/>
      <c r="G14" s="102"/>
      <c r="H14" s="102"/>
      <c r="I14" s="102"/>
      <c r="J14" s="104"/>
    </row>
    <row r="15" spans="2:10" ht="23.25" customHeight="1">
      <c r="B15" s="102"/>
      <c r="C15" s="102"/>
      <c r="D15" s="102"/>
      <c r="E15" s="102"/>
      <c r="F15" s="103"/>
      <c r="G15" s="102"/>
      <c r="H15" s="102"/>
      <c r="I15" s="102"/>
      <c r="J15" s="104"/>
    </row>
    <row r="16" spans="2:10" ht="23.25" customHeight="1">
      <c r="B16" s="102"/>
      <c r="C16" s="102"/>
      <c r="D16" s="102"/>
      <c r="E16" s="102"/>
      <c r="F16" s="103"/>
      <c r="G16" s="102"/>
      <c r="H16" s="102"/>
      <c r="I16" s="102"/>
      <c r="J16" s="104"/>
    </row>
    <row r="17" spans="2:10" ht="23.25" customHeight="1">
      <c r="B17" s="102"/>
      <c r="C17" s="102"/>
      <c r="D17" s="102"/>
      <c r="E17" s="102"/>
      <c r="F17" s="103"/>
      <c r="G17" s="102"/>
      <c r="H17" s="102"/>
      <c r="I17" s="102"/>
      <c r="J17" s="104"/>
    </row>
    <row r="18" spans="2:10" ht="23.25" customHeight="1">
      <c r="B18" s="102"/>
      <c r="C18" s="102"/>
      <c r="D18" s="102"/>
      <c r="E18" s="102"/>
      <c r="F18" s="103"/>
      <c r="G18" s="102"/>
      <c r="H18" s="102"/>
      <c r="I18" s="102"/>
      <c r="J18" s="104"/>
    </row>
    <row r="19" spans="2:10" ht="23.25" customHeight="1">
      <c r="B19" s="102"/>
      <c r="C19" s="102"/>
      <c r="D19" s="102"/>
      <c r="E19" s="102"/>
      <c r="F19" s="103"/>
      <c r="G19" s="102"/>
      <c r="H19" s="102"/>
      <c r="I19" s="102"/>
      <c r="J19" s="104"/>
    </row>
    <row r="20" spans="2:10" ht="23.25" customHeight="1">
      <c r="B20" s="102"/>
      <c r="C20" s="102"/>
      <c r="D20" s="102"/>
      <c r="E20" s="102"/>
      <c r="F20" s="103"/>
      <c r="G20" s="102"/>
      <c r="H20" s="102"/>
      <c r="I20" s="102"/>
      <c r="J20" s="104"/>
    </row>
    <row r="21" spans="2:10" ht="23.25" customHeight="1">
      <c r="B21" s="102"/>
      <c r="C21" s="102"/>
      <c r="D21" s="102"/>
      <c r="E21" s="102"/>
      <c r="F21" s="103"/>
      <c r="G21" s="102"/>
      <c r="H21" s="102"/>
      <c r="I21" s="102"/>
      <c r="J21" s="104"/>
    </row>
    <row r="22" spans="2:10" ht="23.25" customHeight="1">
      <c r="B22" s="102"/>
      <c r="C22" s="102"/>
      <c r="D22" s="102"/>
      <c r="E22" s="102"/>
      <c r="F22" s="103"/>
      <c r="G22" s="102"/>
      <c r="H22" s="102"/>
      <c r="I22" s="102"/>
      <c r="J22" s="104"/>
    </row>
    <row r="23" spans="2:10" ht="23.25" customHeight="1">
      <c r="B23" s="102"/>
      <c r="C23" s="102"/>
      <c r="D23" s="102"/>
      <c r="E23" s="102"/>
      <c r="F23" s="103"/>
      <c r="G23" s="102"/>
      <c r="H23" s="102"/>
      <c r="I23" s="102"/>
      <c r="J23" s="104"/>
    </row>
    <row r="24" spans="2:10" ht="12.75">
      <c r="B24" s="105"/>
      <c r="C24" s="106"/>
      <c r="D24" s="105"/>
      <c r="E24" s="106"/>
      <c r="F24" s="107"/>
      <c r="G24" s="108"/>
      <c r="H24" s="108"/>
      <c r="I24" s="108"/>
      <c r="J24" s="109"/>
    </row>
    <row r="25" spans="2:10" ht="12.75">
      <c r="B25" s="4" t="s">
        <v>151</v>
      </c>
    </row>
    <row r="26" spans="2:10" ht="12.75"/>
    <row r="27" spans="2:10" ht="12.75" hidden="1"/>
    <row r="28" spans="2:10" ht="12.75" hidden="1"/>
    <row r="29" spans="2:10" ht="12.75" hidden="1"/>
    <row r="30" spans="2:10" ht="12.75" hidden="1"/>
    <row r="31" spans="2:10" ht="12.75" hidden="1"/>
    <row r="32" spans="2:10"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row r="81" ht="12.75"/>
    <row r="82" ht="12.75"/>
    <row r="83" ht="12.75"/>
    <row r="84" ht="14.25" customHeight="1"/>
    <row r="85" ht="14.25" customHeight="1"/>
    <row r="86" ht="14.25" customHeight="1"/>
    <row r="87" ht="14.25" customHeight="1"/>
    <row r="88" ht="14.25" customHeight="1"/>
    <row r="89" ht="14.25" customHeight="1"/>
    <row r="90" ht="14.25" customHeight="1"/>
    <row r="91" ht="14.25" customHeight="1"/>
  </sheetData>
  <sheetProtection password="CBC9" sheet="1" objects="1" scenarios="1" insertRows="0"/>
  <mergeCells count="3">
    <mergeCell ref="B2:J8"/>
    <mergeCell ref="B9:J9"/>
    <mergeCell ref="B11:J11"/>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67"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9</vt:i4>
      </vt:variant>
    </vt:vector>
  </HeadingPairs>
  <TitlesOfParts>
    <vt:vector size="16" baseType="lpstr">
      <vt:lpstr>INFO GENERAL Y FINANCIERA</vt:lpstr>
      <vt:lpstr> Circular 00435 de 2015</vt:lpstr>
      <vt:lpstr>FORMATO COTIZACIÓN-ESCENARIO 1</vt:lpstr>
      <vt:lpstr>FORMATO COTIZACIÓN-ESCENARIO 2</vt:lpstr>
      <vt:lpstr>Medios Tecnológicos</vt:lpstr>
      <vt:lpstr>POLIZAS</vt:lpstr>
      <vt:lpstr>INFO EXPERIENCIA</vt:lpstr>
      <vt:lpstr>'FORMATO COTIZACIÓN-ESCENARIO 1'!Área_de_impresión</vt:lpstr>
      <vt:lpstr>'FORMATO COTIZACIÓN-ESCENARIO 2'!Área_de_impresión</vt:lpstr>
      <vt:lpstr>'INFO EXPERIENCIA'!Área_de_impresión</vt:lpstr>
      <vt:lpstr>'INFO GENERAL Y FINANCIERA'!Área_de_impresión</vt:lpstr>
      <vt:lpstr>POLIZAS!Área_de_impresión</vt:lpstr>
      <vt:lpstr>'FORMATO COTIZACIÓN-ESCENARIO 1'!Títulos_a_imprimir</vt:lpstr>
      <vt:lpstr>'FORMATO COTIZACIÓN-ESCENARIO 2'!Títulos_a_imprimir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2015-08-25T16:33:27Z</cp:lastPrinted>
  <dcterms:created xsi:type="dcterms:W3CDTF">2013-08-22T20:49:37Z</dcterms:created>
  <dcterms:modified xsi:type="dcterms:W3CDTF">2015-08-25T16:46:52Z</dcterms:modified>
</cp:coreProperties>
</file>