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D:\ROBINSON.PARADA\Mis documentos\ESTUDIO DE MERCADO\33 VIGILANCIA NIV NAC 2014.E2\"/>
    </mc:Choice>
  </mc:AlternateContent>
  <bookViews>
    <workbookView xWindow="0" yWindow="0" windowWidth="20490" windowHeight="7755" firstSheet="1" activeTab="3"/>
  </bookViews>
  <sheets>
    <sheet name="Vigilancia 140904" sheetId="29" state="hidden" r:id="rId1"/>
    <sheet name=" Circular 025 de 2014" sheetId="6" r:id="rId2"/>
    <sheet name="INFO GENERAL Y FINANCIERA" sheetId="30" r:id="rId3"/>
    <sheet name="FORMATO DE COTIZACIÓN" sheetId="28" r:id="rId4"/>
    <sheet name="Medios Tecnológicos" sheetId="33" r:id="rId5"/>
    <sheet name="POLIZAS" sheetId="31" r:id="rId6"/>
    <sheet name="INFO EXPERIENCIA" sheetId="32" r:id="rId7"/>
  </sheets>
  <externalReferences>
    <externalReference r:id="rId8"/>
    <externalReference r:id="rId9"/>
    <externalReference r:id="rId10"/>
  </externalReferences>
  <definedNames>
    <definedName name="_xlnm._FilterDatabase" localSheetId="1" hidden="1">' Circular 025 de 2014'!$B$23:$H$51</definedName>
    <definedName name="_xlnm._FilterDatabase" localSheetId="6" hidden="1">'INFO EXPERIENCIA'!#REF!</definedName>
    <definedName name="_xlnm._FilterDatabase" localSheetId="2" hidden="1">'INFO GENERAL Y FINANCIERA'!$B$42:$AU$42</definedName>
    <definedName name="_xlnm._FilterDatabase" localSheetId="0" hidden="1">'Vigilancia 140904'!$C$8:$BO$47</definedName>
    <definedName name="_xlnm.Print_Area" localSheetId="3">'FORMATO DE COTIZACIÓN'!$B$2:$R$81</definedName>
    <definedName name="_xlnm.Print_Area" localSheetId="6">'INFO EXPERIENCIA'!$B$2:$J$25</definedName>
    <definedName name="_xlnm.Print_Area" localSheetId="2">'INFO GENERAL Y FINANCIERA'!$B$2:$AO$55</definedName>
    <definedName name="_xlnm.Print_Area" localSheetId="5">POLIZAS!$B$2:$G$22</definedName>
    <definedName name="_xlnm.Print_Area" localSheetId="0">'Vigilancia 140904'!$C$1:$BN$47</definedName>
    <definedName name="Decision" localSheetId="6">[3]lista!$A$6:$A$7</definedName>
    <definedName name="Decision" localSheetId="2">[3]lista!$A$6:$A$7</definedName>
    <definedName name="Decision" localSheetId="5">[3]lista!$A$6:$A$7</definedName>
    <definedName name="Decision">[1]lista!$A$6:$A$7</definedName>
    <definedName name="PARTICIPACION" localSheetId="6">[3]lista!$A$15:$A$17</definedName>
    <definedName name="PARTICIPACION" localSheetId="2">[3]lista!$A$15:$A$17</definedName>
    <definedName name="PARTICIPACION" localSheetId="5">[3]lista!$A$15:$A$17</definedName>
    <definedName name="PARTICIPACION">[1]lista!$A$15:$A$17</definedName>
    <definedName name="Procedencia" localSheetId="6">[3]lista!$A$2:$A$3</definedName>
    <definedName name="Procedencia" localSheetId="2">[3]lista!$A$2:$A$3</definedName>
    <definedName name="Procedencia" localSheetId="5">[3]lista!$A$2:$A$3</definedName>
    <definedName name="Procedencia">[1]lista!$A$2:$A$3</definedName>
    <definedName name="tipo" localSheetId="6">[3]lista!$A$11:$A$13</definedName>
    <definedName name="tipo" localSheetId="2">[3]lista!$A$11:$A$13</definedName>
    <definedName name="tipo" localSheetId="5">[3]lista!$A$11:$A$13</definedName>
    <definedName name="tipo">[1]lista!$A$11:$A$13</definedName>
    <definedName name="_xlnm.Print_Titles" localSheetId="3">'FORMATO DE COTIZACIÓN'!$2:$17</definedName>
    <definedName name="_xlnm.Print_Titles" localSheetId="6">'INFO EXPERIENCIA'!$2:$10</definedName>
    <definedName name="_xlnm.Print_Titles" localSheetId="2">'INFO GENERAL Y FINANCIERA'!$2:$9</definedName>
    <definedName name="_xlnm.Print_Titles" localSheetId="0">'Vigilancia 140904'!$C:$F</definedName>
    <definedName name="x">[2]lista!$A$11:$A$13</definedName>
  </definedNames>
  <calcPr calcId="152511"/>
</workbook>
</file>

<file path=xl/calcChain.xml><?xml version="1.0" encoding="utf-8"?>
<calcChain xmlns="http://schemas.openxmlformats.org/spreadsheetml/2006/main">
  <c r="P24" i="28" l="1"/>
  <c r="P25" i="28"/>
  <c r="P33" i="28"/>
  <c r="P64" i="28"/>
  <c r="P29" i="28"/>
  <c r="M25" i="28"/>
  <c r="M34" i="28"/>
  <c r="J29" i="28"/>
  <c r="J25" i="28"/>
  <c r="J34" i="28"/>
  <c r="J64" i="28"/>
  <c r="G68" i="28"/>
  <c r="G67" i="28"/>
  <c r="G66" i="28"/>
  <c r="G65" i="28"/>
  <c r="D68" i="28"/>
  <c r="D67" i="28"/>
  <c r="D66" i="28"/>
  <c r="D65" i="28"/>
  <c r="M64" i="28"/>
  <c r="G64" i="28"/>
  <c r="G25" i="28"/>
  <c r="D64" i="28"/>
  <c r="F62" i="28"/>
  <c r="F63" i="28"/>
  <c r="D25" i="28" l="1"/>
  <c r="D24" i="28"/>
  <c r="D34" i="28"/>
  <c r="D32" i="28"/>
  <c r="D36" i="28"/>
  <c r="AD51" i="30" l="1"/>
  <c r="AD49" i="30"/>
  <c r="AD47" i="30"/>
  <c r="AD45" i="30"/>
  <c r="AD43" i="30"/>
  <c r="N49" i="6" l="1"/>
  <c r="M44" i="6"/>
  <c r="L51" i="6"/>
  <c r="L50" i="6"/>
  <c r="L49" i="6"/>
  <c r="L48" i="6"/>
  <c r="L47" i="6"/>
  <c r="L46" i="6"/>
  <c r="L45" i="6"/>
  <c r="L44" i="6"/>
  <c r="L43" i="6"/>
  <c r="L42" i="6"/>
  <c r="L41" i="6"/>
  <c r="L40" i="6"/>
  <c r="L39" i="6"/>
  <c r="L38" i="6"/>
  <c r="L37" i="6"/>
  <c r="L36" i="6"/>
  <c r="L35" i="6"/>
  <c r="L34" i="6"/>
  <c r="L33" i="6"/>
  <c r="L32" i="6"/>
  <c r="L31" i="6"/>
  <c r="L30" i="6"/>
  <c r="L29" i="6"/>
  <c r="M29" i="6" s="1"/>
  <c r="L28" i="6"/>
  <c r="L27" i="6"/>
  <c r="L25" i="6"/>
  <c r="L24" i="6"/>
  <c r="BM45" i="29"/>
  <c r="BK45" i="29"/>
  <c r="BI45" i="29"/>
  <c r="BG45" i="29"/>
  <c r="BC45" i="29"/>
  <c r="BA45" i="29"/>
  <c r="AY45" i="29"/>
  <c r="AW45" i="29"/>
  <c r="AU45" i="29"/>
  <c r="AS45" i="29"/>
  <c r="AQ45" i="29"/>
  <c r="AO45" i="29"/>
  <c r="AM45" i="29"/>
  <c r="AK45" i="29"/>
  <c r="AI45" i="29"/>
  <c r="AG45" i="29"/>
  <c r="AE45" i="29"/>
  <c r="AC45" i="29"/>
  <c r="AA45" i="29"/>
  <c r="Y45" i="29"/>
  <c r="W45" i="29"/>
  <c r="U45" i="29"/>
  <c r="S45" i="29"/>
  <c r="Q45" i="29"/>
  <c r="O45" i="29"/>
  <c r="M45" i="29"/>
  <c r="G45" i="29"/>
  <c r="BN44" i="29"/>
  <c r="BL44" i="29"/>
  <c r="BJ44" i="29"/>
  <c r="BH44" i="29"/>
  <c r="BD44" i="29"/>
  <c r="BB44" i="29"/>
  <c r="AX44" i="29"/>
  <c r="AV44" i="29"/>
  <c r="AT44" i="29"/>
  <c r="AP44" i="29"/>
  <c r="AN44" i="29"/>
  <c r="AL44" i="29"/>
  <c r="AH44" i="29"/>
  <c r="AF44" i="29"/>
  <c r="AD44" i="29"/>
  <c r="AB44" i="29"/>
  <c r="Z44" i="29"/>
  <c r="X44" i="29"/>
  <c r="V44" i="29"/>
  <c r="T44" i="29"/>
  <c r="R44" i="29"/>
  <c r="P44" i="29"/>
  <c r="N44" i="29"/>
  <c r="J44" i="29"/>
  <c r="H44" i="29"/>
  <c r="E44" i="29"/>
  <c r="BN43" i="29"/>
  <c r="BL43" i="29"/>
  <c r="BJ43" i="29"/>
  <c r="BH43" i="29"/>
  <c r="BD43" i="29"/>
  <c r="BB43" i="29"/>
  <c r="AX43" i="29"/>
  <c r="AV43" i="29"/>
  <c r="AT43" i="29"/>
  <c r="AP43" i="29"/>
  <c r="AN43" i="29"/>
  <c r="AL43" i="29"/>
  <c r="AH43" i="29"/>
  <c r="AF43" i="29"/>
  <c r="AD43" i="29"/>
  <c r="AB43" i="29"/>
  <c r="Z43" i="29"/>
  <c r="X43" i="29"/>
  <c r="V43" i="29"/>
  <c r="T43" i="29"/>
  <c r="R43" i="29"/>
  <c r="P43" i="29"/>
  <c r="N43" i="29"/>
  <c r="J43" i="29"/>
  <c r="H43" i="29"/>
  <c r="E43" i="29"/>
  <c r="BN42" i="29"/>
  <c r="BL42" i="29"/>
  <c r="BJ42" i="29"/>
  <c r="BH42" i="29"/>
  <c r="BD42" i="29"/>
  <c r="BB42" i="29"/>
  <c r="AX42" i="29"/>
  <c r="AV42" i="29"/>
  <c r="AT42" i="29"/>
  <c r="AP42" i="29"/>
  <c r="AN42" i="29"/>
  <c r="AL42" i="29"/>
  <c r="AH42" i="29"/>
  <c r="AF42" i="29"/>
  <c r="AB42" i="29"/>
  <c r="Z42" i="29"/>
  <c r="X42" i="29"/>
  <c r="V42" i="29"/>
  <c r="T42" i="29"/>
  <c r="R42" i="29"/>
  <c r="P42" i="29"/>
  <c r="N42" i="29"/>
  <c r="J42" i="29"/>
  <c r="H42" i="29"/>
  <c r="E42" i="29"/>
  <c r="BN41" i="29"/>
  <c r="BL41" i="29"/>
  <c r="BJ41" i="29"/>
  <c r="BH41" i="29"/>
  <c r="BD41" i="29"/>
  <c r="BB41" i="29"/>
  <c r="AX41" i="29"/>
  <c r="AV41" i="29"/>
  <c r="AT41" i="29"/>
  <c r="AP41" i="29"/>
  <c r="AN41" i="29"/>
  <c r="AL41" i="29"/>
  <c r="AJ41" i="29"/>
  <c r="AH41" i="29"/>
  <c r="AF41" i="29"/>
  <c r="AD41" i="29"/>
  <c r="AB41" i="29"/>
  <c r="Z41" i="29"/>
  <c r="X41" i="29"/>
  <c r="V41" i="29"/>
  <c r="T41" i="29"/>
  <c r="R41" i="29"/>
  <c r="P41" i="29"/>
  <c r="N41" i="29"/>
  <c r="J41" i="29"/>
  <c r="H41" i="29"/>
  <c r="E41" i="29"/>
  <c r="BN40" i="29"/>
  <c r="BL40" i="29"/>
  <c r="BJ40" i="29"/>
  <c r="BH40" i="29"/>
  <c r="BD40" i="29"/>
  <c r="BB40" i="29"/>
  <c r="AX40" i="29"/>
  <c r="AV40" i="29"/>
  <c r="AT40" i="29"/>
  <c r="AP40" i="29"/>
  <c r="AN40" i="29"/>
  <c r="AL40" i="29"/>
  <c r="AJ40" i="29"/>
  <c r="AH40" i="29"/>
  <c r="AF40" i="29"/>
  <c r="AD40" i="29"/>
  <c r="AB40" i="29"/>
  <c r="Z40" i="29"/>
  <c r="X40" i="29"/>
  <c r="V40" i="29"/>
  <c r="T40" i="29"/>
  <c r="R40" i="29"/>
  <c r="P40" i="29"/>
  <c r="N40" i="29"/>
  <c r="J40" i="29"/>
  <c r="H40" i="29"/>
  <c r="E40" i="29"/>
  <c r="BN39" i="29"/>
  <c r="BL39" i="29"/>
  <c r="BJ39" i="29"/>
  <c r="BH39" i="29"/>
  <c r="BD39" i="29"/>
  <c r="BB39" i="29"/>
  <c r="AX39" i="29"/>
  <c r="AV39" i="29"/>
  <c r="AT39" i="29"/>
  <c r="AP39" i="29"/>
  <c r="AN39" i="29"/>
  <c r="AL39" i="29"/>
  <c r="AJ39" i="29"/>
  <c r="AH39" i="29"/>
  <c r="AF39" i="29"/>
  <c r="AD39" i="29"/>
  <c r="AB39" i="29"/>
  <c r="Z39" i="29"/>
  <c r="X39" i="29"/>
  <c r="V39" i="29"/>
  <c r="T39" i="29"/>
  <c r="R39" i="29"/>
  <c r="P39" i="29"/>
  <c r="N39" i="29"/>
  <c r="I39" i="29"/>
  <c r="H39" i="29"/>
  <c r="BN38" i="29"/>
  <c r="BL38" i="29"/>
  <c r="BJ38" i="29"/>
  <c r="BH38" i="29"/>
  <c r="BD38" i="29"/>
  <c r="BB38" i="29"/>
  <c r="AX38" i="29"/>
  <c r="AV38" i="29"/>
  <c r="AT38" i="29"/>
  <c r="AP38" i="29"/>
  <c r="AN38" i="29"/>
  <c r="AL38" i="29"/>
  <c r="AH38" i="29"/>
  <c r="AF38" i="29"/>
  <c r="AD38" i="29"/>
  <c r="AB38" i="29"/>
  <c r="Z38" i="29"/>
  <c r="X38" i="29"/>
  <c r="V38" i="29"/>
  <c r="T38" i="29"/>
  <c r="R38" i="29"/>
  <c r="P38" i="29"/>
  <c r="N38" i="29"/>
  <c r="J38" i="29"/>
  <c r="H38" i="29"/>
  <c r="E38" i="29"/>
  <c r="BN37" i="29"/>
  <c r="BL37" i="29"/>
  <c r="BJ37" i="29"/>
  <c r="BH37" i="29"/>
  <c r="BD37" i="29"/>
  <c r="BB37" i="29"/>
  <c r="AX37" i="29"/>
  <c r="AV37" i="29"/>
  <c r="AT37" i="29"/>
  <c r="AP37" i="29"/>
  <c r="AN37" i="29"/>
  <c r="AL37" i="29"/>
  <c r="AH37" i="29"/>
  <c r="AF37" i="29"/>
  <c r="AD37" i="29"/>
  <c r="AB37" i="29"/>
  <c r="Z37" i="29"/>
  <c r="X37" i="29"/>
  <c r="V37" i="29"/>
  <c r="T37" i="29"/>
  <c r="R37" i="29"/>
  <c r="P37" i="29"/>
  <c r="N37" i="29"/>
  <c r="J37" i="29"/>
  <c r="I37" i="29"/>
  <c r="H37" i="29"/>
  <c r="E37" i="29"/>
  <c r="BN36" i="29"/>
  <c r="BL36" i="29"/>
  <c r="BJ36" i="29"/>
  <c r="BH36" i="29"/>
  <c r="BD36" i="29"/>
  <c r="BB36" i="29"/>
  <c r="AX36" i="29"/>
  <c r="AV36" i="29"/>
  <c r="AT36" i="29"/>
  <c r="AP36" i="29"/>
  <c r="AN36" i="29"/>
  <c r="AL36" i="29"/>
  <c r="AJ36" i="29"/>
  <c r="AH36" i="29"/>
  <c r="AF36" i="29"/>
  <c r="AD36" i="29"/>
  <c r="AB36" i="29"/>
  <c r="Z36" i="29"/>
  <c r="X36" i="29"/>
  <c r="V36" i="29"/>
  <c r="T36" i="29"/>
  <c r="R36" i="29"/>
  <c r="P36" i="29"/>
  <c r="N36" i="29"/>
  <c r="J36" i="29"/>
  <c r="H36" i="29"/>
  <c r="E36" i="29"/>
  <c r="BN35" i="29"/>
  <c r="BL35" i="29"/>
  <c r="BJ35" i="29"/>
  <c r="BH35" i="29"/>
  <c r="BD35" i="29"/>
  <c r="BB35" i="29"/>
  <c r="AX35" i="29"/>
  <c r="AV35" i="29"/>
  <c r="AT35" i="29"/>
  <c r="AP35" i="29"/>
  <c r="AN35" i="29"/>
  <c r="AL35" i="29"/>
  <c r="AJ35" i="29"/>
  <c r="AH35" i="29"/>
  <c r="AF35" i="29"/>
  <c r="AD35" i="29"/>
  <c r="AB35" i="29"/>
  <c r="Z35" i="29"/>
  <c r="X35" i="29"/>
  <c r="V35" i="29"/>
  <c r="T35" i="29"/>
  <c r="R35" i="29"/>
  <c r="P35" i="29"/>
  <c r="N35" i="29"/>
  <c r="J35" i="29"/>
  <c r="H35" i="29"/>
  <c r="E35" i="29"/>
  <c r="BN34" i="29"/>
  <c r="BL34" i="29"/>
  <c r="BJ34" i="29"/>
  <c r="BH34" i="29"/>
  <c r="BE34" i="29"/>
  <c r="BD34" i="29"/>
  <c r="BB34" i="29"/>
  <c r="AX34" i="29"/>
  <c r="AV34" i="29"/>
  <c r="AT34" i="29"/>
  <c r="AP34" i="29"/>
  <c r="AN34" i="29"/>
  <c r="AL34" i="29"/>
  <c r="AJ34" i="29"/>
  <c r="AH34" i="29"/>
  <c r="AF34" i="29"/>
  <c r="AD34" i="29"/>
  <c r="AB34" i="29"/>
  <c r="Z34" i="29"/>
  <c r="X34" i="29"/>
  <c r="V34" i="29"/>
  <c r="T34" i="29"/>
  <c r="R34" i="29"/>
  <c r="P34" i="29"/>
  <c r="N34" i="29"/>
  <c r="J34" i="29"/>
  <c r="H34" i="29"/>
  <c r="BN33" i="29"/>
  <c r="BL33" i="29"/>
  <c r="BJ33" i="29"/>
  <c r="BH33" i="29"/>
  <c r="BD33" i="29"/>
  <c r="BB33" i="29"/>
  <c r="AX33" i="29"/>
  <c r="AV33" i="29"/>
  <c r="AT33" i="29"/>
  <c r="AP33" i="29"/>
  <c r="AN33" i="29"/>
  <c r="AL33" i="29"/>
  <c r="AJ33" i="29"/>
  <c r="AH33" i="29"/>
  <c r="AF33" i="29"/>
  <c r="AD33" i="29"/>
  <c r="AB33" i="29"/>
  <c r="Z33" i="29"/>
  <c r="X33" i="29"/>
  <c r="V33" i="29"/>
  <c r="T33" i="29"/>
  <c r="R33" i="29"/>
  <c r="P33" i="29"/>
  <c r="N33" i="29"/>
  <c r="I33" i="29"/>
  <c r="H33" i="29"/>
  <c r="BN32" i="29"/>
  <c r="BL32" i="29"/>
  <c r="BJ32" i="29"/>
  <c r="BH32" i="29"/>
  <c r="BD32" i="29"/>
  <c r="BB32" i="29"/>
  <c r="AX32" i="29"/>
  <c r="AV32" i="29"/>
  <c r="AT32" i="29"/>
  <c r="AP32" i="29"/>
  <c r="AN32" i="29"/>
  <c r="AL32" i="29"/>
  <c r="AH32" i="29"/>
  <c r="AF32" i="29"/>
  <c r="AD32" i="29"/>
  <c r="AB32" i="29"/>
  <c r="Z32" i="29"/>
  <c r="X32" i="29"/>
  <c r="V32" i="29"/>
  <c r="T32" i="29"/>
  <c r="R32" i="29"/>
  <c r="P32" i="29"/>
  <c r="N32" i="29"/>
  <c r="J32" i="29"/>
  <c r="H32" i="29"/>
  <c r="E32" i="29"/>
  <c r="BN31" i="29"/>
  <c r="BL31" i="29"/>
  <c r="BJ31" i="29"/>
  <c r="BH31" i="29"/>
  <c r="BD31" i="29"/>
  <c r="BB31" i="29"/>
  <c r="AX31" i="29"/>
  <c r="AV31" i="29"/>
  <c r="AT31" i="29"/>
  <c r="AP31" i="29"/>
  <c r="AN31" i="29"/>
  <c r="AL31" i="29"/>
  <c r="AH31" i="29"/>
  <c r="AF31" i="29"/>
  <c r="AD31" i="29"/>
  <c r="AB31" i="29"/>
  <c r="Z31" i="29"/>
  <c r="X31" i="29"/>
  <c r="V31" i="29"/>
  <c r="T31" i="29"/>
  <c r="R31" i="29"/>
  <c r="P31" i="29"/>
  <c r="N31" i="29"/>
  <c r="J31" i="29"/>
  <c r="H31" i="29"/>
  <c r="E31" i="29"/>
  <c r="BN30" i="29"/>
  <c r="BL30" i="29"/>
  <c r="BJ30" i="29"/>
  <c r="BH30" i="29"/>
  <c r="BD30" i="29"/>
  <c r="BB30" i="29"/>
  <c r="AX30" i="29"/>
  <c r="AV30" i="29"/>
  <c r="AT30" i="29"/>
  <c r="AP30" i="29"/>
  <c r="AN30" i="29"/>
  <c r="AL30" i="29"/>
  <c r="AH30" i="29"/>
  <c r="AF30" i="29"/>
  <c r="AD30" i="29"/>
  <c r="AB30" i="29"/>
  <c r="Z30" i="29"/>
  <c r="X30" i="29"/>
  <c r="V30" i="29"/>
  <c r="T30" i="29"/>
  <c r="R30" i="29"/>
  <c r="P30" i="29"/>
  <c r="N30" i="29"/>
  <c r="J30" i="29"/>
  <c r="H30" i="29"/>
  <c r="E30" i="29"/>
  <c r="BN29" i="29"/>
  <c r="BL29" i="29"/>
  <c r="BJ29" i="29"/>
  <c r="BH29" i="29"/>
  <c r="BD29" i="29"/>
  <c r="BB29" i="29"/>
  <c r="AX29" i="29"/>
  <c r="AV29" i="29"/>
  <c r="AT29" i="29"/>
  <c r="AP29" i="29"/>
  <c r="AN29" i="29"/>
  <c r="AL29" i="29"/>
  <c r="AH29" i="29"/>
  <c r="AF29" i="29"/>
  <c r="AD29" i="29"/>
  <c r="AB29" i="29"/>
  <c r="Z29" i="29"/>
  <c r="X29" i="29"/>
  <c r="V29" i="29"/>
  <c r="T29" i="29"/>
  <c r="R29" i="29"/>
  <c r="P29" i="29"/>
  <c r="N29" i="29"/>
  <c r="J29" i="29"/>
  <c r="I29" i="29"/>
  <c r="H29" i="29"/>
  <c r="E29" i="29"/>
  <c r="BN28" i="29"/>
  <c r="BL28" i="29"/>
  <c r="BJ28" i="29"/>
  <c r="BH28" i="29"/>
  <c r="BD28" i="29"/>
  <c r="BB28" i="29"/>
  <c r="AX28" i="29"/>
  <c r="AV28" i="29"/>
  <c r="AT28" i="29"/>
  <c r="AP28" i="29"/>
  <c r="AN28" i="29"/>
  <c r="AL28" i="29"/>
  <c r="AJ28" i="29"/>
  <c r="AH28" i="29"/>
  <c r="AF28" i="29"/>
  <c r="AD28" i="29"/>
  <c r="AB28" i="29"/>
  <c r="Z28" i="29"/>
  <c r="X28" i="29"/>
  <c r="V28" i="29"/>
  <c r="T28" i="29"/>
  <c r="R28" i="29"/>
  <c r="P28" i="29"/>
  <c r="N28" i="29"/>
  <c r="J28" i="29"/>
  <c r="H28" i="29"/>
  <c r="E28" i="29"/>
  <c r="BN27" i="29"/>
  <c r="BL27" i="29"/>
  <c r="BJ27" i="29"/>
  <c r="BH27" i="29"/>
  <c r="BD27" i="29"/>
  <c r="BB27" i="29"/>
  <c r="AX27" i="29"/>
  <c r="AV27" i="29"/>
  <c r="AT27" i="29"/>
  <c r="AP27" i="29"/>
  <c r="AN27" i="29"/>
  <c r="AL27" i="29"/>
  <c r="AJ27" i="29"/>
  <c r="AH27" i="29"/>
  <c r="AF27" i="29"/>
  <c r="AD27" i="29"/>
  <c r="AB27" i="29"/>
  <c r="Z27" i="29"/>
  <c r="X27" i="29"/>
  <c r="V27" i="29"/>
  <c r="T27" i="29"/>
  <c r="R27" i="29"/>
  <c r="P27" i="29"/>
  <c r="N27" i="29"/>
  <c r="J27" i="29"/>
  <c r="H27" i="29"/>
  <c r="E27" i="29"/>
  <c r="BN26" i="29"/>
  <c r="BL26" i="29"/>
  <c r="BJ26" i="29"/>
  <c r="BH26" i="29"/>
  <c r="BD26" i="29"/>
  <c r="BB26" i="29"/>
  <c r="AX26" i="29"/>
  <c r="AV26" i="29"/>
  <c r="AT26" i="29"/>
  <c r="AP26" i="29"/>
  <c r="AN26" i="29"/>
  <c r="AL26" i="29"/>
  <c r="AJ26" i="29"/>
  <c r="AH26" i="29"/>
  <c r="AF26" i="29"/>
  <c r="AD26" i="29"/>
  <c r="AB26" i="29"/>
  <c r="Z26" i="29"/>
  <c r="X26" i="29"/>
  <c r="V26" i="29"/>
  <c r="T26" i="29"/>
  <c r="R26" i="29"/>
  <c r="P26" i="29"/>
  <c r="N26" i="29"/>
  <c r="J26" i="29"/>
  <c r="H26" i="29"/>
  <c r="E26" i="29"/>
  <c r="BN25" i="29"/>
  <c r="BL25" i="29"/>
  <c r="BJ25" i="29"/>
  <c r="BH25" i="29"/>
  <c r="BD25" i="29"/>
  <c r="BB25" i="29"/>
  <c r="AX25" i="29"/>
  <c r="AV25" i="29"/>
  <c r="AT25" i="29"/>
  <c r="AP25" i="29"/>
  <c r="AN25" i="29"/>
  <c r="AL25" i="29"/>
  <c r="AJ25" i="29"/>
  <c r="AH25" i="29"/>
  <c r="AF25" i="29"/>
  <c r="AD25" i="29"/>
  <c r="AB25" i="29"/>
  <c r="Z25" i="29"/>
  <c r="X25" i="29"/>
  <c r="V25" i="29"/>
  <c r="T25" i="29"/>
  <c r="R25" i="29"/>
  <c r="P25" i="29"/>
  <c r="N25" i="29"/>
  <c r="J25" i="29"/>
  <c r="H25" i="29"/>
  <c r="E25" i="29"/>
  <c r="BN24" i="29"/>
  <c r="BL24" i="29"/>
  <c r="BJ24" i="29"/>
  <c r="BH24" i="29"/>
  <c r="BD24" i="29"/>
  <c r="BB24" i="29"/>
  <c r="AX24" i="29"/>
  <c r="AV24" i="29"/>
  <c r="AT24" i="29"/>
  <c r="AP24" i="29"/>
  <c r="AN24" i="29"/>
  <c r="AL24" i="29"/>
  <c r="AJ24" i="29"/>
  <c r="AH24" i="29"/>
  <c r="AF24" i="29"/>
  <c r="AD24" i="29"/>
  <c r="AB24" i="29"/>
  <c r="Z24" i="29"/>
  <c r="X24" i="29"/>
  <c r="V24" i="29"/>
  <c r="T24" i="29"/>
  <c r="R24" i="29"/>
  <c r="P24" i="29"/>
  <c r="N24" i="29"/>
  <c r="J24" i="29"/>
  <c r="H24" i="29"/>
  <c r="E24" i="29"/>
  <c r="BN23" i="29"/>
  <c r="BL23" i="29"/>
  <c r="BJ23" i="29"/>
  <c r="BH23" i="29"/>
  <c r="BD23" i="29"/>
  <c r="BB23" i="29"/>
  <c r="AX23" i="29"/>
  <c r="AV23" i="29"/>
  <c r="AT23" i="29"/>
  <c r="AP23" i="29"/>
  <c r="AN23" i="29"/>
  <c r="AL23" i="29"/>
  <c r="AJ23" i="29"/>
  <c r="AH23" i="29"/>
  <c r="AF23" i="29"/>
  <c r="AD23" i="29"/>
  <c r="AB23" i="29"/>
  <c r="Z23" i="29"/>
  <c r="X23" i="29"/>
  <c r="V23" i="29"/>
  <c r="T23" i="29"/>
  <c r="R23" i="29"/>
  <c r="P23" i="29"/>
  <c r="N23" i="29"/>
  <c r="J23" i="29"/>
  <c r="H23" i="29"/>
  <c r="E23" i="29"/>
  <c r="BN22" i="29"/>
  <c r="BL22" i="29"/>
  <c r="BJ22" i="29"/>
  <c r="BH22" i="29"/>
  <c r="BD22" i="29"/>
  <c r="BB22" i="29"/>
  <c r="AX22" i="29"/>
  <c r="AV22" i="29"/>
  <c r="AT22" i="29"/>
  <c r="AP22" i="29"/>
  <c r="AN22" i="29"/>
  <c r="AL22" i="29"/>
  <c r="AJ22" i="29"/>
  <c r="AH22" i="29"/>
  <c r="AF22" i="29"/>
  <c r="AD22" i="29"/>
  <c r="AB22" i="29"/>
  <c r="Z22" i="29"/>
  <c r="X22" i="29"/>
  <c r="V22" i="29"/>
  <c r="T22" i="29"/>
  <c r="R22" i="29"/>
  <c r="P22" i="29"/>
  <c r="N22" i="29"/>
  <c r="J22" i="29"/>
  <c r="H22" i="29"/>
  <c r="E22" i="29"/>
  <c r="BN21" i="29"/>
  <c r="BL21" i="29"/>
  <c r="BJ21" i="29"/>
  <c r="BH21" i="29"/>
  <c r="BD21" i="29"/>
  <c r="BB21" i="29"/>
  <c r="AX21" i="29"/>
  <c r="AV21" i="29"/>
  <c r="AT21" i="29"/>
  <c r="AP21" i="29"/>
  <c r="AN21" i="29"/>
  <c r="AL21" i="29"/>
  <c r="AJ21" i="29"/>
  <c r="AH21" i="29"/>
  <c r="AF21" i="29"/>
  <c r="AD21" i="29"/>
  <c r="AB21" i="29"/>
  <c r="Z21" i="29"/>
  <c r="X21" i="29"/>
  <c r="V21" i="29"/>
  <c r="T21" i="29"/>
  <c r="R21" i="29"/>
  <c r="P21" i="29"/>
  <c r="N21" i="29"/>
  <c r="J21" i="29"/>
  <c r="H21" i="29"/>
  <c r="E21" i="29"/>
  <c r="BN20" i="29"/>
  <c r="BL20" i="29"/>
  <c r="BJ20" i="29"/>
  <c r="BH20" i="29"/>
  <c r="BD20" i="29"/>
  <c r="BB20" i="29"/>
  <c r="AX20" i="29"/>
  <c r="AV20" i="29"/>
  <c r="AT20" i="29"/>
  <c r="AP20" i="29"/>
  <c r="AN20" i="29"/>
  <c r="AL20" i="29"/>
  <c r="AJ20" i="29"/>
  <c r="AH20" i="29"/>
  <c r="AF20" i="29"/>
  <c r="AD20" i="29"/>
  <c r="AB20" i="29"/>
  <c r="Z20" i="29"/>
  <c r="X20" i="29"/>
  <c r="V20" i="29"/>
  <c r="T20" i="29"/>
  <c r="R20" i="29"/>
  <c r="P20" i="29"/>
  <c r="N20" i="29"/>
  <c r="I20" i="29"/>
  <c r="H20" i="29"/>
  <c r="BN19" i="29"/>
  <c r="BL19" i="29"/>
  <c r="BJ19" i="29"/>
  <c r="BH19" i="29"/>
  <c r="BD19" i="29"/>
  <c r="BB19" i="29"/>
  <c r="AX19" i="29"/>
  <c r="AV19" i="29"/>
  <c r="AT19" i="29"/>
  <c r="AP19" i="29"/>
  <c r="AN19" i="29"/>
  <c r="AL19" i="29"/>
  <c r="AH19" i="29"/>
  <c r="AF19" i="29"/>
  <c r="AD19" i="29"/>
  <c r="AB19" i="29"/>
  <c r="Z19" i="29"/>
  <c r="X19" i="29"/>
  <c r="V19" i="29"/>
  <c r="T19" i="29"/>
  <c r="R19" i="29"/>
  <c r="P19" i="29"/>
  <c r="N19" i="29"/>
  <c r="J19" i="29"/>
  <c r="I19" i="29"/>
  <c r="H19" i="29"/>
  <c r="E19" i="29"/>
  <c r="BN18" i="29"/>
  <c r="BL18" i="29"/>
  <c r="BJ18" i="29"/>
  <c r="BH18" i="29"/>
  <c r="BD18" i="29"/>
  <c r="BB18" i="29"/>
  <c r="AZ18" i="29"/>
  <c r="AX18" i="29"/>
  <c r="AV18" i="29"/>
  <c r="AT18" i="29"/>
  <c r="AP18" i="29"/>
  <c r="AN18" i="29"/>
  <c r="AL18" i="29"/>
  <c r="AH18" i="29"/>
  <c r="AF18" i="29"/>
  <c r="AD18" i="29"/>
  <c r="AB18" i="29"/>
  <c r="Z18" i="29"/>
  <c r="X18" i="29"/>
  <c r="V18" i="29"/>
  <c r="T18" i="29"/>
  <c r="R18" i="29"/>
  <c r="P18" i="29"/>
  <c r="N18" i="29"/>
  <c r="J18" i="29"/>
  <c r="H18" i="29"/>
  <c r="E18" i="29"/>
  <c r="BN17" i="29"/>
  <c r="BL17" i="29"/>
  <c r="BJ17" i="29"/>
  <c r="BH17" i="29"/>
  <c r="BD17" i="29"/>
  <c r="BB17" i="29"/>
  <c r="AX17" i="29"/>
  <c r="AV17" i="29"/>
  <c r="AT17" i="29"/>
  <c r="AP17" i="29"/>
  <c r="AN17" i="29"/>
  <c r="AL17" i="29"/>
  <c r="AH17" i="29"/>
  <c r="AF17" i="29"/>
  <c r="AD17" i="29"/>
  <c r="AB17" i="29"/>
  <c r="Z17" i="29"/>
  <c r="X17" i="29"/>
  <c r="V17" i="29"/>
  <c r="T17" i="29"/>
  <c r="R17" i="29"/>
  <c r="P17" i="29"/>
  <c r="N17" i="29"/>
  <c r="J17" i="29"/>
  <c r="H17" i="29"/>
  <c r="E17" i="29"/>
  <c r="BN16" i="29"/>
  <c r="BL16" i="29"/>
  <c r="BJ16" i="29"/>
  <c r="BH16" i="29"/>
  <c r="BD16" i="29"/>
  <c r="BB16" i="29"/>
  <c r="AX16" i="29"/>
  <c r="AV16" i="29"/>
  <c r="AT16" i="29"/>
  <c r="AP16" i="29"/>
  <c r="AN16" i="29"/>
  <c r="AL16" i="29"/>
  <c r="AH16" i="29"/>
  <c r="AF16" i="29"/>
  <c r="AD16" i="29"/>
  <c r="AB16" i="29"/>
  <c r="Z16" i="29"/>
  <c r="X16" i="29"/>
  <c r="V16" i="29"/>
  <c r="T16" i="29"/>
  <c r="R16" i="29"/>
  <c r="P16" i="29"/>
  <c r="N16" i="29"/>
  <c r="J16" i="29"/>
  <c r="H16" i="29"/>
  <c r="E16" i="29"/>
  <c r="BN15" i="29"/>
  <c r="BL15" i="29"/>
  <c r="BJ15" i="29"/>
  <c r="BH15" i="29"/>
  <c r="BD15" i="29"/>
  <c r="BB15" i="29"/>
  <c r="AX15" i="29"/>
  <c r="AV15" i="29"/>
  <c r="AT15" i="29"/>
  <c r="AP15" i="29"/>
  <c r="AP45" i="29" s="1"/>
  <c r="AN15" i="29"/>
  <c r="AL15" i="29"/>
  <c r="AL45" i="29" s="1"/>
  <c r="AH15" i="29"/>
  <c r="AF15" i="29"/>
  <c r="AD15" i="29"/>
  <c r="AB15" i="29"/>
  <c r="Z15" i="29"/>
  <c r="X15" i="29"/>
  <c r="V15" i="29"/>
  <c r="T15" i="29"/>
  <c r="R15" i="29"/>
  <c r="P15" i="29"/>
  <c r="N15" i="29"/>
  <c r="J15" i="29"/>
  <c r="I15" i="29"/>
  <c r="H15" i="29"/>
  <c r="E15" i="29"/>
  <c r="BN14" i="29"/>
  <c r="BL14" i="29"/>
  <c r="BJ14" i="29"/>
  <c r="BH14" i="29"/>
  <c r="BD14" i="29"/>
  <c r="BB14" i="29"/>
  <c r="AX14" i="29"/>
  <c r="AV14" i="29"/>
  <c r="AT14" i="29"/>
  <c r="AP14" i="29"/>
  <c r="AN14" i="29"/>
  <c r="AL14" i="29"/>
  <c r="AJ14" i="29"/>
  <c r="AH14" i="29"/>
  <c r="AF14" i="29"/>
  <c r="AD14" i="29"/>
  <c r="AB14" i="29"/>
  <c r="Z14" i="29"/>
  <c r="X14" i="29"/>
  <c r="V14" i="29"/>
  <c r="T14" i="29"/>
  <c r="R14" i="29"/>
  <c r="P14" i="29"/>
  <c r="N14" i="29"/>
  <c r="J14" i="29"/>
  <c r="H14" i="29"/>
  <c r="E14" i="29"/>
  <c r="BN13" i="29"/>
  <c r="BL13" i="29"/>
  <c r="BJ13" i="29"/>
  <c r="BH13" i="29"/>
  <c r="BD13" i="29"/>
  <c r="BB13" i="29"/>
  <c r="AX13" i="29"/>
  <c r="AV13" i="29"/>
  <c r="AT13" i="29"/>
  <c r="AP13" i="29"/>
  <c r="AN13" i="29"/>
  <c r="AL13" i="29"/>
  <c r="AJ13" i="29"/>
  <c r="AH13" i="29"/>
  <c r="AF13" i="29"/>
  <c r="AD13" i="29"/>
  <c r="AB13" i="29"/>
  <c r="Z13" i="29"/>
  <c r="X13" i="29"/>
  <c r="V13" i="29"/>
  <c r="T13" i="29"/>
  <c r="R13" i="29"/>
  <c r="P13" i="29"/>
  <c r="N13" i="29"/>
  <c r="J13" i="29"/>
  <c r="H13" i="29"/>
  <c r="E13" i="29"/>
  <c r="BN12" i="29"/>
  <c r="BL12" i="29"/>
  <c r="BJ12" i="29"/>
  <c r="BH12" i="29"/>
  <c r="BF12" i="29"/>
  <c r="BD12" i="29"/>
  <c r="BB12" i="29"/>
  <c r="AZ12" i="29"/>
  <c r="AZ45" i="29" s="1"/>
  <c r="AX12" i="29"/>
  <c r="AV12" i="29"/>
  <c r="AT12" i="29"/>
  <c r="AP12" i="29"/>
  <c r="AN12" i="29"/>
  <c r="AL12" i="29"/>
  <c r="AJ12" i="29"/>
  <c r="AH12" i="29"/>
  <c r="AF12" i="29"/>
  <c r="AD12" i="29"/>
  <c r="AB12" i="29"/>
  <c r="Z12" i="29"/>
  <c r="X12" i="29"/>
  <c r="V12" i="29"/>
  <c r="T12" i="29"/>
  <c r="R12" i="29"/>
  <c r="P12" i="29"/>
  <c r="N12" i="29"/>
  <c r="J12" i="29"/>
  <c r="H12" i="29"/>
  <c r="E12" i="29"/>
  <c r="BN11" i="29"/>
  <c r="BL11" i="29"/>
  <c r="BL45" i="29" s="1"/>
  <c r="BJ11" i="29"/>
  <c r="BH11" i="29"/>
  <c r="BH45" i="29" s="1"/>
  <c r="BD11" i="29"/>
  <c r="BB11" i="29"/>
  <c r="BB45" i="29" s="1"/>
  <c r="AX11" i="29"/>
  <c r="AV11" i="29"/>
  <c r="AV45" i="29" s="1"/>
  <c r="AT11" i="29"/>
  <c r="AP11" i="29"/>
  <c r="AN11" i="29"/>
  <c r="AN45" i="29" s="1"/>
  <c r="AL11" i="29"/>
  <c r="AJ11" i="29"/>
  <c r="AH11" i="29"/>
  <c r="AF11" i="29"/>
  <c r="AF45" i="29" s="1"/>
  <c r="AD11" i="29"/>
  <c r="AB11" i="29"/>
  <c r="AB45" i="29" s="1"/>
  <c r="Z11" i="29"/>
  <c r="X11" i="29"/>
  <c r="X45" i="29" s="1"/>
  <c r="V11" i="29"/>
  <c r="T11" i="29"/>
  <c r="T45" i="29" s="1"/>
  <c r="R11" i="29"/>
  <c r="P11" i="29"/>
  <c r="P45" i="29" s="1"/>
  <c r="N11" i="29"/>
  <c r="K11" i="29"/>
  <c r="K45" i="29" s="1"/>
  <c r="J11" i="29"/>
  <c r="H11" i="29"/>
  <c r="E11" i="29"/>
  <c r="AR10" i="29"/>
  <c r="AJ10" i="29"/>
  <c r="AJ44" i="29" s="1"/>
  <c r="L10" i="29"/>
  <c r="M25" i="6"/>
  <c r="M26" i="6"/>
  <c r="M27" i="6"/>
  <c r="M28" i="6"/>
  <c r="M30" i="6"/>
  <c r="M31" i="6"/>
  <c r="M32" i="6"/>
  <c r="M33" i="6"/>
  <c r="M34" i="6"/>
  <c r="M35" i="6"/>
  <c r="M36" i="6"/>
  <c r="M37" i="6"/>
  <c r="M38" i="6"/>
  <c r="M39" i="6"/>
  <c r="M40" i="6"/>
  <c r="M41" i="6"/>
  <c r="M42" i="6"/>
  <c r="M43" i="6"/>
  <c r="M45" i="6"/>
  <c r="M46" i="6"/>
  <c r="M47" i="6"/>
  <c r="M48" i="6"/>
  <c r="M49" i="6"/>
  <c r="M50" i="6"/>
  <c r="M51" i="6"/>
  <c r="M24" i="6"/>
  <c r="L44" i="29" l="1"/>
  <c r="L43" i="29"/>
  <c r="L38" i="29"/>
  <c r="L37" i="29"/>
  <c r="L32" i="29"/>
  <c r="L31" i="29"/>
  <c r="L30" i="29"/>
  <c r="L29" i="29"/>
  <c r="F29" i="29" s="1"/>
  <c r="L19" i="29"/>
  <c r="L18" i="29"/>
  <c r="L17" i="29"/>
  <c r="L16" i="29"/>
  <c r="L15" i="29"/>
  <c r="L42" i="29"/>
  <c r="F42" i="29" s="1"/>
  <c r="L40" i="29"/>
  <c r="L36" i="29"/>
  <c r="F36" i="29" s="1"/>
  <c r="L33" i="29"/>
  <c r="L27" i="29"/>
  <c r="L25" i="29"/>
  <c r="L23" i="29"/>
  <c r="L21" i="29"/>
  <c r="L14" i="29"/>
  <c r="L12" i="29"/>
  <c r="L41" i="29"/>
  <c r="F41" i="29" s="1"/>
  <c r="L39" i="29"/>
  <c r="L35" i="29"/>
  <c r="F35" i="29" s="1"/>
  <c r="L34" i="29"/>
  <c r="L28" i="29"/>
  <c r="F28" i="29" s="1"/>
  <c r="L26" i="29"/>
  <c r="AR44" i="29"/>
  <c r="AR43" i="29"/>
  <c r="AR42" i="29"/>
  <c r="AR38" i="29"/>
  <c r="AR37" i="29"/>
  <c r="AR32" i="29"/>
  <c r="AR31" i="29"/>
  <c r="AR30" i="29"/>
  <c r="AR29" i="29"/>
  <c r="AR19" i="29"/>
  <c r="AR18" i="29"/>
  <c r="AR17" i="29"/>
  <c r="AR16" i="29"/>
  <c r="AR15" i="29"/>
  <c r="AR40" i="29"/>
  <c r="AR36" i="29"/>
  <c r="AR33" i="29"/>
  <c r="AR27" i="29"/>
  <c r="AR25" i="29"/>
  <c r="F25" i="29" s="1"/>
  <c r="AR23" i="29"/>
  <c r="AR21" i="29"/>
  <c r="F21" i="29" s="1"/>
  <c r="AR14" i="29"/>
  <c r="AR12" i="29"/>
  <c r="AR41" i="29"/>
  <c r="AR39" i="29"/>
  <c r="AR35" i="29"/>
  <c r="AR34" i="29"/>
  <c r="AR28" i="29"/>
  <c r="AR26" i="29"/>
  <c r="L11" i="29"/>
  <c r="AR11" i="29"/>
  <c r="H45" i="29"/>
  <c r="L13" i="29"/>
  <c r="F13" i="29" s="1"/>
  <c r="AR13" i="29"/>
  <c r="N45" i="29"/>
  <c r="R45" i="29"/>
  <c r="V45" i="29"/>
  <c r="Z45" i="29"/>
  <c r="AD45" i="29"/>
  <c r="AH45" i="29"/>
  <c r="L20" i="29"/>
  <c r="AR20" i="29"/>
  <c r="L22" i="29"/>
  <c r="AR22" i="29"/>
  <c r="F22" i="29" s="1"/>
  <c r="L24" i="29"/>
  <c r="F24" i="29" s="1"/>
  <c r="AR24" i="29"/>
  <c r="F26" i="29"/>
  <c r="J33" i="29"/>
  <c r="F33" i="29" s="1"/>
  <c r="E33" i="29"/>
  <c r="BE45" i="29"/>
  <c r="BF34" i="29"/>
  <c r="BF45" i="29" s="1"/>
  <c r="F37" i="29"/>
  <c r="F12" i="29"/>
  <c r="BD45" i="29"/>
  <c r="F14" i="29"/>
  <c r="I45" i="29"/>
  <c r="E45" i="29" s="1"/>
  <c r="AT45" i="29"/>
  <c r="AX45" i="29"/>
  <c r="BJ45" i="29"/>
  <c r="BN45" i="29"/>
  <c r="J20" i="29"/>
  <c r="E20" i="29"/>
  <c r="F23" i="29"/>
  <c r="F27" i="29"/>
  <c r="E34" i="29"/>
  <c r="J39" i="29"/>
  <c r="F39" i="29" s="1"/>
  <c r="E39" i="29"/>
  <c r="F40" i="29"/>
  <c r="AJ15" i="29"/>
  <c r="AJ45" i="29" s="1"/>
  <c r="AJ16" i="29"/>
  <c r="AJ17" i="29"/>
  <c r="AJ18" i="29"/>
  <c r="AJ19" i="29"/>
  <c r="F19" i="29" s="1"/>
  <c r="AJ29" i="29"/>
  <c r="AJ30" i="29"/>
  <c r="AJ31" i="29"/>
  <c r="AJ32" i="29"/>
  <c r="AJ37" i="29"/>
  <c r="AJ38" i="29"/>
  <c r="AJ42" i="29"/>
  <c r="AJ43" i="29"/>
  <c r="F34" i="29" l="1"/>
  <c r="AR45" i="29"/>
  <c r="L45" i="29"/>
  <c r="F11" i="29"/>
  <c r="F16" i="29"/>
  <c r="F18" i="29"/>
  <c r="F31" i="29"/>
  <c r="F43" i="29"/>
  <c r="F20" i="29"/>
  <c r="F15" i="29"/>
  <c r="J45" i="29"/>
  <c r="F17" i="29"/>
  <c r="F30" i="29"/>
  <c r="F32" i="29"/>
  <c r="F38" i="29"/>
  <c r="F44" i="29"/>
  <c r="F45" i="29" l="1"/>
  <c r="G69" i="28" l="1"/>
  <c r="D69" i="28"/>
  <c r="I68" i="28"/>
  <c r="F68" i="28"/>
  <c r="I67" i="28"/>
  <c r="F67" i="28"/>
  <c r="I66" i="28"/>
  <c r="F66" i="28"/>
  <c r="I65" i="28"/>
  <c r="F65" i="28"/>
  <c r="R64" i="28"/>
  <c r="O64" i="28"/>
  <c r="L64" i="28"/>
  <c r="I64" i="28"/>
  <c r="F64" i="28"/>
  <c r="R63" i="28"/>
  <c r="O63" i="28"/>
  <c r="L63" i="28"/>
  <c r="I63" i="28"/>
  <c r="R62" i="28"/>
  <c r="O62" i="28"/>
  <c r="L62" i="28"/>
  <c r="I62" i="28"/>
  <c r="R61" i="28"/>
  <c r="O61" i="28"/>
  <c r="L61" i="28"/>
  <c r="I61" i="28"/>
  <c r="F61" i="28"/>
  <c r="R60" i="28"/>
  <c r="O60" i="28"/>
  <c r="L60" i="28"/>
  <c r="I60" i="28"/>
  <c r="F60" i="28"/>
  <c r="R59" i="28"/>
  <c r="O59" i="28"/>
  <c r="L59" i="28"/>
  <c r="I59" i="28"/>
  <c r="F59" i="28"/>
  <c r="I69" i="28" l="1"/>
  <c r="F69" i="28"/>
  <c r="F70" i="28" s="1"/>
  <c r="F71" i="28" s="1"/>
  <c r="I70" i="28"/>
  <c r="I71" i="28" s="1"/>
  <c r="P52" i="28"/>
  <c r="Q51" i="28"/>
  <c r="R51" i="28" s="1"/>
  <c r="Q50" i="28"/>
  <c r="R50" i="28" s="1"/>
  <c r="Q49" i="28"/>
  <c r="R49" i="28" s="1"/>
  <c r="Q48" i="28"/>
  <c r="R48" i="28" s="1"/>
  <c r="Q47" i="28"/>
  <c r="R47" i="28" s="1"/>
  <c r="Q46" i="28"/>
  <c r="R46" i="28" s="1"/>
  <c r="Q45" i="28"/>
  <c r="R45" i="28" s="1"/>
  <c r="Q44" i="28"/>
  <c r="R44" i="28" s="1"/>
  <c r="Q43" i="28"/>
  <c r="R43" i="28" s="1"/>
  <c r="Q42" i="28"/>
  <c r="R42" i="28" s="1"/>
  <c r="Q41" i="28"/>
  <c r="R41" i="28" s="1"/>
  <c r="Q40" i="28"/>
  <c r="R40" i="28" s="1"/>
  <c r="Q39" i="28"/>
  <c r="R39" i="28" s="1"/>
  <c r="Q38" i="28"/>
  <c r="R38" i="28" s="1"/>
  <c r="Q37" i="28"/>
  <c r="R37" i="28" s="1"/>
  <c r="Q36" i="28"/>
  <c r="R36" i="28" s="1"/>
  <c r="Q35" i="28"/>
  <c r="R35" i="28" s="1"/>
  <c r="Q34" i="28"/>
  <c r="R34" i="28" s="1"/>
  <c r="Q33" i="28"/>
  <c r="R33" i="28" s="1"/>
  <c r="Q32" i="28"/>
  <c r="R32" i="28" s="1"/>
  <c r="Q31" i="28"/>
  <c r="R31" i="28" s="1"/>
  <c r="Q30" i="28"/>
  <c r="R30" i="28" s="1"/>
  <c r="Q29" i="28"/>
  <c r="R29" i="28" s="1"/>
  <c r="Q28" i="28"/>
  <c r="R28" i="28" s="1"/>
  <c r="Q27" i="28"/>
  <c r="R27" i="28" s="1"/>
  <c r="Q26" i="28"/>
  <c r="R26" i="28" s="1"/>
  <c r="Q25" i="28"/>
  <c r="R25" i="28" s="1"/>
  <c r="Q24" i="28"/>
  <c r="R24" i="28" s="1"/>
  <c r="M52" i="28"/>
  <c r="N51" i="28"/>
  <c r="O51" i="28" s="1"/>
  <c r="N50" i="28"/>
  <c r="O50" i="28" s="1"/>
  <c r="N49" i="28"/>
  <c r="O49" i="28" s="1"/>
  <c r="N48" i="28"/>
  <c r="O48" i="28" s="1"/>
  <c r="N47" i="28"/>
  <c r="O47" i="28" s="1"/>
  <c r="N46" i="28"/>
  <c r="O46" i="28" s="1"/>
  <c r="N45" i="28"/>
  <c r="O45" i="28" s="1"/>
  <c r="N44" i="28"/>
  <c r="O44" i="28" s="1"/>
  <c r="N43" i="28"/>
  <c r="O43" i="28" s="1"/>
  <c r="N42" i="28"/>
  <c r="O42" i="28" s="1"/>
  <c r="N41" i="28"/>
  <c r="O41" i="28" s="1"/>
  <c r="N40" i="28"/>
  <c r="O40" i="28" s="1"/>
  <c r="N39" i="28"/>
  <c r="O39" i="28" s="1"/>
  <c r="N38" i="28"/>
  <c r="O38" i="28" s="1"/>
  <c r="N37" i="28"/>
  <c r="O37" i="28" s="1"/>
  <c r="N36" i="28"/>
  <c r="O36" i="28" s="1"/>
  <c r="N35" i="28"/>
  <c r="O35" i="28" s="1"/>
  <c r="N34" i="28"/>
  <c r="O34" i="28" s="1"/>
  <c r="N33" i="28"/>
  <c r="O33" i="28" s="1"/>
  <c r="N32" i="28"/>
  <c r="O32" i="28" s="1"/>
  <c r="N31" i="28"/>
  <c r="O31" i="28" s="1"/>
  <c r="N30" i="28"/>
  <c r="O30" i="28" s="1"/>
  <c r="N29" i="28"/>
  <c r="O29" i="28" s="1"/>
  <c r="N28" i="28"/>
  <c r="O28" i="28" s="1"/>
  <c r="N27" i="28"/>
  <c r="O27" i="28" s="1"/>
  <c r="N26" i="28"/>
  <c r="O26" i="28" s="1"/>
  <c r="N25" i="28"/>
  <c r="O25" i="28" s="1"/>
  <c r="N24" i="28"/>
  <c r="O24" i="28" s="1"/>
  <c r="J52" i="28"/>
  <c r="K51" i="28"/>
  <c r="L51" i="28" s="1"/>
  <c r="K50" i="28"/>
  <c r="L50" i="28" s="1"/>
  <c r="K49" i="28"/>
  <c r="L49" i="28" s="1"/>
  <c r="K48" i="28"/>
  <c r="L48" i="28" s="1"/>
  <c r="K47" i="28"/>
  <c r="L47" i="28" s="1"/>
  <c r="K46" i="28"/>
  <c r="L46" i="28" s="1"/>
  <c r="K45" i="28"/>
  <c r="L45" i="28" s="1"/>
  <c r="K44" i="28"/>
  <c r="L44" i="28" s="1"/>
  <c r="K43" i="28"/>
  <c r="L43" i="28" s="1"/>
  <c r="K42" i="28"/>
  <c r="L42" i="28" s="1"/>
  <c r="K41" i="28"/>
  <c r="L41" i="28" s="1"/>
  <c r="K40" i="28"/>
  <c r="L40" i="28" s="1"/>
  <c r="K39" i="28"/>
  <c r="L39" i="28" s="1"/>
  <c r="K38" i="28"/>
  <c r="L38" i="28" s="1"/>
  <c r="K37" i="28"/>
  <c r="L37" i="28" s="1"/>
  <c r="K36" i="28"/>
  <c r="L36" i="28" s="1"/>
  <c r="K35" i="28"/>
  <c r="L35" i="28" s="1"/>
  <c r="K34" i="28"/>
  <c r="L34" i="28" s="1"/>
  <c r="K33" i="28"/>
  <c r="L33" i="28" s="1"/>
  <c r="K32" i="28"/>
  <c r="L32" i="28" s="1"/>
  <c r="K31" i="28"/>
  <c r="L31" i="28" s="1"/>
  <c r="K30" i="28"/>
  <c r="L30" i="28" s="1"/>
  <c r="K29" i="28"/>
  <c r="L29" i="28" s="1"/>
  <c r="K28" i="28"/>
  <c r="L28" i="28" s="1"/>
  <c r="K27" i="28"/>
  <c r="L27" i="28" s="1"/>
  <c r="K26" i="28"/>
  <c r="L26" i="28" s="1"/>
  <c r="K25" i="28"/>
  <c r="L25" i="28" s="1"/>
  <c r="K24" i="28"/>
  <c r="L24" i="28" s="1"/>
  <c r="G52" i="28"/>
  <c r="H51" i="28"/>
  <c r="I51" i="28" s="1"/>
  <c r="H50" i="28"/>
  <c r="I50" i="28" s="1"/>
  <c r="H49" i="28"/>
  <c r="I49" i="28" s="1"/>
  <c r="H48" i="28"/>
  <c r="I48" i="28" s="1"/>
  <c r="H47" i="28"/>
  <c r="I47" i="28" s="1"/>
  <c r="H46" i="28"/>
  <c r="I46" i="28" s="1"/>
  <c r="H45" i="28"/>
  <c r="I45" i="28" s="1"/>
  <c r="H44" i="28"/>
  <c r="I44" i="28" s="1"/>
  <c r="H43" i="28"/>
  <c r="I43" i="28" s="1"/>
  <c r="H42" i="28"/>
  <c r="I42" i="28" s="1"/>
  <c r="H41" i="28"/>
  <c r="I41" i="28" s="1"/>
  <c r="H40" i="28"/>
  <c r="I40" i="28" s="1"/>
  <c r="H39" i="28"/>
  <c r="I39" i="28" s="1"/>
  <c r="H38" i="28"/>
  <c r="I38" i="28" s="1"/>
  <c r="H37" i="28"/>
  <c r="I37" i="28" s="1"/>
  <c r="H36" i="28"/>
  <c r="I36" i="28" s="1"/>
  <c r="H35" i="28"/>
  <c r="I35" i="28" s="1"/>
  <c r="H34" i="28"/>
  <c r="I34" i="28" s="1"/>
  <c r="H33" i="28"/>
  <c r="I33" i="28" s="1"/>
  <c r="H32" i="28"/>
  <c r="I32" i="28" s="1"/>
  <c r="H31" i="28"/>
  <c r="I31" i="28" s="1"/>
  <c r="H30" i="28"/>
  <c r="I30" i="28" s="1"/>
  <c r="H29" i="28"/>
  <c r="I29" i="28" s="1"/>
  <c r="H28" i="28"/>
  <c r="I28" i="28" s="1"/>
  <c r="H27" i="28"/>
  <c r="I27" i="28" s="1"/>
  <c r="H26" i="28"/>
  <c r="I26" i="28" s="1"/>
  <c r="H25" i="28"/>
  <c r="I25" i="28" s="1"/>
  <c r="H24" i="28"/>
  <c r="I24" i="28" s="1"/>
  <c r="P68" i="28" l="1"/>
  <c r="R68" i="28" s="1"/>
  <c r="P66" i="28"/>
  <c r="R66" i="28" s="1"/>
  <c r="P67" i="28"/>
  <c r="R67" i="28" s="1"/>
  <c r="P65" i="28"/>
  <c r="M68" i="28"/>
  <c r="O68" i="28" s="1"/>
  <c r="M66" i="28"/>
  <c r="O66" i="28" s="1"/>
  <c r="M67" i="28"/>
  <c r="O67" i="28" s="1"/>
  <c r="M65" i="28"/>
  <c r="J68" i="28"/>
  <c r="L68" i="28" s="1"/>
  <c r="J66" i="28"/>
  <c r="L66" i="28" s="1"/>
  <c r="J67" i="28"/>
  <c r="L67" i="28" s="1"/>
  <c r="J65" i="28"/>
  <c r="I72" i="28"/>
  <c r="I74" i="28" s="1"/>
  <c r="F72" i="28"/>
  <c r="F74" i="28" s="1"/>
  <c r="L52" i="28"/>
  <c r="L53" i="28" s="1"/>
  <c r="L54" i="28" s="1"/>
  <c r="L55" i="28" s="1"/>
  <c r="R52" i="28"/>
  <c r="R53" i="28" s="1"/>
  <c r="R54" i="28" s="1"/>
  <c r="R55" i="28" s="1"/>
  <c r="I52" i="28"/>
  <c r="I53" i="28" s="1"/>
  <c r="I54" i="28" s="1"/>
  <c r="I55" i="28" s="1"/>
  <c r="O52" i="28"/>
  <c r="O53" i="28"/>
  <c r="O54" i="28" s="1"/>
  <c r="O55" i="28" s="1"/>
  <c r="P69" i="28" l="1"/>
  <c r="R65" i="28"/>
  <c r="R69" i="28" s="1"/>
  <c r="M69" i="28"/>
  <c r="O65" i="28"/>
  <c r="O69" i="28" s="1"/>
  <c r="J69" i="28"/>
  <c r="L65" i="28"/>
  <c r="L69" i="28" s="1"/>
  <c r="E25" i="28"/>
  <c r="F25" i="28" s="1"/>
  <c r="E26" i="28"/>
  <c r="E27" i="28"/>
  <c r="E28" i="28"/>
  <c r="F28" i="28" s="1"/>
  <c r="E29" i="28"/>
  <c r="F29" i="28" s="1"/>
  <c r="E30" i="28"/>
  <c r="F30" i="28" s="1"/>
  <c r="E31" i="28"/>
  <c r="F31" i="28" s="1"/>
  <c r="E32" i="28"/>
  <c r="F32" i="28" s="1"/>
  <c r="E33" i="28"/>
  <c r="F33" i="28" s="1"/>
  <c r="E34" i="28"/>
  <c r="F34" i="28" s="1"/>
  <c r="E35" i="28"/>
  <c r="F35" i="28" s="1"/>
  <c r="E36" i="28"/>
  <c r="E37" i="28"/>
  <c r="F37" i="28" s="1"/>
  <c r="E38" i="28"/>
  <c r="F38" i="28" s="1"/>
  <c r="E39" i="28"/>
  <c r="F39" i="28" s="1"/>
  <c r="E40" i="28"/>
  <c r="F40" i="28" s="1"/>
  <c r="E41" i="28"/>
  <c r="F41" i="28" s="1"/>
  <c r="E42" i="28"/>
  <c r="F42" i="28" s="1"/>
  <c r="E43" i="28"/>
  <c r="F43" i="28" s="1"/>
  <c r="E44" i="28"/>
  <c r="F44" i="28" s="1"/>
  <c r="E45" i="28"/>
  <c r="F45" i="28" s="1"/>
  <c r="E46" i="28"/>
  <c r="F46" i="28" s="1"/>
  <c r="E47" i="28"/>
  <c r="F47" i="28" s="1"/>
  <c r="E48" i="28"/>
  <c r="E49" i="28"/>
  <c r="F49" i="28" s="1"/>
  <c r="E50" i="28"/>
  <c r="F50" i="28" s="1"/>
  <c r="E51" i="28"/>
  <c r="F51" i="28" s="1"/>
  <c r="F26" i="28"/>
  <c r="E24" i="28"/>
  <c r="F24" i="28" s="1"/>
  <c r="D52" i="28"/>
  <c r="F27" i="28"/>
  <c r="F36" i="28"/>
  <c r="F48" i="28"/>
  <c r="R70" i="28" l="1"/>
  <c r="R71" i="28" s="1"/>
  <c r="O70" i="28"/>
  <c r="O71" i="28" s="1"/>
  <c r="L70" i="28"/>
  <c r="L71" i="28" s="1"/>
  <c r="F52" i="28"/>
  <c r="F53" i="28" s="1"/>
  <c r="F54" i="28" s="1"/>
  <c r="F55" i="28" s="1"/>
  <c r="R72" i="28" l="1"/>
  <c r="R74" i="28" s="1"/>
  <c r="O72" i="28"/>
  <c r="O74" i="28" s="1"/>
  <c r="L72" i="28"/>
  <c r="L74" i="28" s="1"/>
  <c r="D51" i="6"/>
  <c r="D47" i="6"/>
  <c r="D46" i="6"/>
  <c r="D50" i="6"/>
  <c r="D36" i="6"/>
  <c r="D35" i="6"/>
  <c r="D33" i="6"/>
  <c r="D45" i="6"/>
  <c r="D40" i="6"/>
  <c r="D38" i="6"/>
  <c r="D49" i="6"/>
  <c r="D44" i="6"/>
  <c r="D41" i="6"/>
  <c r="D39" i="6"/>
  <c r="D34" i="6"/>
  <c r="D32" i="6"/>
  <c r="D31" i="6"/>
  <c r="D27" i="6"/>
  <c r="D26" i="6"/>
  <c r="D48" i="6"/>
  <c r="D43" i="6"/>
  <c r="D42" i="6"/>
  <c r="D37" i="6"/>
  <c r="D30" i="6"/>
  <c r="D29" i="6"/>
  <c r="D28" i="6"/>
  <c r="D25" i="6"/>
  <c r="C44" i="6"/>
  <c r="C42" i="6"/>
  <c r="C51" i="6"/>
  <c r="C50" i="6"/>
  <c r="C49" i="6"/>
  <c r="C48" i="6"/>
  <c r="C47" i="6"/>
  <c r="C46" i="6"/>
  <c r="C45" i="6"/>
  <c r="C43" i="6"/>
  <c r="C41" i="6"/>
  <c r="C40" i="6"/>
  <c r="C39" i="6"/>
  <c r="C38" i="6"/>
  <c r="C37" i="6"/>
  <c r="C36" i="6"/>
  <c r="C35" i="6"/>
  <c r="C34" i="6"/>
  <c r="C33" i="6"/>
  <c r="C32" i="6"/>
  <c r="C31" i="6"/>
  <c r="C30" i="6"/>
  <c r="C29" i="6"/>
  <c r="C28" i="6"/>
  <c r="C27" i="6"/>
  <c r="C26" i="6"/>
  <c r="C25" i="6"/>
  <c r="C24" i="6"/>
  <c r="E51" i="6"/>
  <c r="E50" i="6"/>
  <c r="E49" i="6"/>
  <c r="E48" i="6"/>
  <c r="E47" i="6"/>
  <c r="E46" i="6"/>
  <c r="E45" i="6"/>
  <c r="E44" i="6"/>
  <c r="E43" i="6"/>
  <c r="E42" i="6"/>
  <c r="E41" i="6"/>
  <c r="E40" i="6"/>
  <c r="E39" i="6"/>
  <c r="E38" i="6"/>
  <c r="E37" i="6"/>
  <c r="E36" i="6"/>
  <c r="E35" i="6"/>
  <c r="E34" i="6"/>
  <c r="E33" i="6"/>
  <c r="E32" i="6"/>
  <c r="E31" i="6"/>
  <c r="E30" i="6"/>
  <c r="E29" i="6"/>
  <c r="E28" i="6"/>
  <c r="E27" i="6"/>
  <c r="E24" i="6"/>
  <c r="E26" i="6"/>
  <c r="E25" i="6"/>
  <c r="D24" i="6"/>
  <c r="F25" i="6" l="1"/>
  <c r="G25" i="6" s="1"/>
  <c r="H25" i="6" s="1"/>
  <c r="I25" i="6" s="1"/>
  <c r="K25" i="6" s="1"/>
  <c r="F26" i="6"/>
  <c r="G26" i="6" s="1"/>
  <c r="H26" i="6" s="1"/>
  <c r="I26" i="6" s="1"/>
  <c r="K26" i="6" s="1"/>
  <c r="F27" i="6"/>
  <c r="G27" i="6" s="1"/>
  <c r="H27" i="6" s="1"/>
  <c r="I27" i="6" s="1"/>
  <c r="K27" i="6" s="1"/>
  <c r="F28" i="6"/>
  <c r="G28" i="6" s="1"/>
  <c r="H28" i="6" s="1"/>
  <c r="I28" i="6" s="1"/>
  <c r="K28" i="6" s="1"/>
  <c r="F29" i="6"/>
  <c r="G29" i="6" s="1"/>
  <c r="H29" i="6" s="1"/>
  <c r="I29" i="6" s="1"/>
  <c r="K29" i="6" s="1"/>
  <c r="F30" i="6"/>
  <c r="G30" i="6" s="1"/>
  <c r="H30" i="6" s="1"/>
  <c r="I30" i="6" s="1"/>
  <c r="K30" i="6" s="1"/>
  <c r="F31" i="6"/>
  <c r="G31" i="6" s="1"/>
  <c r="H31" i="6" s="1"/>
  <c r="I31" i="6" s="1"/>
  <c r="K31" i="6" s="1"/>
  <c r="F32" i="6"/>
  <c r="G32" i="6" s="1"/>
  <c r="H32" i="6" s="1"/>
  <c r="I32" i="6" s="1"/>
  <c r="K32" i="6" s="1"/>
  <c r="F33" i="6"/>
  <c r="G33" i="6" s="1"/>
  <c r="H33" i="6" s="1"/>
  <c r="I33" i="6" s="1"/>
  <c r="K33" i="6" s="1"/>
  <c r="F34" i="6"/>
  <c r="G34" i="6" s="1"/>
  <c r="H34" i="6" s="1"/>
  <c r="I34" i="6" s="1"/>
  <c r="K34" i="6" s="1"/>
  <c r="F35" i="6"/>
  <c r="G35" i="6" s="1"/>
  <c r="H35" i="6" s="1"/>
  <c r="I35" i="6" s="1"/>
  <c r="K35" i="6" s="1"/>
  <c r="F36" i="6"/>
  <c r="G36" i="6" s="1"/>
  <c r="H36" i="6" s="1"/>
  <c r="I36" i="6" s="1"/>
  <c r="K36" i="6" s="1"/>
  <c r="F37" i="6"/>
  <c r="G37" i="6" s="1"/>
  <c r="H37" i="6" s="1"/>
  <c r="I37" i="6" s="1"/>
  <c r="K37" i="6" s="1"/>
  <c r="F38" i="6"/>
  <c r="G38" i="6" s="1"/>
  <c r="H38" i="6" s="1"/>
  <c r="I38" i="6" s="1"/>
  <c r="K38" i="6" s="1"/>
  <c r="F39" i="6"/>
  <c r="G39" i="6" s="1"/>
  <c r="H39" i="6" s="1"/>
  <c r="I39" i="6" s="1"/>
  <c r="K39" i="6" s="1"/>
  <c r="F40" i="6"/>
  <c r="G40" i="6" s="1"/>
  <c r="H40" i="6" s="1"/>
  <c r="I40" i="6" s="1"/>
  <c r="K40" i="6" s="1"/>
  <c r="F41" i="6"/>
  <c r="G41" i="6" s="1"/>
  <c r="H41" i="6" s="1"/>
  <c r="I41" i="6" s="1"/>
  <c r="K41" i="6" s="1"/>
  <c r="F42" i="6"/>
  <c r="G42" i="6" s="1"/>
  <c r="H42" i="6" s="1"/>
  <c r="I42" i="6" s="1"/>
  <c r="K42" i="6" s="1"/>
  <c r="F43" i="6"/>
  <c r="G43" i="6" s="1"/>
  <c r="H43" i="6" s="1"/>
  <c r="I43" i="6" s="1"/>
  <c r="K43" i="6" s="1"/>
  <c r="F44" i="6"/>
  <c r="G44" i="6" s="1"/>
  <c r="H44" i="6" s="1"/>
  <c r="I44" i="6" s="1"/>
  <c r="K44" i="6" s="1"/>
  <c r="F45" i="6"/>
  <c r="G45" i="6" s="1"/>
  <c r="H45" i="6" s="1"/>
  <c r="I45" i="6" s="1"/>
  <c r="K45" i="6" s="1"/>
  <c r="F46" i="6"/>
  <c r="G46" i="6" s="1"/>
  <c r="F47" i="6"/>
  <c r="G47" i="6" s="1"/>
  <c r="H47" i="6" s="1"/>
  <c r="I47" i="6" s="1"/>
  <c r="K47" i="6" s="1"/>
  <c r="F48" i="6"/>
  <c r="G48" i="6" s="1"/>
  <c r="H48" i="6" s="1"/>
  <c r="I48" i="6" s="1"/>
  <c r="K48" i="6" s="1"/>
  <c r="F49" i="6"/>
  <c r="G49" i="6" s="1"/>
  <c r="H49" i="6" s="1"/>
  <c r="I49" i="6" s="1"/>
  <c r="K49" i="6" s="1"/>
  <c r="F50" i="6"/>
  <c r="G50" i="6" s="1"/>
  <c r="H50" i="6" s="1"/>
  <c r="I50" i="6" s="1"/>
  <c r="K50" i="6" s="1"/>
  <c r="F51" i="6"/>
  <c r="G51" i="6" s="1"/>
  <c r="H51" i="6" s="1"/>
  <c r="I51" i="6" s="1"/>
  <c r="K51" i="6" s="1"/>
  <c r="H46" i="6" l="1"/>
  <c r="I46" i="6" s="1"/>
  <c r="K46" i="6" s="1"/>
  <c r="G6" i="6" l="1"/>
  <c r="F19" i="28" l="1"/>
  <c r="E19" i="28"/>
  <c r="H7" i="6"/>
  <c r="F20" i="28" s="1"/>
  <c r="F24" i="6" l="1"/>
  <c r="G24" i="6" s="1"/>
  <c r="H24" i="6" s="1"/>
  <c r="I24" i="6" s="1"/>
  <c r="K24" i="6" s="1"/>
</calcChain>
</file>

<file path=xl/comments1.xml><?xml version="1.0" encoding="utf-8"?>
<comments xmlns="http://schemas.openxmlformats.org/spreadsheetml/2006/main">
  <authors>
    <author>Robinson Hernan Parada Barajas</author>
  </authors>
  <commentList>
    <comment ref="G6" authorId="0" shapeId="0">
      <text>
        <r>
          <rPr>
            <b/>
            <sz val="10"/>
            <color indexed="81"/>
            <rFont val="Arial"/>
            <family val="2"/>
          </rPr>
          <t xml:space="preserve">Robinson Parada:
</t>
        </r>
        <r>
          <rPr>
            <sz val="10"/>
            <color indexed="81"/>
            <rFont val="Arial"/>
            <family val="2"/>
          </rPr>
          <t>15 días de ejecución para el año 2014.</t>
        </r>
      </text>
    </comment>
  </commentList>
</comments>
</file>

<file path=xl/comments2.xml><?xml version="1.0" encoding="utf-8"?>
<comments xmlns="http://schemas.openxmlformats.org/spreadsheetml/2006/main">
  <authors>
    <author>Engree Johanna Duica Navarro</author>
  </authors>
  <commentList>
    <comment ref="AD37" authorId="0" shapeId="0">
      <text>
        <r>
          <rPr>
            <sz val="9"/>
            <color indexed="81"/>
            <rFont val="Tahoma"/>
            <family val="2"/>
          </rPr>
          <t>Incluir la tarifa que corresponda a la agrupación y a la actividad</t>
        </r>
      </text>
    </comment>
  </commentList>
</comments>
</file>

<file path=xl/sharedStrings.xml><?xml version="1.0" encoding="utf-8"?>
<sst xmlns="http://schemas.openxmlformats.org/spreadsheetml/2006/main" count="493" uniqueCount="288">
  <si>
    <t>24 horas lunes a domingo con arma</t>
  </si>
  <si>
    <t>valor unitario incluido A y S</t>
  </si>
  <si>
    <t>Con Arma</t>
  </si>
  <si>
    <t>Con Canino</t>
  </si>
  <si>
    <t>Administración y Supervisión</t>
  </si>
  <si>
    <t>Variable de Proporcionalidad</t>
  </si>
  <si>
    <t>06:00 a.m. A 02:00 p.m. Turno de 8 Horas Diurno</t>
  </si>
  <si>
    <t>02:00 p.m. A 10:00 p.m. Turno de 8 Horas Diurno</t>
  </si>
  <si>
    <t>Lunes a viernes sin festivos</t>
  </si>
  <si>
    <t>Lunes a viernes con festivos</t>
  </si>
  <si>
    <t>BASE DEL 10% PARA IMPUESTO IVA</t>
  </si>
  <si>
    <t>Proporción del Mes</t>
  </si>
  <si>
    <t xml:space="preserve">Circuitos Cerrados de TV </t>
  </si>
  <si>
    <t>12 horas diurnas lunes a domingo con canino</t>
  </si>
  <si>
    <t>SUBTOTAL 2014</t>
  </si>
  <si>
    <t>Instrucciones para el diligenciamiento del formato de cotización</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</si>
  <si>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</si>
  <si>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</si>
  <si>
    <r>
      <t xml:space="preserve">TIEMPO DE EJECUCIÓN </t>
    </r>
    <r>
      <rPr>
        <b/>
        <sz val="10"/>
        <rFont val="Arial"/>
        <family val="2"/>
      </rPr>
      <t>(meses)</t>
    </r>
  </si>
  <si>
    <r>
      <rPr>
        <b/>
        <sz val="10"/>
        <color theme="1"/>
        <rFont val="Arial"/>
        <family val="2"/>
      </rPr>
      <t>Inscripción en el Registro Único de Proponentes:</t>
    </r>
    <r>
      <rPr>
        <sz val="10"/>
        <color theme="1"/>
        <rFont val="Arial"/>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family val="2"/>
      </rPr>
      <t>inscritas en el RUP</t>
    </r>
    <r>
      <rPr>
        <sz val="10"/>
        <color theme="1"/>
        <rFont val="Arial"/>
        <family val="2"/>
      </rPr>
      <t>, salvo las excepciones previstas de forma taxativa en la ley (Artículo 8 del Decreto 1510 de 2013). Se aclara que esta inscripción no se requiere para remitir cotización durante el estudio de mercado.</t>
    </r>
  </si>
  <si>
    <t>SOLICITUD DE COTIZACIÓN</t>
  </si>
  <si>
    <t>Nit:</t>
  </si>
  <si>
    <t>Fecha:</t>
  </si>
  <si>
    <t>Cargo:</t>
  </si>
  <si>
    <t>Tel. celular:</t>
  </si>
  <si>
    <t>Dirección:</t>
  </si>
  <si>
    <t>Tel. fijo:</t>
  </si>
  <si>
    <t xml:space="preserve">Empresa: </t>
  </si>
  <si>
    <t xml:space="preserve">Contacto: </t>
  </si>
  <si>
    <t xml:space="preserve">E-Mail: </t>
  </si>
  <si>
    <t>CIRCULAR EXTERNA 20143200000025 DE 2014 SUPERVIGILANCIA</t>
  </si>
  <si>
    <t>JORNADA LABORAL</t>
  </si>
  <si>
    <t>TIEMPO DE EJECUCIÓN (meses)</t>
  </si>
  <si>
    <t>MACRO REGIÓN UNO (1)</t>
  </si>
  <si>
    <t>Cantidad</t>
  </si>
  <si>
    <t>Valor Unitario Mensual
Antes de IVA</t>
  </si>
  <si>
    <t>Valor Total Mensual
Antes de IVA</t>
  </si>
  <si>
    <t>TURNOS DE VIGILANCIA</t>
  </si>
  <si>
    <t>valor unitario
Turno</t>
  </si>
  <si>
    <t>valor A y S
(8%, 10%, 11%)</t>
  </si>
  <si>
    <t>IVA</t>
  </si>
  <si>
    <t>valor unitario incluido IVA</t>
  </si>
  <si>
    <t>Base del 10% para impuesto IVA</t>
  </si>
  <si>
    <t>24 horas lunes a domingo sin arma</t>
  </si>
  <si>
    <t>SMLMV (Nota 1)</t>
  </si>
  <si>
    <t>MACRO REGIÓN DOS (2)</t>
  </si>
  <si>
    <r>
      <rPr>
        <b/>
        <sz val="10"/>
        <color theme="1"/>
        <rFont val="Arial"/>
        <family val="2"/>
      </rPr>
      <t xml:space="preserve">Nota 1: </t>
    </r>
    <r>
      <rPr>
        <sz val="10"/>
        <color theme="1"/>
        <rFont val="Arial"/>
        <family val="2"/>
      </rPr>
      <t>Se estima un incremento del 3% para el SMLMV del 2015 a partir de lo definido en la Circular No. 06 de 2014 del Ministerio de Hacienda. Sin embargo, para la vigencia 2015 en el contrato a suscribir se ajustará el porcentaje de incremento del SMLMV de acuerdo a la normatividad que regula el servicio de vigilancia.</t>
    </r>
  </si>
  <si>
    <t>10:00 p.m. A 06:00 a.m. Turno de 8 Horas Nocturno</t>
  </si>
  <si>
    <t>Sin Arma</t>
  </si>
  <si>
    <t>16 horas diurnas lunes a viernes sin arma con festivos</t>
  </si>
  <si>
    <t>12 horas diurnas lunes a viernes con canino con festivos</t>
  </si>
  <si>
    <t>4 horas diurnas lunes a viernes con canino con festivos (18:00 - 22:00)</t>
  </si>
  <si>
    <t>12 horas diurnas lunes a viernes sin arma con festivos</t>
  </si>
  <si>
    <t>12 horas diurnas lunes a viernes con arma con festivos</t>
  </si>
  <si>
    <t>10 horas diurnas lunes a viernes sin arma con festivos</t>
  </si>
  <si>
    <t>12 horas diurnas lunes a domingo con arma</t>
  </si>
  <si>
    <t>12 horas diurnas lunes a domingo sin arma</t>
  </si>
  <si>
    <t>8 horas nocturnas lunes a viernes con arma con festivos</t>
  </si>
  <si>
    <t>4 horas diurnas lunes a viernes con arma con festivos</t>
  </si>
  <si>
    <t>12 horas diurnas lunes a viernes sin arma sin festivos</t>
  </si>
  <si>
    <t>10 horas diurnas lunes a domingo con arma</t>
  </si>
  <si>
    <t>12 horas diurnas lunes a viernes con arma sin festivos</t>
  </si>
  <si>
    <t>16 horas diurnas lunes a viernes con arma con festivos</t>
  </si>
  <si>
    <t>8 horas nocturnas lunes a domingo con arma</t>
  </si>
  <si>
    <t>8 horas diurnas lunes a domingo con arma</t>
  </si>
  <si>
    <t>10 horas diurnas lunes a viernes con arma con festivos</t>
  </si>
  <si>
    <t>9 horas diurnas lunes a viernes con arma con festivos</t>
  </si>
  <si>
    <t>9 horas diurnas lunes a viernes sin arma con festivos</t>
  </si>
  <si>
    <t>8 horas diurnas lunes a viernes sin arma con festivos</t>
  </si>
  <si>
    <t>4 horas diurnas lunes a domingo con arma</t>
  </si>
  <si>
    <t>8 horas diurnas domingo con arma</t>
  </si>
  <si>
    <t>CANTIDADES DE DÍAS MES (CIRCULAR 20143200000025 DE 2014)</t>
  </si>
  <si>
    <t>Lunes a sábados sin festivos</t>
  </si>
  <si>
    <t>Lunes a sábados con festivos</t>
  </si>
  <si>
    <t xml:space="preserve">Sábados y Domingos </t>
  </si>
  <si>
    <t xml:space="preserve">Sábados, Domingos y festivos </t>
  </si>
  <si>
    <t>12 horas diurnas lunes a sábado con arma con festivos</t>
  </si>
  <si>
    <t>8 horas diurnas sábado con arma</t>
  </si>
  <si>
    <t>4 horas diurnas sábados con arma</t>
  </si>
  <si>
    <t>TARIFA MÍNIMA REGULADA PARA EL 2014</t>
  </si>
  <si>
    <t>MACRO REGIÓN TRES (3)</t>
  </si>
  <si>
    <t>MACRO REGIÓN CUATRO (4)</t>
  </si>
  <si>
    <t>MACRO REGIÓN CINCO (5)</t>
  </si>
  <si>
    <t>VALOR MENSUAL TURNOS DE VIGILANCIA
MACRO REGIÓN No.1 - 2014</t>
  </si>
  <si>
    <t>VALOR MENSUAL TURNOS DE VIGILANCIA
MACRO REGIÓN No.2 - 2014</t>
  </si>
  <si>
    <t>VALOR MENSUAL TURNOS DE VIGILANCIA
MACRO REGIÓN No.3 - 2014</t>
  </si>
  <si>
    <t>VALOR MENSUAL TURNOS DE VIGILANCIA
MACRO REGIÓN No.4 - 2014</t>
  </si>
  <si>
    <t>VALOR MENSUAL TURNOS DE VIGILANCIA
MACRO REGIÓN No.5 - 2014</t>
  </si>
  <si>
    <t>TOTAL POR MACRO REGIÓN</t>
  </si>
  <si>
    <t>MEDIOS TECNOLÓGICOS Y MONITOREO</t>
  </si>
  <si>
    <t>VALOR MENSUAL MEDIOS TECNOLÓGICOS Y MONITOREO
MACRO REGIÓN No.1 - 2014</t>
  </si>
  <si>
    <t>VALOR MENSUAL MEDIOS TECNOLÓGICOS Y MONITOREO
MACRO REGIÓN No.2 - 2014</t>
  </si>
  <si>
    <t>VALOR MENSUAL MEDIOS TECNOLÓGICOS Y MONITOREO
MACRO REGIÓN No.3 - 2014</t>
  </si>
  <si>
    <t>VALOR MENSUAL MEDIOS TECNOLÓGICOS Y MONITOREO
MACRO REGIÓN No.4 - 2014</t>
  </si>
  <si>
    <t>VALOR MENSUAL MEDIOS TECNOLÓGICOS Y MONITOREO
MACRO REGIÓN No.5 - 2014</t>
  </si>
  <si>
    <t>TOTAL SERVICIO MENSUAL DE VIGILANCIA 2014
MACRO REGIÓN No.1</t>
  </si>
  <si>
    <t>TOTAL SERVICIO MENSUAL DE VIGILANCIA 2014
MACRO REGIÓN No.2</t>
  </si>
  <si>
    <t>TOTAL SERVICIO MENSUAL DE VIGILANCIA 2014
MACRO REGIÓN No.3</t>
  </si>
  <si>
    <t>TOTAL SERVICIO MENSUAL DE VIGILANCIA 2014
MACRO REGIÓN No.4</t>
  </si>
  <si>
    <t>TOTAL SERVICIO MENSUAL DE VIGILANCIA 2014
MACRO REGIÓN No.5</t>
  </si>
  <si>
    <t>Presupuesto Estimado Area Técnica Turnos de Vigilancia</t>
  </si>
  <si>
    <t>Diferencia</t>
  </si>
  <si>
    <t xml:space="preserve">SECCION 4106-INSTITUTO COLOMBIANO DE BIENESTAR FAMILIAR </t>
  </si>
  <si>
    <t>DIRECCION ADMINISTRATIVA</t>
  </si>
  <si>
    <t>GRUPO PLANEACION ADMINISTRATIVA</t>
  </si>
  <si>
    <t xml:space="preserve">PRESUPUESTO SERVICIO DE SEGURIDAD Y  VIGILANCIA NIVEL NACIONAL </t>
  </si>
  <si>
    <t>REGIONAL</t>
  </si>
  <si>
    <t>MACRO REGION</t>
  </si>
  <si>
    <t>TOTAL TURNOS VIGILANCIA</t>
  </si>
  <si>
    <t>COSTO MES
2014</t>
  </si>
  <si>
    <t>24 HORAS  
CON  ARMA 
L A D
FUNCIONAMIENTO</t>
  </si>
  <si>
    <t>24 HORAS  
CON  ARMA 
 L A D
INVERSION</t>
  </si>
  <si>
    <t xml:space="preserve">24 HORAS  
CON  ARMA 
 L A D
SIN IVA </t>
  </si>
  <si>
    <t>24 HORAS  
SIN  ARMA 
 L A D</t>
  </si>
  <si>
    <t>12 HORAS 
DIURNAS
 CON ARMA 
L A D</t>
  </si>
  <si>
    <t>12 HORAS 
DIURNAS
 CON ARMA 
L A V
CON FESTIVOS</t>
  </si>
  <si>
    <t>12 HRS 
DIURNAS 
SIN ARMA 
L A V
CON FESTIVOS</t>
  </si>
  <si>
    <t>12 HRS 
DIURNAS 
CON ARMA 
L A S
CON FESTIVOS</t>
  </si>
  <si>
    <t>12 HRS 
DIURNAS 
SIN ARMA 
L A D</t>
  </si>
  <si>
    <t>12 HRS 
DIURNAS 
SIN ARMA 
L A V 
SIN FESTIVOS</t>
  </si>
  <si>
    <t>12 HRS 
DIURNAS 
CON ARMA 
L A V 
SIN FESTIVOS</t>
  </si>
  <si>
    <t>12 HRS 
DIURNAS 
L A D 
CON CANINO</t>
  </si>
  <si>
    <t>12 HRS 
DIURNAS 
CON ARMA 
L A V
CON CANINO</t>
  </si>
  <si>
    <t>4 HRS 
DIURNAS 
CON ARMA 
SABADO</t>
  </si>
  <si>
    <t>4 HRS 
DIURNAS 
CON ARMA 
L A V
CON FESTIVOS
SIN IVA</t>
  </si>
  <si>
    <t>4 HRS 
DIURNAS 
CON ARMA 
L A D</t>
  </si>
  <si>
    <t>4 HRS 
DIURNAS 
CON CANINO 
L A V</t>
  </si>
  <si>
    <t xml:space="preserve">8 HRS 
NOCTURNAS
CON  ARMA  
L A D 
</t>
  </si>
  <si>
    <t>8 HRS 
NOCTURNAS 
CON  ARMA 
L A V 
CON FESTIVOS
SIN IVA</t>
  </si>
  <si>
    <t>8 HRS 
DIURNAS 
CON ARMA 
DOMINGO</t>
  </si>
  <si>
    <t>8 HRS 
DIURNAS 
CON ARMA 
SABADO</t>
  </si>
  <si>
    <t>8 HRS 
DIURNAS
CON  ARMA 
L A V 
CON FESTIVOS</t>
  </si>
  <si>
    <t xml:space="preserve">8HRS 
DIURNAS 
CON ARMA 
L A D  </t>
  </si>
  <si>
    <t>8HRS 
DIURNAS 
SIN ARMA 
L A V 
CON FESTIVOS</t>
  </si>
  <si>
    <t>9 HRS 
DIURNAS 
CON  ARMA 
L A V 
CON FESTIVOS</t>
  </si>
  <si>
    <t>9 HRS 
DIURNAS
 SIN ARMA 
L A V
 CON FESTIVOS</t>
  </si>
  <si>
    <t xml:space="preserve">10 HRS 
DIURNAS 
CON  ARMA 
L A V 
CON FESTIVOS
</t>
  </si>
  <si>
    <t>10 HRS 
DIURNAS
CON ARMA 
L A D</t>
  </si>
  <si>
    <t xml:space="preserve">10 HRS 
DIURNAS 
SIN  ARMA 
L A V 
CON FESTIVOS
</t>
  </si>
  <si>
    <t>16HRS 
DIURNAS 
CON ARMA 
L A V  
CON FESTIVOS</t>
  </si>
  <si>
    <t>Q</t>
  </si>
  <si>
    <t>Valor</t>
  </si>
  <si>
    <t>PUESTO</t>
  </si>
  <si>
    <t xml:space="preserve">Valor </t>
  </si>
  <si>
    <t>AMAZONAS</t>
  </si>
  <si>
    <t>ANTIOQUIA</t>
  </si>
  <si>
    <t>ARAUCA</t>
  </si>
  <si>
    <t>ATLANTICO</t>
  </si>
  <si>
    <t>BOLIVAR</t>
  </si>
  <si>
    <t>BOYACA</t>
  </si>
  <si>
    <t>CALDAS</t>
  </si>
  <si>
    <t>CAQUETA</t>
  </si>
  <si>
    <t>CASANARE</t>
  </si>
  <si>
    <t>CAUCA</t>
  </si>
  <si>
    <t>CESAR</t>
  </si>
  <si>
    <t>CHOCO</t>
  </si>
  <si>
    <t>CORDOBA</t>
  </si>
  <si>
    <t>GUAINIA</t>
  </si>
  <si>
    <t>GUAJIRA</t>
  </si>
  <si>
    <t>GUAVIARE</t>
  </si>
  <si>
    <t>HUILA</t>
  </si>
  <si>
    <t>MAGDALENA</t>
  </si>
  <si>
    <t>META</t>
  </si>
  <si>
    <t>NORTE DE SANTANDER</t>
  </si>
  <si>
    <t>NARIÑO</t>
  </si>
  <si>
    <t>PUTUMAYO</t>
  </si>
  <si>
    <t>QUINDIO</t>
  </si>
  <si>
    <t>RISARALDA</t>
  </si>
  <si>
    <t>SAN ANDRES</t>
  </si>
  <si>
    <t>SANTANDER</t>
  </si>
  <si>
    <t>SUCRE</t>
  </si>
  <si>
    <t>TOLIMA</t>
  </si>
  <si>
    <t>VALLE</t>
  </si>
  <si>
    <t>VAUPES</t>
  </si>
  <si>
    <t>VICHADA</t>
  </si>
  <si>
    <t>BOGOTA</t>
  </si>
  <si>
    <t>CUNDINAMARCA</t>
  </si>
  <si>
    <t>SEDE NACIONAL</t>
  </si>
  <si>
    <t>TOTAL</t>
  </si>
  <si>
    <t>Revisado Amparo Cardenas Campos - Coordinadora Grupo Planeación Administrativa</t>
  </si>
  <si>
    <t xml:space="preserve">Elaborado Profesionales Grupo Planeación Administrativa </t>
  </si>
  <si>
    <r>
      <rPr>
        <b/>
        <sz val="10"/>
        <color theme="1"/>
        <rFont val="Arial"/>
        <family val="2"/>
      </rPr>
      <t xml:space="preserve">Notas:
</t>
    </r>
    <r>
      <rPr>
        <sz val="10"/>
        <color theme="1"/>
        <rFont val="Arial"/>
        <family val="2"/>
      </rPr>
      <t>(1) Se estima un incremento del 3% para el SMLMV del 2015 a partir de lo definido en la Circular No. 06 de 2014 del Ministerio de Hacienda. Sin embargo, para la vigencia 2015 en el contrato a suscribir se ajustará el porcentaje de incremento del SMLMV de acuerdo a la normatividad que regula el servicio de vigilancia.
(2) Para efectos de cotización se requiere el valor unitario mensual para cada ítem de los elementos tecnológicos. Con dichos valores y los tomados de la circular 025 de 2014 para los turnos de vigilancia, serán realizados los cálculos para la ejecución del contrato durante 15 días en la vigencia 2014 y 11 meses en la vigencia 2015.</t>
    </r>
  </si>
  <si>
    <t>Formato Información General Y Financiera De Proveedores</t>
  </si>
  <si>
    <t>Ciudad</t>
  </si>
  <si>
    <t>Fecha Dd/mm/aa</t>
  </si>
  <si>
    <t>Persona Natural</t>
  </si>
  <si>
    <t>Persona Jurídica</t>
  </si>
  <si>
    <t xml:space="preserve"> 1.  Información General</t>
  </si>
  <si>
    <t xml:space="preserve">1.1. Identificación. </t>
  </si>
  <si>
    <t>Personas 
naturales</t>
  </si>
  <si>
    <t>Nombre Comercial</t>
  </si>
  <si>
    <t>Nombres y Apellidos</t>
  </si>
  <si>
    <t>Cédula</t>
  </si>
  <si>
    <t>Personas 
jurídicas</t>
  </si>
  <si>
    <t>Razón Social</t>
  </si>
  <si>
    <t>NIT</t>
  </si>
  <si>
    <t>DV</t>
  </si>
  <si>
    <t xml:space="preserve">Dirección </t>
  </si>
  <si>
    <t>Teléfono</t>
  </si>
  <si>
    <t>Fax</t>
  </si>
  <si>
    <t>Pagina Web</t>
  </si>
  <si>
    <t>Años de Constitución</t>
  </si>
  <si>
    <t>Sector al que pertenece</t>
  </si>
  <si>
    <t>1.2. Personas De Contacto</t>
  </si>
  <si>
    <t>Gerente General</t>
  </si>
  <si>
    <t>E-mail</t>
  </si>
  <si>
    <t>Ext.</t>
  </si>
  <si>
    <t>Celular</t>
  </si>
  <si>
    <t>Director Comercial</t>
  </si>
  <si>
    <t>Asesor Comercial</t>
  </si>
  <si>
    <t>1.3. Productos Y Servicios Inscritos En El Rup De Acuerdo Con El Unspsc</t>
  </si>
  <si>
    <t>Incluir Listado Con Breve Descripción De Los Productos Y/o Servicios Que Ofrece La Compañía, Registrados En El Rup (agregue Las Filas Necesarias)</t>
  </si>
  <si>
    <t>Código de Naciones Unidas</t>
  </si>
  <si>
    <t>1.4. Códigos CIIU</t>
  </si>
  <si>
    <t>1.5. Número De Empleados</t>
  </si>
  <si>
    <t>Código De Actividad</t>
  </si>
  <si>
    <t>Descripción  Actividad Económica CIIU</t>
  </si>
  <si>
    <t>Tarifa ICA</t>
  </si>
  <si>
    <t>2. Información Financiera  - A Diciembre 31 De 2013</t>
  </si>
  <si>
    <t xml:space="preserve">Nombre Del Indicador  </t>
  </si>
  <si>
    <t>Cuenta</t>
  </si>
  <si>
    <t>Valores En Pesos</t>
  </si>
  <si>
    <t>Indicador</t>
  </si>
  <si>
    <t>Capacidad Financiera</t>
  </si>
  <si>
    <t xml:space="preserve"> índice De Liquidez</t>
  </si>
  <si>
    <t>Activo Corriente --&gt;</t>
  </si>
  <si>
    <t>Veces</t>
  </si>
  <si>
    <t>Pasivo Corriente --&gt;</t>
  </si>
  <si>
    <t>Índice De Endeudamiento</t>
  </si>
  <si>
    <t>Pasivo Total--&gt;</t>
  </si>
  <si>
    <t>Porcentaje</t>
  </si>
  <si>
    <t>Activo Total--&gt;</t>
  </si>
  <si>
    <t>Razón De Cobertura De Intereses</t>
  </si>
  <si>
    <t>Utilidad Operacional--&gt;</t>
  </si>
  <si>
    <t>Gastos De Interés--&gt;</t>
  </si>
  <si>
    <t>Capacidad Organizacional</t>
  </si>
  <si>
    <t>Rentabilidad Del Patrimonio</t>
  </si>
  <si>
    <t>Patrimonio--&gt;</t>
  </si>
  <si>
    <t>Rentabilidad Del Activo</t>
  </si>
  <si>
    <t>Nota: Para las empresas inspeccionadas, vigiladas o controladas por la Supersociedades, la información consignada en este numeral será validada con la reportada a la Supersociedades y disponible para consulta en Internet mediante el Sistema de Información y Riesgo Empresarial de la Supersociedades (SIREM). Si se evidencian diferencias en los valores consignados en este formato y los reportados a la Supersociedades se tomará como referencia la información del SIREM.</t>
  </si>
  <si>
    <t>Otra información relevante de la empresa (consigne en este espacio otra información que considere de interés)</t>
  </si>
  <si>
    <t>CONCEPTOS A TENER EN CUENTA PARA REALIZAR LA COTIZACIÓN DE DOTACIÓN INDUSTRIAL</t>
  </si>
  <si>
    <t>El presente cuadro es de carácter informativo, no se debe diligenciar. Sin embargo se entiende que la cotización incluye la totalidad de los conceptos relacionados a continuación.</t>
  </si>
  <si>
    <t>PÓLIZAS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</si>
  <si>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</si>
  <si>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</si>
  <si>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</si>
  <si>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</si>
  <si>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</si>
  <si>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</si>
  <si>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</si>
  <si>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</si>
  <si>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</si>
  <si>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</si>
  <si>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extracontractual</t>
  </si>
  <si>
    <t>Cobertura: Corresponde al porcentaje del valor total del contrato a amparar.</t>
  </si>
  <si>
    <t>EXPERIENCIA EN CONTRATACION EN LOS ULTIMOS 5 AÑOS</t>
  </si>
  <si>
    <r>
      <t>EXPERIENCIA EN CONTRATACIÓN EN LOS ÚLTIMOS</t>
    </r>
    <r>
      <rPr>
        <b/>
        <u/>
        <sz val="10"/>
        <rFont val="Arial"/>
        <family val="2"/>
      </rPr>
      <t xml:space="preserve"> 5 AÑOS</t>
    </r>
  </si>
  <si>
    <r>
      <t xml:space="preserve">Con el fin de conocer la experiencia con la que cuentan las empresas del sector </t>
    </r>
    <r>
      <rPr>
        <u/>
        <sz val="10"/>
        <rFont val="Arial"/>
        <family val="2"/>
      </rPr>
      <t>relacionada con el objeto del presente estudio de mercado</t>
    </r>
    <r>
      <rPr>
        <sz val="10"/>
        <rFont val="Arial"/>
        <family val="2"/>
      </rPr>
      <t>, agradecemos diligenciar el cuadro que sigue con base en los contratos suscritos en los últimos 5 años, cuyos objetos están relacionados con el objeto del presente estudio de mercado</t>
    </r>
  </si>
  <si>
    <t>Tipo de entidad</t>
  </si>
  <si>
    <t>Entidad o Empresa</t>
  </si>
  <si>
    <t>Numero del contrato</t>
  </si>
  <si>
    <t>Objeto del contrato</t>
  </si>
  <si>
    <t>Fecha de suscripción
(dd/mmm/aa)</t>
  </si>
  <si>
    <t>Plazo de ejecución 
(en años)</t>
  </si>
  <si>
    <t>Forma de participación
(UT, consorcio, individual)</t>
  </si>
  <si>
    <t>% de participación</t>
  </si>
  <si>
    <t>Valor total ejecutado del contrato (de acuerdo con el % de participación)</t>
  </si>
  <si>
    <t>Nota: Agregar las filas necesarias para reportar la experiencia</t>
  </si>
  <si>
    <t xml:space="preserve">Detectores Manuales de Metales </t>
  </si>
  <si>
    <t xml:space="preserve">Computadores All in One </t>
  </si>
  <si>
    <t xml:space="preserve">Arcos Detectores de Metales </t>
  </si>
  <si>
    <t>Armerillos</t>
  </si>
  <si>
    <t>Linternas de batería recargable</t>
  </si>
  <si>
    <t>Equipos  de comunicación portátiles con un alcance mínimo de cuatro (4) kilómetros (punto a punto), para la prestación del servicio y/o equipos Avantel y/o celulares abiertos y/o con plan de minutos para enviar  o recibir llamadas en cualquier momento.</t>
  </si>
  <si>
    <t>Lámparas de emergencia recargables</t>
  </si>
  <si>
    <t>Monitoreo de alarmas</t>
  </si>
  <si>
    <r>
      <t xml:space="preserve">Lámparas de emergencia recargables </t>
    </r>
    <r>
      <rPr>
        <sz val="10"/>
        <color rgb="FFFF0000"/>
        <rFont val="Arial"/>
        <family val="2"/>
      </rPr>
      <t>(Nota 3)</t>
    </r>
  </si>
  <si>
    <r>
      <t xml:space="preserve">Monitoreo de alarmas </t>
    </r>
    <r>
      <rPr>
        <sz val="10"/>
        <color rgb="FFFF0000"/>
        <rFont val="Arial"/>
        <family val="2"/>
      </rPr>
      <t>(Nota 3)</t>
    </r>
  </si>
  <si>
    <r>
      <t xml:space="preserve">Equipos para la verificación de la revista realizada para la supervisión del contrato (Chips de punteo) </t>
    </r>
    <r>
      <rPr>
        <sz val="10"/>
        <color rgb="FFFF0000"/>
        <rFont val="Arial"/>
        <family val="2"/>
      </rPr>
      <t>(Nota 3)</t>
    </r>
  </si>
  <si>
    <r>
      <rPr>
        <sz val="10"/>
        <color rgb="FFFF0000"/>
        <rFont val="Arial"/>
        <family val="2"/>
      </rPr>
      <t>Nota 3:</t>
    </r>
    <r>
      <rPr>
        <sz val="10"/>
        <color theme="1"/>
        <rFont val="Arial"/>
        <family val="2"/>
      </rPr>
      <t xml:space="preserve"> Para el presente estudio de mercado se estima que la cantidad de elementos requeridos con respecto a "Lámparas de emergencia; Monitoreo de alarmas y Chips de punteo", será de un elemento por cada puesto de vigilancia. Sin embargo, como se establece en la ficha técnica, las cantidades de estos elementos serán establecidas posteriormente de acuerdo con la necesidad y los estudios de seguridad elaborados por la Coordinación Nacional de Seguridad del ICBF. </t>
    </r>
  </si>
  <si>
    <t>Equipos para la verificación de la revista realizada para la supervisión del contrato (Chips de punteo)</t>
  </si>
  <si>
    <t>• Por favor diligenciar solo las celdas en AMARILLO. Se deben llenar todas las casillas.
• Revisar todos los requerimientos que se exponen en el documento "Ficha de Condiciones Técnicas" y formular su cotización en concordancia con este.
• Asignar precio MENSUAL sin incluir el IVA para cada ítem de los elementos tecnológicos en cada Macro Región.
• El valor de la cotización deber ser expresado en PESOS COLOMBIANOS.
• Los valores unitarios deberán aproximarse por exceso o por defecto al entero más cercano. Si la cifra no está aproximada y aparece con centavos, el ICBF aproximará al entero inferior.
• No modificar, agregar o quitar ningún ítem o sub-ítem.
• Por favor indicar en la hoja "Medios Tecnológicos" si los equipos cotizados son nuevos o usados, y de igual manera precisar si son propios o alquilados.</t>
  </si>
  <si>
    <t>Equipos Usados</t>
  </si>
  <si>
    <t>Equipos Nuevos</t>
  </si>
  <si>
    <t>Equipos Propios</t>
  </si>
  <si>
    <t>Equipos Alquilados</t>
  </si>
  <si>
    <r>
      <rPr>
        <b/>
        <sz val="11"/>
        <color theme="1"/>
        <rFont val="Arial"/>
        <family val="2"/>
      </rPr>
      <t>Nota:</t>
    </r>
    <r>
      <rPr>
        <sz val="11"/>
        <color theme="1"/>
        <rFont val="Arial"/>
        <family val="2"/>
      </rPr>
      <t xml:space="preserve"> Por favor indicar con una X en el siguiente cuadro si los equipos cotizados son nuevos o usados, y de igual manera precisar si son propios o alquilados. (FAVOR DILIGENCIAR SEGÚN CORRESPONDA)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</si>
</sst>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4" formatCode="_(&quot;$&quot;\ * #,##0.00_);_(&quot;$&quot;\ * \(#,##0.00\);_(&quot;$&quot;\ * &quot;-&quot;??_);_(@_)"/>
    <numFmt numFmtId="43" formatCode="_(* #,##0.00_);_(* \(#,##0.00\);_(* &quot;-&quot;??_);_(@_)"/>
    <numFmt numFmtId="164" formatCode="_ * #,##0.00_ ;_ * \-#,##0.00_ ;_ * &quot;-&quot;??_ ;_ @_ "/>
    <numFmt numFmtId="165" formatCode="_ &quot;$&quot;\ * #,##0.00_ ;_ &quot;$&quot;\ * \-#,##0.00_ ;_ &quot;$&quot;\ * &quot;-&quot;??_ ;_ @_ "/>
    <numFmt numFmtId="166" formatCode="[$$-240A]\ #,##0"/>
    <numFmt numFmtId="167" formatCode="0.0000%"/>
    <numFmt numFmtId="168" formatCode="[$$-240A]\ #,##0.000"/>
    <numFmt numFmtId="169" formatCode="&quot;$&quot;\ #,##0"/>
    <numFmt numFmtId="170" formatCode="_-&quot;$&quot;* #,##0.00_-;\-&quot;$&quot;* #,##0.00_-;_-&quot;$&quot;* &quot;-&quot;??_-;_-@_-"/>
    <numFmt numFmtId="171" formatCode="_-&quot;$&quot;* #,##0_-;\-&quot;$&quot;* #,##0_-;_-&quot;$&quot;* &quot;-&quot;??_-;_-@_-"/>
    <numFmt numFmtId="172" formatCode="0.0"/>
    <numFmt numFmtId="173" formatCode="dd/mmm/yy"/>
  </numFmts>
  <fonts count="31">
    <font>
      <sz val="11"/>
      <color theme="1"/>
      <name val="Calibri"/>
      <family val="2"/>
      <scheme val="minor"/>
    </font>
    <font>
      <sz val="11"/>
      <color theme="1"/>
      <name val="Arial"/>
      <family val="2"/>
    </font>
    <font>
      <b/>
      <sz val="10"/>
      <color theme="1"/>
      <name val="Arial"/>
      <family val="2"/>
    </font>
    <font>
      <sz val="10"/>
      <color theme="1"/>
      <name val="Arial"/>
      <family val="2"/>
    </font>
    <font>
      <sz val="10"/>
      <name val="Zurich BT"/>
    </font>
    <font>
      <sz val="10"/>
      <name val="Arial"/>
      <family val="2"/>
    </font>
    <font>
      <sz val="8"/>
      <color theme="1"/>
      <name val="Arial"/>
      <family val="2"/>
    </font>
    <font>
      <sz val="11"/>
      <color theme="1"/>
      <name val="Calibri"/>
      <family val="2"/>
      <scheme val="minor"/>
    </font>
    <font>
      <b/>
      <sz val="11"/>
      <color theme="1"/>
      <name val="Arial"/>
      <family val="2"/>
    </font>
    <font>
      <sz val="10"/>
      <color rgb="FF000000"/>
      <name val="Arial"/>
      <family val="2"/>
    </font>
    <font>
      <sz val="11"/>
      <color rgb="FF000000"/>
      <name val="Arial"/>
      <family val="2"/>
    </font>
    <font>
      <b/>
      <sz val="10"/>
      <name val="Arial"/>
      <family val="2"/>
    </font>
    <font>
      <b/>
      <sz val="10"/>
      <color rgb="FFFF0000"/>
      <name val="Arial"/>
      <family val="2"/>
    </font>
    <font>
      <b/>
      <sz val="8"/>
      <color theme="1"/>
      <name val="Arial"/>
      <family val="2"/>
    </font>
    <font>
      <b/>
      <sz val="10"/>
      <color indexed="81"/>
      <name val="Arial"/>
      <family val="2"/>
    </font>
    <font>
      <sz val="10"/>
      <color indexed="81"/>
      <name val="Arial"/>
      <family val="2"/>
    </font>
    <font>
      <b/>
      <sz val="11"/>
      <color theme="1"/>
      <name val="Calibri"/>
      <family val="2"/>
      <scheme val="minor"/>
    </font>
    <font>
      <b/>
      <sz val="8"/>
      <name val="Arial"/>
      <family val="2"/>
    </font>
    <font>
      <b/>
      <sz val="12"/>
      <color theme="1"/>
      <name val="Zurich Cn BT"/>
      <family val="2"/>
    </font>
    <font>
      <sz val="12"/>
      <color theme="1"/>
      <name val="Arial Narrow"/>
      <family val="2"/>
    </font>
    <font>
      <sz val="11"/>
      <name val="Arial Narrow"/>
      <family val="2"/>
    </font>
    <font>
      <b/>
      <sz val="11"/>
      <name val="Arial Narrow"/>
      <family val="2"/>
    </font>
    <font>
      <b/>
      <sz val="10"/>
      <color theme="1"/>
      <name val="Arial Narrow"/>
      <family val="2"/>
    </font>
    <font>
      <sz val="10"/>
      <color theme="1"/>
      <name val="Arial Narrow"/>
      <family val="2"/>
    </font>
    <font>
      <sz val="8"/>
      <color theme="1"/>
      <name val="Arial Narrow"/>
      <family val="2"/>
    </font>
    <font>
      <sz val="11"/>
      <color theme="1"/>
      <name val="Arial Narrow"/>
      <family val="2"/>
    </font>
    <font>
      <sz val="9"/>
      <color indexed="81"/>
      <name val="Tahoma"/>
      <family val="2"/>
    </font>
    <font>
      <b/>
      <sz val="10"/>
      <color rgb="FF000000"/>
      <name val="Arial"/>
      <family val="2"/>
    </font>
    <font>
      <b/>
      <u/>
      <sz val="10"/>
      <name val="Arial"/>
      <family val="2"/>
    </font>
    <font>
      <u/>
      <sz val="10"/>
      <name val="Arial"/>
      <family val="2"/>
    </font>
    <font>
      <sz val="10"/>
      <color rgb="FFFF000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6" tint="0.59999389629810485"/>
        <bgColor indexed="64"/>
      </patternFill>
    </fill>
    <fill>
      <patternFill patternType="solid">
        <fgColor rgb="FFFFC000"/>
        <bgColor indexed="64"/>
      </patternFill>
    </fill>
    <fill>
      <patternFill patternType="solid">
        <fgColor theme="6" tint="0.39997558519241921"/>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s>
  <borders count="22">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right/>
      <top style="thin">
        <color theme="2" tint="-0.499984740745262"/>
      </top>
      <bottom style="thin">
        <color theme="2" tint="-0.499984740745262"/>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5">
    <xf numFmtId="0" fontId="0" fillId="0" borderId="0"/>
    <xf numFmtId="0" fontId="1" fillId="0" borderId="0"/>
    <xf numFmtId="0" fontId="4" fillId="0" borderId="0"/>
    <xf numFmtId="9" fontId="4" fillId="0" borderId="0" applyFont="0" applyFill="0" applyBorder="0" applyAlignment="0" applyProtection="0"/>
    <xf numFmtId="43" fontId="1"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0" fontId="5" fillId="0" borderId="0"/>
    <xf numFmtId="0" fontId="1" fillId="0" borderId="0"/>
    <xf numFmtId="0" fontId="4" fillId="0" borderId="0"/>
    <xf numFmtId="9" fontId="1" fillId="0" borderId="0" applyFont="0" applyFill="0" applyBorder="0" applyAlignment="0" applyProtection="0"/>
    <xf numFmtId="9" fontId="7" fillId="0" borderId="0" applyFont="0" applyFill="0" applyBorder="0" applyAlignment="0" applyProtection="0"/>
    <xf numFmtId="44" fontId="1" fillId="0" borderId="0" applyFont="0" applyFill="0" applyBorder="0" applyAlignment="0" applyProtection="0"/>
    <xf numFmtId="170" fontId="7" fillId="0" borderId="0" applyFont="0" applyFill="0" applyBorder="0" applyAlignment="0" applyProtection="0"/>
  </cellStyleXfs>
  <cellXfs count="379">
    <xf numFmtId="0" fontId="0" fillId="0" borderId="0" xfId="0"/>
    <xf numFmtId="0" fontId="3" fillId="0" borderId="2" xfId="0" applyNumberFormat="1" applyFont="1" applyBorder="1" applyAlignment="1">
      <alignment horizontal="left" vertical="top" wrapText="1"/>
    </xf>
    <xf numFmtId="0" fontId="3" fillId="0" borderId="2" xfId="0" applyNumberFormat="1" applyFont="1" applyFill="1" applyBorder="1" applyAlignment="1">
      <alignment horizontal="left" vertical="top" wrapText="1"/>
    </xf>
    <xf numFmtId="0" fontId="3" fillId="0" borderId="0" xfId="0" applyFont="1"/>
    <xf numFmtId="0" fontId="3" fillId="0" borderId="0" xfId="0" applyFont="1" applyProtection="1"/>
    <xf numFmtId="0" fontId="3" fillId="0" borderId="0" xfId="0" applyFont="1" applyAlignment="1">
      <alignment vertical="center"/>
    </xf>
    <xf numFmtId="0" fontId="3" fillId="0" borderId="2" xfId="0" applyFont="1" applyFill="1" applyBorder="1" applyAlignment="1" applyProtection="1">
      <alignment horizontal="left" vertical="center"/>
    </xf>
    <xf numFmtId="0" fontId="9" fillId="0" borderId="2" xfId="0" applyFont="1" applyFill="1" applyBorder="1" applyAlignment="1" applyProtection="1">
      <alignment horizontal="left" vertical="center" wrapText="1"/>
    </xf>
    <xf numFmtId="0" fontId="3" fillId="0" borderId="0" xfId="0" applyFont="1" applyAlignment="1" applyProtection="1">
      <alignment vertical="center"/>
    </xf>
    <xf numFmtId="0" fontId="6" fillId="0" borderId="0" xfId="0" applyFont="1" applyAlignment="1" applyProtection="1">
      <alignment vertical="center"/>
    </xf>
    <xf numFmtId="0" fontId="3" fillId="0" borderId="6" xfId="0" applyFont="1" applyFill="1" applyBorder="1" applyAlignment="1" applyProtection="1">
      <alignment vertical="center"/>
    </xf>
    <xf numFmtId="0" fontId="3" fillId="0" borderId="6" xfId="0" applyFont="1" applyFill="1" applyBorder="1" applyAlignment="1" applyProtection="1">
      <alignment horizontal="left" vertical="center"/>
    </xf>
    <xf numFmtId="0" fontId="9" fillId="0" borderId="6" xfId="0" applyFont="1" applyFill="1" applyBorder="1" applyAlignment="1" applyProtection="1">
      <alignment horizontal="left" vertical="center" wrapText="1"/>
    </xf>
    <xf numFmtId="0" fontId="3" fillId="0" borderId="2" xfId="0" applyFont="1" applyFill="1" applyBorder="1" applyAlignment="1" applyProtection="1">
      <alignment vertical="center"/>
    </xf>
    <xf numFmtId="0" fontId="0" fillId="0" borderId="0" xfId="0" applyAlignment="1" applyProtection="1">
      <alignment vertical="center"/>
    </xf>
    <xf numFmtId="0" fontId="3" fillId="0" borderId="0" xfId="0" applyFont="1" applyFill="1" applyBorder="1" applyAlignment="1" applyProtection="1">
      <alignment vertical="center"/>
    </xf>
    <xf numFmtId="0" fontId="3" fillId="0" borderId="0" xfId="0" applyFont="1" applyFill="1" applyBorder="1" applyAlignment="1" applyProtection="1">
      <alignment horizontal="left" vertical="center"/>
    </xf>
    <xf numFmtId="0" fontId="6" fillId="0" borderId="0" xfId="0" applyFont="1" applyFill="1" applyBorder="1" applyAlignment="1" applyProtection="1">
      <alignment horizontal="left" vertical="center"/>
    </xf>
    <xf numFmtId="0" fontId="10" fillId="0" borderId="0" xfId="0" applyFont="1" applyFill="1" applyBorder="1" applyAlignment="1" applyProtection="1">
      <alignment horizontal="left" vertical="center" wrapText="1"/>
    </xf>
    <xf numFmtId="0" fontId="1" fillId="0" borderId="0" xfId="0" applyFont="1"/>
    <xf numFmtId="0" fontId="3" fillId="0" borderId="2" xfId="0" applyFont="1" applyBorder="1"/>
    <xf numFmtId="10" fontId="3" fillId="0" borderId="2" xfId="0" applyNumberFormat="1" applyFont="1" applyBorder="1"/>
    <xf numFmtId="0" fontId="3" fillId="0" borderId="0" xfId="0" applyFont="1" applyBorder="1"/>
    <xf numFmtId="10" fontId="3" fillId="0" borderId="0" xfId="0" applyNumberFormat="1" applyFont="1" applyBorder="1"/>
    <xf numFmtId="9" fontId="3" fillId="0" borderId="0" xfId="0" applyNumberFormat="1" applyFont="1" applyBorder="1"/>
    <xf numFmtId="9" fontId="3" fillId="0" borderId="2" xfId="0" applyNumberFormat="1" applyFont="1" applyBorder="1"/>
    <xf numFmtId="0" fontId="13" fillId="4" borderId="2" xfId="0" applyFont="1" applyFill="1" applyBorder="1" applyAlignment="1" applyProtection="1">
      <alignment horizontal="center" vertical="center"/>
      <protection locked="0"/>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9" fontId="3" fillId="0" borderId="0" xfId="12" applyFont="1"/>
    <xf numFmtId="166" fontId="3" fillId="0" borderId="0" xfId="0" applyNumberFormat="1" applyFont="1"/>
    <xf numFmtId="0" fontId="11" fillId="0" borderId="2" xfId="0" applyFont="1" applyFill="1" applyBorder="1" applyAlignment="1" applyProtection="1">
      <alignment horizontal="center" vertical="center"/>
    </xf>
    <xf numFmtId="0" fontId="2" fillId="0" borderId="0" xfId="0" applyFont="1" applyAlignment="1" applyProtection="1">
      <alignment vertical="center"/>
    </xf>
    <xf numFmtId="166" fontId="2" fillId="0" borderId="2" xfId="0" applyNumberFormat="1" applyFont="1" applyFill="1" applyBorder="1" applyAlignment="1" applyProtection="1">
      <alignment horizontal="center" vertical="center"/>
    </xf>
    <xf numFmtId="166" fontId="2" fillId="0" borderId="2" xfId="0" applyNumberFormat="1" applyFont="1" applyFill="1" applyBorder="1" applyAlignment="1" applyProtection="1">
      <alignment horizontal="center" vertical="center"/>
      <protection locked="0"/>
    </xf>
    <xf numFmtId="0" fontId="2" fillId="6" borderId="2" xfId="0" applyNumberFormat="1" applyFont="1" applyFill="1" applyBorder="1" applyAlignment="1">
      <alignment horizontal="center" vertical="center" wrapText="1"/>
    </xf>
    <xf numFmtId="0" fontId="2" fillId="6" borderId="2" xfId="0" applyFont="1" applyFill="1" applyBorder="1" applyAlignment="1">
      <alignment horizontal="center" vertical="center"/>
    </xf>
    <xf numFmtId="0" fontId="2" fillId="6" borderId="2" xfId="0"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9" fontId="3" fillId="0" borderId="2" xfId="12" applyFont="1" applyBorder="1" applyAlignment="1">
      <alignment horizontal="center" vertical="center"/>
    </xf>
    <xf numFmtId="169" fontId="3" fillId="0" borderId="2" xfId="0" applyNumberFormat="1" applyFont="1" applyBorder="1" applyAlignment="1">
      <alignment horizontal="center" vertical="center"/>
    </xf>
    <xf numFmtId="0" fontId="2" fillId="0" borderId="2" xfId="0" applyNumberFormat="1" applyFont="1" applyFill="1" applyBorder="1" applyAlignment="1">
      <alignment horizontal="center" vertical="center" wrapText="1"/>
    </xf>
    <xf numFmtId="0" fontId="2" fillId="0" borderId="2" xfId="0" applyFont="1" applyFill="1" applyBorder="1" applyAlignment="1" applyProtection="1">
      <alignment horizontal="center" vertical="center"/>
      <protection locked="0"/>
    </xf>
    <xf numFmtId="0" fontId="2" fillId="2" borderId="2" xfId="0" applyFont="1" applyFill="1" applyBorder="1" applyAlignment="1" applyProtection="1">
      <alignment horizontal="center" vertical="center"/>
    </xf>
    <xf numFmtId="167" fontId="3" fillId="0" borderId="2" xfId="0" applyNumberFormat="1" applyFont="1" applyFill="1" applyBorder="1" applyAlignment="1">
      <alignment horizontal="center" vertical="center"/>
    </xf>
    <xf numFmtId="10" fontId="3" fillId="0" borderId="2" xfId="12" applyNumberFormat="1" applyFont="1" applyFill="1" applyBorder="1" applyAlignment="1">
      <alignment horizontal="center" vertical="center"/>
    </xf>
    <xf numFmtId="9" fontId="3" fillId="0" borderId="2" xfId="0" applyNumberFormat="1" applyFont="1" applyFill="1" applyBorder="1" applyAlignment="1">
      <alignment horizontal="center" vertical="center"/>
    </xf>
    <xf numFmtId="0" fontId="3" fillId="0" borderId="1" xfId="0" applyFont="1" applyBorder="1"/>
    <xf numFmtId="169" fontId="3" fillId="0" borderId="1" xfId="0" applyNumberFormat="1" applyFont="1" applyBorder="1" applyAlignment="1">
      <alignment horizontal="center" vertical="center"/>
    </xf>
    <xf numFmtId="168" fontId="3" fillId="0" borderId="2" xfId="0" applyNumberFormat="1" applyFont="1" applyBorder="1" applyAlignment="1" applyProtection="1">
      <alignment horizontal="center" vertical="center"/>
    </xf>
    <xf numFmtId="9" fontId="3" fillId="0" borderId="2" xfId="12" applyFont="1" applyBorder="1" applyAlignment="1" applyProtection="1">
      <alignment horizontal="center" vertical="center"/>
    </xf>
    <xf numFmtId="166" fontId="3" fillId="0" borderId="7" xfId="0" applyNumberFormat="1" applyFont="1" applyBorder="1" applyAlignment="1" applyProtection="1">
      <alignment horizontal="right" vertical="center"/>
    </xf>
    <xf numFmtId="168" fontId="3" fillId="0" borderId="8" xfId="0" applyNumberFormat="1" applyFont="1" applyBorder="1" applyAlignment="1" applyProtection="1">
      <alignment horizontal="center" vertical="center"/>
    </xf>
    <xf numFmtId="166" fontId="2" fillId="0" borderId="7" xfId="0" applyNumberFormat="1" applyFont="1" applyBorder="1" applyAlignment="1" applyProtection="1">
      <alignment horizontal="right" vertical="center"/>
    </xf>
    <xf numFmtId="0" fontId="3" fillId="0" borderId="0" xfId="0" applyFont="1" applyAlignment="1">
      <alignment horizontal="left" vertical="top" wrapText="1"/>
    </xf>
    <xf numFmtId="0" fontId="3" fillId="4" borderId="2" xfId="0" applyFont="1" applyFill="1" applyBorder="1" applyAlignment="1">
      <alignment horizontal="center"/>
    </xf>
    <xf numFmtId="0" fontId="3" fillId="5" borderId="2" xfId="0" applyFont="1" applyFill="1" applyBorder="1" applyAlignment="1">
      <alignment horizont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2" xfId="0" applyFont="1" applyFill="1" applyBorder="1" applyAlignment="1">
      <alignment horizontal="center"/>
    </xf>
    <xf numFmtId="0" fontId="13" fillId="4" borderId="3" xfId="0" applyFont="1" applyFill="1" applyBorder="1" applyAlignment="1" applyProtection="1">
      <alignment horizontal="center" wrapText="1"/>
      <protection locked="0"/>
    </xf>
    <xf numFmtId="0" fontId="13" fillId="4" borderId="4" xfId="0" applyFont="1" applyFill="1" applyBorder="1" applyAlignment="1" applyProtection="1">
      <alignment horizontal="center" wrapText="1"/>
      <protection locked="0"/>
    </xf>
    <xf numFmtId="0" fontId="13" fillId="4" borderId="3" xfId="0" applyFont="1" applyFill="1" applyBorder="1" applyAlignment="1" applyProtection="1">
      <alignment horizontal="center" vertical="center" wrapText="1"/>
      <protection locked="0"/>
    </xf>
    <xf numFmtId="0" fontId="13" fillId="4" borderId="4" xfId="0" applyFont="1" applyFill="1" applyBorder="1" applyAlignment="1" applyProtection="1">
      <alignment horizontal="center" vertical="center" wrapText="1"/>
      <protection locked="0"/>
    </xf>
    <xf numFmtId="168" fontId="17" fillId="0" borderId="3" xfId="0" applyNumberFormat="1" applyFont="1" applyBorder="1" applyAlignment="1" applyProtection="1">
      <alignment horizontal="center" vertical="center" wrapText="1"/>
    </xf>
    <xf numFmtId="168" fontId="17" fillId="0" borderId="4" xfId="0" applyNumberFormat="1" applyFont="1" applyBorder="1" applyAlignment="1" applyProtection="1">
      <alignment horizontal="center" vertical="center" wrapText="1"/>
    </xf>
    <xf numFmtId="168" fontId="17" fillId="0" borderId="3" xfId="0" applyNumberFormat="1" applyFont="1" applyBorder="1" applyAlignment="1" applyProtection="1">
      <alignment horizontal="center" vertical="top" wrapText="1"/>
    </xf>
    <xf numFmtId="168" fontId="17" fillId="0" borderId="4" xfId="0" applyNumberFormat="1" applyFont="1" applyBorder="1" applyAlignment="1" applyProtection="1">
      <alignment horizontal="center" vertical="top" wrapText="1"/>
    </xf>
    <xf numFmtId="168" fontId="6" fillId="0" borderId="3" xfId="0" applyNumberFormat="1" applyFont="1" applyBorder="1" applyAlignment="1" applyProtection="1">
      <alignment horizontal="center" vertical="center" wrapText="1"/>
    </xf>
    <xf numFmtId="168" fontId="6" fillId="0" borderId="4" xfId="0" applyNumberFormat="1" applyFont="1" applyBorder="1" applyAlignment="1" applyProtection="1">
      <alignment horizontal="center" vertical="center" wrapText="1"/>
    </xf>
    <xf numFmtId="168" fontId="6" fillId="0" borderId="9" xfId="0" applyNumberFormat="1" applyFont="1" applyBorder="1" applyAlignment="1" applyProtection="1">
      <alignment horizontal="center" vertical="center" wrapText="1"/>
    </xf>
    <xf numFmtId="0" fontId="2" fillId="0" borderId="2"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8" xfId="0" applyFont="1" applyBorder="1" applyAlignment="1" applyProtection="1">
      <alignment horizontal="center" vertical="center"/>
    </xf>
    <xf numFmtId="0" fontId="3" fillId="0" borderId="2" xfId="0" applyNumberFormat="1" applyFont="1" applyBorder="1" applyAlignment="1" applyProtection="1">
      <alignment horizontal="left" vertical="center" wrapText="1"/>
    </xf>
    <xf numFmtId="0" fontId="3" fillId="0" borderId="2" xfId="0" applyNumberFormat="1" applyFont="1" applyBorder="1" applyAlignment="1" applyProtection="1">
      <alignment horizontal="left" vertical="top" wrapText="1"/>
    </xf>
    <xf numFmtId="0" fontId="2" fillId="0" borderId="2" xfId="0" applyFont="1" applyFill="1" applyBorder="1" applyAlignment="1" applyProtection="1">
      <alignment horizontal="left" vertical="top"/>
    </xf>
    <xf numFmtId="0" fontId="3" fillId="0" borderId="2" xfId="0" applyFont="1" applyBorder="1" applyAlignment="1" applyProtection="1">
      <alignment horizontal="left" vertical="center" wrapText="1"/>
    </xf>
    <xf numFmtId="0" fontId="3" fillId="3" borderId="2" xfId="0" applyFont="1" applyFill="1" applyBorder="1" applyAlignment="1" applyProtection="1">
      <alignment horizontal="center" vertical="center"/>
      <protection locked="0" hidden="1"/>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2" xfId="0" applyFont="1" applyFill="1" applyBorder="1" applyAlignment="1" applyProtection="1">
      <alignment horizontal="center" vertical="center"/>
    </xf>
    <xf numFmtId="0" fontId="8" fillId="0" borderId="2" xfId="0" applyFont="1" applyBorder="1" applyAlignment="1" applyProtection="1">
      <alignment horizontal="center" vertical="center"/>
    </xf>
    <xf numFmtId="0" fontId="2" fillId="2" borderId="2" xfId="0" applyNumberFormat="1" applyFont="1" applyFill="1" applyBorder="1" applyAlignment="1">
      <alignment horizontal="center" vertical="center" wrapText="1"/>
    </xf>
    <xf numFmtId="0" fontId="0" fillId="0" borderId="2" xfId="0" applyBorder="1" applyAlignment="1">
      <alignment horizontal="center" vertical="center"/>
    </xf>
    <xf numFmtId="169" fontId="3" fillId="0" borderId="0" xfId="0" applyNumberFormat="1" applyFont="1"/>
    <xf numFmtId="169" fontId="3" fillId="0" borderId="2" xfId="0" applyNumberFormat="1" applyFont="1" applyBorder="1"/>
    <xf numFmtId="169" fontId="3" fillId="7" borderId="2" xfId="0" applyNumberFormat="1" applyFont="1" applyFill="1" applyBorder="1"/>
    <xf numFmtId="0" fontId="18" fillId="0" borderId="0" xfId="0" applyFont="1" applyAlignment="1">
      <alignment vertical="center"/>
    </xf>
    <xf numFmtId="170" fontId="19" fillId="0" borderId="0" xfId="14" applyFont="1"/>
    <xf numFmtId="0" fontId="20" fillId="0" borderId="0" xfId="0" applyFont="1" applyFill="1" applyBorder="1"/>
    <xf numFmtId="0" fontId="21" fillId="0" borderId="0" xfId="0" applyFont="1" applyFill="1" applyBorder="1" applyAlignment="1">
      <alignment horizontal="left" vertical="top"/>
    </xf>
    <xf numFmtId="0" fontId="21" fillId="0" borderId="0" xfId="0" applyFont="1" applyFill="1" applyBorder="1" applyAlignment="1"/>
    <xf numFmtId="0" fontId="21" fillId="0" borderId="0" xfId="0" applyFont="1" applyFill="1" applyBorder="1" applyAlignment="1">
      <alignment vertical="center"/>
    </xf>
    <xf numFmtId="170" fontId="22" fillId="0" borderId="11" xfId="14" applyFont="1" applyFill="1" applyBorder="1" applyAlignment="1">
      <alignment horizontal="center" vertical="center" wrapText="1"/>
    </xf>
    <xf numFmtId="0" fontId="22" fillId="0" borderId="11" xfId="14" applyNumberFormat="1" applyFont="1" applyFill="1" applyBorder="1" applyAlignment="1">
      <alignment horizontal="center" vertical="center" wrapText="1"/>
    </xf>
    <xf numFmtId="170" fontId="22" fillId="8" borderId="12" xfId="14" applyFont="1" applyFill="1" applyBorder="1" applyAlignment="1">
      <alignment horizontal="center" vertical="center" wrapText="1"/>
    </xf>
    <xf numFmtId="170" fontId="22" fillId="8" borderId="13" xfId="14" applyFont="1" applyFill="1" applyBorder="1" applyAlignment="1">
      <alignment horizontal="center" vertical="center" wrapText="1"/>
    </xf>
    <xf numFmtId="170" fontId="22" fillId="8" borderId="14" xfId="14" applyFont="1" applyFill="1" applyBorder="1" applyAlignment="1">
      <alignment horizontal="center" vertical="center" wrapText="1"/>
    </xf>
    <xf numFmtId="170" fontId="22" fillId="8" borderId="12" xfId="14" applyFont="1" applyFill="1" applyBorder="1" applyAlignment="1">
      <alignment horizontal="center" vertical="center" wrapText="1"/>
    </xf>
    <xf numFmtId="170" fontId="22" fillId="8" borderId="13" xfId="14" applyFont="1" applyFill="1" applyBorder="1" applyAlignment="1">
      <alignment horizontal="center" vertical="center" wrapText="1"/>
    </xf>
    <xf numFmtId="170" fontId="23" fillId="0" borderId="0" xfId="14" applyFont="1" applyAlignment="1">
      <alignment wrapText="1"/>
    </xf>
    <xf numFmtId="170" fontId="22" fillId="8" borderId="11" xfId="14" applyFont="1" applyFill="1" applyBorder="1" applyAlignment="1">
      <alignment horizontal="center" vertical="center"/>
    </xf>
    <xf numFmtId="170" fontId="23" fillId="0" borderId="0" xfId="14" applyFont="1"/>
    <xf numFmtId="170" fontId="23" fillId="6" borderId="11" xfId="14" applyFont="1" applyFill="1" applyBorder="1" applyAlignment="1">
      <alignment horizontal="center"/>
    </xf>
    <xf numFmtId="171" fontId="22" fillId="0" borderId="11" xfId="14" applyNumberFormat="1" applyFont="1" applyFill="1" applyBorder="1"/>
    <xf numFmtId="170" fontId="23" fillId="0" borderId="11" xfId="14" applyFont="1" applyFill="1" applyBorder="1"/>
    <xf numFmtId="0" fontId="23" fillId="0" borderId="11" xfId="14" applyNumberFormat="1" applyFont="1" applyFill="1" applyBorder="1" applyAlignment="1">
      <alignment horizontal="center"/>
    </xf>
    <xf numFmtId="171" fontId="23" fillId="0" borderId="11" xfId="14" applyNumberFormat="1" applyFont="1" applyFill="1" applyBorder="1"/>
    <xf numFmtId="170" fontId="23" fillId="0" borderId="0" xfId="14" applyFont="1" applyFill="1"/>
    <xf numFmtId="170" fontId="22" fillId="0" borderId="12" xfId="14" applyFont="1" applyFill="1" applyBorder="1" applyAlignment="1">
      <alignment horizontal="center"/>
    </xf>
    <xf numFmtId="170" fontId="22" fillId="0" borderId="13" xfId="14" applyFont="1" applyFill="1" applyBorder="1" applyAlignment="1">
      <alignment horizontal="center"/>
    </xf>
    <xf numFmtId="171" fontId="22" fillId="0" borderId="11" xfId="14" applyNumberFormat="1" applyFont="1" applyFill="1" applyBorder="1" applyAlignment="1">
      <alignment horizontal="center"/>
    </xf>
    <xf numFmtId="0" fontId="22" fillId="0" borderId="11" xfId="14" applyNumberFormat="1" applyFont="1" applyBorder="1" applyAlignment="1">
      <alignment horizontal="center"/>
    </xf>
    <xf numFmtId="0" fontId="22" fillId="0" borderId="11" xfId="14" applyNumberFormat="1" applyFont="1" applyFill="1" applyBorder="1" applyAlignment="1">
      <alignment horizontal="center"/>
    </xf>
    <xf numFmtId="170" fontId="22" fillId="0" borderId="0" xfId="14" applyFont="1"/>
    <xf numFmtId="170" fontId="24" fillId="0" borderId="0" xfId="14" applyFont="1"/>
    <xf numFmtId="170" fontId="25" fillId="0" borderId="0" xfId="14" applyFont="1"/>
    <xf numFmtId="171" fontId="25" fillId="0" borderId="0" xfId="14" applyNumberFormat="1" applyFont="1"/>
    <xf numFmtId="0" fontId="25" fillId="0" borderId="0" xfId="14" applyNumberFormat="1" applyFont="1" applyAlignment="1">
      <alignment horizontal="center"/>
    </xf>
    <xf numFmtId="0" fontId="20" fillId="0" borderId="0" xfId="0" applyFont="1" applyFill="1" applyBorder="1" applyAlignment="1">
      <alignment vertical="top"/>
    </xf>
    <xf numFmtId="170" fontId="22" fillId="0" borderId="0" xfId="14" applyFont="1" applyAlignment="1"/>
    <xf numFmtId="169" fontId="3" fillId="9" borderId="2" xfId="0" applyNumberFormat="1" applyFont="1" applyFill="1" applyBorder="1"/>
    <xf numFmtId="169" fontId="3" fillId="0" borderId="2" xfId="0" applyNumberFormat="1" applyFont="1" applyFill="1" applyBorder="1"/>
    <xf numFmtId="0" fontId="6" fillId="0" borderId="0" xfId="0" applyFont="1" applyAlignment="1">
      <alignment vertical="center"/>
    </xf>
    <xf numFmtId="0" fontId="6" fillId="0" borderId="15" xfId="0" applyFont="1" applyBorder="1" applyAlignment="1">
      <alignment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17" xfId="0" applyFont="1" applyBorder="1" applyAlignment="1">
      <alignment vertical="center"/>
    </xf>
    <xf numFmtId="0" fontId="6" fillId="0" borderId="0" xfId="0" applyFont="1" applyBorder="1" applyAlignment="1">
      <alignment vertical="center"/>
    </xf>
    <xf numFmtId="0" fontId="6" fillId="0" borderId="18" xfId="0" applyFont="1" applyBorder="1" applyAlignment="1">
      <alignment vertical="center"/>
    </xf>
    <xf numFmtId="0" fontId="6" fillId="0" borderId="19" xfId="0" applyFont="1" applyBorder="1" applyAlignment="1">
      <alignment vertical="center"/>
    </xf>
    <xf numFmtId="0" fontId="6" fillId="0" borderId="20" xfId="0" applyFont="1" applyBorder="1" applyAlignment="1">
      <alignment vertical="center"/>
    </xf>
    <xf numFmtId="0" fontId="6" fillId="0" borderId="21" xfId="0" applyFont="1" applyBorder="1" applyAlignment="1">
      <alignment vertical="center"/>
    </xf>
    <xf numFmtId="0" fontId="13" fillId="10" borderId="2" xfId="0" applyNumberFormat="1" applyFont="1" applyFill="1" applyBorder="1" applyAlignment="1">
      <alignment horizontal="center" vertical="center" wrapText="1"/>
    </xf>
    <xf numFmtId="0" fontId="13" fillId="10" borderId="2" xfId="0" applyFont="1" applyFill="1" applyBorder="1" applyAlignment="1">
      <alignment horizontal="center" vertical="center" wrapText="1"/>
    </xf>
    <xf numFmtId="0" fontId="6" fillId="0" borderId="15" xfId="0" applyNumberFormat="1" applyFont="1" applyBorder="1" applyAlignment="1">
      <alignment horizontal="center" vertical="center"/>
    </xf>
    <xf numFmtId="0" fontId="6" fillId="0" borderId="1" xfId="0" applyNumberFormat="1" applyFont="1" applyBorder="1" applyAlignment="1">
      <alignment horizontal="center" vertical="center"/>
    </xf>
    <xf numFmtId="0" fontId="6" fillId="0" borderId="16" xfId="0" applyNumberFormat="1" applyFont="1" applyBorder="1" applyAlignment="1">
      <alignment horizontal="center" vertical="center"/>
    </xf>
    <xf numFmtId="0" fontId="6" fillId="3" borderId="15" xfId="0" applyFont="1" applyFill="1" applyBorder="1" applyAlignment="1" applyProtection="1">
      <alignment horizontal="center" vertical="center"/>
      <protection locked="0" hidden="1"/>
    </xf>
    <xf numFmtId="0" fontId="6" fillId="3" borderId="1" xfId="0" applyFont="1" applyFill="1" applyBorder="1" applyAlignment="1" applyProtection="1">
      <alignment horizontal="center" vertical="center"/>
      <protection locked="0" hidden="1"/>
    </xf>
    <xf numFmtId="0" fontId="6" fillId="3" borderId="16" xfId="0" applyFont="1" applyFill="1" applyBorder="1" applyAlignment="1" applyProtection="1">
      <alignment horizontal="center" vertical="center"/>
      <protection locked="0" hidden="1"/>
    </xf>
    <xf numFmtId="0" fontId="6" fillId="0" borderId="15" xfId="0" applyNumberFormat="1" applyFont="1" applyBorder="1" applyAlignment="1">
      <alignment horizontal="center" vertical="center" wrapText="1"/>
    </xf>
    <xf numFmtId="0" fontId="6" fillId="0" borderId="1" xfId="0" applyNumberFormat="1" applyFont="1" applyBorder="1" applyAlignment="1">
      <alignment horizontal="center" vertical="center" wrapText="1"/>
    </xf>
    <xf numFmtId="0" fontId="6" fillId="0" borderId="16" xfId="0" applyNumberFormat="1" applyFont="1" applyBorder="1" applyAlignment="1">
      <alignment horizontal="center" vertical="center" wrapText="1"/>
    </xf>
    <xf numFmtId="0" fontId="6" fillId="3" borderId="15" xfId="0" applyNumberFormat="1" applyFont="1" applyFill="1" applyBorder="1" applyAlignment="1" applyProtection="1">
      <alignment horizontal="center" vertical="center" wrapText="1"/>
      <protection locked="0" hidden="1"/>
    </xf>
    <xf numFmtId="0" fontId="6" fillId="3" borderId="1" xfId="0" applyNumberFormat="1" applyFont="1" applyFill="1" applyBorder="1" applyAlignment="1" applyProtection="1">
      <alignment horizontal="center" vertical="center" wrapText="1"/>
      <protection locked="0" hidden="1"/>
    </xf>
    <xf numFmtId="0" fontId="6" fillId="3" borderId="16" xfId="0" applyNumberFormat="1" applyFont="1" applyFill="1" applyBorder="1" applyAlignment="1" applyProtection="1">
      <alignment horizontal="center" vertical="center" wrapText="1"/>
      <protection locked="0" hidden="1"/>
    </xf>
    <xf numFmtId="0" fontId="6" fillId="3" borderId="3" xfId="0" applyNumberFormat="1" applyFont="1" applyFill="1" applyBorder="1" applyAlignment="1" applyProtection="1">
      <alignment horizontal="center" vertical="center"/>
      <protection locked="0" hidden="1"/>
    </xf>
    <xf numFmtId="0" fontId="6" fillId="3" borderId="5" xfId="0" applyNumberFormat="1" applyFont="1" applyFill="1" applyBorder="1" applyAlignment="1" applyProtection="1">
      <alignment horizontal="center" vertical="center"/>
      <protection locked="0" hidden="1"/>
    </xf>
    <xf numFmtId="0" fontId="6" fillId="3" borderId="4" xfId="0" applyNumberFormat="1" applyFont="1" applyFill="1" applyBorder="1" applyAlignment="1" applyProtection="1">
      <alignment horizontal="center" vertical="center"/>
      <protection locked="0" hidden="1"/>
    </xf>
    <xf numFmtId="0" fontId="6" fillId="0" borderId="19" xfId="0" applyNumberFormat="1" applyFont="1" applyBorder="1" applyAlignment="1">
      <alignment horizontal="center" vertical="center"/>
    </xf>
    <xf numFmtId="0" fontId="6" fillId="0" borderId="20" xfId="0" applyNumberFormat="1" applyFont="1" applyBorder="1" applyAlignment="1">
      <alignment horizontal="center" vertical="center"/>
    </xf>
    <xf numFmtId="0" fontId="6" fillId="0" borderId="21" xfId="0" applyNumberFormat="1" applyFont="1" applyBorder="1" applyAlignment="1">
      <alignment horizontal="center" vertical="center"/>
    </xf>
    <xf numFmtId="0" fontId="6" fillId="3" borderId="19" xfId="0" applyFont="1" applyFill="1" applyBorder="1" applyAlignment="1" applyProtection="1">
      <alignment horizontal="center" vertical="center"/>
      <protection locked="0" hidden="1"/>
    </xf>
    <xf numFmtId="0" fontId="6" fillId="3" borderId="20" xfId="0" applyFont="1" applyFill="1" applyBorder="1" applyAlignment="1" applyProtection="1">
      <alignment horizontal="center" vertical="center"/>
      <protection locked="0" hidden="1"/>
    </xf>
    <xf numFmtId="0" fontId="6" fillId="3" borderId="21" xfId="0" applyFont="1" applyFill="1" applyBorder="1" applyAlignment="1" applyProtection="1">
      <alignment horizontal="center" vertical="center"/>
      <protection locked="0" hidden="1"/>
    </xf>
    <xf numFmtId="0" fontId="6" fillId="0" borderId="19" xfId="0" applyNumberFormat="1" applyFont="1" applyBorder="1" applyAlignment="1">
      <alignment horizontal="center" vertical="center" wrapText="1"/>
    </xf>
    <xf numFmtId="0" fontId="6" fillId="0" borderId="20" xfId="0" applyNumberFormat="1" applyFont="1" applyBorder="1" applyAlignment="1">
      <alignment horizontal="center" vertical="center" wrapText="1"/>
    </xf>
    <xf numFmtId="0" fontId="6" fillId="0" borderId="21" xfId="0" applyNumberFormat="1" applyFont="1" applyBorder="1" applyAlignment="1">
      <alignment horizontal="center" vertical="center" wrapText="1"/>
    </xf>
    <xf numFmtId="0" fontId="6" fillId="3" borderId="19" xfId="0" applyNumberFormat="1" applyFont="1" applyFill="1" applyBorder="1" applyAlignment="1" applyProtection="1">
      <alignment horizontal="center" vertical="center" wrapText="1"/>
      <protection locked="0" hidden="1"/>
    </xf>
    <xf numFmtId="0" fontId="6" fillId="3" borderId="20" xfId="0" applyNumberFormat="1" applyFont="1" applyFill="1" applyBorder="1" applyAlignment="1" applyProtection="1">
      <alignment horizontal="center" vertical="center" wrapText="1"/>
      <protection locked="0" hidden="1"/>
    </xf>
    <xf numFmtId="0" fontId="6" fillId="3" borderId="21" xfId="0" applyNumberFormat="1" applyFont="1" applyFill="1" applyBorder="1" applyAlignment="1" applyProtection="1">
      <alignment horizontal="center" vertical="center" wrapText="1"/>
      <protection locked="0" hidden="1"/>
    </xf>
    <xf numFmtId="0" fontId="6" fillId="0" borderId="2" xfId="0" applyNumberFormat="1" applyFont="1" applyBorder="1" applyAlignment="1">
      <alignment horizontal="center" vertical="center"/>
    </xf>
    <xf numFmtId="0" fontId="13" fillId="2" borderId="2" xfId="0" applyNumberFormat="1" applyFont="1" applyFill="1" applyBorder="1" applyAlignment="1">
      <alignment horizontal="center" vertical="center" wrapText="1"/>
    </xf>
    <xf numFmtId="0" fontId="13" fillId="2" borderId="2" xfId="0" applyFont="1" applyFill="1" applyBorder="1" applyAlignment="1">
      <alignment horizontal="center" vertical="center" wrapText="1"/>
    </xf>
    <xf numFmtId="0" fontId="6" fillId="0" borderId="3" xfId="0" applyNumberFormat="1" applyFont="1" applyBorder="1" applyAlignment="1">
      <alignment horizontal="center" vertical="center"/>
    </xf>
    <xf numFmtId="0" fontId="6" fillId="0" borderId="5" xfId="0" applyNumberFormat="1" applyFont="1" applyBorder="1" applyAlignment="1">
      <alignment horizontal="center" vertical="center"/>
    </xf>
    <xf numFmtId="0" fontId="6" fillId="0" borderId="5" xfId="0" applyFont="1" applyBorder="1" applyAlignment="1">
      <alignment horizontal="center" vertical="center"/>
    </xf>
    <xf numFmtId="0" fontId="6" fillId="0" borderId="4" xfId="0" applyFont="1" applyBorder="1" applyAlignment="1">
      <alignment horizontal="center" vertical="center"/>
    </xf>
    <xf numFmtId="0" fontId="6" fillId="0" borderId="4" xfId="0" applyNumberFormat="1" applyFont="1" applyBorder="1" applyAlignment="1">
      <alignment horizontal="center" vertical="center"/>
    </xf>
    <xf numFmtId="0" fontId="6" fillId="0" borderId="3" xfId="0" applyNumberFormat="1" applyFont="1" applyFill="1" applyBorder="1" applyAlignment="1">
      <alignment horizontal="center" vertical="center"/>
    </xf>
    <xf numFmtId="0" fontId="6" fillId="0" borderId="5" xfId="0" applyNumberFormat="1" applyFont="1" applyFill="1" applyBorder="1" applyAlignment="1">
      <alignment horizontal="center" vertical="center"/>
    </xf>
    <xf numFmtId="0" fontId="6" fillId="0" borderId="4" xfId="0" applyNumberFormat="1" applyFont="1" applyFill="1" applyBorder="1" applyAlignment="1">
      <alignment horizontal="center" vertical="center"/>
    </xf>
    <xf numFmtId="0" fontId="6" fillId="3" borderId="3" xfId="0" applyFont="1" applyFill="1" applyBorder="1" applyAlignment="1" applyProtection="1">
      <alignment horizontal="center" vertical="center"/>
      <protection locked="0" hidden="1"/>
    </xf>
    <xf numFmtId="0" fontId="6" fillId="3" borderId="5" xfId="0" applyFont="1" applyFill="1" applyBorder="1" applyAlignment="1" applyProtection="1">
      <alignment horizontal="center" vertical="center"/>
      <protection locked="0" hidden="1"/>
    </xf>
    <xf numFmtId="0" fontId="6" fillId="3" borderId="4" xfId="0" applyFont="1" applyFill="1" applyBorder="1" applyAlignment="1" applyProtection="1">
      <alignment horizontal="center" vertical="center"/>
      <protection locked="0" hidden="1"/>
    </xf>
    <xf numFmtId="0" fontId="6" fillId="0" borderId="2" xfId="0" applyFont="1" applyBorder="1" applyAlignment="1">
      <alignment horizontal="center" vertical="center"/>
    </xf>
    <xf numFmtId="0" fontId="6" fillId="3" borderId="2" xfId="0" applyFont="1" applyFill="1" applyBorder="1" applyAlignment="1" applyProtection="1">
      <alignment horizontal="center" vertical="center"/>
      <protection locked="0" hidden="1"/>
    </xf>
    <xf numFmtId="0" fontId="6" fillId="0" borderId="0" xfId="0" applyFont="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3" xfId="0" applyNumberFormat="1" applyFont="1" applyBorder="1" applyAlignment="1">
      <alignment horizontal="left" vertical="center" wrapText="1"/>
    </xf>
    <xf numFmtId="0" fontId="6" fillId="0" borderId="5" xfId="0" applyNumberFormat="1" applyFont="1" applyBorder="1" applyAlignment="1">
      <alignment horizontal="left"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6" fillId="0" borderId="3" xfId="0" applyNumberFormat="1" applyFont="1" applyFill="1" applyBorder="1" applyAlignment="1">
      <alignment horizontal="center" vertical="center" wrapText="1"/>
    </xf>
    <xf numFmtId="0" fontId="6" fillId="0" borderId="5" xfId="0" applyNumberFormat="1" applyFont="1" applyFill="1" applyBorder="1" applyAlignment="1">
      <alignment horizontal="center" vertical="center" wrapText="1"/>
    </xf>
    <xf numFmtId="0" fontId="6" fillId="0" borderId="4" xfId="0" applyNumberFormat="1" applyFont="1" applyFill="1" applyBorder="1" applyAlignment="1">
      <alignment horizontal="center" vertical="center" wrapText="1"/>
    </xf>
    <xf numFmtId="0" fontId="6" fillId="3" borderId="3" xfId="0" applyFont="1" applyFill="1" applyBorder="1" applyAlignment="1" applyProtection="1">
      <alignment horizontal="left" vertical="center"/>
      <protection locked="0" hidden="1"/>
    </xf>
    <xf numFmtId="0" fontId="6" fillId="3" borderId="5" xfId="0" applyFont="1" applyFill="1" applyBorder="1" applyAlignment="1" applyProtection="1">
      <alignment horizontal="left" vertical="center"/>
      <protection locked="0" hidden="1"/>
    </xf>
    <xf numFmtId="0" fontId="6" fillId="3" borderId="4" xfId="0" applyFont="1" applyFill="1" applyBorder="1" applyAlignment="1" applyProtection="1">
      <alignment horizontal="left" vertical="center"/>
      <protection locked="0" hidden="1"/>
    </xf>
    <xf numFmtId="0" fontId="6" fillId="3" borderId="3" xfId="0" applyNumberFormat="1" applyFont="1" applyFill="1" applyBorder="1" applyAlignment="1" applyProtection="1">
      <alignment horizontal="left" vertical="center"/>
      <protection locked="0" hidden="1"/>
    </xf>
    <xf numFmtId="0" fontId="6" fillId="3" borderId="5" xfId="0" applyNumberFormat="1" applyFont="1" applyFill="1" applyBorder="1" applyAlignment="1" applyProtection="1">
      <alignment horizontal="left" vertical="center"/>
      <protection locked="0" hidden="1"/>
    </xf>
    <xf numFmtId="0" fontId="13" fillId="2" borderId="3" xfId="0" applyNumberFormat="1" applyFont="1" applyFill="1" applyBorder="1" applyAlignment="1">
      <alignment horizontal="center" vertical="center" wrapText="1"/>
    </xf>
    <xf numFmtId="0" fontId="13" fillId="2" borderId="5" xfId="0" applyNumberFormat="1" applyFont="1" applyFill="1" applyBorder="1" applyAlignment="1">
      <alignment horizontal="center" vertical="center" wrapText="1"/>
    </xf>
    <xf numFmtId="0" fontId="13" fillId="2" borderId="5"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3" fillId="2" borderId="15" xfId="0" applyNumberFormat="1" applyFont="1" applyFill="1" applyBorder="1" applyAlignment="1">
      <alignment horizontal="center" vertical="center" wrapText="1"/>
    </xf>
    <xf numFmtId="0" fontId="13" fillId="2" borderId="1" xfId="0" applyNumberFormat="1" applyFont="1" applyFill="1" applyBorder="1" applyAlignment="1">
      <alignment horizontal="center" vertical="center" wrapText="1"/>
    </xf>
    <xf numFmtId="0" fontId="13" fillId="2" borderId="16" xfId="0" applyNumberFormat="1" applyFont="1" applyFill="1" applyBorder="1" applyAlignment="1">
      <alignment horizontal="center" vertical="center" wrapText="1"/>
    </xf>
    <xf numFmtId="0" fontId="6" fillId="0" borderId="3" xfId="0" applyNumberFormat="1" applyFont="1" applyBorder="1" applyAlignment="1">
      <alignment horizontal="center" vertical="center" wrapText="1"/>
    </xf>
    <xf numFmtId="0" fontId="6" fillId="0" borderId="5" xfId="0" applyNumberFormat="1" applyFont="1" applyBorder="1" applyAlignment="1">
      <alignment horizontal="center" vertical="center" wrapText="1"/>
    </xf>
    <xf numFmtId="0" fontId="6" fillId="0" borderId="4" xfId="0" applyNumberFormat="1" applyFont="1" applyBorder="1" applyAlignment="1">
      <alignment horizontal="center" vertical="center" wrapText="1"/>
    </xf>
    <xf numFmtId="0" fontId="6" fillId="0" borderId="5" xfId="0" applyFont="1" applyBorder="1" applyAlignment="1">
      <alignment horizontal="center" vertical="center" wrapText="1"/>
    </xf>
    <xf numFmtId="0" fontId="6" fillId="0" borderId="4" xfId="0" applyFont="1" applyBorder="1" applyAlignment="1">
      <alignment horizontal="center" vertical="center" wrapText="1"/>
    </xf>
    <xf numFmtId="0" fontId="13" fillId="2" borderId="19" xfId="0" applyNumberFormat="1" applyFont="1" applyFill="1" applyBorder="1" applyAlignment="1">
      <alignment horizontal="center" vertical="center" wrapText="1"/>
    </xf>
    <xf numFmtId="0" fontId="13" fillId="2" borderId="20" xfId="0" applyNumberFormat="1" applyFont="1" applyFill="1" applyBorder="1" applyAlignment="1">
      <alignment horizontal="center" vertical="center" wrapText="1"/>
    </xf>
    <xf numFmtId="0" fontId="13" fillId="2" borderId="21" xfId="0" applyNumberFormat="1" applyFont="1" applyFill="1" applyBorder="1" applyAlignment="1">
      <alignment horizontal="center" vertical="center" wrapText="1"/>
    </xf>
    <xf numFmtId="0" fontId="6" fillId="3" borderId="17" xfId="0" applyFont="1" applyFill="1" applyBorder="1" applyAlignment="1" applyProtection="1">
      <alignment horizontal="center" vertical="center"/>
      <protection locked="0" hidden="1"/>
    </xf>
    <xf numFmtId="0" fontId="6" fillId="3" borderId="0" xfId="0" applyFont="1" applyFill="1" applyBorder="1" applyAlignment="1" applyProtection="1">
      <alignment horizontal="center" vertical="center"/>
      <protection locked="0" hidden="1"/>
    </xf>
    <xf numFmtId="0" fontId="6" fillId="3" borderId="18" xfId="0" applyFont="1" applyFill="1" applyBorder="1" applyAlignment="1" applyProtection="1">
      <alignment horizontal="center" vertical="center"/>
      <protection locked="0" hidden="1"/>
    </xf>
    <xf numFmtId="0" fontId="13" fillId="0" borderId="3" xfId="0" applyNumberFormat="1" applyFont="1" applyBorder="1" applyAlignment="1">
      <alignment horizontal="center" vertical="center"/>
    </xf>
    <xf numFmtId="0" fontId="13" fillId="0" borderId="5" xfId="0" applyNumberFormat="1" applyFont="1" applyBorder="1" applyAlignment="1">
      <alignment horizontal="center" vertical="center"/>
    </xf>
    <xf numFmtId="0" fontId="13" fillId="0" borderId="4" xfId="0" applyNumberFormat="1" applyFont="1" applyBorder="1" applyAlignment="1">
      <alignment horizontal="center" vertical="center"/>
    </xf>
    <xf numFmtId="0" fontId="13" fillId="0" borderId="3"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15"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16" xfId="0" applyNumberFormat="1" applyFont="1" applyBorder="1" applyAlignment="1">
      <alignment horizontal="center" vertical="center" wrapText="1"/>
    </xf>
    <xf numFmtId="0" fontId="6" fillId="0" borderId="15" xfId="0" applyNumberFormat="1" applyFont="1" applyBorder="1" applyAlignment="1">
      <alignment horizontal="left" vertical="center" wrapText="1"/>
    </xf>
    <xf numFmtId="0" fontId="6" fillId="0" borderId="1" xfId="0" applyNumberFormat="1" applyFont="1" applyBorder="1" applyAlignment="1">
      <alignment horizontal="left" vertical="center" wrapText="1"/>
    </xf>
    <xf numFmtId="0" fontId="6" fillId="0" borderId="16" xfId="0" applyNumberFormat="1" applyFont="1" applyBorder="1" applyAlignment="1">
      <alignment horizontal="left" vertical="center" wrapText="1"/>
    </xf>
    <xf numFmtId="0" fontId="6" fillId="0" borderId="2" xfId="0" applyNumberFormat="1" applyFont="1" applyBorder="1" applyAlignment="1">
      <alignment horizontal="right" vertical="center" wrapText="1"/>
    </xf>
    <xf numFmtId="166" fontId="6" fillId="3" borderId="3" xfId="0" applyNumberFormat="1" applyFont="1" applyFill="1" applyBorder="1" applyAlignment="1" applyProtection="1">
      <alignment horizontal="right" vertical="center" wrapText="1" indent="1"/>
      <protection locked="0" hidden="1"/>
    </xf>
    <xf numFmtId="166" fontId="6" fillId="3" borderId="5" xfId="0" applyNumberFormat="1" applyFont="1" applyFill="1" applyBorder="1" applyAlignment="1" applyProtection="1">
      <alignment horizontal="right" vertical="center" wrapText="1" indent="1"/>
      <protection locked="0" hidden="1"/>
    </xf>
    <xf numFmtId="166" fontId="6" fillId="3" borderId="4" xfId="0" applyNumberFormat="1" applyFont="1" applyFill="1" applyBorder="1" applyAlignment="1" applyProtection="1">
      <alignment horizontal="right" vertical="center" wrapText="1" indent="1"/>
      <protection locked="0" hidden="1"/>
    </xf>
    <xf numFmtId="4" fontId="6" fillId="0" borderId="15" xfId="0" applyNumberFormat="1" applyFont="1" applyBorder="1" applyAlignment="1">
      <alignment horizontal="center" vertical="center"/>
    </xf>
    <xf numFmtId="4" fontId="6" fillId="0" borderId="1" xfId="0" applyNumberFormat="1" applyFont="1" applyBorder="1" applyAlignment="1">
      <alignment horizontal="center" vertical="center"/>
    </xf>
    <xf numFmtId="4" fontId="6" fillId="0" borderId="16" xfId="0" applyNumberFormat="1" applyFont="1" applyBorder="1" applyAlignment="1">
      <alignment horizontal="center" vertical="center"/>
    </xf>
    <xf numFmtId="0" fontId="13" fillId="0" borderId="17" xfId="0" applyNumberFormat="1" applyFont="1" applyBorder="1" applyAlignment="1">
      <alignment horizontal="center" vertical="center" wrapText="1"/>
    </xf>
    <xf numFmtId="0" fontId="13" fillId="0" borderId="0" xfId="0" applyNumberFormat="1" applyFont="1" applyBorder="1" applyAlignment="1">
      <alignment horizontal="center" vertical="center" wrapText="1"/>
    </xf>
    <xf numFmtId="0" fontId="13" fillId="0" borderId="18" xfId="0" applyNumberFormat="1" applyFont="1" applyBorder="1" applyAlignment="1">
      <alignment horizontal="center" vertical="center" wrapText="1"/>
    </xf>
    <xf numFmtId="0" fontId="6" fillId="0" borderId="19" xfId="0" applyNumberFormat="1" applyFont="1" applyBorder="1" applyAlignment="1">
      <alignment horizontal="left" vertical="center" wrapText="1"/>
    </xf>
    <xf numFmtId="0" fontId="6" fillId="0" borderId="20" xfId="0" applyNumberFormat="1" applyFont="1" applyBorder="1" applyAlignment="1">
      <alignment horizontal="left" vertical="center" wrapText="1"/>
    </xf>
    <xf numFmtId="0" fontId="6" fillId="0" borderId="21" xfId="0" applyNumberFormat="1" applyFont="1" applyBorder="1" applyAlignment="1">
      <alignment horizontal="left" vertical="center" wrapText="1"/>
    </xf>
    <xf numFmtId="4" fontId="6" fillId="0" borderId="19" xfId="0" applyNumberFormat="1" applyFont="1" applyBorder="1" applyAlignment="1">
      <alignment horizontal="center" vertical="center"/>
    </xf>
    <xf numFmtId="4" fontId="6" fillId="0" borderId="20" xfId="0" applyNumberFormat="1" applyFont="1" applyBorder="1" applyAlignment="1">
      <alignment horizontal="center" vertical="center"/>
    </xf>
    <xf numFmtId="4" fontId="6" fillId="0" borderId="21" xfId="0" applyNumberFormat="1" applyFont="1" applyBorder="1" applyAlignment="1">
      <alignment horizontal="center" vertical="center"/>
    </xf>
    <xf numFmtId="10" fontId="6" fillId="0" borderId="15" xfId="0" applyNumberFormat="1" applyFont="1" applyBorder="1" applyAlignment="1">
      <alignment horizontal="center" vertical="center"/>
    </xf>
    <xf numFmtId="10" fontId="6" fillId="0" borderId="1" xfId="0" applyNumberFormat="1" applyFont="1" applyBorder="1" applyAlignment="1">
      <alignment horizontal="center" vertical="center"/>
    </xf>
    <xf numFmtId="10" fontId="6" fillId="0" borderId="16" xfId="0" applyNumberFormat="1" applyFont="1" applyBorder="1" applyAlignment="1">
      <alignment horizontal="center" vertical="center"/>
    </xf>
    <xf numFmtId="4" fontId="6" fillId="0" borderId="15" xfId="0" applyNumberFormat="1" applyFont="1" applyFill="1" applyBorder="1" applyAlignment="1">
      <alignment horizontal="center" vertical="center" wrapText="1"/>
    </xf>
    <xf numFmtId="4" fontId="6" fillId="0" borderId="1" xfId="0" applyNumberFormat="1" applyFont="1" applyFill="1" applyBorder="1" applyAlignment="1">
      <alignment horizontal="center" vertical="center" wrapText="1"/>
    </xf>
    <xf numFmtId="4" fontId="6" fillId="0" borderId="16" xfId="0" applyNumberFormat="1" applyFont="1" applyFill="1" applyBorder="1" applyAlignment="1">
      <alignment horizontal="center" vertical="center" wrapText="1"/>
    </xf>
    <xf numFmtId="10" fontId="6" fillId="0" borderId="19" xfId="0" applyNumberFormat="1" applyFont="1" applyBorder="1" applyAlignment="1">
      <alignment horizontal="center" vertical="center"/>
    </xf>
    <xf numFmtId="10" fontId="6" fillId="0" borderId="20" xfId="0" applyNumberFormat="1" applyFont="1" applyBorder="1" applyAlignment="1">
      <alignment horizontal="center" vertical="center"/>
    </xf>
    <xf numFmtId="10" fontId="6" fillId="0" borderId="21" xfId="0" applyNumberFormat="1" applyFont="1" applyBorder="1" applyAlignment="1">
      <alignment horizontal="center" vertical="center"/>
    </xf>
    <xf numFmtId="4" fontId="6" fillId="0" borderId="19" xfId="0" applyNumberFormat="1" applyFont="1" applyFill="1" applyBorder="1" applyAlignment="1">
      <alignment horizontal="center" vertical="center" wrapText="1"/>
    </xf>
    <xf numFmtId="4" fontId="6" fillId="0" borderId="20" xfId="0" applyNumberFormat="1" applyFont="1" applyFill="1" applyBorder="1" applyAlignment="1">
      <alignment horizontal="center" vertical="center" wrapText="1"/>
    </xf>
    <xf numFmtId="4" fontId="6" fillId="0" borderId="21" xfId="0" applyNumberFormat="1" applyFont="1" applyFill="1" applyBorder="1" applyAlignment="1">
      <alignment horizontal="center" vertical="center" wrapText="1"/>
    </xf>
    <xf numFmtId="166" fontId="6" fillId="0" borderId="15" xfId="0" applyNumberFormat="1" applyFont="1" applyFill="1" applyBorder="1" applyAlignment="1">
      <alignment horizontal="center" vertical="center" wrapText="1"/>
    </xf>
    <xf numFmtId="166" fontId="6" fillId="0" borderId="1" xfId="0" applyNumberFormat="1" applyFont="1" applyFill="1" applyBorder="1" applyAlignment="1">
      <alignment horizontal="center" vertical="center" wrapText="1"/>
    </xf>
    <xf numFmtId="166" fontId="6" fillId="0" borderId="16" xfId="0" applyNumberFormat="1" applyFont="1" applyFill="1" applyBorder="1" applyAlignment="1">
      <alignment horizontal="center" vertical="center" wrapText="1"/>
    </xf>
    <xf numFmtId="0" fontId="13" fillId="0" borderId="19" xfId="0" applyNumberFormat="1" applyFont="1" applyBorder="1" applyAlignment="1">
      <alignment horizontal="center" vertical="center" wrapText="1"/>
    </xf>
    <xf numFmtId="0" fontId="13" fillId="0" borderId="20" xfId="0" applyNumberFormat="1" applyFont="1" applyBorder="1" applyAlignment="1">
      <alignment horizontal="center" vertical="center" wrapText="1"/>
    </xf>
    <xf numFmtId="0" fontId="13" fillId="0" borderId="21" xfId="0" applyNumberFormat="1" applyFont="1" applyBorder="1" applyAlignment="1">
      <alignment horizontal="center" vertical="center" wrapText="1"/>
    </xf>
    <xf numFmtId="166" fontId="6" fillId="0" borderId="19" xfId="0" applyNumberFormat="1" applyFont="1" applyFill="1" applyBorder="1" applyAlignment="1">
      <alignment horizontal="center" vertical="center" wrapText="1"/>
    </xf>
    <xf numFmtId="166" fontId="6" fillId="0" borderId="20" xfId="0" applyNumberFormat="1" applyFont="1" applyFill="1" applyBorder="1" applyAlignment="1">
      <alignment horizontal="center" vertical="center" wrapText="1"/>
    </xf>
    <xf numFmtId="166" fontId="6" fillId="0" borderId="21" xfId="0" applyNumberFormat="1" applyFont="1" applyFill="1" applyBorder="1" applyAlignment="1">
      <alignment horizontal="center" vertical="center" wrapText="1"/>
    </xf>
    <xf numFmtId="0" fontId="6" fillId="3" borderId="2" xfId="0" applyFont="1" applyFill="1" applyBorder="1" applyAlignment="1" applyProtection="1">
      <alignment horizontal="justify" vertical="center" wrapText="1"/>
      <protection locked="0" hidden="1"/>
    </xf>
    <xf numFmtId="0" fontId="3" fillId="0" borderId="0" xfId="1" applyFont="1" applyAlignment="1">
      <alignment vertical="center"/>
    </xf>
    <xf numFmtId="0" fontId="3" fillId="0" borderId="0" xfId="1" applyFont="1" applyAlignment="1">
      <alignment vertical="center" wrapText="1"/>
    </xf>
    <xf numFmtId="0" fontId="2" fillId="0" borderId="15" xfId="1" applyFont="1" applyBorder="1" applyAlignment="1" applyProtection="1">
      <alignment horizontal="right" vertical="center"/>
      <protection locked="0"/>
    </xf>
    <xf numFmtId="0" fontId="2" fillId="0" borderId="1" xfId="1" applyFont="1" applyBorder="1" applyAlignment="1" applyProtection="1">
      <alignment horizontal="right" vertical="center"/>
      <protection locked="0"/>
    </xf>
    <xf numFmtId="0" fontId="2" fillId="0" borderId="1" xfId="1" applyFont="1" applyBorder="1" applyAlignment="1" applyProtection="1">
      <alignment horizontal="right" vertical="center" wrapText="1"/>
      <protection locked="0"/>
    </xf>
    <xf numFmtId="0" fontId="2" fillId="0" borderId="1" xfId="1" applyFont="1" applyBorder="1" applyAlignment="1" applyProtection="1">
      <alignment vertical="center" wrapText="1"/>
      <protection locked="0"/>
    </xf>
    <xf numFmtId="0" fontId="2" fillId="0" borderId="16" xfId="1" applyFont="1" applyBorder="1" applyAlignment="1" applyProtection="1">
      <alignment vertical="center" wrapText="1"/>
      <protection locked="0"/>
    </xf>
    <xf numFmtId="0" fontId="3" fillId="11" borderId="0" xfId="1" applyFont="1" applyFill="1" applyBorder="1" applyAlignment="1">
      <alignment vertical="center"/>
    </xf>
    <xf numFmtId="0" fontId="2" fillId="0" borderId="17" xfId="1" applyFont="1" applyBorder="1" applyAlignment="1" applyProtection="1">
      <alignment horizontal="right" vertical="center"/>
      <protection locked="0"/>
    </xf>
    <xf numFmtId="0" fontId="2" fillId="0" borderId="0" xfId="1" applyFont="1" applyBorder="1" applyAlignment="1" applyProtection="1">
      <alignment horizontal="right" vertical="center"/>
      <protection locked="0"/>
    </xf>
    <xf numFmtId="0" fontId="2" fillId="0" borderId="0" xfId="1" applyFont="1" applyBorder="1" applyAlignment="1" applyProtection="1">
      <alignment horizontal="right" vertical="center" wrapText="1"/>
      <protection locked="0"/>
    </xf>
    <xf numFmtId="0" fontId="2" fillId="0" borderId="0" xfId="1" applyFont="1" applyBorder="1" applyAlignment="1" applyProtection="1">
      <alignment vertical="center" wrapText="1"/>
      <protection locked="0"/>
    </xf>
    <xf numFmtId="0" fontId="2" fillId="0" borderId="18" xfId="1" applyFont="1" applyBorder="1" applyAlignment="1" applyProtection="1">
      <alignment vertical="center" wrapText="1"/>
      <protection locked="0"/>
    </xf>
    <xf numFmtId="0" fontId="3" fillId="11" borderId="18" xfId="1" applyFont="1" applyFill="1" applyBorder="1" applyAlignment="1">
      <alignment vertical="center"/>
    </xf>
    <xf numFmtId="0" fontId="2" fillId="10" borderId="15" xfId="1" applyFont="1" applyFill="1" applyBorder="1" applyAlignment="1" applyProtection="1">
      <alignment horizontal="center" vertical="center" wrapText="1"/>
      <protection locked="0"/>
    </xf>
    <xf numFmtId="0" fontId="2" fillId="10" borderId="1" xfId="1" applyFont="1" applyFill="1" applyBorder="1" applyAlignment="1" applyProtection="1">
      <alignment horizontal="center" vertical="center" wrapText="1"/>
      <protection locked="0"/>
    </xf>
    <xf numFmtId="0" fontId="2" fillId="10" borderId="16" xfId="1" applyFont="1" applyFill="1" applyBorder="1" applyAlignment="1" applyProtection="1">
      <alignment horizontal="center" vertical="center" wrapText="1"/>
      <protection locked="0"/>
    </xf>
    <xf numFmtId="0" fontId="2" fillId="10" borderId="19" xfId="1" applyFont="1" applyFill="1" applyBorder="1" applyAlignment="1" applyProtection="1">
      <alignment horizontal="center" vertical="center" wrapText="1"/>
      <protection locked="0"/>
    </xf>
    <xf numFmtId="0" fontId="2" fillId="10" borderId="20" xfId="1" applyFont="1" applyFill="1" applyBorder="1" applyAlignment="1" applyProtection="1">
      <alignment horizontal="center" vertical="center" wrapText="1"/>
      <protection locked="0"/>
    </xf>
    <xf numFmtId="0" fontId="2" fillId="10" borderId="21" xfId="1" applyFont="1" applyFill="1" applyBorder="1" applyAlignment="1" applyProtection="1">
      <alignment horizontal="center" vertical="center" wrapText="1"/>
      <protection locked="0"/>
    </xf>
    <xf numFmtId="0" fontId="2" fillId="0" borderId="15" xfId="1" applyFont="1" applyFill="1" applyBorder="1" applyAlignment="1" applyProtection="1">
      <alignment horizontal="left" vertical="center"/>
      <protection locked="0"/>
    </xf>
    <xf numFmtId="0" fontId="2" fillId="0" borderId="1" xfId="1" applyFont="1" applyFill="1" applyBorder="1" applyAlignment="1" applyProtection="1">
      <alignment horizontal="left" vertical="center"/>
      <protection locked="0"/>
    </xf>
    <xf numFmtId="0" fontId="2" fillId="0" borderId="1" xfId="1" applyFont="1" applyFill="1" applyBorder="1" applyAlignment="1" applyProtection="1">
      <alignment horizontal="left" vertical="center" wrapText="1"/>
      <protection locked="0"/>
    </xf>
    <xf numFmtId="0" fontId="27" fillId="0" borderId="16" xfId="1" applyFont="1" applyFill="1" applyBorder="1" applyAlignment="1" applyProtection="1">
      <alignment horizontal="left" vertical="center" wrapText="1"/>
      <protection locked="0"/>
    </xf>
    <xf numFmtId="0" fontId="3" fillId="0" borderId="0" xfId="1" applyFont="1" applyFill="1" applyBorder="1" applyAlignment="1">
      <alignment vertical="center"/>
    </xf>
    <xf numFmtId="0" fontId="12" fillId="0" borderId="17" xfId="1" applyFont="1" applyFill="1" applyBorder="1" applyAlignment="1" applyProtection="1">
      <alignment horizontal="left" vertical="center" wrapText="1"/>
      <protection locked="0"/>
    </xf>
    <xf numFmtId="0" fontId="12" fillId="0" borderId="0"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3" fillId="0" borderId="17" xfId="1" applyFont="1" applyBorder="1" applyAlignment="1">
      <alignment vertical="center"/>
    </xf>
    <xf numFmtId="0" fontId="3" fillId="0" borderId="0" xfId="1" applyFont="1" applyBorder="1" applyAlignment="1">
      <alignment vertical="center"/>
    </xf>
    <xf numFmtId="0" fontId="3" fillId="0" borderId="0" xfId="1" applyFont="1" applyBorder="1" applyAlignment="1">
      <alignment vertical="center" wrapText="1"/>
    </xf>
    <xf numFmtId="0" fontId="3" fillId="0" borderId="18" xfId="1" applyFont="1" applyBorder="1" applyAlignment="1">
      <alignment vertical="center"/>
    </xf>
    <xf numFmtId="0" fontId="2" fillId="0" borderId="17" xfId="1" applyFont="1" applyBorder="1" applyAlignment="1">
      <alignment vertical="center"/>
    </xf>
    <xf numFmtId="0" fontId="3" fillId="0" borderId="19" xfId="1" applyFont="1" applyBorder="1" applyAlignment="1">
      <alignment vertical="center"/>
    </xf>
    <xf numFmtId="0" fontId="3" fillId="0" borderId="20" xfId="1" applyFont="1" applyBorder="1" applyAlignment="1">
      <alignment vertical="center"/>
    </xf>
    <xf numFmtId="0" fontId="3" fillId="0" borderId="20" xfId="1" applyFont="1" applyBorder="1" applyAlignment="1">
      <alignment vertical="center" wrapText="1"/>
    </xf>
    <xf numFmtId="0" fontId="3" fillId="0" borderId="21" xfId="1" applyFont="1" applyBorder="1" applyAlignment="1">
      <alignment vertical="center"/>
    </xf>
    <xf numFmtId="0" fontId="27" fillId="10" borderId="2" xfId="2" applyFont="1" applyFill="1" applyBorder="1" applyAlignment="1">
      <alignment horizontal="center" vertical="center" wrapText="1"/>
    </xf>
    <xf numFmtId="0" fontId="27" fillId="10" borderId="2" xfId="2" applyFont="1" applyFill="1" applyBorder="1" applyAlignment="1">
      <alignment horizontal="center" vertical="center" wrapText="1"/>
    </xf>
    <xf numFmtId="0" fontId="5" fillId="11" borderId="2" xfId="2" applyFont="1" applyFill="1" applyBorder="1" applyAlignment="1">
      <alignment horizontal="left" vertical="center"/>
    </xf>
    <xf numFmtId="10" fontId="5" fillId="0" borderId="2" xfId="3" applyNumberFormat="1" applyFont="1" applyFill="1" applyBorder="1" applyAlignment="1">
      <alignment horizontal="center" vertical="center"/>
    </xf>
    <xf numFmtId="172" fontId="5" fillId="0" borderId="2" xfId="2" applyNumberFormat="1" applyFont="1" applyFill="1" applyBorder="1" applyAlignment="1">
      <alignment horizontal="left" vertical="center" wrapText="1"/>
    </xf>
    <xf numFmtId="0" fontId="5" fillId="0" borderId="2" xfId="2" applyFont="1" applyFill="1" applyBorder="1" applyAlignment="1">
      <alignment horizontal="left" vertical="center" wrapText="1"/>
    </xf>
    <xf numFmtId="0" fontId="5" fillId="11" borderId="3" xfId="2" applyFont="1" applyFill="1" applyBorder="1" applyAlignment="1">
      <alignment horizontal="left" vertical="center"/>
    </xf>
    <xf numFmtId="0" fontId="5" fillId="11" borderId="4" xfId="2" applyFont="1" applyFill="1" applyBorder="1" applyAlignment="1">
      <alignment horizontal="left" vertical="center"/>
    </xf>
    <xf numFmtId="0" fontId="5" fillId="11" borderId="2" xfId="8" applyFont="1" applyFill="1" applyBorder="1" applyAlignment="1">
      <alignment horizontal="center" vertical="center"/>
    </xf>
    <xf numFmtId="0" fontId="11" fillId="2" borderId="3" xfId="8" applyFont="1" applyFill="1" applyBorder="1" applyAlignment="1">
      <alignment horizontal="center" vertical="center" wrapText="1"/>
    </xf>
    <xf numFmtId="0" fontId="11" fillId="2" borderId="5" xfId="8" applyFont="1" applyFill="1" applyBorder="1" applyAlignment="1">
      <alignment horizontal="center" vertical="center" wrapText="1"/>
    </xf>
    <xf numFmtId="0" fontId="11" fillId="2" borderId="4" xfId="8" applyFont="1" applyFill="1" applyBorder="1" applyAlignment="1">
      <alignment horizontal="center" vertical="center" wrapText="1"/>
    </xf>
    <xf numFmtId="0" fontId="11" fillId="0" borderId="0" xfId="8" applyFont="1" applyFill="1" applyBorder="1" applyAlignment="1">
      <alignment horizontal="center" vertical="center" wrapText="1"/>
    </xf>
    <xf numFmtId="0" fontId="3" fillId="0" borderId="0" xfId="0" applyFont="1" applyFill="1" applyAlignment="1">
      <alignment vertical="center"/>
    </xf>
    <xf numFmtId="0" fontId="5" fillId="0" borderId="0" xfId="8" applyFont="1" applyFill="1" applyBorder="1" applyAlignment="1">
      <alignment horizontal="left" vertical="center" wrapText="1"/>
    </xf>
    <xf numFmtId="0" fontId="5" fillId="0" borderId="0" xfId="8" applyFont="1" applyFill="1" applyBorder="1" applyAlignment="1">
      <alignment horizontal="left" vertical="center"/>
    </xf>
    <xf numFmtId="0" fontId="11" fillId="0" borderId="0" xfId="8" applyFont="1" applyFill="1" applyBorder="1" applyAlignment="1">
      <alignment horizontal="center" vertical="center"/>
    </xf>
    <xf numFmtId="0" fontId="11" fillId="11" borderId="2" xfId="8" applyNumberFormat="1" applyFont="1" applyFill="1" applyBorder="1" applyAlignment="1">
      <alignment horizontal="center" vertical="center" wrapText="1"/>
    </xf>
    <xf numFmtId="0" fontId="5" fillId="3" borderId="2" xfId="8" applyFont="1" applyFill="1" applyBorder="1" applyAlignment="1" applyProtection="1">
      <alignment horizontal="center" vertical="center" wrapText="1"/>
      <protection locked="0" hidden="1"/>
    </xf>
    <xf numFmtId="173" fontId="5" fillId="3" borderId="2" xfId="8" applyNumberFormat="1" applyFont="1" applyFill="1" applyBorder="1" applyAlignment="1" applyProtection="1">
      <alignment horizontal="center" vertical="center" wrapText="1"/>
      <protection locked="0" hidden="1"/>
    </xf>
    <xf numFmtId="169" fontId="5" fillId="3" borderId="2" xfId="8" applyNumberFormat="1" applyFont="1" applyFill="1" applyBorder="1" applyAlignment="1" applyProtection="1">
      <alignment horizontal="center" vertical="center" wrapText="1"/>
      <protection locked="0" hidden="1"/>
    </xf>
    <xf numFmtId="0" fontId="5" fillId="11" borderId="0" xfId="8" applyFont="1" applyFill="1" applyBorder="1" applyAlignment="1">
      <alignment horizontal="center" vertical="center"/>
    </xf>
    <xf numFmtId="0" fontId="5" fillId="11" borderId="0" xfId="8" applyFont="1" applyFill="1" applyBorder="1" applyAlignment="1">
      <alignment horizontal="left" vertical="center"/>
    </xf>
    <xf numFmtId="173" fontId="5" fillId="11" borderId="0" xfId="8" applyNumberFormat="1" applyFont="1" applyFill="1" applyBorder="1" applyAlignment="1">
      <alignment horizontal="center" vertical="center"/>
    </xf>
    <xf numFmtId="0" fontId="5" fillId="11" borderId="0" xfId="8" applyFont="1" applyFill="1" applyBorder="1" applyAlignment="1">
      <alignment vertical="center"/>
    </xf>
    <xf numFmtId="169" fontId="5" fillId="11" borderId="0" xfId="8" applyNumberFormat="1" applyFont="1" applyFill="1" applyBorder="1" applyAlignment="1">
      <alignment vertical="center"/>
    </xf>
    <xf numFmtId="0" fontId="3" fillId="0" borderId="2" xfId="0" applyFont="1" applyBorder="1" applyAlignment="1" applyProtection="1">
      <alignment horizontal="center" vertical="center"/>
    </xf>
    <xf numFmtId="0" fontId="3" fillId="0" borderId="0" xfId="0" applyFont="1" applyBorder="1" applyAlignment="1" applyProtection="1">
      <alignment horizontal="center" vertical="center"/>
    </xf>
    <xf numFmtId="0" fontId="3" fillId="6" borderId="2" xfId="0" applyFont="1" applyFill="1" applyBorder="1" applyAlignment="1" applyProtection="1">
      <alignment horizontal="center" vertical="center"/>
    </xf>
    <xf numFmtId="0" fontId="3" fillId="6" borderId="2" xfId="0" applyFont="1" applyFill="1" applyBorder="1" applyAlignment="1" applyProtection="1">
      <alignment horizontal="center" vertical="center" wrapText="1"/>
    </xf>
    <xf numFmtId="0" fontId="3" fillId="6" borderId="7" xfId="0" applyFont="1" applyFill="1" applyBorder="1" applyAlignment="1" applyProtection="1">
      <alignment horizontal="center" vertical="center" wrapText="1"/>
    </xf>
    <xf numFmtId="0" fontId="3" fillId="6" borderId="8" xfId="0" applyFont="1" applyFill="1" applyBorder="1" applyAlignment="1" applyProtection="1">
      <alignment horizontal="center" vertical="center" wrapText="1"/>
    </xf>
    <xf numFmtId="0" fontId="3" fillId="0" borderId="2" xfId="0" applyNumberFormat="1" applyFont="1" applyFill="1" applyBorder="1" applyAlignment="1" applyProtection="1">
      <alignment horizontal="left" vertical="center" wrapText="1"/>
    </xf>
    <xf numFmtId="1" fontId="3" fillId="0" borderId="2" xfId="0" applyNumberFormat="1" applyFont="1" applyFill="1" applyBorder="1" applyAlignment="1" applyProtection="1">
      <alignment horizontal="center" vertical="center"/>
    </xf>
    <xf numFmtId="169" fontId="3" fillId="0" borderId="2" xfId="12" applyNumberFormat="1" applyFont="1" applyFill="1" applyBorder="1" applyAlignment="1" applyProtection="1">
      <alignment horizontal="right" vertical="center"/>
    </xf>
    <xf numFmtId="169" fontId="3" fillId="0" borderId="7" xfId="0" applyNumberFormat="1" applyFont="1" applyFill="1" applyBorder="1" applyAlignment="1" applyProtection="1">
      <alignment horizontal="right" vertical="center"/>
    </xf>
    <xf numFmtId="1" fontId="3" fillId="0" borderId="8" xfId="0" applyNumberFormat="1" applyFont="1" applyFill="1" applyBorder="1" applyAlignment="1" applyProtection="1">
      <alignment horizontal="center" vertical="center"/>
    </xf>
    <xf numFmtId="0" fontId="0" fillId="0" borderId="2" xfId="0" applyBorder="1" applyAlignment="1" applyProtection="1">
      <alignment horizontal="left" vertical="center" wrapText="1"/>
    </xf>
    <xf numFmtId="0" fontId="2" fillId="0" borderId="2" xfId="0" applyNumberFormat="1" applyFont="1" applyFill="1" applyBorder="1" applyAlignment="1" applyProtection="1">
      <alignment horizontal="left" vertical="center" wrapText="1"/>
    </xf>
    <xf numFmtId="0" fontId="16" fillId="0" borderId="2" xfId="0" applyFont="1" applyBorder="1" applyAlignment="1" applyProtection="1">
      <alignment horizontal="left" vertical="center" wrapText="1"/>
    </xf>
    <xf numFmtId="169" fontId="5" fillId="0" borderId="2" xfId="12"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left" vertical="top" wrapText="1"/>
    </xf>
    <xf numFmtId="0" fontId="0" fillId="0" borderId="0" xfId="0" applyFont="1" applyBorder="1" applyAlignment="1" applyProtection="1">
      <alignment horizontal="left" vertical="top" wrapText="1"/>
    </xf>
    <xf numFmtId="0" fontId="3" fillId="0" borderId="0" xfId="0" applyNumberFormat="1" applyFont="1" applyFill="1" applyBorder="1" applyAlignment="1" applyProtection="1">
      <alignment horizontal="left" vertical="top" wrapText="1"/>
    </xf>
    <xf numFmtId="0" fontId="3" fillId="0" borderId="0" xfId="0" applyFont="1" applyFill="1" applyProtection="1"/>
    <xf numFmtId="0" fontId="3" fillId="0" borderId="3" xfId="0" applyFont="1" applyBorder="1" applyAlignment="1" applyProtection="1">
      <alignment horizontal="left" vertical="center" wrapText="1"/>
    </xf>
    <xf numFmtId="0" fontId="3" fillId="0" borderId="4" xfId="0" applyFont="1" applyBorder="1" applyAlignment="1" applyProtection="1">
      <alignment horizontal="left" vertical="center" wrapText="1"/>
    </xf>
    <xf numFmtId="0" fontId="0" fillId="0" borderId="4" xfId="0" applyBorder="1" applyAlignment="1" applyProtection="1">
      <alignment horizontal="left" vertical="center" wrapText="1"/>
    </xf>
    <xf numFmtId="0" fontId="3" fillId="0" borderId="3" xfId="0" applyFont="1" applyFill="1" applyBorder="1" applyAlignment="1" applyProtection="1">
      <alignment horizontal="left" vertical="center" wrapText="1"/>
    </xf>
    <xf numFmtId="0" fontId="3" fillId="0" borderId="3" xfId="0" applyFont="1" applyFill="1" applyBorder="1" applyAlignment="1" applyProtection="1">
      <alignment horizontal="justify" vertical="center" wrapText="1"/>
    </xf>
    <xf numFmtId="0" fontId="0" fillId="0" borderId="4" xfId="0" applyBorder="1" applyAlignment="1" applyProtection="1">
      <alignment horizontal="justify" vertical="center" wrapText="1"/>
    </xf>
    <xf numFmtId="0" fontId="3" fillId="0" borderId="0" xfId="0" applyFont="1" applyBorder="1" applyProtection="1"/>
    <xf numFmtId="0" fontId="3" fillId="0" borderId="5" xfId="0" applyFont="1" applyBorder="1" applyProtection="1"/>
    <xf numFmtId="0" fontId="3" fillId="0" borderId="10" xfId="0" applyFont="1" applyBorder="1" applyProtection="1"/>
    <xf numFmtId="0" fontId="3" fillId="0" borderId="1" xfId="0" applyFont="1" applyBorder="1" applyProtection="1"/>
    <xf numFmtId="0" fontId="3" fillId="0" borderId="15" xfId="0" applyFont="1" applyBorder="1" applyAlignment="1" applyProtection="1">
      <alignment horizontal="justify" wrapText="1"/>
    </xf>
    <xf numFmtId="0" fontId="3" fillId="0" borderId="1" xfId="0" applyFont="1" applyBorder="1" applyAlignment="1" applyProtection="1">
      <alignment horizontal="justify" wrapText="1"/>
    </xf>
    <xf numFmtId="0" fontId="3" fillId="0" borderId="16" xfId="0" applyFont="1" applyBorder="1" applyAlignment="1" applyProtection="1">
      <alignment horizontal="justify" wrapText="1"/>
    </xf>
    <xf numFmtId="0" fontId="3" fillId="0" borderId="17" xfId="0" applyFont="1" applyBorder="1" applyAlignment="1" applyProtection="1">
      <alignment wrapText="1"/>
    </xf>
    <xf numFmtId="0" fontId="3" fillId="0" borderId="0" xfId="0" applyFont="1" applyBorder="1" applyAlignment="1" applyProtection="1">
      <alignment wrapText="1"/>
    </xf>
    <xf numFmtId="0" fontId="3" fillId="0" borderId="19" xfId="0" applyFont="1" applyBorder="1" applyAlignment="1" applyProtection="1">
      <alignment horizontal="justify" wrapText="1"/>
    </xf>
    <xf numFmtId="0" fontId="3" fillId="0" borderId="20" xfId="0" applyFont="1" applyBorder="1" applyAlignment="1" applyProtection="1">
      <alignment horizontal="justify" wrapText="1"/>
    </xf>
    <xf numFmtId="0" fontId="3" fillId="0" borderId="21" xfId="0" applyFont="1" applyBorder="1" applyAlignment="1" applyProtection="1">
      <alignment horizontal="justify" wrapText="1"/>
    </xf>
    <xf numFmtId="0" fontId="3" fillId="3" borderId="6" xfId="0" applyFont="1" applyFill="1" applyBorder="1" applyAlignment="1" applyProtection="1">
      <alignment vertical="center"/>
      <protection locked="0" hidden="1"/>
    </xf>
    <xf numFmtId="0" fontId="3" fillId="3" borderId="2" xfId="0" applyFont="1" applyFill="1" applyBorder="1" applyAlignment="1" applyProtection="1">
      <alignment vertical="center"/>
      <protection locked="0" hidden="1"/>
    </xf>
    <xf numFmtId="169" fontId="3" fillId="3" borderId="2" xfId="12" applyNumberFormat="1" applyFont="1" applyFill="1" applyBorder="1" applyAlignment="1" applyProtection="1">
      <alignment horizontal="right" vertical="center"/>
      <protection locked="0" hidden="1"/>
    </xf>
    <xf numFmtId="0" fontId="1" fillId="0" borderId="2" xfId="0" applyFont="1" applyBorder="1" applyAlignment="1" applyProtection="1">
      <alignment horizontal="left" wrapText="1"/>
    </xf>
    <xf numFmtId="0" fontId="0" fillId="0" borderId="0" xfId="0" applyProtection="1"/>
    <xf numFmtId="0" fontId="8" fillId="6" borderId="3" xfId="0" applyFont="1" applyFill="1" applyBorder="1" applyAlignment="1" applyProtection="1">
      <alignment horizontal="center" vertical="center"/>
    </xf>
    <xf numFmtId="0" fontId="8" fillId="6" borderId="8" xfId="0" applyFont="1" applyFill="1" applyBorder="1" applyAlignment="1" applyProtection="1">
      <alignment horizontal="center" vertical="center"/>
    </xf>
    <xf numFmtId="0" fontId="8" fillId="6" borderId="7" xfId="0" applyFont="1" applyFill="1" applyBorder="1" applyAlignment="1" applyProtection="1">
      <alignment horizontal="center" vertical="center"/>
    </xf>
    <xf numFmtId="0" fontId="8" fillId="6" borderId="4" xfId="0" applyFont="1" applyFill="1" applyBorder="1" applyAlignment="1" applyProtection="1">
      <alignment horizontal="center" vertical="center"/>
    </xf>
    <xf numFmtId="0" fontId="3" fillId="0" borderId="3" xfId="0" applyFont="1" applyBorder="1" applyAlignment="1" applyProtection="1">
      <alignment horizontal="left" vertical="center" wrapText="1"/>
    </xf>
    <xf numFmtId="0" fontId="3" fillId="0" borderId="3" xfId="0" applyFont="1" applyFill="1" applyBorder="1" applyAlignment="1" applyProtection="1">
      <alignment horizontal="left" vertical="center" wrapText="1"/>
    </xf>
    <xf numFmtId="0" fontId="3" fillId="0" borderId="3" xfId="0" applyFont="1" applyFill="1" applyBorder="1" applyAlignment="1" applyProtection="1">
      <alignment horizontal="justify" vertical="center" wrapText="1"/>
    </xf>
    <xf numFmtId="0" fontId="0" fillId="3" borderId="8" xfId="0" applyFill="1" applyBorder="1" applyAlignment="1" applyProtection="1">
      <alignment horizontal="center" vertical="center"/>
      <protection locked="0" hidden="1"/>
    </xf>
    <xf numFmtId="0" fontId="0" fillId="3" borderId="7" xfId="0" applyFill="1" applyBorder="1" applyAlignment="1" applyProtection="1">
      <alignment horizontal="center" vertical="center"/>
      <protection locked="0" hidden="1"/>
    </xf>
    <xf numFmtId="0" fontId="0" fillId="3" borderId="4" xfId="0" applyFill="1" applyBorder="1" applyAlignment="1" applyProtection="1">
      <alignment horizontal="center" vertical="center"/>
      <protection locked="0" hidden="1"/>
    </xf>
  </cellXfs>
  <cellStyles count="15">
    <cellStyle name="Millares 2" xfId="4"/>
    <cellStyle name="Millares 5" xfId="5"/>
    <cellStyle name="Moneda 2" xfId="13"/>
    <cellStyle name="Moneda 3" xfId="14"/>
    <cellStyle name="Moneda 4" xfId="6"/>
    <cellStyle name="Moneda 5" xfId="7"/>
    <cellStyle name="Normal" xfId="0" builtinId="0"/>
    <cellStyle name="Normal 2" xfId="1"/>
    <cellStyle name="Normal 2 2" xfId="8"/>
    <cellStyle name="Normal 2 3" xfId="9"/>
    <cellStyle name="Normal 3" xfId="10"/>
    <cellStyle name="Normal 4" xfId="2"/>
    <cellStyle name="Porcentaje" xfId="12" builtinId="5"/>
    <cellStyle name="Porcentual 2" xfId="11"/>
    <cellStyle name="Porcentual 5" xfId="3"/>
  </cellStyles>
  <dxfs count="0"/>
  <tableStyles count="0" defaultTableStyle="TableStyleMedium9" defaultPivotStyle="PivotStyleLight16"/>
  <colors>
    <mruColors>
      <color rgb="FFFFFFCC"/>
      <color rgb="FFCCFFFF"/>
      <color rgb="FFFFCCFF"/>
      <color rgb="FF66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85726</xdr:rowOff>
    </xdr:from>
    <xdr:to>
      <xdr:col>4</xdr:col>
      <xdr:colOff>119079</xdr:colOff>
      <xdr:row>5</xdr:row>
      <xdr:rowOff>9526</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66700" y="161926"/>
          <a:ext cx="681054" cy="723900"/>
        </a:xfrm>
        <a:prstGeom prst="rect">
          <a:avLst/>
        </a:prstGeom>
        <a:noFill/>
        <a:ln w="9525">
          <a:noFill/>
          <a:miter lim="800000"/>
          <a:headEnd/>
          <a:tailEnd/>
        </a:ln>
      </xdr:spPr>
    </xdr:pic>
    <xdr:clientData/>
  </xdr:twoCellAnchor>
  <xdr:twoCellAnchor>
    <xdr:from>
      <xdr:col>37</xdr:col>
      <xdr:colOff>114300</xdr:colOff>
      <xdr:row>1</xdr:row>
      <xdr:rowOff>66675</xdr:rowOff>
    </xdr:from>
    <xdr:to>
      <xdr:col>40</xdr:col>
      <xdr:colOff>196613</xdr:colOff>
      <xdr:row>5</xdr:row>
      <xdr:rowOff>41360</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048500" y="142875"/>
          <a:ext cx="777638" cy="774785"/>
        </a:xfrm>
        <a:prstGeom prst="rect">
          <a:avLst/>
        </a:prstGeom>
        <a:noFill/>
        <a:ln w="9525">
          <a:noFill/>
          <a:miter lim="800000"/>
          <a:headEnd/>
          <a:tailEnd/>
        </a:ln>
      </xdr:spPr>
    </xdr:pic>
    <xdr:clientData/>
  </xdr:twoCellAnchor>
  <xdr:twoCellAnchor>
    <xdr:from>
      <xdr:col>6</xdr:col>
      <xdr:colOff>178600</xdr:colOff>
      <xdr:row>1</xdr:row>
      <xdr:rowOff>52399</xdr:rowOff>
    </xdr:from>
    <xdr:to>
      <xdr:col>36</xdr:col>
      <xdr:colOff>107212</xdr:colOff>
      <xdr:row>5</xdr:row>
      <xdr:rowOff>19051</xdr:rowOff>
    </xdr:to>
    <xdr:sp macro="" textlink="">
      <xdr:nvSpPr>
        <xdr:cNvPr id="4" name="3 CuadroTexto"/>
        <xdr:cNvSpPr txBox="1"/>
      </xdr:nvSpPr>
      <xdr:spPr>
        <a:xfrm>
          <a:off x="1369225" y="128599"/>
          <a:ext cx="5415012" cy="76675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50" b="1">
              <a:latin typeface="Arial" panose="020B0604020202020204" pitchFamily="34" charset="0"/>
              <a:cs typeface="Arial" panose="020B0604020202020204" pitchFamily="34" charset="0"/>
            </a:rPr>
            <a:t>República de Colombia</a:t>
          </a:r>
        </a:p>
        <a:p>
          <a:pPr algn="ctr"/>
          <a:r>
            <a:rPr lang="es-ES" sz="1050" b="1">
              <a:latin typeface="Arial" panose="020B0604020202020204" pitchFamily="34" charset="0"/>
              <a:cs typeface="Arial" panose="020B0604020202020204" pitchFamily="34" charset="0"/>
            </a:rPr>
            <a:t>Instituto Colombiano de Bienestar Familiar</a:t>
          </a:r>
        </a:p>
        <a:p>
          <a:pPr algn="ctr"/>
          <a:r>
            <a:rPr lang="es-ES" sz="105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050" b="1">
              <a:latin typeface="Arial" panose="020B0604020202020204" pitchFamily="34" charset="0"/>
              <a:cs typeface="Arial" panose="020B0604020202020204" pitchFamily="34" charset="0"/>
            </a:rPr>
            <a:t>Dirección de Abastecimiento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1668992</xdr:colOff>
      <xdr:row>1</xdr:row>
      <xdr:rowOff>46301</xdr:rowOff>
    </xdr:from>
    <xdr:to>
      <xdr:col>8</xdr:col>
      <xdr:colOff>736866</xdr:colOff>
      <xdr:row>6</xdr:row>
      <xdr:rowOff>47624</xdr:rowOff>
    </xdr:to>
    <xdr:sp macro="" textlink="">
      <xdr:nvSpPr>
        <xdr:cNvPr id="2" name="1 CuadroTexto"/>
        <xdr:cNvSpPr txBox="1"/>
      </xdr:nvSpPr>
      <xdr:spPr>
        <a:xfrm>
          <a:off x="2550055" y="129645"/>
          <a:ext cx="7092686" cy="75141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50" b="1">
              <a:latin typeface="Arial" panose="020B0604020202020204" pitchFamily="34" charset="0"/>
              <a:cs typeface="Arial" panose="020B0604020202020204" pitchFamily="34" charset="0"/>
            </a:rPr>
            <a:t>República de Colombia</a:t>
          </a:r>
        </a:p>
        <a:p>
          <a:pPr algn="ctr"/>
          <a:r>
            <a:rPr lang="es-ES" sz="1050" b="1">
              <a:latin typeface="Arial" panose="020B0604020202020204" pitchFamily="34" charset="0"/>
              <a:cs typeface="Arial" panose="020B0604020202020204" pitchFamily="34" charset="0"/>
            </a:rPr>
            <a:t>Instituto Colombiano de Bienestar Familiar</a:t>
          </a:r>
        </a:p>
        <a:p>
          <a:pPr algn="ctr"/>
          <a:r>
            <a:rPr lang="es-ES" sz="1050" b="1">
              <a:latin typeface="Arial" panose="020B0604020202020204" pitchFamily="34" charset="0"/>
              <a:cs typeface="Arial" panose="020B0604020202020204" pitchFamily="34" charset="0"/>
            </a:rPr>
            <a:t>Cecilia de la Fuente de Lleras </a:t>
          </a:r>
        </a:p>
        <a:p>
          <a:pPr algn="ctr"/>
          <a:r>
            <a:rPr lang="es-ES" sz="1050" b="1">
              <a:solidFill>
                <a:schemeClr val="dk1"/>
              </a:solidFill>
              <a:latin typeface="Arial" panose="020B0604020202020204" pitchFamily="34" charset="0"/>
              <a:ea typeface="+mn-ea"/>
              <a:cs typeface="Arial" panose="020B0604020202020204" pitchFamily="34" charset="0"/>
            </a:rPr>
            <a:t>Dirección de</a:t>
          </a:r>
          <a:r>
            <a:rPr lang="es-ES" sz="1050" b="1" baseline="0">
              <a:solidFill>
                <a:schemeClr val="dk1"/>
              </a:solidFill>
              <a:latin typeface="Arial" panose="020B0604020202020204" pitchFamily="34" charset="0"/>
              <a:ea typeface="+mn-ea"/>
              <a:cs typeface="Arial" panose="020B0604020202020204" pitchFamily="34" charset="0"/>
            </a:rPr>
            <a:t> Abastecimiento</a:t>
          </a:r>
          <a:endParaRPr lang="es-ES" sz="1050" b="1">
            <a:solidFill>
              <a:schemeClr val="dk1"/>
            </a:solidFill>
            <a:latin typeface="Arial" panose="020B0604020202020204" pitchFamily="34" charset="0"/>
            <a:ea typeface="+mn-ea"/>
            <a:cs typeface="Arial" panose="020B0604020202020204" pitchFamily="34" charset="0"/>
          </a:endParaRPr>
        </a:p>
      </xdr:txBody>
    </xdr:sp>
    <xdr:clientData/>
  </xdr:twoCellAnchor>
  <xdr:twoCellAnchor editAs="oneCell">
    <xdr:from>
      <xdr:col>1</xdr:col>
      <xdr:colOff>100012</xdr:colOff>
      <xdr:row>1</xdr:row>
      <xdr:rowOff>74083</xdr:rowOff>
    </xdr:from>
    <xdr:to>
      <xdr:col>2</xdr:col>
      <xdr:colOff>71437</xdr:colOff>
      <xdr:row>6</xdr:row>
      <xdr:rowOff>60255</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66700" y="157427"/>
          <a:ext cx="685800" cy="736266"/>
        </a:xfrm>
        <a:prstGeom prst="rect">
          <a:avLst/>
        </a:prstGeom>
        <a:noFill/>
        <a:ln w="9525">
          <a:noFill/>
          <a:miter lim="800000"/>
          <a:headEnd/>
          <a:tailEnd/>
        </a:ln>
      </xdr:spPr>
    </xdr:pic>
    <xdr:clientData/>
  </xdr:twoCellAnchor>
  <xdr:twoCellAnchor>
    <xdr:from>
      <xdr:col>10</xdr:col>
      <xdr:colOff>250031</xdr:colOff>
      <xdr:row>1</xdr:row>
      <xdr:rowOff>71436</xdr:rowOff>
    </xdr:from>
    <xdr:to>
      <xdr:col>10</xdr:col>
      <xdr:colOff>1043393</xdr:colOff>
      <xdr:row>6</xdr:row>
      <xdr:rowOff>34533</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120437" y="154780"/>
          <a:ext cx="793362" cy="713191"/>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192880</xdr:colOff>
      <xdr:row>2</xdr:row>
      <xdr:rowOff>59531</xdr:rowOff>
    </xdr:from>
    <xdr:to>
      <xdr:col>1</xdr:col>
      <xdr:colOff>816730</xdr:colOff>
      <xdr:row>6</xdr:row>
      <xdr:rowOff>71439</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80" y="411956"/>
          <a:ext cx="623850" cy="802483"/>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444120</xdr:colOff>
      <xdr:row>2</xdr:row>
      <xdr:rowOff>4782</xdr:rowOff>
    </xdr:from>
    <xdr:to>
      <xdr:col>6</xdr:col>
      <xdr:colOff>380999</xdr:colOff>
      <xdr:row>6</xdr:row>
      <xdr:rowOff>47625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1545" y="357207"/>
          <a:ext cx="698879" cy="833418"/>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140494</xdr:colOff>
      <xdr:row>2</xdr:row>
      <xdr:rowOff>30956</xdr:rowOff>
    </xdr:from>
    <xdr:to>
      <xdr:col>2</xdr:col>
      <xdr:colOff>170028</xdr:colOff>
      <xdr:row>6</xdr:row>
      <xdr:rowOff>59531</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92894" y="269081"/>
          <a:ext cx="782009" cy="828675"/>
        </a:xfrm>
        <a:prstGeom prst="rect">
          <a:avLst/>
        </a:prstGeom>
        <a:noFill/>
        <a:ln w="9525">
          <a:noFill/>
          <a:miter lim="800000"/>
          <a:headEnd/>
          <a:tailEnd/>
        </a:ln>
      </xdr:spPr>
    </xdr:pic>
    <xdr:clientData/>
  </xdr:twoCellAnchor>
  <xdr:twoCellAnchor>
    <xdr:from>
      <xdr:col>9</xdr:col>
      <xdr:colOff>469106</xdr:colOff>
      <xdr:row>2</xdr:row>
      <xdr:rowOff>40482</xdr:rowOff>
    </xdr:from>
    <xdr:to>
      <xdr:col>9</xdr:col>
      <xdr:colOff>1282463</xdr:colOff>
      <xdr:row>6</xdr:row>
      <xdr:rowOff>122943</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2203906" y="278607"/>
          <a:ext cx="813357" cy="882561"/>
        </a:xfrm>
        <a:prstGeom prst="rect">
          <a:avLst/>
        </a:prstGeom>
        <a:noFill/>
        <a:ln w="9525">
          <a:noFill/>
          <a:miter lim="800000"/>
          <a:headEnd/>
          <a:tailEnd/>
        </a:ln>
      </xdr:spPr>
    </xdr:pic>
    <xdr:clientData/>
  </xdr:twoCellAnchor>
  <xdr:twoCellAnchor>
    <xdr:from>
      <xdr:col>4</xdr:col>
      <xdr:colOff>404819</xdr:colOff>
      <xdr:row>2</xdr:row>
      <xdr:rowOff>47636</xdr:rowOff>
    </xdr:from>
    <xdr:to>
      <xdr:col>7</xdr:col>
      <xdr:colOff>333431</xdr:colOff>
      <xdr:row>7</xdr:row>
      <xdr:rowOff>23812</xdr:rowOff>
    </xdr:to>
    <xdr:sp macro="" textlink="">
      <xdr:nvSpPr>
        <xdr:cNvPr id="4" name="3 CuadroTexto"/>
        <xdr:cNvSpPr txBox="1"/>
      </xdr:nvSpPr>
      <xdr:spPr>
        <a:xfrm>
          <a:off x="3852869" y="285761"/>
          <a:ext cx="5938887" cy="9382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DEVUELTOS\EQUIPOS%20DE%20METROLOGIA\SDI\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EQUIPOS%20DE%20METROLOGIA\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BN52"/>
  <sheetViews>
    <sheetView topLeftCell="A4" zoomScale="84" zoomScaleNormal="84" workbookViewId="0">
      <pane xSplit="3" ySplit="7" topLeftCell="D11" activePane="bottomRight" state="frozen"/>
      <selection activeCell="A4" sqref="A4"/>
      <selection pane="topRight" activeCell="B4" sqref="B4"/>
      <selection pane="bottomLeft" activeCell="A7" sqref="A7"/>
      <selection pane="bottomRight" activeCell="C8" sqref="C8"/>
    </sheetView>
  </sheetViews>
  <sheetFormatPr baseColWidth="10" defaultRowHeight="12.75"/>
  <cols>
    <col min="1" max="2" width="11.42578125" style="104"/>
    <col min="3" max="4" width="14.28515625" style="104" customWidth="1"/>
    <col min="5" max="5" width="12.85546875" style="104" bestFit="1" customWidth="1"/>
    <col min="6" max="6" width="12.85546875" style="104" customWidth="1"/>
    <col min="7" max="7" width="15.28515625" style="104" customWidth="1"/>
    <col min="8" max="8" width="15.85546875" style="104" customWidth="1"/>
    <col min="9" max="9" width="9.85546875" style="104" customWidth="1"/>
    <col min="10" max="10" width="12.85546875" style="104" customWidth="1"/>
    <col min="11" max="11" width="9.7109375" style="104" customWidth="1"/>
    <col min="12" max="12" width="10.7109375" style="104" customWidth="1"/>
    <col min="13" max="13" width="9.140625" style="104" customWidth="1"/>
    <col min="14" max="14" width="10.7109375" style="104" customWidth="1"/>
    <col min="15" max="15" width="9.7109375" style="104" bestFit="1" customWidth="1"/>
    <col min="16" max="16" width="10.7109375" style="104" customWidth="1"/>
    <col min="17" max="17" width="12.7109375" style="104" bestFit="1" customWidth="1"/>
    <col min="18" max="18" width="10.7109375" style="104" customWidth="1"/>
    <col min="19" max="19" width="12.7109375" style="104" bestFit="1" customWidth="1"/>
    <col min="20" max="20" width="10.7109375" style="104" customWidth="1"/>
    <col min="21" max="21" width="12.7109375" style="104" bestFit="1" customWidth="1"/>
    <col min="22" max="22" width="9.85546875" style="104" customWidth="1"/>
    <col min="23" max="23" width="8.7109375" style="104" bestFit="1" customWidth="1"/>
    <col min="24" max="24" width="9.85546875" style="104" customWidth="1"/>
    <col min="25" max="25" width="12.140625" style="104" bestFit="1" customWidth="1"/>
    <col min="26" max="26" width="10.7109375" style="104" customWidth="1"/>
    <col min="27" max="27" width="12.140625" style="104" bestFit="1" customWidth="1"/>
    <col min="28" max="32" width="10.7109375" style="104" customWidth="1"/>
    <col min="33" max="33" width="9.28515625" style="104" bestFit="1" customWidth="1"/>
    <col min="34" max="34" width="8.5703125" style="104" customWidth="1"/>
    <col min="35" max="35" width="12.7109375" style="104" bestFit="1" customWidth="1"/>
    <col min="36" max="36" width="8.5703125" style="104" customWidth="1"/>
    <col min="37" max="37" width="9.28515625" style="104" customWidth="1"/>
    <col min="38" max="40" width="9.85546875" style="104" customWidth="1"/>
    <col min="41" max="41" width="6.140625" style="104" bestFit="1" customWidth="1"/>
    <col min="42" max="42" width="9.85546875" style="104" customWidth="1"/>
    <col min="43" max="43" width="6.140625" style="104" bestFit="1" customWidth="1"/>
    <col min="44" max="44" width="9.85546875" style="104" customWidth="1"/>
    <col min="45" max="45" width="6.140625" style="104" bestFit="1" customWidth="1"/>
    <col min="46" max="46" width="8.5703125" style="104" customWidth="1"/>
    <col min="47" max="47" width="6.140625" style="104" bestFit="1" customWidth="1"/>
    <col min="48" max="48" width="8.5703125" style="104" customWidth="1"/>
    <col min="49" max="49" width="6.140625" style="104" bestFit="1" customWidth="1"/>
    <col min="50" max="50" width="12" style="104" customWidth="1"/>
    <col min="51" max="51" width="6.140625" style="104" bestFit="1" customWidth="1"/>
    <col min="52" max="52" width="9.85546875" style="104" customWidth="1"/>
    <col min="53" max="53" width="6.140625" style="104" bestFit="1" customWidth="1"/>
    <col min="54" max="54" width="9.85546875" style="104" customWidth="1"/>
    <col min="55" max="55" width="6.140625" style="104" bestFit="1" customWidth="1"/>
    <col min="56" max="56" width="9.85546875" style="104" customWidth="1"/>
    <col min="57" max="57" width="6.140625" style="104" bestFit="1" customWidth="1"/>
    <col min="58" max="58" width="9.85546875" style="104" customWidth="1"/>
    <col min="59" max="59" width="6.140625" style="104" bestFit="1" customWidth="1"/>
    <col min="60" max="60" width="9.85546875" style="104" customWidth="1"/>
    <col min="61" max="61" width="6.140625" style="104" bestFit="1" customWidth="1"/>
    <col min="62" max="64" width="9.85546875" style="104" customWidth="1"/>
    <col min="65" max="65" width="6.140625" style="104" bestFit="1" customWidth="1"/>
    <col min="66" max="66" width="9.85546875" style="104" customWidth="1"/>
    <col min="67" max="67" width="18.5703125" style="104" bestFit="1" customWidth="1"/>
    <col min="68" max="16384" width="11.42578125" style="104"/>
  </cols>
  <sheetData>
    <row r="1" spans="3:66" s="90" customFormat="1" ht="15.75">
      <c r="C1" s="89"/>
      <c r="D1" s="89"/>
      <c r="E1" s="89"/>
      <c r="F1" s="89"/>
      <c r="G1" s="89"/>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row>
    <row r="2" spans="3:66" s="91" customFormat="1" ht="16.5"/>
    <row r="3" spans="3:66" s="91" customFormat="1" ht="16.5">
      <c r="C3" s="92" t="s">
        <v>102</v>
      </c>
      <c r="D3" s="92"/>
      <c r="F3" s="93"/>
      <c r="G3" s="93"/>
      <c r="H3" s="93"/>
    </row>
    <row r="4" spans="3:66" s="91" customFormat="1" ht="16.5">
      <c r="C4" s="92" t="s">
        <v>103</v>
      </c>
      <c r="D4" s="92"/>
      <c r="F4" s="93"/>
      <c r="G4" s="93"/>
      <c r="H4" s="93"/>
    </row>
    <row r="5" spans="3:66" s="91" customFormat="1" ht="16.5">
      <c r="C5" s="92" t="s">
        <v>104</v>
      </c>
      <c r="D5" s="92"/>
      <c r="F5" s="93"/>
      <c r="G5" s="93"/>
      <c r="H5" s="93"/>
    </row>
    <row r="6" spans="3:66" s="91" customFormat="1" ht="16.5">
      <c r="C6" s="92"/>
      <c r="D6" s="92"/>
      <c r="F6" s="93"/>
      <c r="G6" s="93"/>
      <c r="H6" s="93"/>
    </row>
    <row r="7" spans="3:66" s="91" customFormat="1" ht="12" customHeight="1">
      <c r="C7" s="94" t="s">
        <v>105</v>
      </c>
      <c r="D7" s="94"/>
      <c r="F7" s="94"/>
      <c r="G7" s="94"/>
      <c r="H7" s="94"/>
    </row>
    <row r="8" spans="3:66" s="102" customFormat="1" ht="84.75" customHeight="1">
      <c r="C8" s="95" t="s">
        <v>106</v>
      </c>
      <c r="D8" s="95" t="s">
        <v>107</v>
      </c>
      <c r="E8" s="96" t="s">
        <v>108</v>
      </c>
      <c r="F8" s="95" t="s">
        <v>109</v>
      </c>
      <c r="G8" s="97" t="s">
        <v>110</v>
      </c>
      <c r="H8" s="98"/>
      <c r="I8" s="97" t="s">
        <v>111</v>
      </c>
      <c r="J8" s="98"/>
      <c r="K8" s="97" t="s">
        <v>112</v>
      </c>
      <c r="L8" s="98"/>
      <c r="M8" s="97" t="s">
        <v>113</v>
      </c>
      <c r="N8" s="98"/>
      <c r="O8" s="97" t="s">
        <v>114</v>
      </c>
      <c r="P8" s="98"/>
      <c r="Q8" s="97" t="s">
        <v>115</v>
      </c>
      <c r="R8" s="98"/>
      <c r="S8" s="97" t="s">
        <v>116</v>
      </c>
      <c r="T8" s="98"/>
      <c r="U8" s="97" t="s">
        <v>117</v>
      </c>
      <c r="V8" s="98"/>
      <c r="W8" s="97" t="s">
        <v>118</v>
      </c>
      <c r="X8" s="98"/>
      <c r="Y8" s="97" t="s">
        <v>119</v>
      </c>
      <c r="Z8" s="98"/>
      <c r="AA8" s="97" t="s">
        <v>120</v>
      </c>
      <c r="AB8" s="98"/>
      <c r="AC8" s="97" t="s">
        <v>121</v>
      </c>
      <c r="AD8" s="99"/>
      <c r="AE8" s="97" t="s">
        <v>122</v>
      </c>
      <c r="AF8" s="99"/>
      <c r="AG8" s="97" t="s">
        <v>123</v>
      </c>
      <c r="AH8" s="98"/>
      <c r="AI8" s="97" t="s">
        <v>124</v>
      </c>
      <c r="AJ8" s="98"/>
      <c r="AK8" s="97" t="s">
        <v>125</v>
      </c>
      <c r="AL8" s="98"/>
      <c r="AM8" s="97" t="s">
        <v>126</v>
      </c>
      <c r="AN8" s="99"/>
      <c r="AO8" s="100" t="s">
        <v>127</v>
      </c>
      <c r="AP8" s="101"/>
      <c r="AQ8" s="100" t="s">
        <v>128</v>
      </c>
      <c r="AR8" s="101"/>
      <c r="AS8" s="100" t="s">
        <v>129</v>
      </c>
      <c r="AT8" s="101"/>
      <c r="AU8" s="100" t="s">
        <v>130</v>
      </c>
      <c r="AV8" s="101"/>
      <c r="AW8" s="100" t="s">
        <v>131</v>
      </c>
      <c r="AX8" s="101"/>
      <c r="AY8" s="100" t="s">
        <v>132</v>
      </c>
      <c r="AZ8" s="101"/>
      <c r="BA8" s="100" t="s">
        <v>133</v>
      </c>
      <c r="BB8" s="101"/>
      <c r="BC8" s="100" t="s">
        <v>134</v>
      </c>
      <c r="BD8" s="101"/>
      <c r="BE8" s="100" t="s">
        <v>135</v>
      </c>
      <c r="BF8" s="101"/>
      <c r="BG8" s="100" t="s">
        <v>136</v>
      </c>
      <c r="BH8" s="101"/>
      <c r="BI8" s="100" t="s">
        <v>137</v>
      </c>
      <c r="BJ8" s="101"/>
      <c r="BK8" s="100" t="s">
        <v>138</v>
      </c>
      <c r="BL8" s="101"/>
      <c r="BM8" s="100" t="s">
        <v>139</v>
      </c>
      <c r="BN8" s="101"/>
    </row>
    <row r="9" spans="3:66" ht="18.75" customHeight="1">
      <c r="C9" s="95"/>
      <c r="D9" s="95"/>
      <c r="E9" s="96"/>
      <c r="F9" s="95"/>
      <c r="G9" s="103" t="s">
        <v>140</v>
      </c>
      <c r="H9" s="103" t="s">
        <v>141</v>
      </c>
      <c r="I9" s="103" t="s">
        <v>140</v>
      </c>
      <c r="J9" s="103" t="s">
        <v>141</v>
      </c>
      <c r="K9" s="103" t="s">
        <v>140</v>
      </c>
      <c r="L9" s="103" t="s">
        <v>142</v>
      </c>
      <c r="M9" s="103" t="s">
        <v>140</v>
      </c>
      <c r="N9" s="103" t="s">
        <v>141</v>
      </c>
      <c r="O9" s="103" t="s">
        <v>140</v>
      </c>
      <c r="P9" s="103" t="s">
        <v>141</v>
      </c>
      <c r="Q9" s="103" t="s">
        <v>140</v>
      </c>
      <c r="R9" s="103" t="s">
        <v>141</v>
      </c>
      <c r="S9" s="103" t="s">
        <v>140</v>
      </c>
      <c r="T9" s="103" t="s">
        <v>141</v>
      </c>
      <c r="U9" s="103" t="s">
        <v>140</v>
      </c>
      <c r="V9" s="103" t="s">
        <v>141</v>
      </c>
      <c r="W9" s="103" t="s">
        <v>140</v>
      </c>
      <c r="X9" s="103" t="s">
        <v>141</v>
      </c>
      <c r="Y9" s="103" t="s">
        <v>140</v>
      </c>
      <c r="Z9" s="103" t="s">
        <v>141</v>
      </c>
      <c r="AA9" s="103" t="s">
        <v>140</v>
      </c>
      <c r="AB9" s="103" t="s">
        <v>141</v>
      </c>
      <c r="AC9" s="103" t="s">
        <v>140</v>
      </c>
      <c r="AD9" s="103" t="s">
        <v>141</v>
      </c>
      <c r="AE9" s="103" t="s">
        <v>140</v>
      </c>
      <c r="AF9" s="103" t="s">
        <v>141</v>
      </c>
      <c r="AG9" s="103" t="s">
        <v>140</v>
      </c>
      <c r="AH9" s="103" t="s">
        <v>141</v>
      </c>
      <c r="AI9" s="103" t="s">
        <v>140</v>
      </c>
      <c r="AJ9" s="103" t="s">
        <v>141</v>
      </c>
      <c r="AK9" s="103" t="s">
        <v>140</v>
      </c>
      <c r="AL9" s="103" t="s">
        <v>141</v>
      </c>
      <c r="AM9" s="103" t="s">
        <v>140</v>
      </c>
      <c r="AN9" s="103" t="s">
        <v>141</v>
      </c>
      <c r="AO9" s="103" t="s">
        <v>140</v>
      </c>
      <c r="AP9" s="103" t="s">
        <v>141</v>
      </c>
      <c r="AQ9" s="103" t="s">
        <v>140</v>
      </c>
      <c r="AR9" s="103" t="s">
        <v>141</v>
      </c>
      <c r="AS9" s="103" t="s">
        <v>140</v>
      </c>
      <c r="AT9" s="103" t="s">
        <v>141</v>
      </c>
      <c r="AU9" s="103" t="s">
        <v>140</v>
      </c>
      <c r="AV9" s="103" t="s">
        <v>141</v>
      </c>
      <c r="AW9" s="103" t="s">
        <v>140</v>
      </c>
      <c r="AX9" s="103" t="s">
        <v>141</v>
      </c>
      <c r="AY9" s="103" t="s">
        <v>140</v>
      </c>
      <c r="AZ9" s="103" t="s">
        <v>141</v>
      </c>
      <c r="BA9" s="103" t="s">
        <v>140</v>
      </c>
      <c r="BB9" s="103" t="s">
        <v>141</v>
      </c>
      <c r="BC9" s="103" t="s">
        <v>140</v>
      </c>
      <c r="BD9" s="103" t="s">
        <v>141</v>
      </c>
      <c r="BE9" s="103" t="s">
        <v>140</v>
      </c>
      <c r="BF9" s="103" t="s">
        <v>141</v>
      </c>
      <c r="BG9" s="103" t="s">
        <v>140</v>
      </c>
      <c r="BH9" s="103" t="s">
        <v>141</v>
      </c>
      <c r="BI9" s="103" t="s">
        <v>140</v>
      </c>
      <c r="BJ9" s="103" t="s">
        <v>141</v>
      </c>
      <c r="BK9" s="103" t="s">
        <v>140</v>
      </c>
      <c r="BL9" s="103" t="s">
        <v>141</v>
      </c>
      <c r="BM9" s="103" t="s">
        <v>140</v>
      </c>
      <c r="BN9" s="103" t="s">
        <v>141</v>
      </c>
    </row>
    <row r="10" spans="3:66" ht="15.75" customHeight="1">
      <c r="C10" s="95"/>
      <c r="D10" s="95"/>
      <c r="E10" s="96"/>
      <c r="F10" s="95"/>
      <c r="G10" s="105" t="s">
        <v>143</v>
      </c>
      <c r="H10" s="106">
        <v>6058286</v>
      </c>
      <c r="I10" s="105" t="s">
        <v>143</v>
      </c>
      <c r="J10" s="106">
        <v>6058286</v>
      </c>
      <c r="K10" s="105" t="s">
        <v>143</v>
      </c>
      <c r="L10" s="106">
        <f>6058286-95406</f>
        <v>5962880</v>
      </c>
      <c r="M10" s="105" t="s">
        <v>143</v>
      </c>
      <c r="N10" s="106">
        <v>5948135</v>
      </c>
      <c r="O10" s="105" t="s">
        <v>143</v>
      </c>
      <c r="P10" s="106">
        <v>2712598</v>
      </c>
      <c r="Q10" s="105" t="s">
        <v>143</v>
      </c>
      <c r="R10" s="106">
        <v>1989239</v>
      </c>
      <c r="S10" s="105" t="s">
        <v>143</v>
      </c>
      <c r="T10" s="106">
        <v>1953070</v>
      </c>
      <c r="U10" s="105" t="s">
        <v>143</v>
      </c>
      <c r="V10" s="106">
        <v>2350918</v>
      </c>
      <c r="W10" s="105" t="s">
        <v>143</v>
      </c>
      <c r="X10" s="106">
        <v>2663277</v>
      </c>
      <c r="Y10" s="105" t="s">
        <v>143</v>
      </c>
      <c r="Z10" s="106">
        <v>1775519</v>
      </c>
      <c r="AA10" s="105" t="s">
        <v>143</v>
      </c>
      <c r="AB10" s="106">
        <v>1808399</v>
      </c>
      <c r="AC10" s="105" t="s">
        <v>143</v>
      </c>
      <c r="AD10" s="106">
        <v>2737257</v>
      </c>
      <c r="AE10" s="105" t="s">
        <v>143</v>
      </c>
      <c r="AF10" s="106">
        <v>2007322</v>
      </c>
      <c r="AG10" s="105" t="s">
        <v>143</v>
      </c>
      <c r="AH10" s="106">
        <v>120560</v>
      </c>
      <c r="AI10" s="105" t="s">
        <v>143</v>
      </c>
      <c r="AJ10" s="106">
        <f>783640-12341</f>
        <v>771299</v>
      </c>
      <c r="AK10" s="105" t="s">
        <v>143</v>
      </c>
      <c r="AL10" s="106">
        <v>904199</v>
      </c>
      <c r="AM10" s="105" t="s">
        <v>143</v>
      </c>
      <c r="AN10" s="106">
        <v>669107</v>
      </c>
      <c r="AO10" s="105" t="s">
        <v>143</v>
      </c>
      <c r="AP10" s="106">
        <v>2441490</v>
      </c>
      <c r="AQ10" s="105" t="s">
        <v>143</v>
      </c>
      <c r="AR10" s="106">
        <f>1790426-28196</f>
        <v>1762230</v>
      </c>
      <c r="AS10" s="105" t="s">
        <v>143</v>
      </c>
      <c r="AT10" s="106">
        <v>241120</v>
      </c>
      <c r="AU10" s="105" t="s">
        <v>143</v>
      </c>
      <c r="AV10" s="106">
        <v>241120</v>
      </c>
      <c r="AW10" s="105" t="s">
        <v>143</v>
      </c>
      <c r="AX10" s="106">
        <v>1326158</v>
      </c>
      <c r="AY10" s="105" t="s">
        <v>143</v>
      </c>
      <c r="AZ10" s="106">
        <v>1808399</v>
      </c>
      <c r="BA10" s="105" t="s">
        <v>143</v>
      </c>
      <c r="BB10" s="106">
        <v>1302047</v>
      </c>
      <c r="BC10" s="105" t="s">
        <v>143</v>
      </c>
      <c r="BD10" s="106">
        <v>1491929</v>
      </c>
      <c r="BE10" s="105" t="s">
        <v>143</v>
      </c>
      <c r="BF10" s="106">
        <v>1464803</v>
      </c>
      <c r="BG10" s="105" t="s">
        <v>143</v>
      </c>
      <c r="BH10" s="106">
        <v>1657698</v>
      </c>
      <c r="BI10" s="105" t="s">
        <v>143</v>
      </c>
      <c r="BJ10" s="106">
        <v>2260498</v>
      </c>
      <c r="BK10" s="105" t="s">
        <v>143</v>
      </c>
      <c r="BL10" s="106">
        <v>1627559</v>
      </c>
      <c r="BM10" s="105" t="s">
        <v>143</v>
      </c>
      <c r="BN10" s="106">
        <v>2652318</v>
      </c>
    </row>
    <row r="11" spans="3:66" s="110" customFormat="1" ht="12.75" customHeight="1">
      <c r="C11" s="107" t="s">
        <v>144</v>
      </c>
      <c r="D11" s="108">
        <v>1</v>
      </c>
      <c r="E11" s="108">
        <f t="shared" ref="E11:F44" si="0">G11+I11+K11+M11+O11+Q11+S11+U11+W11+Y11+AA11+AC11+AE11+AG11+AI11+AK11+AM11+AO11+AQ11+AS11+AU11+AW11+AY11+BA11+BC11+BE11+BG11+BI11+BK11+BM11</f>
        <v>11</v>
      </c>
      <c r="F11" s="106">
        <f t="shared" si="0"/>
        <v>56199449</v>
      </c>
      <c r="G11" s="108"/>
      <c r="H11" s="109">
        <f>+G11*$H$10</f>
        <v>0</v>
      </c>
      <c r="I11" s="108"/>
      <c r="J11" s="109">
        <f>+I11*$J$10</f>
        <v>0</v>
      </c>
      <c r="K11" s="108">
        <f>7+2</f>
        <v>9</v>
      </c>
      <c r="L11" s="109">
        <f>+K11*$L$10</f>
        <v>53665920</v>
      </c>
      <c r="M11" s="108"/>
      <c r="N11" s="109">
        <f>+M11*$N$10</f>
        <v>0</v>
      </c>
      <c r="O11" s="108"/>
      <c r="P11" s="109">
        <f t="shared" ref="P11:P44" si="1">+O11*$P$10</f>
        <v>0</v>
      </c>
      <c r="Q11" s="108"/>
      <c r="R11" s="109">
        <f t="shared" ref="R11:R44" si="2">+Q11*$R$10</f>
        <v>0</v>
      </c>
      <c r="S11" s="108"/>
      <c r="T11" s="109">
        <f t="shared" ref="T11:T44" si="3">+S11*$T$10</f>
        <v>0</v>
      </c>
      <c r="U11" s="108"/>
      <c r="V11" s="109">
        <f t="shared" ref="V11:V44" si="4">+U11*$V$10</f>
        <v>0</v>
      </c>
      <c r="W11" s="108"/>
      <c r="X11" s="109">
        <f t="shared" ref="X11:X44" si="5">+W11*$X$10</f>
        <v>0</v>
      </c>
      <c r="Y11" s="108"/>
      <c r="Z11" s="109">
        <f t="shared" ref="Z11:Z44" si="6">+Y11*$Z$10</f>
        <v>0</v>
      </c>
      <c r="AA11" s="108"/>
      <c r="AB11" s="109">
        <f t="shared" ref="AB11:AB44" si="7">+AA11*$AB$10</f>
        <v>0</v>
      </c>
      <c r="AC11" s="108"/>
      <c r="AD11" s="109">
        <f t="shared" ref="AD11:AD41" si="8">+AC11*$AD$10</f>
        <v>0</v>
      </c>
      <c r="AE11" s="108"/>
      <c r="AF11" s="109">
        <f>+AE11*$AF$10</f>
        <v>0</v>
      </c>
      <c r="AG11" s="108"/>
      <c r="AH11" s="109">
        <f t="shared" ref="AH11:AH44" si="9">+AG11*$AH$10</f>
        <v>0</v>
      </c>
      <c r="AI11" s="108">
        <v>1</v>
      </c>
      <c r="AJ11" s="109">
        <f>+AI11*$AJ$10</f>
        <v>771299</v>
      </c>
      <c r="AK11" s="108"/>
      <c r="AL11" s="109">
        <f t="shared" ref="AL11:AL44" si="10">+AK11*$AL$10</f>
        <v>0</v>
      </c>
      <c r="AM11" s="108"/>
      <c r="AN11" s="109">
        <f>+AM11*$AN$10</f>
        <v>0</v>
      </c>
      <c r="AO11" s="108"/>
      <c r="AP11" s="109">
        <f t="shared" ref="AP11:AP44" si="11">+AO11*$AP$10</f>
        <v>0</v>
      </c>
      <c r="AQ11" s="108">
        <v>1</v>
      </c>
      <c r="AR11" s="109">
        <f t="shared" ref="AR11:AR40" si="12">+AQ11*$AR$10</f>
        <v>1762230</v>
      </c>
      <c r="AS11" s="108"/>
      <c r="AT11" s="109">
        <f t="shared" ref="AT11:AT40" si="13">+AS11*$AT$10</f>
        <v>0</v>
      </c>
      <c r="AU11" s="108"/>
      <c r="AV11" s="109">
        <f t="shared" ref="AV11:AV44" si="14">+AU11*$AV$10</f>
        <v>0</v>
      </c>
      <c r="AW11" s="108"/>
      <c r="AX11" s="109">
        <f t="shared" ref="AX11:AX44" si="15">+AW11*$AX$10</f>
        <v>0</v>
      </c>
      <c r="AY11" s="108"/>
      <c r="AZ11" s="109">
        <v>0</v>
      </c>
      <c r="BA11" s="107"/>
      <c r="BB11" s="109">
        <f t="shared" ref="BB11:BB26" si="16">+BA11*$BD$10</f>
        <v>0</v>
      </c>
      <c r="BC11" s="108"/>
      <c r="BD11" s="109">
        <f>+BC11*$BD$10</f>
        <v>0</v>
      </c>
      <c r="BE11" s="108"/>
      <c r="BF11" s="109">
        <v>0</v>
      </c>
      <c r="BG11" s="108"/>
      <c r="BH11" s="109">
        <f>+BG11*$BH$10</f>
        <v>0</v>
      </c>
      <c r="BI11" s="108"/>
      <c r="BJ11" s="109">
        <f>+BI11*$BJ$10</f>
        <v>0</v>
      </c>
      <c r="BK11" s="108"/>
      <c r="BL11" s="109">
        <f>+BK11*$BL$10</f>
        <v>0</v>
      </c>
      <c r="BM11" s="108"/>
      <c r="BN11" s="109">
        <f>+BM11*$BN$10</f>
        <v>0</v>
      </c>
    </row>
    <row r="12" spans="3:66" s="110" customFormat="1" ht="12.75" customHeight="1">
      <c r="C12" s="107" t="s">
        <v>145</v>
      </c>
      <c r="D12" s="108">
        <v>3</v>
      </c>
      <c r="E12" s="108">
        <f t="shared" si="0"/>
        <v>25</v>
      </c>
      <c r="F12" s="106">
        <f t="shared" si="0"/>
        <v>131508113</v>
      </c>
      <c r="G12" s="108">
        <v>1</v>
      </c>
      <c r="H12" s="109">
        <f>+G12*$H$10</f>
        <v>6058286</v>
      </c>
      <c r="I12" s="108">
        <v>18</v>
      </c>
      <c r="J12" s="109">
        <f>+I12*$J$10</f>
        <v>109049148</v>
      </c>
      <c r="K12" s="108"/>
      <c r="L12" s="109">
        <f t="shared" ref="L12:L44" si="17">+K12*$L$10</f>
        <v>0</v>
      </c>
      <c r="M12" s="108">
        <v>1</v>
      </c>
      <c r="N12" s="109">
        <f>+M12*$N$10</f>
        <v>5948135</v>
      </c>
      <c r="O12" s="108"/>
      <c r="P12" s="109">
        <f t="shared" si="1"/>
        <v>0</v>
      </c>
      <c r="Q12" s="108">
        <v>1</v>
      </c>
      <c r="R12" s="109">
        <f t="shared" si="2"/>
        <v>1989239</v>
      </c>
      <c r="S12" s="108">
        <v>1</v>
      </c>
      <c r="T12" s="109">
        <f t="shared" si="3"/>
        <v>1953070</v>
      </c>
      <c r="U12" s="108">
        <v>2</v>
      </c>
      <c r="V12" s="109">
        <f t="shared" si="4"/>
        <v>4701836</v>
      </c>
      <c r="W12" s="108"/>
      <c r="X12" s="109">
        <f t="shared" si="5"/>
        <v>0</v>
      </c>
      <c r="Y12" s="108"/>
      <c r="Z12" s="109">
        <f t="shared" si="6"/>
        <v>0</v>
      </c>
      <c r="AA12" s="108">
        <v>1</v>
      </c>
      <c r="AB12" s="109">
        <f t="shared" si="7"/>
        <v>1808399</v>
      </c>
      <c r="AC12" s="108"/>
      <c r="AD12" s="109">
        <f t="shared" si="8"/>
        <v>0</v>
      </c>
      <c r="AE12" s="108"/>
      <c r="AF12" s="109">
        <f t="shared" ref="AF12:AF43" si="18">+AE12*$AD$10</f>
        <v>0</v>
      </c>
      <c r="AG12" s="108"/>
      <c r="AH12" s="109">
        <f t="shared" si="9"/>
        <v>0</v>
      </c>
      <c r="AI12" s="108"/>
      <c r="AJ12" s="109">
        <f t="shared" ref="AJ12:AJ44" si="19">+AI12*$AJ$10</f>
        <v>0</v>
      </c>
      <c r="AK12" s="108"/>
      <c r="AL12" s="109">
        <f t="shared" si="10"/>
        <v>0</v>
      </c>
      <c r="AM12" s="108"/>
      <c r="AN12" s="109">
        <f t="shared" ref="AN12:AN44" si="20">+AM12*$AN$10</f>
        <v>0</v>
      </c>
      <c r="AO12" s="108"/>
      <c r="AP12" s="109">
        <f t="shared" si="11"/>
        <v>0</v>
      </c>
      <c r="AQ12" s="108"/>
      <c r="AR12" s="109">
        <f t="shared" si="12"/>
        <v>0</v>
      </c>
      <c r="AS12" s="108"/>
      <c r="AT12" s="109">
        <f t="shared" si="13"/>
        <v>0</v>
      </c>
      <c r="AU12" s="108"/>
      <c r="AV12" s="109">
        <f t="shared" si="14"/>
        <v>0</v>
      </c>
      <c r="AW12" s="108"/>
      <c r="AX12" s="109">
        <f t="shared" si="15"/>
        <v>0</v>
      </c>
      <c r="AY12" s="108"/>
      <c r="AZ12" s="109">
        <f>+AY12*$AZ$10</f>
        <v>0</v>
      </c>
      <c r="BA12" s="107"/>
      <c r="BB12" s="109">
        <f t="shared" si="16"/>
        <v>0</v>
      </c>
      <c r="BC12" s="108"/>
      <c r="BD12" s="109">
        <f>+BC12*$BD$10</f>
        <v>0</v>
      </c>
      <c r="BE12" s="108"/>
      <c r="BF12" s="109">
        <f>+BE12*$BF$10</f>
        <v>0</v>
      </c>
      <c r="BG12" s="108"/>
      <c r="BH12" s="109">
        <f>+BG12*$BH$10</f>
        <v>0</v>
      </c>
      <c r="BI12" s="108"/>
      <c r="BJ12" s="109">
        <f>+BI12*$BJ$10</f>
        <v>0</v>
      </c>
      <c r="BK12" s="109"/>
      <c r="BL12" s="109">
        <f t="shared" ref="BL12:BL44" si="21">+BK12*$BL$10</f>
        <v>0</v>
      </c>
      <c r="BM12" s="108"/>
      <c r="BN12" s="109">
        <f>+BM12*$BN$10</f>
        <v>0</v>
      </c>
    </row>
    <row r="13" spans="3:66" s="110" customFormat="1" ht="12.75" customHeight="1">
      <c r="C13" s="107" t="s">
        <v>146</v>
      </c>
      <c r="D13" s="108">
        <v>5</v>
      </c>
      <c r="E13" s="108">
        <f t="shared" si="0"/>
        <v>4</v>
      </c>
      <c r="F13" s="106">
        <f t="shared" si="0"/>
        <v>20164097</v>
      </c>
      <c r="G13" s="108"/>
      <c r="H13" s="109">
        <f t="shared" ref="H13:H44" si="22">+G13*$H$10</f>
        <v>0</v>
      </c>
      <c r="I13" s="108">
        <v>3</v>
      </c>
      <c r="J13" s="109">
        <f t="shared" ref="J13:J40" si="23">+I13*$J$10</f>
        <v>18174858</v>
      </c>
      <c r="K13" s="108"/>
      <c r="L13" s="109">
        <f t="shared" si="17"/>
        <v>0</v>
      </c>
      <c r="M13" s="108"/>
      <c r="N13" s="109">
        <f t="shared" ref="N13:N44" si="24">+M13*$N$10</f>
        <v>0</v>
      </c>
      <c r="O13" s="108"/>
      <c r="P13" s="109">
        <f t="shared" si="1"/>
        <v>0</v>
      </c>
      <c r="Q13" s="108">
        <v>1</v>
      </c>
      <c r="R13" s="109">
        <f t="shared" si="2"/>
        <v>1989239</v>
      </c>
      <c r="S13" s="108"/>
      <c r="T13" s="109">
        <f t="shared" si="3"/>
        <v>0</v>
      </c>
      <c r="U13" s="108"/>
      <c r="V13" s="109">
        <f t="shared" si="4"/>
        <v>0</v>
      </c>
      <c r="W13" s="108"/>
      <c r="X13" s="109">
        <f t="shared" si="5"/>
        <v>0</v>
      </c>
      <c r="Y13" s="108"/>
      <c r="Z13" s="109">
        <f t="shared" si="6"/>
        <v>0</v>
      </c>
      <c r="AA13" s="108"/>
      <c r="AB13" s="109">
        <f t="shared" si="7"/>
        <v>0</v>
      </c>
      <c r="AC13" s="108"/>
      <c r="AD13" s="109">
        <f t="shared" si="8"/>
        <v>0</v>
      </c>
      <c r="AE13" s="108"/>
      <c r="AF13" s="109">
        <f t="shared" si="18"/>
        <v>0</v>
      </c>
      <c r="AG13" s="108"/>
      <c r="AH13" s="109">
        <f t="shared" si="9"/>
        <v>0</v>
      </c>
      <c r="AI13" s="108"/>
      <c r="AJ13" s="109">
        <f t="shared" si="19"/>
        <v>0</v>
      </c>
      <c r="AK13" s="108"/>
      <c r="AL13" s="109">
        <f t="shared" si="10"/>
        <v>0</v>
      </c>
      <c r="AM13" s="108"/>
      <c r="AN13" s="109">
        <f t="shared" si="20"/>
        <v>0</v>
      </c>
      <c r="AO13" s="108"/>
      <c r="AP13" s="109">
        <f t="shared" si="11"/>
        <v>0</v>
      </c>
      <c r="AQ13" s="108"/>
      <c r="AR13" s="109">
        <f t="shared" si="12"/>
        <v>0</v>
      </c>
      <c r="AS13" s="108"/>
      <c r="AT13" s="109">
        <f t="shared" si="13"/>
        <v>0</v>
      </c>
      <c r="AU13" s="108"/>
      <c r="AV13" s="109">
        <f t="shared" si="14"/>
        <v>0</v>
      </c>
      <c r="AW13" s="108"/>
      <c r="AX13" s="109">
        <f t="shared" si="15"/>
        <v>0</v>
      </c>
      <c r="AY13" s="108"/>
      <c r="AZ13" s="109">
        <v>0</v>
      </c>
      <c r="BA13" s="107"/>
      <c r="BB13" s="109">
        <f t="shared" si="16"/>
        <v>0</v>
      </c>
      <c r="BC13" s="108"/>
      <c r="BD13" s="109">
        <f t="shared" ref="BD13:BD44" si="25">+BC13*$BD$10</f>
        <v>0</v>
      </c>
      <c r="BE13" s="108"/>
      <c r="BF13" s="109">
        <v>0</v>
      </c>
      <c r="BG13" s="108"/>
      <c r="BH13" s="109">
        <f t="shared" ref="BH13:BH44" si="26">+BG13*$BH$10</f>
        <v>0</v>
      </c>
      <c r="BI13" s="108"/>
      <c r="BJ13" s="109">
        <f t="shared" ref="BJ13:BJ44" si="27">+BI13*$BJ$10</f>
        <v>0</v>
      </c>
      <c r="BK13" s="109"/>
      <c r="BL13" s="109">
        <f t="shared" si="21"/>
        <v>0</v>
      </c>
      <c r="BM13" s="108"/>
      <c r="BN13" s="109">
        <f t="shared" ref="BN13:BN44" si="28">+BM13*$BN$10</f>
        <v>0</v>
      </c>
    </row>
    <row r="14" spans="3:66" s="110" customFormat="1" ht="12.75" customHeight="1">
      <c r="C14" s="107" t="s">
        <v>147</v>
      </c>
      <c r="D14" s="108">
        <v>4</v>
      </c>
      <c r="E14" s="108">
        <f t="shared" si="0"/>
        <v>17</v>
      </c>
      <c r="F14" s="106">
        <f t="shared" si="0"/>
        <v>94852768</v>
      </c>
      <c r="G14" s="108">
        <v>1</v>
      </c>
      <c r="H14" s="109">
        <f t="shared" si="22"/>
        <v>6058286</v>
      </c>
      <c r="I14" s="108">
        <v>14</v>
      </c>
      <c r="J14" s="109">
        <f t="shared" si="23"/>
        <v>84816004</v>
      </c>
      <c r="K14" s="108"/>
      <c r="L14" s="109">
        <f t="shared" si="17"/>
        <v>0</v>
      </c>
      <c r="M14" s="108"/>
      <c r="N14" s="109">
        <f t="shared" si="24"/>
        <v>0</v>
      </c>
      <c r="O14" s="108"/>
      <c r="P14" s="109">
        <f t="shared" si="1"/>
        <v>0</v>
      </c>
      <c r="Q14" s="108">
        <v>2</v>
      </c>
      <c r="R14" s="109">
        <f t="shared" si="2"/>
        <v>3978478</v>
      </c>
      <c r="S14" s="108"/>
      <c r="T14" s="109">
        <f t="shared" si="3"/>
        <v>0</v>
      </c>
      <c r="U14" s="108"/>
      <c r="V14" s="109">
        <f t="shared" si="4"/>
        <v>0</v>
      </c>
      <c r="W14" s="108"/>
      <c r="X14" s="109">
        <f t="shared" si="5"/>
        <v>0</v>
      </c>
      <c r="Y14" s="108"/>
      <c r="Z14" s="109">
        <f t="shared" si="6"/>
        <v>0</v>
      </c>
      <c r="AA14" s="108"/>
      <c r="AB14" s="109">
        <f t="shared" si="7"/>
        <v>0</v>
      </c>
      <c r="AC14" s="108"/>
      <c r="AD14" s="109">
        <f t="shared" si="8"/>
        <v>0</v>
      </c>
      <c r="AE14" s="108"/>
      <c r="AF14" s="109">
        <f t="shared" si="18"/>
        <v>0</v>
      </c>
      <c r="AG14" s="108"/>
      <c r="AH14" s="109">
        <f t="shared" si="9"/>
        <v>0</v>
      </c>
      <c r="AI14" s="108"/>
      <c r="AJ14" s="109">
        <f t="shared" si="19"/>
        <v>0</v>
      </c>
      <c r="AK14" s="108"/>
      <c r="AL14" s="109">
        <f t="shared" si="10"/>
        <v>0</v>
      </c>
      <c r="AM14" s="108"/>
      <c r="AN14" s="109">
        <f t="shared" si="20"/>
        <v>0</v>
      </c>
      <c r="AO14" s="108"/>
      <c r="AP14" s="109">
        <f t="shared" si="11"/>
        <v>0</v>
      </c>
      <c r="AQ14" s="108"/>
      <c r="AR14" s="109">
        <f t="shared" si="12"/>
        <v>0</v>
      </c>
      <c r="AS14" s="108"/>
      <c r="AT14" s="109">
        <f t="shared" si="13"/>
        <v>0</v>
      </c>
      <c r="AU14" s="108"/>
      <c r="AV14" s="109">
        <f t="shared" si="14"/>
        <v>0</v>
      </c>
      <c r="AW14" s="108"/>
      <c r="AX14" s="109">
        <f t="shared" si="15"/>
        <v>0</v>
      </c>
      <c r="AY14" s="108"/>
      <c r="AZ14" s="109">
        <v>0</v>
      </c>
      <c r="BA14" s="107"/>
      <c r="BB14" s="109">
        <f t="shared" si="16"/>
        <v>0</v>
      </c>
      <c r="BC14" s="108"/>
      <c r="BD14" s="109">
        <f t="shared" si="25"/>
        <v>0</v>
      </c>
      <c r="BE14" s="108"/>
      <c r="BF14" s="109">
        <v>0</v>
      </c>
      <c r="BG14" s="108"/>
      <c r="BH14" s="109">
        <f t="shared" si="26"/>
        <v>0</v>
      </c>
      <c r="BI14" s="108"/>
      <c r="BJ14" s="109">
        <f t="shared" si="27"/>
        <v>0</v>
      </c>
      <c r="BK14" s="109"/>
      <c r="BL14" s="109">
        <f t="shared" si="21"/>
        <v>0</v>
      </c>
      <c r="BM14" s="108"/>
      <c r="BN14" s="109">
        <f t="shared" si="28"/>
        <v>0</v>
      </c>
    </row>
    <row r="15" spans="3:66" s="110" customFormat="1" ht="12.75" customHeight="1">
      <c r="C15" s="107" t="s">
        <v>148</v>
      </c>
      <c r="D15" s="108">
        <v>4</v>
      </c>
      <c r="E15" s="108">
        <f t="shared" si="0"/>
        <v>15</v>
      </c>
      <c r="F15" s="106">
        <f t="shared" si="0"/>
        <v>82374516</v>
      </c>
      <c r="G15" s="108"/>
      <c r="H15" s="109">
        <f t="shared" si="22"/>
        <v>0</v>
      </c>
      <c r="I15" s="108">
        <f>11+2</f>
        <v>13</v>
      </c>
      <c r="J15" s="109">
        <f t="shared" si="23"/>
        <v>78757718</v>
      </c>
      <c r="K15" s="108"/>
      <c r="L15" s="109">
        <f t="shared" si="17"/>
        <v>0</v>
      </c>
      <c r="M15" s="108"/>
      <c r="N15" s="109">
        <f t="shared" si="24"/>
        <v>0</v>
      </c>
      <c r="O15" s="108"/>
      <c r="P15" s="109">
        <f t="shared" si="1"/>
        <v>0</v>
      </c>
      <c r="Q15" s="108"/>
      <c r="R15" s="109">
        <f t="shared" si="2"/>
        <v>0</v>
      </c>
      <c r="S15" s="108"/>
      <c r="T15" s="109">
        <f t="shared" si="3"/>
        <v>0</v>
      </c>
      <c r="U15" s="108"/>
      <c r="V15" s="109">
        <f t="shared" si="4"/>
        <v>0</v>
      </c>
      <c r="W15" s="108"/>
      <c r="X15" s="109">
        <f t="shared" si="5"/>
        <v>0</v>
      </c>
      <c r="Y15" s="108"/>
      <c r="Z15" s="109">
        <f t="shared" si="6"/>
        <v>0</v>
      </c>
      <c r="AA15" s="108">
        <v>2</v>
      </c>
      <c r="AB15" s="109">
        <f t="shared" si="7"/>
        <v>3616798</v>
      </c>
      <c r="AC15" s="108"/>
      <c r="AD15" s="109">
        <f t="shared" si="8"/>
        <v>0</v>
      </c>
      <c r="AE15" s="108"/>
      <c r="AF15" s="109">
        <f t="shared" si="18"/>
        <v>0</v>
      </c>
      <c r="AG15" s="108"/>
      <c r="AH15" s="109">
        <f t="shared" si="9"/>
        <v>0</v>
      </c>
      <c r="AI15" s="108"/>
      <c r="AJ15" s="109">
        <f t="shared" si="19"/>
        <v>0</v>
      </c>
      <c r="AK15" s="108"/>
      <c r="AL15" s="109">
        <f t="shared" si="10"/>
        <v>0</v>
      </c>
      <c r="AM15" s="108"/>
      <c r="AN15" s="109">
        <f t="shared" si="20"/>
        <v>0</v>
      </c>
      <c r="AO15" s="108"/>
      <c r="AP15" s="109">
        <f t="shared" si="11"/>
        <v>0</v>
      </c>
      <c r="AQ15" s="108"/>
      <c r="AR15" s="109">
        <f t="shared" si="12"/>
        <v>0</v>
      </c>
      <c r="AS15" s="108"/>
      <c r="AT15" s="109">
        <f t="shared" si="13"/>
        <v>0</v>
      </c>
      <c r="AU15" s="108"/>
      <c r="AV15" s="109">
        <f t="shared" si="14"/>
        <v>0</v>
      </c>
      <c r="AW15" s="108"/>
      <c r="AX15" s="109">
        <f t="shared" si="15"/>
        <v>0</v>
      </c>
      <c r="AY15" s="108"/>
      <c r="AZ15" s="109">
        <v>0</v>
      </c>
      <c r="BA15" s="107"/>
      <c r="BB15" s="109">
        <f t="shared" si="16"/>
        <v>0</v>
      </c>
      <c r="BC15" s="108"/>
      <c r="BD15" s="109">
        <f t="shared" si="25"/>
        <v>0</v>
      </c>
      <c r="BE15" s="108"/>
      <c r="BF15" s="109">
        <v>0</v>
      </c>
      <c r="BG15" s="108"/>
      <c r="BH15" s="109">
        <f t="shared" si="26"/>
        <v>0</v>
      </c>
      <c r="BI15" s="108"/>
      <c r="BJ15" s="109">
        <f t="shared" si="27"/>
        <v>0</v>
      </c>
      <c r="BK15" s="109"/>
      <c r="BL15" s="109">
        <f t="shared" si="21"/>
        <v>0</v>
      </c>
      <c r="BM15" s="108"/>
      <c r="BN15" s="109">
        <f t="shared" si="28"/>
        <v>0</v>
      </c>
    </row>
    <row r="16" spans="3:66" s="110" customFormat="1" ht="12.75" customHeight="1">
      <c r="C16" s="107" t="s">
        <v>149</v>
      </c>
      <c r="D16" s="108">
        <v>5</v>
      </c>
      <c r="E16" s="108">
        <f t="shared" si="0"/>
        <v>18</v>
      </c>
      <c r="F16" s="106">
        <f t="shared" si="0"/>
        <v>96540606</v>
      </c>
      <c r="G16" s="108">
        <v>1</v>
      </c>
      <c r="H16" s="109">
        <f t="shared" si="22"/>
        <v>6058286</v>
      </c>
      <c r="I16" s="108">
        <v>14</v>
      </c>
      <c r="J16" s="109">
        <f t="shared" si="23"/>
        <v>84816004</v>
      </c>
      <c r="K16" s="108"/>
      <c r="L16" s="109">
        <f t="shared" si="17"/>
        <v>0</v>
      </c>
      <c r="M16" s="108"/>
      <c r="N16" s="109">
        <f t="shared" si="24"/>
        <v>0</v>
      </c>
      <c r="O16" s="108">
        <v>2</v>
      </c>
      <c r="P16" s="109">
        <f t="shared" si="1"/>
        <v>5425196</v>
      </c>
      <c r="Q16" s="108"/>
      <c r="R16" s="109">
        <f t="shared" si="2"/>
        <v>0</v>
      </c>
      <c r="S16" s="108"/>
      <c r="T16" s="109">
        <f t="shared" si="3"/>
        <v>0</v>
      </c>
      <c r="U16" s="108"/>
      <c r="V16" s="109">
        <f t="shared" si="4"/>
        <v>0</v>
      </c>
      <c r="W16" s="108"/>
      <c r="X16" s="109">
        <f t="shared" si="5"/>
        <v>0</v>
      </c>
      <c r="Y16" s="108"/>
      <c r="Z16" s="109">
        <f t="shared" si="6"/>
        <v>0</v>
      </c>
      <c r="AA16" s="108"/>
      <c r="AB16" s="109">
        <f t="shared" si="7"/>
        <v>0</v>
      </c>
      <c r="AC16" s="108"/>
      <c r="AD16" s="109">
        <f t="shared" si="8"/>
        <v>0</v>
      </c>
      <c r="AE16" s="108"/>
      <c r="AF16" s="109">
        <f t="shared" si="18"/>
        <v>0</v>
      </c>
      <c r="AG16" s="108"/>
      <c r="AH16" s="109">
        <f t="shared" si="9"/>
        <v>0</v>
      </c>
      <c r="AI16" s="108"/>
      <c r="AJ16" s="109">
        <f t="shared" si="19"/>
        <v>0</v>
      </c>
      <c r="AK16" s="108"/>
      <c r="AL16" s="109">
        <f t="shared" si="10"/>
        <v>0</v>
      </c>
      <c r="AM16" s="108"/>
      <c r="AN16" s="109">
        <f t="shared" si="20"/>
        <v>0</v>
      </c>
      <c r="AO16" s="108"/>
      <c r="AP16" s="109">
        <f t="shared" si="11"/>
        <v>0</v>
      </c>
      <c r="AQ16" s="108"/>
      <c r="AR16" s="109">
        <f t="shared" si="12"/>
        <v>0</v>
      </c>
      <c r="AS16" s="108">
        <v>1</v>
      </c>
      <c r="AT16" s="109">
        <f t="shared" si="13"/>
        <v>241120</v>
      </c>
      <c r="AU16" s="108"/>
      <c r="AV16" s="109">
        <f t="shared" si="14"/>
        <v>0</v>
      </c>
      <c r="AW16" s="108"/>
      <c r="AX16" s="109">
        <f t="shared" si="15"/>
        <v>0</v>
      </c>
      <c r="AY16" s="108"/>
      <c r="AZ16" s="109">
        <v>0</v>
      </c>
      <c r="BA16" s="107"/>
      <c r="BB16" s="109">
        <f t="shared" si="16"/>
        <v>0</v>
      </c>
      <c r="BC16" s="108"/>
      <c r="BD16" s="109">
        <f t="shared" si="25"/>
        <v>0</v>
      </c>
      <c r="BE16" s="108"/>
      <c r="BF16" s="109">
        <v>0</v>
      </c>
      <c r="BG16" s="108"/>
      <c r="BH16" s="109">
        <f t="shared" si="26"/>
        <v>0</v>
      </c>
      <c r="BI16" s="108"/>
      <c r="BJ16" s="109">
        <f t="shared" si="27"/>
        <v>0</v>
      </c>
      <c r="BK16" s="109"/>
      <c r="BL16" s="109">
        <f t="shared" si="21"/>
        <v>0</v>
      </c>
      <c r="BM16" s="108"/>
      <c r="BN16" s="109">
        <f t="shared" si="28"/>
        <v>0</v>
      </c>
    </row>
    <row r="17" spans="3:66" s="110" customFormat="1" ht="12.75" customHeight="1">
      <c r="C17" s="107" t="s">
        <v>150</v>
      </c>
      <c r="D17" s="108">
        <v>3</v>
      </c>
      <c r="E17" s="108">
        <f t="shared" si="0"/>
        <v>11</v>
      </c>
      <c r="F17" s="106">
        <f t="shared" si="0"/>
        <v>41895323</v>
      </c>
      <c r="G17" s="108">
        <v>1</v>
      </c>
      <c r="H17" s="109">
        <f t="shared" si="22"/>
        <v>6058286</v>
      </c>
      <c r="I17" s="108">
        <v>4</v>
      </c>
      <c r="J17" s="109">
        <f t="shared" si="23"/>
        <v>24233144</v>
      </c>
      <c r="K17" s="108"/>
      <c r="L17" s="109">
        <f t="shared" si="17"/>
        <v>0</v>
      </c>
      <c r="M17" s="108"/>
      <c r="N17" s="109">
        <f t="shared" si="24"/>
        <v>0</v>
      </c>
      <c r="O17" s="108"/>
      <c r="P17" s="109">
        <f t="shared" si="1"/>
        <v>0</v>
      </c>
      <c r="Q17" s="108">
        <v>5</v>
      </c>
      <c r="R17" s="109">
        <f t="shared" si="2"/>
        <v>9946195</v>
      </c>
      <c r="S17" s="108"/>
      <c r="T17" s="109">
        <f t="shared" si="3"/>
        <v>0</v>
      </c>
      <c r="U17" s="108"/>
      <c r="V17" s="109">
        <f t="shared" si="4"/>
        <v>0</v>
      </c>
      <c r="W17" s="108"/>
      <c r="X17" s="109">
        <f t="shared" si="5"/>
        <v>0</v>
      </c>
      <c r="Y17" s="108"/>
      <c r="Z17" s="109">
        <f t="shared" si="6"/>
        <v>0</v>
      </c>
      <c r="AA17" s="108"/>
      <c r="AB17" s="109">
        <f t="shared" si="7"/>
        <v>0</v>
      </c>
      <c r="AC17" s="108"/>
      <c r="AD17" s="109">
        <f t="shared" si="8"/>
        <v>0</v>
      </c>
      <c r="AE17" s="108"/>
      <c r="AF17" s="109">
        <f t="shared" si="18"/>
        <v>0</v>
      </c>
      <c r="AG17" s="108"/>
      <c r="AH17" s="109">
        <f t="shared" si="9"/>
        <v>0</v>
      </c>
      <c r="AI17" s="108"/>
      <c r="AJ17" s="109">
        <f t="shared" si="19"/>
        <v>0</v>
      </c>
      <c r="AK17" s="108"/>
      <c r="AL17" s="109">
        <f t="shared" si="10"/>
        <v>0</v>
      </c>
      <c r="AM17" s="108"/>
      <c r="AN17" s="109">
        <f t="shared" si="20"/>
        <v>0</v>
      </c>
      <c r="AO17" s="108"/>
      <c r="AP17" s="109">
        <f t="shared" si="11"/>
        <v>0</v>
      </c>
      <c r="AQ17" s="108"/>
      <c r="AR17" s="109">
        <f t="shared" si="12"/>
        <v>0</v>
      </c>
      <c r="AS17" s="108"/>
      <c r="AT17" s="109">
        <f t="shared" si="13"/>
        <v>0</v>
      </c>
      <c r="AU17" s="108"/>
      <c r="AV17" s="109">
        <f t="shared" si="14"/>
        <v>0</v>
      </c>
      <c r="AW17" s="108"/>
      <c r="AX17" s="109">
        <f t="shared" si="15"/>
        <v>0</v>
      </c>
      <c r="AY17" s="108"/>
      <c r="AZ17" s="109">
        <v>0</v>
      </c>
      <c r="BA17" s="107"/>
      <c r="BB17" s="109">
        <f t="shared" si="16"/>
        <v>0</v>
      </c>
      <c r="BC17" s="108"/>
      <c r="BD17" s="109">
        <f t="shared" si="25"/>
        <v>0</v>
      </c>
      <c r="BE17" s="108"/>
      <c r="BF17" s="109">
        <v>0</v>
      </c>
      <c r="BG17" s="108">
        <v>1</v>
      </c>
      <c r="BH17" s="109">
        <f t="shared" si="26"/>
        <v>1657698</v>
      </c>
      <c r="BI17" s="108"/>
      <c r="BJ17" s="109">
        <f t="shared" si="27"/>
        <v>0</v>
      </c>
      <c r="BK17" s="109"/>
      <c r="BL17" s="109">
        <f t="shared" si="21"/>
        <v>0</v>
      </c>
      <c r="BM17" s="108"/>
      <c r="BN17" s="109">
        <f t="shared" si="28"/>
        <v>0</v>
      </c>
    </row>
    <row r="18" spans="3:66" s="110" customFormat="1" ht="12.75" customHeight="1">
      <c r="C18" s="107" t="s">
        <v>151</v>
      </c>
      <c r="D18" s="108">
        <v>2</v>
      </c>
      <c r="E18" s="108">
        <f t="shared" si="0"/>
        <v>11</v>
      </c>
      <c r="F18" s="106">
        <f t="shared" si="0"/>
        <v>43613603</v>
      </c>
      <c r="G18" s="108">
        <v>1</v>
      </c>
      <c r="H18" s="109">
        <f t="shared" si="22"/>
        <v>6058286</v>
      </c>
      <c r="I18" s="108">
        <v>5</v>
      </c>
      <c r="J18" s="109">
        <f t="shared" si="23"/>
        <v>30291430</v>
      </c>
      <c r="K18" s="108"/>
      <c r="L18" s="109">
        <f t="shared" si="17"/>
        <v>0</v>
      </c>
      <c r="M18" s="108"/>
      <c r="N18" s="109">
        <f t="shared" si="24"/>
        <v>0</v>
      </c>
      <c r="O18" s="108"/>
      <c r="P18" s="109">
        <f t="shared" si="1"/>
        <v>0</v>
      </c>
      <c r="Q18" s="108"/>
      <c r="R18" s="109">
        <f t="shared" si="2"/>
        <v>0</v>
      </c>
      <c r="S18" s="108"/>
      <c r="T18" s="109">
        <f t="shared" si="3"/>
        <v>0</v>
      </c>
      <c r="U18" s="108"/>
      <c r="V18" s="109">
        <f t="shared" si="4"/>
        <v>0</v>
      </c>
      <c r="W18" s="108"/>
      <c r="X18" s="109">
        <f t="shared" si="5"/>
        <v>0</v>
      </c>
      <c r="Y18" s="108"/>
      <c r="Z18" s="109">
        <f t="shared" si="6"/>
        <v>0</v>
      </c>
      <c r="AA18" s="108"/>
      <c r="AB18" s="109">
        <f t="shared" si="7"/>
        <v>0</v>
      </c>
      <c r="AC18" s="108"/>
      <c r="AD18" s="109">
        <f t="shared" si="8"/>
        <v>0</v>
      </c>
      <c r="AE18" s="108"/>
      <c r="AF18" s="109">
        <f t="shared" si="18"/>
        <v>0</v>
      </c>
      <c r="AG18" s="108">
        <v>1</v>
      </c>
      <c r="AH18" s="109">
        <f t="shared" si="9"/>
        <v>120560</v>
      </c>
      <c r="AI18" s="108"/>
      <c r="AJ18" s="109">
        <f t="shared" si="19"/>
        <v>0</v>
      </c>
      <c r="AK18" s="108"/>
      <c r="AL18" s="109">
        <f t="shared" si="10"/>
        <v>0</v>
      </c>
      <c r="AM18" s="108"/>
      <c r="AN18" s="109">
        <f t="shared" si="20"/>
        <v>0</v>
      </c>
      <c r="AO18" s="108">
        <v>1</v>
      </c>
      <c r="AP18" s="109">
        <f t="shared" si="11"/>
        <v>2441490</v>
      </c>
      <c r="AQ18" s="108"/>
      <c r="AR18" s="109">
        <f t="shared" si="12"/>
        <v>0</v>
      </c>
      <c r="AS18" s="108"/>
      <c r="AT18" s="109">
        <f t="shared" si="13"/>
        <v>0</v>
      </c>
      <c r="AU18" s="108">
        <v>1</v>
      </c>
      <c r="AV18" s="109">
        <f t="shared" si="14"/>
        <v>241120</v>
      </c>
      <c r="AW18" s="108"/>
      <c r="AX18" s="109">
        <f t="shared" si="15"/>
        <v>0</v>
      </c>
      <c r="AY18" s="108">
        <v>1</v>
      </c>
      <c r="AZ18" s="109">
        <f>+AY18*AZ10</f>
        <v>1808399</v>
      </c>
      <c r="BA18" s="107"/>
      <c r="BB18" s="109">
        <f t="shared" si="16"/>
        <v>0</v>
      </c>
      <c r="BC18" s="108"/>
      <c r="BD18" s="109">
        <f t="shared" si="25"/>
        <v>0</v>
      </c>
      <c r="BE18" s="108"/>
      <c r="BF18" s="109">
        <v>0</v>
      </c>
      <c r="BG18" s="108"/>
      <c r="BH18" s="109">
        <f t="shared" si="26"/>
        <v>0</v>
      </c>
      <c r="BI18" s="108"/>
      <c r="BJ18" s="109">
        <f t="shared" si="27"/>
        <v>0</v>
      </c>
      <c r="BK18" s="109"/>
      <c r="BL18" s="109">
        <f t="shared" si="21"/>
        <v>0</v>
      </c>
      <c r="BM18" s="108">
        <v>1</v>
      </c>
      <c r="BN18" s="109">
        <f t="shared" si="28"/>
        <v>2652318</v>
      </c>
    </row>
    <row r="19" spans="3:66" s="110" customFormat="1" ht="12.75" customHeight="1">
      <c r="C19" s="107" t="s">
        <v>152</v>
      </c>
      <c r="D19" s="108">
        <v>5</v>
      </c>
      <c r="E19" s="108">
        <f t="shared" si="0"/>
        <v>7</v>
      </c>
      <c r="F19" s="106">
        <f t="shared" si="0"/>
        <v>38125235</v>
      </c>
      <c r="G19" s="108">
        <v>1</v>
      </c>
      <c r="H19" s="109">
        <f t="shared" si="22"/>
        <v>6058286</v>
      </c>
      <c r="I19" s="108">
        <f>4+1</f>
        <v>5</v>
      </c>
      <c r="J19" s="109">
        <f t="shared" si="23"/>
        <v>30291430</v>
      </c>
      <c r="K19" s="108"/>
      <c r="L19" s="109">
        <f t="shared" si="17"/>
        <v>0</v>
      </c>
      <c r="M19" s="108"/>
      <c r="N19" s="109">
        <f t="shared" si="24"/>
        <v>0</v>
      </c>
      <c r="O19" s="108"/>
      <c r="P19" s="109">
        <f t="shared" si="1"/>
        <v>0</v>
      </c>
      <c r="Q19" s="108"/>
      <c r="R19" s="109">
        <f t="shared" si="2"/>
        <v>0</v>
      </c>
      <c r="S19" s="108"/>
      <c r="T19" s="109">
        <f t="shared" si="3"/>
        <v>0</v>
      </c>
      <c r="U19" s="108"/>
      <c r="V19" s="109">
        <f t="shared" si="4"/>
        <v>0</v>
      </c>
      <c r="W19" s="108"/>
      <c r="X19" s="109">
        <f t="shared" si="5"/>
        <v>0</v>
      </c>
      <c r="Y19" s="108">
        <v>1</v>
      </c>
      <c r="Z19" s="109">
        <f t="shared" si="6"/>
        <v>1775519</v>
      </c>
      <c r="AA19" s="108"/>
      <c r="AB19" s="109">
        <f t="shared" si="7"/>
        <v>0</v>
      </c>
      <c r="AC19" s="108"/>
      <c r="AD19" s="109">
        <f t="shared" si="8"/>
        <v>0</v>
      </c>
      <c r="AE19" s="108"/>
      <c r="AF19" s="109">
        <f t="shared" si="18"/>
        <v>0</v>
      </c>
      <c r="AG19" s="108"/>
      <c r="AH19" s="109">
        <f t="shared" si="9"/>
        <v>0</v>
      </c>
      <c r="AI19" s="108"/>
      <c r="AJ19" s="109">
        <f t="shared" si="19"/>
        <v>0</v>
      </c>
      <c r="AK19" s="108"/>
      <c r="AL19" s="109">
        <f t="shared" si="10"/>
        <v>0</v>
      </c>
      <c r="AM19" s="108"/>
      <c r="AN19" s="109">
        <f t="shared" si="20"/>
        <v>0</v>
      </c>
      <c r="AO19" s="108"/>
      <c r="AP19" s="109">
        <f t="shared" si="11"/>
        <v>0</v>
      </c>
      <c r="AQ19" s="108"/>
      <c r="AR19" s="109">
        <f t="shared" si="12"/>
        <v>0</v>
      </c>
      <c r="AS19" s="108"/>
      <c r="AT19" s="109">
        <f t="shared" si="13"/>
        <v>0</v>
      </c>
      <c r="AU19" s="108"/>
      <c r="AV19" s="109">
        <f t="shared" si="14"/>
        <v>0</v>
      </c>
      <c r="AW19" s="108"/>
      <c r="AX19" s="109">
        <f t="shared" si="15"/>
        <v>0</v>
      </c>
      <c r="AY19" s="108"/>
      <c r="AZ19" s="109">
        <v>0</v>
      </c>
      <c r="BA19" s="107"/>
      <c r="BB19" s="109">
        <f t="shared" si="16"/>
        <v>0</v>
      </c>
      <c r="BC19" s="108"/>
      <c r="BD19" s="109">
        <f t="shared" si="25"/>
        <v>0</v>
      </c>
      <c r="BE19" s="108"/>
      <c r="BF19" s="109">
        <v>0</v>
      </c>
      <c r="BG19" s="108"/>
      <c r="BH19" s="109">
        <f t="shared" si="26"/>
        <v>0</v>
      </c>
      <c r="BI19" s="108"/>
      <c r="BJ19" s="109">
        <f t="shared" si="27"/>
        <v>0</v>
      </c>
      <c r="BK19" s="109"/>
      <c r="BL19" s="109">
        <f t="shared" si="21"/>
        <v>0</v>
      </c>
      <c r="BM19" s="108"/>
      <c r="BN19" s="109">
        <f t="shared" si="28"/>
        <v>0</v>
      </c>
    </row>
    <row r="20" spans="3:66" s="110" customFormat="1" ht="12.75" customHeight="1">
      <c r="C20" s="107" t="s">
        <v>153</v>
      </c>
      <c r="D20" s="108">
        <v>2</v>
      </c>
      <c r="E20" s="108">
        <f t="shared" si="0"/>
        <v>10</v>
      </c>
      <c r="F20" s="106">
        <f t="shared" si="0"/>
        <v>60582860</v>
      </c>
      <c r="G20" s="108">
        <v>1</v>
      </c>
      <c r="H20" s="109">
        <f t="shared" si="22"/>
        <v>6058286</v>
      </c>
      <c r="I20" s="108">
        <f>7+2</f>
        <v>9</v>
      </c>
      <c r="J20" s="109">
        <f t="shared" si="23"/>
        <v>54524574</v>
      </c>
      <c r="K20" s="108"/>
      <c r="L20" s="109">
        <f t="shared" si="17"/>
        <v>0</v>
      </c>
      <c r="M20" s="108"/>
      <c r="N20" s="109">
        <f t="shared" si="24"/>
        <v>0</v>
      </c>
      <c r="O20" s="108"/>
      <c r="P20" s="109">
        <f t="shared" si="1"/>
        <v>0</v>
      </c>
      <c r="Q20" s="108"/>
      <c r="R20" s="109">
        <f t="shared" si="2"/>
        <v>0</v>
      </c>
      <c r="S20" s="108"/>
      <c r="T20" s="109">
        <f t="shared" si="3"/>
        <v>0</v>
      </c>
      <c r="U20" s="108"/>
      <c r="V20" s="109">
        <f t="shared" si="4"/>
        <v>0</v>
      </c>
      <c r="W20" s="108"/>
      <c r="X20" s="109">
        <f t="shared" si="5"/>
        <v>0</v>
      </c>
      <c r="Y20" s="108"/>
      <c r="Z20" s="109">
        <f t="shared" si="6"/>
        <v>0</v>
      </c>
      <c r="AA20" s="108"/>
      <c r="AB20" s="109">
        <f t="shared" si="7"/>
        <v>0</v>
      </c>
      <c r="AC20" s="108"/>
      <c r="AD20" s="109">
        <f t="shared" si="8"/>
        <v>0</v>
      </c>
      <c r="AE20" s="108"/>
      <c r="AF20" s="109">
        <f t="shared" si="18"/>
        <v>0</v>
      </c>
      <c r="AG20" s="108"/>
      <c r="AH20" s="109">
        <f t="shared" si="9"/>
        <v>0</v>
      </c>
      <c r="AI20" s="108"/>
      <c r="AJ20" s="109">
        <f t="shared" si="19"/>
        <v>0</v>
      </c>
      <c r="AK20" s="108"/>
      <c r="AL20" s="109">
        <f t="shared" si="10"/>
        <v>0</v>
      </c>
      <c r="AM20" s="108"/>
      <c r="AN20" s="109">
        <f t="shared" si="20"/>
        <v>0</v>
      </c>
      <c r="AO20" s="108"/>
      <c r="AP20" s="109">
        <f t="shared" si="11"/>
        <v>0</v>
      </c>
      <c r="AQ20" s="108"/>
      <c r="AR20" s="109">
        <f t="shared" si="12"/>
        <v>0</v>
      </c>
      <c r="AS20" s="108"/>
      <c r="AT20" s="109">
        <f t="shared" si="13"/>
        <v>0</v>
      </c>
      <c r="AU20" s="108"/>
      <c r="AV20" s="109">
        <f t="shared" si="14"/>
        <v>0</v>
      </c>
      <c r="AW20" s="108"/>
      <c r="AX20" s="109">
        <f t="shared" si="15"/>
        <v>0</v>
      </c>
      <c r="AY20" s="108"/>
      <c r="AZ20" s="109">
        <v>0</v>
      </c>
      <c r="BA20" s="107"/>
      <c r="BB20" s="109">
        <f t="shared" si="16"/>
        <v>0</v>
      </c>
      <c r="BC20" s="108"/>
      <c r="BD20" s="109">
        <f t="shared" si="25"/>
        <v>0</v>
      </c>
      <c r="BE20" s="108"/>
      <c r="BF20" s="109">
        <v>0</v>
      </c>
      <c r="BG20" s="108"/>
      <c r="BH20" s="109">
        <f t="shared" si="26"/>
        <v>0</v>
      </c>
      <c r="BI20" s="108"/>
      <c r="BJ20" s="109">
        <f t="shared" si="27"/>
        <v>0</v>
      </c>
      <c r="BK20" s="109"/>
      <c r="BL20" s="109">
        <f t="shared" si="21"/>
        <v>0</v>
      </c>
      <c r="BM20" s="108"/>
      <c r="BN20" s="109">
        <f t="shared" si="28"/>
        <v>0</v>
      </c>
    </row>
    <row r="21" spans="3:66" s="110" customFormat="1" ht="12.75" customHeight="1">
      <c r="C21" s="107" t="s">
        <v>154</v>
      </c>
      <c r="D21" s="108">
        <v>5</v>
      </c>
      <c r="E21" s="108">
        <f t="shared" si="0"/>
        <v>9</v>
      </c>
      <c r="F21" s="106">
        <f t="shared" si="0"/>
        <v>54524574</v>
      </c>
      <c r="G21" s="108"/>
      <c r="H21" s="109">
        <f t="shared" si="22"/>
        <v>0</v>
      </c>
      <c r="I21" s="108">
        <v>9</v>
      </c>
      <c r="J21" s="109">
        <f t="shared" si="23"/>
        <v>54524574</v>
      </c>
      <c r="K21" s="108"/>
      <c r="L21" s="109">
        <f t="shared" si="17"/>
        <v>0</v>
      </c>
      <c r="M21" s="108"/>
      <c r="N21" s="109">
        <f t="shared" si="24"/>
        <v>0</v>
      </c>
      <c r="O21" s="108"/>
      <c r="P21" s="109">
        <f t="shared" si="1"/>
        <v>0</v>
      </c>
      <c r="Q21" s="108"/>
      <c r="R21" s="109">
        <f t="shared" si="2"/>
        <v>0</v>
      </c>
      <c r="S21" s="108"/>
      <c r="T21" s="109">
        <f t="shared" si="3"/>
        <v>0</v>
      </c>
      <c r="U21" s="108"/>
      <c r="V21" s="109">
        <f t="shared" si="4"/>
        <v>0</v>
      </c>
      <c r="W21" s="108"/>
      <c r="X21" s="109">
        <f t="shared" si="5"/>
        <v>0</v>
      </c>
      <c r="Y21" s="108"/>
      <c r="Z21" s="109">
        <f t="shared" si="6"/>
        <v>0</v>
      </c>
      <c r="AA21" s="108"/>
      <c r="AB21" s="109">
        <f t="shared" si="7"/>
        <v>0</v>
      </c>
      <c r="AC21" s="108"/>
      <c r="AD21" s="109">
        <f t="shared" si="8"/>
        <v>0</v>
      </c>
      <c r="AE21" s="108"/>
      <c r="AF21" s="109">
        <f t="shared" si="18"/>
        <v>0</v>
      </c>
      <c r="AG21" s="108"/>
      <c r="AH21" s="109">
        <f t="shared" si="9"/>
        <v>0</v>
      </c>
      <c r="AI21" s="108"/>
      <c r="AJ21" s="109">
        <f t="shared" si="19"/>
        <v>0</v>
      </c>
      <c r="AK21" s="108"/>
      <c r="AL21" s="109">
        <f t="shared" si="10"/>
        <v>0</v>
      </c>
      <c r="AM21" s="108"/>
      <c r="AN21" s="109">
        <f t="shared" si="20"/>
        <v>0</v>
      </c>
      <c r="AO21" s="108"/>
      <c r="AP21" s="109">
        <f t="shared" si="11"/>
        <v>0</v>
      </c>
      <c r="AQ21" s="108"/>
      <c r="AR21" s="109">
        <f t="shared" si="12"/>
        <v>0</v>
      </c>
      <c r="AS21" s="108"/>
      <c r="AT21" s="109">
        <f t="shared" si="13"/>
        <v>0</v>
      </c>
      <c r="AU21" s="108"/>
      <c r="AV21" s="109">
        <f t="shared" si="14"/>
        <v>0</v>
      </c>
      <c r="AW21" s="108"/>
      <c r="AX21" s="109">
        <f t="shared" si="15"/>
        <v>0</v>
      </c>
      <c r="AY21" s="108"/>
      <c r="AZ21" s="109">
        <v>0</v>
      </c>
      <c r="BA21" s="107"/>
      <c r="BB21" s="109">
        <f t="shared" si="16"/>
        <v>0</v>
      </c>
      <c r="BC21" s="108"/>
      <c r="BD21" s="109">
        <f t="shared" si="25"/>
        <v>0</v>
      </c>
      <c r="BE21" s="108"/>
      <c r="BF21" s="109">
        <v>0</v>
      </c>
      <c r="BG21" s="108"/>
      <c r="BH21" s="109">
        <f t="shared" si="26"/>
        <v>0</v>
      </c>
      <c r="BI21" s="108"/>
      <c r="BJ21" s="109">
        <f t="shared" si="27"/>
        <v>0</v>
      </c>
      <c r="BK21" s="109"/>
      <c r="BL21" s="109">
        <f t="shared" si="21"/>
        <v>0</v>
      </c>
      <c r="BM21" s="108"/>
      <c r="BN21" s="109">
        <f t="shared" si="28"/>
        <v>0</v>
      </c>
    </row>
    <row r="22" spans="3:66" s="110" customFormat="1" ht="12.75" customHeight="1">
      <c r="C22" s="107" t="s">
        <v>155</v>
      </c>
      <c r="D22" s="108">
        <v>3</v>
      </c>
      <c r="E22" s="108">
        <f t="shared" si="0"/>
        <v>10</v>
      </c>
      <c r="F22" s="106">
        <f t="shared" si="0"/>
        <v>57237172</v>
      </c>
      <c r="G22" s="108">
        <v>1</v>
      </c>
      <c r="H22" s="109">
        <f>+G22*$H$10</f>
        <v>6058286</v>
      </c>
      <c r="I22" s="108">
        <v>8</v>
      </c>
      <c r="J22" s="109">
        <f t="shared" si="23"/>
        <v>48466288</v>
      </c>
      <c r="K22" s="108"/>
      <c r="L22" s="109">
        <f t="shared" si="17"/>
        <v>0</v>
      </c>
      <c r="M22" s="108"/>
      <c r="N22" s="109">
        <f t="shared" si="24"/>
        <v>0</v>
      </c>
      <c r="O22" s="108">
        <v>1</v>
      </c>
      <c r="P22" s="109">
        <f t="shared" si="1"/>
        <v>2712598</v>
      </c>
      <c r="Q22" s="108"/>
      <c r="R22" s="109">
        <f t="shared" si="2"/>
        <v>0</v>
      </c>
      <c r="S22" s="108"/>
      <c r="T22" s="109">
        <f t="shared" si="3"/>
        <v>0</v>
      </c>
      <c r="U22" s="108"/>
      <c r="V22" s="109">
        <f t="shared" si="4"/>
        <v>0</v>
      </c>
      <c r="W22" s="108"/>
      <c r="X22" s="109">
        <f t="shared" si="5"/>
        <v>0</v>
      </c>
      <c r="Y22" s="108"/>
      <c r="Z22" s="109">
        <f t="shared" si="6"/>
        <v>0</v>
      </c>
      <c r="AA22" s="108"/>
      <c r="AB22" s="109">
        <f t="shared" si="7"/>
        <v>0</v>
      </c>
      <c r="AC22" s="108"/>
      <c r="AD22" s="109">
        <f t="shared" si="8"/>
        <v>0</v>
      </c>
      <c r="AE22" s="108"/>
      <c r="AF22" s="109">
        <f t="shared" si="18"/>
        <v>0</v>
      </c>
      <c r="AG22" s="108"/>
      <c r="AH22" s="109">
        <f t="shared" si="9"/>
        <v>0</v>
      </c>
      <c r="AI22" s="108"/>
      <c r="AJ22" s="109">
        <f t="shared" si="19"/>
        <v>0</v>
      </c>
      <c r="AK22" s="108"/>
      <c r="AL22" s="109">
        <f t="shared" si="10"/>
        <v>0</v>
      </c>
      <c r="AM22" s="108"/>
      <c r="AN22" s="109">
        <f t="shared" si="20"/>
        <v>0</v>
      </c>
      <c r="AO22" s="108"/>
      <c r="AP22" s="109">
        <f t="shared" si="11"/>
        <v>0</v>
      </c>
      <c r="AQ22" s="108"/>
      <c r="AR22" s="109">
        <f t="shared" si="12"/>
        <v>0</v>
      </c>
      <c r="AS22" s="108"/>
      <c r="AT22" s="109">
        <f t="shared" si="13"/>
        <v>0</v>
      </c>
      <c r="AU22" s="108"/>
      <c r="AV22" s="109">
        <f t="shared" si="14"/>
        <v>0</v>
      </c>
      <c r="AW22" s="108"/>
      <c r="AX22" s="109">
        <f t="shared" si="15"/>
        <v>0</v>
      </c>
      <c r="AY22" s="108"/>
      <c r="AZ22" s="109">
        <v>0</v>
      </c>
      <c r="BA22" s="107"/>
      <c r="BB22" s="109">
        <f t="shared" si="16"/>
        <v>0</v>
      </c>
      <c r="BC22" s="108"/>
      <c r="BD22" s="109">
        <f t="shared" si="25"/>
        <v>0</v>
      </c>
      <c r="BE22" s="108"/>
      <c r="BF22" s="109">
        <v>0</v>
      </c>
      <c r="BG22" s="108"/>
      <c r="BH22" s="109">
        <f t="shared" si="26"/>
        <v>0</v>
      </c>
      <c r="BI22" s="108"/>
      <c r="BJ22" s="109">
        <f t="shared" si="27"/>
        <v>0</v>
      </c>
      <c r="BK22" s="109"/>
      <c r="BL22" s="109">
        <f t="shared" si="21"/>
        <v>0</v>
      </c>
      <c r="BM22" s="108"/>
      <c r="BN22" s="109">
        <f t="shared" si="28"/>
        <v>0</v>
      </c>
    </row>
    <row r="23" spans="3:66" s="110" customFormat="1" ht="12.75" customHeight="1">
      <c r="C23" s="107" t="s">
        <v>156</v>
      </c>
      <c r="D23" s="108">
        <v>3</v>
      </c>
      <c r="E23" s="108">
        <f t="shared" si="0"/>
        <v>11</v>
      </c>
      <c r="F23" s="106">
        <f t="shared" si="0"/>
        <v>62358379</v>
      </c>
      <c r="G23" s="108">
        <v>1</v>
      </c>
      <c r="H23" s="109">
        <f t="shared" si="22"/>
        <v>6058286</v>
      </c>
      <c r="I23" s="108">
        <v>9</v>
      </c>
      <c r="J23" s="109">
        <f t="shared" si="23"/>
        <v>54524574</v>
      </c>
      <c r="K23" s="108"/>
      <c r="L23" s="109">
        <f t="shared" si="17"/>
        <v>0</v>
      </c>
      <c r="M23" s="108"/>
      <c r="N23" s="109">
        <f t="shared" si="24"/>
        <v>0</v>
      </c>
      <c r="O23" s="108"/>
      <c r="P23" s="109">
        <f t="shared" si="1"/>
        <v>0</v>
      </c>
      <c r="Q23" s="108"/>
      <c r="R23" s="109">
        <f t="shared" si="2"/>
        <v>0</v>
      </c>
      <c r="S23" s="108"/>
      <c r="T23" s="109">
        <f t="shared" si="3"/>
        <v>0</v>
      </c>
      <c r="U23" s="108"/>
      <c r="V23" s="109">
        <f t="shared" si="4"/>
        <v>0</v>
      </c>
      <c r="W23" s="108"/>
      <c r="X23" s="109">
        <f t="shared" si="5"/>
        <v>0</v>
      </c>
      <c r="Y23" s="108">
        <v>1</v>
      </c>
      <c r="Z23" s="109">
        <f t="shared" si="6"/>
        <v>1775519</v>
      </c>
      <c r="AA23" s="108"/>
      <c r="AB23" s="109">
        <f t="shared" si="7"/>
        <v>0</v>
      </c>
      <c r="AC23" s="108"/>
      <c r="AD23" s="109">
        <f t="shared" si="8"/>
        <v>0</v>
      </c>
      <c r="AE23" s="108"/>
      <c r="AF23" s="109">
        <f t="shared" si="18"/>
        <v>0</v>
      </c>
      <c r="AG23" s="108"/>
      <c r="AH23" s="109">
        <f t="shared" si="9"/>
        <v>0</v>
      </c>
      <c r="AI23" s="108"/>
      <c r="AJ23" s="109">
        <f t="shared" si="19"/>
        <v>0</v>
      </c>
      <c r="AK23" s="108"/>
      <c r="AL23" s="109">
        <f t="shared" si="10"/>
        <v>0</v>
      </c>
      <c r="AM23" s="108"/>
      <c r="AN23" s="109">
        <f t="shared" si="20"/>
        <v>0</v>
      </c>
      <c r="AO23" s="108"/>
      <c r="AP23" s="109">
        <f t="shared" si="11"/>
        <v>0</v>
      </c>
      <c r="AQ23" s="108"/>
      <c r="AR23" s="109">
        <f t="shared" si="12"/>
        <v>0</v>
      </c>
      <c r="AS23" s="108"/>
      <c r="AT23" s="109">
        <f t="shared" si="13"/>
        <v>0</v>
      </c>
      <c r="AU23" s="108"/>
      <c r="AV23" s="109">
        <f t="shared" si="14"/>
        <v>0</v>
      </c>
      <c r="AW23" s="108"/>
      <c r="AX23" s="109">
        <f t="shared" si="15"/>
        <v>0</v>
      </c>
      <c r="AY23" s="108"/>
      <c r="AZ23" s="109">
        <v>0</v>
      </c>
      <c r="BA23" s="107"/>
      <c r="BB23" s="109">
        <f t="shared" si="16"/>
        <v>0</v>
      </c>
      <c r="BC23" s="108"/>
      <c r="BD23" s="109">
        <f t="shared" si="25"/>
        <v>0</v>
      </c>
      <c r="BE23" s="108"/>
      <c r="BF23" s="109">
        <v>0</v>
      </c>
      <c r="BG23" s="108"/>
      <c r="BH23" s="109">
        <f t="shared" si="26"/>
        <v>0</v>
      </c>
      <c r="BI23" s="108"/>
      <c r="BJ23" s="109">
        <f t="shared" si="27"/>
        <v>0</v>
      </c>
      <c r="BK23" s="109"/>
      <c r="BL23" s="109">
        <f t="shared" si="21"/>
        <v>0</v>
      </c>
      <c r="BM23" s="108"/>
      <c r="BN23" s="109">
        <f t="shared" si="28"/>
        <v>0</v>
      </c>
    </row>
    <row r="24" spans="3:66" s="110" customFormat="1" ht="12.75" customHeight="1">
      <c r="C24" s="107" t="s">
        <v>157</v>
      </c>
      <c r="D24" s="108">
        <v>1</v>
      </c>
      <c r="E24" s="108">
        <f t="shared" si="0"/>
        <v>2</v>
      </c>
      <c r="F24" s="106">
        <f t="shared" si="0"/>
        <v>12006421</v>
      </c>
      <c r="G24" s="108"/>
      <c r="H24" s="109">
        <f t="shared" si="22"/>
        <v>0</v>
      </c>
      <c r="I24" s="108">
        <v>1</v>
      </c>
      <c r="J24" s="109">
        <f t="shared" si="23"/>
        <v>6058286</v>
      </c>
      <c r="K24" s="108"/>
      <c r="L24" s="109">
        <f t="shared" si="17"/>
        <v>0</v>
      </c>
      <c r="M24" s="108">
        <v>1</v>
      </c>
      <c r="N24" s="109">
        <f t="shared" si="24"/>
        <v>5948135</v>
      </c>
      <c r="O24" s="108"/>
      <c r="P24" s="109">
        <f t="shared" si="1"/>
        <v>0</v>
      </c>
      <c r="Q24" s="108"/>
      <c r="R24" s="109">
        <f t="shared" si="2"/>
        <v>0</v>
      </c>
      <c r="S24" s="108"/>
      <c r="T24" s="109">
        <f t="shared" si="3"/>
        <v>0</v>
      </c>
      <c r="U24" s="108"/>
      <c r="V24" s="109">
        <f t="shared" si="4"/>
        <v>0</v>
      </c>
      <c r="W24" s="108"/>
      <c r="X24" s="109">
        <f t="shared" si="5"/>
        <v>0</v>
      </c>
      <c r="Y24" s="108"/>
      <c r="Z24" s="109">
        <f t="shared" si="6"/>
        <v>0</v>
      </c>
      <c r="AA24" s="108"/>
      <c r="AB24" s="109">
        <f t="shared" si="7"/>
        <v>0</v>
      </c>
      <c r="AC24" s="108"/>
      <c r="AD24" s="109">
        <f t="shared" si="8"/>
        <v>0</v>
      </c>
      <c r="AE24" s="108"/>
      <c r="AF24" s="109">
        <f t="shared" si="18"/>
        <v>0</v>
      </c>
      <c r="AG24" s="108"/>
      <c r="AH24" s="109">
        <f t="shared" si="9"/>
        <v>0</v>
      </c>
      <c r="AI24" s="108"/>
      <c r="AJ24" s="109">
        <f t="shared" si="19"/>
        <v>0</v>
      </c>
      <c r="AK24" s="108"/>
      <c r="AL24" s="109">
        <f t="shared" si="10"/>
        <v>0</v>
      </c>
      <c r="AM24" s="108"/>
      <c r="AN24" s="109">
        <f t="shared" si="20"/>
        <v>0</v>
      </c>
      <c r="AO24" s="108"/>
      <c r="AP24" s="109">
        <f t="shared" si="11"/>
        <v>0</v>
      </c>
      <c r="AQ24" s="108"/>
      <c r="AR24" s="109">
        <f t="shared" si="12"/>
        <v>0</v>
      </c>
      <c r="AS24" s="108"/>
      <c r="AT24" s="109">
        <f t="shared" si="13"/>
        <v>0</v>
      </c>
      <c r="AU24" s="108"/>
      <c r="AV24" s="109">
        <f t="shared" si="14"/>
        <v>0</v>
      </c>
      <c r="AW24" s="108"/>
      <c r="AX24" s="109">
        <f t="shared" si="15"/>
        <v>0</v>
      </c>
      <c r="AY24" s="108"/>
      <c r="AZ24" s="109">
        <v>0</v>
      </c>
      <c r="BA24" s="107"/>
      <c r="BB24" s="109">
        <f t="shared" si="16"/>
        <v>0</v>
      </c>
      <c r="BC24" s="108"/>
      <c r="BD24" s="109">
        <f t="shared" si="25"/>
        <v>0</v>
      </c>
      <c r="BE24" s="108"/>
      <c r="BF24" s="109">
        <v>0</v>
      </c>
      <c r="BG24" s="108"/>
      <c r="BH24" s="109">
        <f t="shared" si="26"/>
        <v>0</v>
      </c>
      <c r="BI24" s="108"/>
      <c r="BJ24" s="109">
        <f t="shared" si="27"/>
        <v>0</v>
      </c>
      <c r="BK24" s="109"/>
      <c r="BL24" s="109">
        <f t="shared" si="21"/>
        <v>0</v>
      </c>
      <c r="BM24" s="108"/>
      <c r="BN24" s="109">
        <f t="shared" si="28"/>
        <v>0</v>
      </c>
    </row>
    <row r="25" spans="3:66" s="110" customFormat="1" ht="12.75" customHeight="1">
      <c r="C25" s="107" t="s">
        <v>158</v>
      </c>
      <c r="D25" s="108">
        <v>4</v>
      </c>
      <c r="E25" s="108">
        <f t="shared" si="0"/>
        <v>8</v>
      </c>
      <c r="F25" s="106">
        <f t="shared" si="0"/>
        <v>40328194</v>
      </c>
      <c r="G25" s="108">
        <v>1</v>
      </c>
      <c r="H25" s="109">
        <f t="shared" si="22"/>
        <v>6058286</v>
      </c>
      <c r="I25" s="108">
        <v>5</v>
      </c>
      <c r="J25" s="109">
        <f t="shared" si="23"/>
        <v>30291430</v>
      </c>
      <c r="K25" s="108"/>
      <c r="L25" s="109">
        <f t="shared" si="17"/>
        <v>0</v>
      </c>
      <c r="M25" s="108"/>
      <c r="N25" s="109">
        <f t="shared" si="24"/>
        <v>0</v>
      </c>
      <c r="O25" s="108"/>
      <c r="P25" s="109">
        <f t="shared" si="1"/>
        <v>0</v>
      </c>
      <c r="Q25" s="108">
        <v>2</v>
      </c>
      <c r="R25" s="109">
        <f t="shared" si="2"/>
        <v>3978478</v>
      </c>
      <c r="S25" s="108"/>
      <c r="T25" s="109">
        <f t="shared" si="3"/>
        <v>0</v>
      </c>
      <c r="U25" s="108"/>
      <c r="V25" s="109">
        <f t="shared" si="4"/>
        <v>0</v>
      </c>
      <c r="W25" s="108"/>
      <c r="X25" s="109">
        <f t="shared" si="5"/>
        <v>0</v>
      </c>
      <c r="Y25" s="108"/>
      <c r="Z25" s="109">
        <f t="shared" si="6"/>
        <v>0</v>
      </c>
      <c r="AA25" s="108"/>
      <c r="AB25" s="109">
        <f t="shared" si="7"/>
        <v>0</v>
      </c>
      <c r="AC25" s="108"/>
      <c r="AD25" s="109">
        <f t="shared" si="8"/>
        <v>0</v>
      </c>
      <c r="AE25" s="108"/>
      <c r="AF25" s="109">
        <f t="shared" si="18"/>
        <v>0</v>
      </c>
      <c r="AG25" s="108"/>
      <c r="AH25" s="109">
        <f t="shared" si="9"/>
        <v>0</v>
      </c>
      <c r="AI25" s="108"/>
      <c r="AJ25" s="109">
        <f t="shared" si="19"/>
        <v>0</v>
      </c>
      <c r="AK25" s="108"/>
      <c r="AL25" s="109">
        <f t="shared" si="10"/>
        <v>0</v>
      </c>
      <c r="AM25" s="108"/>
      <c r="AN25" s="109">
        <f t="shared" si="20"/>
        <v>0</v>
      </c>
      <c r="AO25" s="108"/>
      <c r="AP25" s="109">
        <f t="shared" si="11"/>
        <v>0</v>
      </c>
      <c r="AQ25" s="108"/>
      <c r="AR25" s="109">
        <f t="shared" si="12"/>
        <v>0</v>
      </c>
      <c r="AS25" s="108"/>
      <c r="AT25" s="109">
        <f t="shared" si="13"/>
        <v>0</v>
      </c>
      <c r="AU25" s="108"/>
      <c r="AV25" s="109">
        <f t="shared" si="14"/>
        <v>0</v>
      </c>
      <c r="AW25" s="108"/>
      <c r="AX25" s="109">
        <f t="shared" si="15"/>
        <v>0</v>
      </c>
      <c r="AY25" s="108"/>
      <c r="AZ25" s="109">
        <v>0</v>
      </c>
      <c r="BA25" s="107"/>
      <c r="BB25" s="109">
        <f t="shared" si="16"/>
        <v>0</v>
      </c>
      <c r="BC25" s="108"/>
      <c r="BD25" s="109">
        <f t="shared" si="25"/>
        <v>0</v>
      </c>
      <c r="BE25" s="108"/>
      <c r="BF25" s="109">
        <v>0</v>
      </c>
      <c r="BG25" s="108"/>
      <c r="BH25" s="109">
        <f t="shared" si="26"/>
        <v>0</v>
      </c>
      <c r="BI25" s="108"/>
      <c r="BJ25" s="109">
        <f t="shared" si="27"/>
        <v>0</v>
      </c>
      <c r="BK25" s="109"/>
      <c r="BL25" s="109">
        <f t="shared" si="21"/>
        <v>0</v>
      </c>
      <c r="BM25" s="108"/>
      <c r="BN25" s="109">
        <f t="shared" si="28"/>
        <v>0</v>
      </c>
    </row>
    <row r="26" spans="3:66" s="110" customFormat="1" ht="12.75" customHeight="1">
      <c r="C26" s="107" t="s">
        <v>159</v>
      </c>
      <c r="D26" s="108">
        <v>1</v>
      </c>
      <c r="E26" s="108">
        <f t="shared" si="0"/>
        <v>2</v>
      </c>
      <c r="F26" s="106">
        <f t="shared" si="0"/>
        <v>12116572</v>
      </c>
      <c r="G26" s="108">
        <v>1</v>
      </c>
      <c r="H26" s="109">
        <f t="shared" si="22"/>
        <v>6058286</v>
      </c>
      <c r="I26" s="108">
        <v>1</v>
      </c>
      <c r="J26" s="109">
        <f t="shared" si="23"/>
        <v>6058286</v>
      </c>
      <c r="K26" s="108"/>
      <c r="L26" s="109">
        <f t="shared" si="17"/>
        <v>0</v>
      </c>
      <c r="M26" s="108"/>
      <c r="N26" s="109">
        <f t="shared" si="24"/>
        <v>0</v>
      </c>
      <c r="O26" s="108"/>
      <c r="P26" s="109">
        <f t="shared" si="1"/>
        <v>0</v>
      </c>
      <c r="Q26" s="108"/>
      <c r="R26" s="109">
        <f t="shared" si="2"/>
        <v>0</v>
      </c>
      <c r="S26" s="108"/>
      <c r="T26" s="109">
        <f t="shared" si="3"/>
        <v>0</v>
      </c>
      <c r="U26" s="108"/>
      <c r="V26" s="109">
        <f t="shared" si="4"/>
        <v>0</v>
      </c>
      <c r="W26" s="108"/>
      <c r="X26" s="109">
        <f t="shared" si="5"/>
        <v>0</v>
      </c>
      <c r="Y26" s="108"/>
      <c r="Z26" s="109">
        <f t="shared" si="6"/>
        <v>0</v>
      </c>
      <c r="AA26" s="108"/>
      <c r="AB26" s="109">
        <f t="shared" si="7"/>
        <v>0</v>
      </c>
      <c r="AC26" s="108"/>
      <c r="AD26" s="109">
        <f t="shared" si="8"/>
        <v>0</v>
      </c>
      <c r="AE26" s="108"/>
      <c r="AF26" s="109">
        <f t="shared" si="18"/>
        <v>0</v>
      </c>
      <c r="AG26" s="108"/>
      <c r="AH26" s="109">
        <f t="shared" si="9"/>
        <v>0</v>
      </c>
      <c r="AI26" s="108"/>
      <c r="AJ26" s="109">
        <f t="shared" si="19"/>
        <v>0</v>
      </c>
      <c r="AK26" s="108"/>
      <c r="AL26" s="109">
        <f t="shared" si="10"/>
        <v>0</v>
      </c>
      <c r="AM26" s="108"/>
      <c r="AN26" s="109">
        <f t="shared" si="20"/>
        <v>0</v>
      </c>
      <c r="AO26" s="108"/>
      <c r="AP26" s="109">
        <f t="shared" si="11"/>
        <v>0</v>
      </c>
      <c r="AQ26" s="108"/>
      <c r="AR26" s="109">
        <f t="shared" si="12"/>
        <v>0</v>
      </c>
      <c r="AS26" s="108"/>
      <c r="AT26" s="109">
        <f t="shared" si="13"/>
        <v>0</v>
      </c>
      <c r="AU26" s="108"/>
      <c r="AV26" s="109">
        <f t="shared" si="14"/>
        <v>0</v>
      </c>
      <c r="AW26" s="108"/>
      <c r="AX26" s="109">
        <f t="shared" si="15"/>
        <v>0</v>
      </c>
      <c r="AY26" s="108"/>
      <c r="AZ26" s="109">
        <v>0</v>
      </c>
      <c r="BA26" s="107"/>
      <c r="BB26" s="109">
        <f t="shared" si="16"/>
        <v>0</v>
      </c>
      <c r="BC26" s="108"/>
      <c r="BD26" s="109">
        <f t="shared" si="25"/>
        <v>0</v>
      </c>
      <c r="BE26" s="108"/>
      <c r="BF26" s="109">
        <v>0</v>
      </c>
      <c r="BG26" s="108"/>
      <c r="BH26" s="109">
        <f t="shared" si="26"/>
        <v>0</v>
      </c>
      <c r="BI26" s="108"/>
      <c r="BJ26" s="109">
        <f t="shared" si="27"/>
        <v>0</v>
      </c>
      <c r="BK26" s="109"/>
      <c r="BL26" s="109">
        <f t="shared" si="21"/>
        <v>0</v>
      </c>
      <c r="BM26" s="108"/>
      <c r="BN26" s="109">
        <f t="shared" si="28"/>
        <v>0</v>
      </c>
    </row>
    <row r="27" spans="3:66" s="110" customFormat="1" ht="12.75" customHeight="1">
      <c r="C27" s="107" t="s">
        <v>160</v>
      </c>
      <c r="D27" s="108">
        <v>2</v>
      </c>
      <c r="E27" s="108">
        <f t="shared" si="0"/>
        <v>10</v>
      </c>
      <c r="F27" s="106">
        <f t="shared" si="0"/>
        <v>52987284</v>
      </c>
      <c r="G27" s="108">
        <v>1</v>
      </c>
      <c r="H27" s="109">
        <f t="shared" si="22"/>
        <v>6058286</v>
      </c>
      <c r="I27" s="108">
        <v>7</v>
      </c>
      <c r="J27" s="109">
        <f t="shared" si="23"/>
        <v>42408002</v>
      </c>
      <c r="K27" s="108"/>
      <c r="L27" s="109">
        <f t="shared" si="17"/>
        <v>0</v>
      </c>
      <c r="M27" s="108"/>
      <c r="N27" s="109">
        <f t="shared" si="24"/>
        <v>0</v>
      </c>
      <c r="O27" s="108"/>
      <c r="P27" s="109">
        <f t="shared" si="1"/>
        <v>0</v>
      </c>
      <c r="Q27" s="108"/>
      <c r="R27" s="109">
        <f t="shared" si="2"/>
        <v>0</v>
      </c>
      <c r="S27" s="108"/>
      <c r="T27" s="109">
        <f t="shared" si="3"/>
        <v>0</v>
      </c>
      <c r="U27" s="108"/>
      <c r="V27" s="109">
        <f t="shared" si="4"/>
        <v>0</v>
      </c>
      <c r="W27" s="108"/>
      <c r="X27" s="109">
        <f t="shared" si="5"/>
        <v>0</v>
      </c>
      <c r="Y27" s="108"/>
      <c r="Z27" s="109">
        <f t="shared" si="6"/>
        <v>0</v>
      </c>
      <c r="AA27" s="108"/>
      <c r="AB27" s="109">
        <f t="shared" si="7"/>
        <v>0</v>
      </c>
      <c r="AC27" s="108"/>
      <c r="AD27" s="109">
        <f t="shared" si="8"/>
        <v>0</v>
      </c>
      <c r="AE27" s="108"/>
      <c r="AF27" s="109">
        <f t="shared" si="18"/>
        <v>0</v>
      </c>
      <c r="AG27" s="108"/>
      <c r="AH27" s="109">
        <f t="shared" si="9"/>
        <v>0</v>
      </c>
      <c r="AI27" s="108"/>
      <c r="AJ27" s="109">
        <f t="shared" si="19"/>
        <v>0</v>
      </c>
      <c r="AK27" s="108"/>
      <c r="AL27" s="109">
        <f t="shared" si="10"/>
        <v>0</v>
      </c>
      <c r="AM27" s="108"/>
      <c r="AN27" s="109">
        <f t="shared" si="20"/>
        <v>0</v>
      </c>
      <c r="AO27" s="108"/>
      <c r="AP27" s="109">
        <f t="shared" si="11"/>
        <v>0</v>
      </c>
      <c r="AQ27" s="108"/>
      <c r="AR27" s="109">
        <f t="shared" si="12"/>
        <v>0</v>
      </c>
      <c r="AS27" s="108"/>
      <c r="AT27" s="109">
        <f t="shared" si="13"/>
        <v>0</v>
      </c>
      <c r="AU27" s="108"/>
      <c r="AV27" s="109">
        <f t="shared" si="14"/>
        <v>0</v>
      </c>
      <c r="AW27" s="108"/>
      <c r="AX27" s="109">
        <f t="shared" si="15"/>
        <v>0</v>
      </c>
      <c r="AY27" s="108"/>
      <c r="AZ27" s="109">
        <v>0</v>
      </c>
      <c r="BA27" s="107"/>
      <c r="BB27" s="109">
        <f>+BA27*$BB$10</f>
        <v>0</v>
      </c>
      <c r="BC27" s="108"/>
      <c r="BD27" s="109">
        <f t="shared" si="25"/>
        <v>0</v>
      </c>
      <c r="BE27" s="108"/>
      <c r="BF27" s="109">
        <v>0</v>
      </c>
      <c r="BG27" s="108"/>
      <c r="BH27" s="109">
        <f t="shared" si="26"/>
        <v>0</v>
      </c>
      <c r="BI27" s="108">
        <v>2</v>
      </c>
      <c r="BJ27" s="109">
        <f>+BI27*$BJ$10</f>
        <v>4520996</v>
      </c>
      <c r="BK27" s="109"/>
      <c r="BL27" s="109">
        <f t="shared" si="21"/>
        <v>0</v>
      </c>
      <c r="BM27" s="108"/>
      <c r="BN27" s="109">
        <f t="shared" si="28"/>
        <v>0</v>
      </c>
    </row>
    <row r="28" spans="3:66" s="110" customFormat="1" ht="12.75" customHeight="1">
      <c r="C28" s="107" t="s">
        <v>161</v>
      </c>
      <c r="D28" s="108">
        <v>4</v>
      </c>
      <c r="E28" s="108">
        <f t="shared" si="0"/>
        <v>9</v>
      </c>
      <c r="F28" s="106">
        <f t="shared" si="0"/>
        <v>54524574</v>
      </c>
      <c r="G28" s="108">
        <v>1</v>
      </c>
      <c r="H28" s="109">
        <f t="shared" si="22"/>
        <v>6058286</v>
      </c>
      <c r="I28" s="108">
        <v>8</v>
      </c>
      <c r="J28" s="109">
        <f t="shared" si="23"/>
        <v>48466288</v>
      </c>
      <c r="K28" s="108"/>
      <c r="L28" s="109">
        <f t="shared" si="17"/>
        <v>0</v>
      </c>
      <c r="M28" s="108"/>
      <c r="N28" s="109">
        <f t="shared" si="24"/>
        <v>0</v>
      </c>
      <c r="O28" s="108"/>
      <c r="P28" s="109">
        <f t="shared" si="1"/>
        <v>0</v>
      </c>
      <c r="Q28" s="108"/>
      <c r="R28" s="109">
        <f t="shared" si="2"/>
        <v>0</v>
      </c>
      <c r="S28" s="108"/>
      <c r="T28" s="109">
        <f t="shared" si="3"/>
        <v>0</v>
      </c>
      <c r="U28" s="108"/>
      <c r="V28" s="109">
        <f t="shared" si="4"/>
        <v>0</v>
      </c>
      <c r="W28" s="108"/>
      <c r="X28" s="109">
        <f t="shared" si="5"/>
        <v>0</v>
      </c>
      <c r="Y28" s="108"/>
      <c r="Z28" s="109">
        <f t="shared" si="6"/>
        <v>0</v>
      </c>
      <c r="AA28" s="108"/>
      <c r="AB28" s="109">
        <f t="shared" si="7"/>
        <v>0</v>
      </c>
      <c r="AC28" s="108"/>
      <c r="AD28" s="109">
        <f t="shared" si="8"/>
        <v>0</v>
      </c>
      <c r="AE28" s="108"/>
      <c r="AF28" s="109">
        <f t="shared" si="18"/>
        <v>0</v>
      </c>
      <c r="AG28" s="108"/>
      <c r="AH28" s="109">
        <f t="shared" si="9"/>
        <v>0</v>
      </c>
      <c r="AI28" s="108"/>
      <c r="AJ28" s="109">
        <f t="shared" si="19"/>
        <v>0</v>
      </c>
      <c r="AK28" s="108"/>
      <c r="AL28" s="109">
        <f t="shared" si="10"/>
        <v>0</v>
      </c>
      <c r="AM28" s="108"/>
      <c r="AN28" s="109">
        <f t="shared" si="20"/>
        <v>0</v>
      </c>
      <c r="AO28" s="108"/>
      <c r="AP28" s="109">
        <f t="shared" si="11"/>
        <v>0</v>
      </c>
      <c r="AQ28" s="108"/>
      <c r="AR28" s="109">
        <f t="shared" si="12"/>
        <v>0</v>
      </c>
      <c r="AS28" s="108"/>
      <c r="AT28" s="109">
        <f t="shared" si="13"/>
        <v>0</v>
      </c>
      <c r="AU28" s="108"/>
      <c r="AV28" s="109">
        <f t="shared" si="14"/>
        <v>0</v>
      </c>
      <c r="AW28" s="108"/>
      <c r="AX28" s="109">
        <f t="shared" si="15"/>
        <v>0</v>
      </c>
      <c r="AY28" s="108"/>
      <c r="AZ28" s="109">
        <v>0</v>
      </c>
      <c r="BA28" s="107"/>
      <c r="BB28" s="109">
        <f t="shared" ref="BB28:BB44" si="29">+BA28*$BB$10</f>
        <v>0</v>
      </c>
      <c r="BC28" s="108"/>
      <c r="BD28" s="109">
        <f t="shared" si="25"/>
        <v>0</v>
      </c>
      <c r="BE28" s="108"/>
      <c r="BF28" s="109">
        <v>0</v>
      </c>
      <c r="BG28" s="108"/>
      <c r="BH28" s="109">
        <f t="shared" si="26"/>
        <v>0</v>
      </c>
      <c r="BI28" s="108"/>
      <c r="BJ28" s="109">
        <f t="shared" si="27"/>
        <v>0</v>
      </c>
      <c r="BK28" s="109"/>
      <c r="BL28" s="109">
        <f t="shared" si="21"/>
        <v>0</v>
      </c>
      <c r="BM28" s="108"/>
      <c r="BN28" s="109">
        <f t="shared" si="28"/>
        <v>0</v>
      </c>
    </row>
    <row r="29" spans="3:66" s="110" customFormat="1" ht="12.75" customHeight="1">
      <c r="C29" s="107" t="s">
        <v>162</v>
      </c>
      <c r="D29" s="108">
        <v>1</v>
      </c>
      <c r="E29" s="108">
        <f t="shared" si="0"/>
        <v>12</v>
      </c>
      <c r="F29" s="106">
        <f t="shared" si="0"/>
        <v>64561338</v>
      </c>
      <c r="G29" s="108">
        <v>1</v>
      </c>
      <c r="H29" s="109">
        <f t="shared" si="22"/>
        <v>6058286</v>
      </c>
      <c r="I29" s="108">
        <f>8+1</f>
        <v>9</v>
      </c>
      <c r="J29" s="109">
        <f t="shared" si="23"/>
        <v>54524574</v>
      </c>
      <c r="K29" s="108"/>
      <c r="L29" s="109">
        <f t="shared" si="17"/>
        <v>0</v>
      </c>
      <c r="M29" s="108"/>
      <c r="N29" s="109">
        <f t="shared" si="24"/>
        <v>0</v>
      </c>
      <c r="O29" s="108"/>
      <c r="P29" s="109">
        <f t="shared" si="1"/>
        <v>0</v>
      </c>
      <c r="Q29" s="108">
        <v>2</v>
      </c>
      <c r="R29" s="109">
        <f t="shared" si="2"/>
        <v>3978478</v>
      </c>
      <c r="S29" s="108"/>
      <c r="T29" s="109">
        <f t="shared" si="3"/>
        <v>0</v>
      </c>
      <c r="U29" s="108"/>
      <c r="V29" s="109">
        <f t="shared" si="4"/>
        <v>0</v>
      </c>
      <c r="W29" s="108"/>
      <c r="X29" s="109">
        <f t="shared" si="5"/>
        <v>0</v>
      </c>
      <c r="Y29" s="108"/>
      <c r="Z29" s="109">
        <f t="shared" si="6"/>
        <v>0</v>
      </c>
      <c r="AA29" s="108"/>
      <c r="AB29" s="109">
        <f t="shared" si="7"/>
        <v>0</v>
      </c>
      <c r="AC29" s="108"/>
      <c r="AD29" s="109">
        <f t="shared" si="8"/>
        <v>0</v>
      </c>
      <c r="AE29" s="108"/>
      <c r="AF29" s="109">
        <f t="shared" si="18"/>
        <v>0</v>
      </c>
      <c r="AG29" s="108"/>
      <c r="AH29" s="109">
        <f t="shared" si="9"/>
        <v>0</v>
      </c>
      <c r="AI29" s="108"/>
      <c r="AJ29" s="109">
        <f t="shared" si="19"/>
        <v>0</v>
      </c>
      <c r="AK29" s="108"/>
      <c r="AL29" s="109">
        <f t="shared" si="10"/>
        <v>0</v>
      </c>
      <c r="AM29" s="108"/>
      <c r="AN29" s="109">
        <f t="shared" si="20"/>
        <v>0</v>
      </c>
      <c r="AO29" s="108"/>
      <c r="AP29" s="109">
        <f t="shared" si="11"/>
        <v>0</v>
      </c>
      <c r="AQ29" s="108"/>
      <c r="AR29" s="109">
        <f t="shared" si="12"/>
        <v>0</v>
      </c>
      <c r="AS29" s="108"/>
      <c r="AT29" s="109">
        <f t="shared" si="13"/>
        <v>0</v>
      </c>
      <c r="AU29" s="108"/>
      <c r="AV29" s="109">
        <f t="shared" si="14"/>
        <v>0</v>
      </c>
      <c r="AW29" s="108"/>
      <c r="AX29" s="109">
        <f t="shared" si="15"/>
        <v>0</v>
      </c>
      <c r="AY29" s="108"/>
      <c r="AZ29" s="109">
        <v>0</v>
      </c>
      <c r="BA29" s="107"/>
      <c r="BB29" s="109">
        <f t="shared" si="29"/>
        <v>0</v>
      </c>
      <c r="BC29" s="108"/>
      <c r="BD29" s="109">
        <f t="shared" si="25"/>
        <v>0</v>
      </c>
      <c r="BE29" s="108"/>
      <c r="BF29" s="109">
        <v>0</v>
      </c>
      <c r="BG29" s="108"/>
      <c r="BH29" s="109">
        <f t="shared" si="26"/>
        <v>0</v>
      </c>
      <c r="BI29" s="108"/>
      <c r="BJ29" s="109">
        <f t="shared" si="27"/>
        <v>0</v>
      </c>
      <c r="BK29" s="109"/>
      <c r="BL29" s="109">
        <f t="shared" si="21"/>
        <v>0</v>
      </c>
      <c r="BM29" s="108"/>
      <c r="BN29" s="109">
        <f t="shared" si="28"/>
        <v>0</v>
      </c>
    </row>
    <row r="30" spans="3:66" s="110" customFormat="1" ht="12.75" customHeight="1">
      <c r="C30" s="107" t="s">
        <v>163</v>
      </c>
      <c r="D30" s="108">
        <v>5</v>
      </c>
      <c r="E30" s="108">
        <f t="shared" si="0"/>
        <v>17</v>
      </c>
      <c r="F30" s="106">
        <f t="shared" si="0"/>
        <v>74598094</v>
      </c>
      <c r="G30" s="108">
        <v>1</v>
      </c>
      <c r="H30" s="109">
        <f t="shared" si="22"/>
        <v>6058286</v>
      </c>
      <c r="I30" s="108">
        <v>10</v>
      </c>
      <c r="J30" s="109">
        <f t="shared" si="23"/>
        <v>60582860</v>
      </c>
      <c r="K30" s="108"/>
      <c r="L30" s="109">
        <f t="shared" si="17"/>
        <v>0</v>
      </c>
      <c r="M30" s="108"/>
      <c r="N30" s="109">
        <f t="shared" si="24"/>
        <v>0</v>
      </c>
      <c r="O30" s="108"/>
      <c r="P30" s="109">
        <f t="shared" si="1"/>
        <v>0</v>
      </c>
      <c r="Q30" s="108"/>
      <c r="R30" s="109">
        <f t="shared" si="2"/>
        <v>0</v>
      </c>
      <c r="S30" s="108"/>
      <c r="T30" s="109">
        <f t="shared" si="3"/>
        <v>0</v>
      </c>
      <c r="U30" s="108"/>
      <c r="V30" s="109">
        <f t="shared" si="4"/>
        <v>0</v>
      </c>
      <c r="W30" s="108"/>
      <c r="X30" s="109">
        <f t="shared" si="5"/>
        <v>0</v>
      </c>
      <c r="Y30" s="108"/>
      <c r="Z30" s="109">
        <f t="shared" si="6"/>
        <v>0</v>
      </c>
      <c r="AA30" s="108"/>
      <c r="AB30" s="109">
        <f t="shared" si="7"/>
        <v>0</v>
      </c>
      <c r="AC30" s="108"/>
      <c r="AD30" s="109">
        <f t="shared" si="8"/>
        <v>0</v>
      </c>
      <c r="AE30" s="108"/>
      <c r="AF30" s="109">
        <f t="shared" si="18"/>
        <v>0</v>
      </c>
      <c r="AG30" s="108"/>
      <c r="AH30" s="109">
        <f t="shared" si="9"/>
        <v>0</v>
      </c>
      <c r="AI30" s="108"/>
      <c r="AJ30" s="109">
        <f t="shared" si="19"/>
        <v>0</v>
      </c>
      <c r="AK30" s="108"/>
      <c r="AL30" s="109">
        <f t="shared" si="10"/>
        <v>0</v>
      </c>
      <c r="AM30" s="108"/>
      <c r="AN30" s="109">
        <f t="shared" si="20"/>
        <v>0</v>
      </c>
      <c r="AO30" s="108"/>
      <c r="AP30" s="109">
        <f t="shared" si="11"/>
        <v>0</v>
      </c>
      <c r="AQ30" s="108"/>
      <c r="AR30" s="109">
        <f t="shared" si="12"/>
        <v>0</v>
      </c>
      <c r="AS30" s="108"/>
      <c r="AT30" s="109">
        <f t="shared" si="13"/>
        <v>0</v>
      </c>
      <c r="AU30" s="108"/>
      <c r="AV30" s="109">
        <f t="shared" si="14"/>
        <v>0</v>
      </c>
      <c r="AW30" s="108">
        <v>6</v>
      </c>
      <c r="AX30" s="109">
        <f t="shared" si="15"/>
        <v>7956948</v>
      </c>
      <c r="AY30" s="108"/>
      <c r="AZ30" s="109">
        <v>0</v>
      </c>
      <c r="BA30" s="107"/>
      <c r="BB30" s="109">
        <f t="shared" si="29"/>
        <v>0</v>
      </c>
      <c r="BC30" s="108"/>
      <c r="BD30" s="109">
        <f t="shared" si="25"/>
        <v>0</v>
      </c>
      <c r="BE30" s="108"/>
      <c r="BF30" s="109">
        <v>0</v>
      </c>
      <c r="BG30" s="108"/>
      <c r="BH30" s="109">
        <f t="shared" si="26"/>
        <v>0</v>
      </c>
      <c r="BI30" s="108"/>
      <c r="BJ30" s="109">
        <f t="shared" si="27"/>
        <v>0</v>
      </c>
      <c r="BK30" s="109"/>
      <c r="BL30" s="109">
        <f t="shared" si="21"/>
        <v>0</v>
      </c>
      <c r="BM30" s="108"/>
      <c r="BN30" s="109">
        <f t="shared" si="28"/>
        <v>0</v>
      </c>
    </row>
    <row r="31" spans="3:66" s="110" customFormat="1" ht="12.75" customHeight="1">
      <c r="C31" s="107" t="s">
        <v>164</v>
      </c>
      <c r="D31" s="108">
        <v>2</v>
      </c>
      <c r="E31" s="108">
        <f t="shared" si="0"/>
        <v>17</v>
      </c>
      <c r="F31" s="106">
        <f t="shared" si="0"/>
        <v>85991314</v>
      </c>
      <c r="G31" s="108">
        <v>1</v>
      </c>
      <c r="H31" s="109">
        <f t="shared" si="22"/>
        <v>6058286</v>
      </c>
      <c r="I31" s="108">
        <v>12</v>
      </c>
      <c r="J31" s="109">
        <f t="shared" si="23"/>
        <v>72699432</v>
      </c>
      <c r="K31" s="108"/>
      <c r="L31" s="109">
        <f t="shared" si="17"/>
        <v>0</v>
      </c>
      <c r="M31" s="108"/>
      <c r="N31" s="109">
        <f t="shared" si="24"/>
        <v>0</v>
      </c>
      <c r="O31" s="108"/>
      <c r="P31" s="109">
        <f t="shared" si="1"/>
        <v>0</v>
      </c>
      <c r="Q31" s="108"/>
      <c r="R31" s="109">
        <f t="shared" si="2"/>
        <v>0</v>
      </c>
      <c r="S31" s="108"/>
      <c r="T31" s="109">
        <f t="shared" si="3"/>
        <v>0</v>
      </c>
      <c r="U31" s="108"/>
      <c r="V31" s="109">
        <f t="shared" si="4"/>
        <v>0</v>
      </c>
      <c r="W31" s="108"/>
      <c r="X31" s="109">
        <f t="shared" si="5"/>
        <v>0</v>
      </c>
      <c r="Y31" s="108"/>
      <c r="Z31" s="109">
        <f t="shared" si="6"/>
        <v>0</v>
      </c>
      <c r="AA31" s="108">
        <v>4</v>
      </c>
      <c r="AB31" s="109">
        <f t="shared" si="7"/>
        <v>7233596</v>
      </c>
      <c r="AC31" s="108"/>
      <c r="AD31" s="109">
        <f t="shared" si="8"/>
        <v>0</v>
      </c>
      <c r="AE31" s="108"/>
      <c r="AF31" s="109">
        <f t="shared" si="18"/>
        <v>0</v>
      </c>
      <c r="AG31" s="108"/>
      <c r="AH31" s="109">
        <f t="shared" si="9"/>
        <v>0</v>
      </c>
      <c r="AI31" s="108"/>
      <c r="AJ31" s="109">
        <f t="shared" si="19"/>
        <v>0</v>
      </c>
      <c r="AK31" s="108"/>
      <c r="AL31" s="109">
        <f t="shared" si="10"/>
        <v>0</v>
      </c>
      <c r="AM31" s="108"/>
      <c r="AN31" s="109">
        <f t="shared" si="20"/>
        <v>0</v>
      </c>
      <c r="AO31" s="108"/>
      <c r="AP31" s="109">
        <f t="shared" si="11"/>
        <v>0</v>
      </c>
      <c r="AQ31" s="108"/>
      <c r="AR31" s="109">
        <f t="shared" si="12"/>
        <v>0</v>
      </c>
      <c r="AS31" s="108"/>
      <c r="AT31" s="109">
        <f t="shared" si="13"/>
        <v>0</v>
      </c>
      <c r="AU31" s="108"/>
      <c r="AV31" s="109">
        <f t="shared" si="14"/>
        <v>0</v>
      </c>
      <c r="AW31" s="108"/>
      <c r="AX31" s="109">
        <f t="shared" si="15"/>
        <v>0</v>
      </c>
      <c r="AY31" s="108"/>
      <c r="AZ31" s="109">
        <v>0</v>
      </c>
      <c r="BA31" s="107"/>
      <c r="BB31" s="109">
        <f t="shared" si="29"/>
        <v>0</v>
      </c>
      <c r="BC31" s="108"/>
      <c r="BD31" s="109">
        <f t="shared" si="25"/>
        <v>0</v>
      </c>
      <c r="BE31" s="108"/>
      <c r="BF31" s="109"/>
      <c r="BG31" s="108"/>
      <c r="BH31" s="109">
        <f t="shared" si="26"/>
        <v>0</v>
      </c>
      <c r="BI31" s="108"/>
      <c r="BJ31" s="109">
        <f t="shared" si="27"/>
        <v>0</v>
      </c>
      <c r="BK31" s="109"/>
      <c r="BL31" s="109">
        <f t="shared" si="21"/>
        <v>0</v>
      </c>
      <c r="BM31" s="108"/>
      <c r="BN31" s="109">
        <f t="shared" si="28"/>
        <v>0</v>
      </c>
    </row>
    <row r="32" spans="3:66" s="110" customFormat="1" ht="12.75" customHeight="1">
      <c r="C32" s="107" t="s">
        <v>165</v>
      </c>
      <c r="D32" s="108">
        <v>2</v>
      </c>
      <c r="E32" s="108">
        <f t="shared" si="0"/>
        <v>9</v>
      </c>
      <c r="F32" s="106">
        <f t="shared" si="0"/>
        <v>53643366</v>
      </c>
      <c r="G32" s="108"/>
      <c r="H32" s="109">
        <f t="shared" si="22"/>
        <v>0</v>
      </c>
      <c r="I32" s="108">
        <v>1</v>
      </c>
      <c r="J32" s="109">
        <f t="shared" si="23"/>
        <v>6058286</v>
      </c>
      <c r="K32" s="108"/>
      <c r="L32" s="109">
        <f t="shared" si="17"/>
        <v>0</v>
      </c>
      <c r="M32" s="108">
        <v>8</v>
      </c>
      <c r="N32" s="109">
        <f t="shared" si="24"/>
        <v>47585080</v>
      </c>
      <c r="O32" s="108"/>
      <c r="P32" s="109">
        <f t="shared" si="1"/>
        <v>0</v>
      </c>
      <c r="Q32" s="108"/>
      <c r="R32" s="109">
        <f t="shared" si="2"/>
        <v>0</v>
      </c>
      <c r="S32" s="108"/>
      <c r="T32" s="109">
        <f t="shared" si="3"/>
        <v>0</v>
      </c>
      <c r="U32" s="108"/>
      <c r="V32" s="109">
        <f t="shared" si="4"/>
        <v>0</v>
      </c>
      <c r="W32" s="108"/>
      <c r="X32" s="109">
        <f t="shared" si="5"/>
        <v>0</v>
      </c>
      <c r="Y32" s="108"/>
      <c r="Z32" s="109">
        <f t="shared" si="6"/>
        <v>0</v>
      </c>
      <c r="AA32" s="108"/>
      <c r="AB32" s="109">
        <f t="shared" si="7"/>
        <v>0</v>
      </c>
      <c r="AC32" s="108"/>
      <c r="AD32" s="109">
        <f t="shared" si="8"/>
        <v>0</v>
      </c>
      <c r="AE32" s="108"/>
      <c r="AF32" s="109">
        <f t="shared" si="18"/>
        <v>0</v>
      </c>
      <c r="AG32" s="108"/>
      <c r="AH32" s="109">
        <f t="shared" si="9"/>
        <v>0</v>
      </c>
      <c r="AI32" s="108"/>
      <c r="AJ32" s="109">
        <f t="shared" si="19"/>
        <v>0</v>
      </c>
      <c r="AK32" s="108"/>
      <c r="AL32" s="109">
        <f t="shared" si="10"/>
        <v>0</v>
      </c>
      <c r="AM32" s="108"/>
      <c r="AN32" s="109">
        <f t="shared" si="20"/>
        <v>0</v>
      </c>
      <c r="AO32" s="108"/>
      <c r="AP32" s="109">
        <f t="shared" si="11"/>
        <v>0</v>
      </c>
      <c r="AQ32" s="108"/>
      <c r="AR32" s="109">
        <f t="shared" si="12"/>
        <v>0</v>
      </c>
      <c r="AS32" s="108"/>
      <c r="AT32" s="109">
        <f t="shared" si="13"/>
        <v>0</v>
      </c>
      <c r="AU32" s="108"/>
      <c r="AV32" s="109">
        <f t="shared" si="14"/>
        <v>0</v>
      </c>
      <c r="AW32" s="108"/>
      <c r="AX32" s="109">
        <f t="shared" si="15"/>
        <v>0</v>
      </c>
      <c r="AY32" s="108"/>
      <c r="AZ32" s="109">
        <v>0</v>
      </c>
      <c r="BA32" s="107"/>
      <c r="BB32" s="109">
        <f t="shared" si="29"/>
        <v>0</v>
      </c>
      <c r="BC32" s="108"/>
      <c r="BD32" s="109">
        <f t="shared" si="25"/>
        <v>0</v>
      </c>
      <c r="BE32" s="108"/>
      <c r="BF32" s="109">
        <v>0</v>
      </c>
      <c r="BG32" s="108"/>
      <c r="BH32" s="109">
        <f t="shared" si="26"/>
        <v>0</v>
      </c>
      <c r="BI32" s="108"/>
      <c r="BJ32" s="109">
        <f t="shared" si="27"/>
        <v>0</v>
      </c>
      <c r="BK32" s="109"/>
      <c r="BL32" s="109">
        <f t="shared" si="21"/>
        <v>0</v>
      </c>
      <c r="BM32" s="108"/>
      <c r="BN32" s="109">
        <f t="shared" si="28"/>
        <v>0</v>
      </c>
    </row>
    <row r="33" spans="3:66" s="110" customFormat="1" ht="12.75" customHeight="1">
      <c r="C33" s="107" t="s">
        <v>166</v>
      </c>
      <c r="D33" s="108">
        <v>3</v>
      </c>
      <c r="E33" s="108">
        <f t="shared" si="0"/>
        <v>10</v>
      </c>
      <c r="F33" s="106">
        <f t="shared" si="0"/>
        <v>44388871</v>
      </c>
      <c r="G33" s="108">
        <v>1</v>
      </c>
      <c r="H33" s="109">
        <f t="shared" si="22"/>
        <v>6058286</v>
      </c>
      <c r="I33" s="108">
        <f>4+1</f>
        <v>5</v>
      </c>
      <c r="J33" s="109">
        <f t="shared" si="23"/>
        <v>30291430</v>
      </c>
      <c r="K33" s="108"/>
      <c r="L33" s="109">
        <f t="shared" si="17"/>
        <v>0</v>
      </c>
      <c r="M33" s="108"/>
      <c r="N33" s="109">
        <f t="shared" si="24"/>
        <v>0</v>
      </c>
      <c r="O33" s="108">
        <v>1</v>
      </c>
      <c r="P33" s="109">
        <f t="shared" si="1"/>
        <v>2712598</v>
      </c>
      <c r="Q33" s="108"/>
      <c r="R33" s="109">
        <f t="shared" si="2"/>
        <v>0</v>
      </c>
      <c r="S33" s="108"/>
      <c r="T33" s="109">
        <f t="shared" si="3"/>
        <v>0</v>
      </c>
      <c r="U33" s="108"/>
      <c r="V33" s="109">
        <f t="shared" si="4"/>
        <v>0</v>
      </c>
      <c r="W33" s="108"/>
      <c r="X33" s="109">
        <f t="shared" si="5"/>
        <v>0</v>
      </c>
      <c r="Y33" s="108">
        <v>3</v>
      </c>
      <c r="Z33" s="109">
        <f t="shared" si="6"/>
        <v>5326557</v>
      </c>
      <c r="AA33" s="108"/>
      <c r="AB33" s="109">
        <f t="shared" si="7"/>
        <v>0</v>
      </c>
      <c r="AC33" s="108"/>
      <c r="AD33" s="109">
        <f t="shared" si="8"/>
        <v>0</v>
      </c>
      <c r="AE33" s="108"/>
      <c r="AF33" s="109">
        <f t="shared" si="18"/>
        <v>0</v>
      </c>
      <c r="AG33" s="108"/>
      <c r="AH33" s="109">
        <f t="shared" si="9"/>
        <v>0</v>
      </c>
      <c r="AI33" s="108"/>
      <c r="AJ33" s="109">
        <f t="shared" si="19"/>
        <v>0</v>
      </c>
      <c r="AK33" s="108"/>
      <c r="AL33" s="109">
        <f t="shared" si="10"/>
        <v>0</v>
      </c>
      <c r="AM33" s="108"/>
      <c r="AN33" s="109">
        <f t="shared" si="20"/>
        <v>0</v>
      </c>
      <c r="AO33" s="108"/>
      <c r="AP33" s="109">
        <f t="shared" si="11"/>
        <v>0</v>
      </c>
      <c r="AQ33" s="108"/>
      <c r="AR33" s="109">
        <f t="shared" si="12"/>
        <v>0</v>
      </c>
      <c r="AS33" s="108"/>
      <c r="AT33" s="109">
        <f t="shared" si="13"/>
        <v>0</v>
      </c>
      <c r="AU33" s="108"/>
      <c r="AV33" s="109">
        <f t="shared" si="14"/>
        <v>0</v>
      </c>
      <c r="AW33" s="108"/>
      <c r="AX33" s="109">
        <f t="shared" si="15"/>
        <v>0</v>
      </c>
      <c r="AY33" s="108"/>
      <c r="AZ33" s="109">
        <v>0</v>
      </c>
      <c r="BA33" s="108"/>
      <c r="BB33" s="109">
        <f t="shared" si="29"/>
        <v>0</v>
      </c>
      <c r="BC33" s="108"/>
      <c r="BD33" s="109">
        <f t="shared" si="25"/>
        <v>0</v>
      </c>
      <c r="BE33" s="108"/>
      <c r="BF33" s="109">
        <v>0</v>
      </c>
      <c r="BG33" s="108"/>
      <c r="BH33" s="109">
        <f t="shared" si="26"/>
        <v>0</v>
      </c>
      <c r="BI33" s="108"/>
      <c r="BJ33" s="109">
        <f t="shared" si="27"/>
        <v>0</v>
      </c>
      <c r="BK33" s="109"/>
      <c r="BL33" s="109">
        <f t="shared" si="21"/>
        <v>0</v>
      </c>
      <c r="BM33" s="108"/>
      <c r="BN33" s="109">
        <f t="shared" si="28"/>
        <v>0</v>
      </c>
    </row>
    <row r="34" spans="3:66" s="110" customFormat="1" ht="12.75" customHeight="1">
      <c r="C34" s="107" t="s">
        <v>167</v>
      </c>
      <c r="D34" s="108">
        <v>3</v>
      </c>
      <c r="E34" s="108">
        <f t="shared" si="0"/>
        <v>16</v>
      </c>
      <c r="F34" s="106">
        <f t="shared" si="0"/>
        <v>52100870</v>
      </c>
      <c r="G34" s="108">
        <v>1</v>
      </c>
      <c r="H34" s="109">
        <f t="shared" si="22"/>
        <v>6058286</v>
      </c>
      <c r="I34" s="108">
        <v>5</v>
      </c>
      <c r="J34" s="109">
        <f t="shared" si="23"/>
        <v>30291430</v>
      </c>
      <c r="K34" s="108"/>
      <c r="L34" s="109">
        <f t="shared" si="17"/>
        <v>0</v>
      </c>
      <c r="M34" s="108"/>
      <c r="N34" s="109">
        <f t="shared" si="24"/>
        <v>0</v>
      </c>
      <c r="O34" s="108"/>
      <c r="P34" s="109">
        <f t="shared" si="1"/>
        <v>0</v>
      </c>
      <c r="Q34" s="108">
        <v>2</v>
      </c>
      <c r="R34" s="109">
        <f t="shared" si="2"/>
        <v>3978478</v>
      </c>
      <c r="S34" s="108"/>
      <c r="T34" s="109">
        <f t="shared" si="3"/>
        <v>0</v>
      </c>
      <c r="U34" s="108"/>
      <c r="V34" s="109">
        <f t="shared" si="4"/>
        <v>0</v>
      </c>
      <c r="W34" s="108"/>
      <c r="X34" s="109">
        <f t="shared" si="5"/>
        <v>0</v>
      </c>
      <c r="Y34" s="108"/>
      <c r="Z34" s="109">
        <f t="shared" si="6"/>
        <v>0</v>
      </c>
      <c r="AA34" s="108"/>
      <c r="AB34" s="109">
        <f t="shared" si="7"/>
        <v>0</v>
      </c>
      <c r="AC34" s="108"/>
      <c r="AD34" s="109">
        <f t="shared" si="8"/>
        <v>0</v>
      </c>
      <c r="AE34" s="108"/>
      <c r="AF34" s="109">
        <f t="shared" si="18"/>
        <v>0</v>
      </c>
      <c r="AG34" s="108"/>
      <c r="AH34" s="109">
        <f t="shared" si="9"/>
        <v>0</v>
      </c>
      <c r="AI34" s="108"/>
      <c r="AJ34" s="109">
        <f t="shared" si="19"/>
        <v>0</v>
      </c>
      <c r="AK34" s="108"/>
      <c r="AL34" s="109">
        <f t="shared" si="10"/>
        <v>0</v>
      </c>
      <c r="AM34" s="108"/>
      <c r="AN34" s="109">
        <f t="shared" si="20"/>
        <v>0</v>
      </c>
      <c r="AO34" s="108"/>
      <c r="AP34" s="109">
        <f t="shared" si="11"/>
        <v>0</v>
      </c>
      <c r="AQ34" s="108"/>
      <c r="AR34" s="109">
        <f t="shared" si="12"/>
        <v>0</v>
      </c>
      <c r="AS34" s="108"/>
      <c r="AT34" s="109">
        <f t="shared" si="13"/>
        <v>0</v>
      </c>
      <c r="AU34" s="108"/>
      <c r="AV34" s="109">
        <f t="shared" si="14"/>
        <v>0</v>
      </c>
      <c r="AW34" s="108"/>
      <c r="AX34" s="109">
        <f t="shared" si="15"/>
        <v>0</v>
      </c>
      <c r="AY34" s="108"/>
      <c r="AZ34" s="109">
        <v>0</v>
      </c>
      <c r="BA34" s="107"/>
      <c r="BB34" s="109">
        <f t="shared" si="29"/>
        <v>0</v>
      </c>
      <c r="BC34" s="108">
        <v>2</v>
      </c>
      <c r="BD34" s="109">
        <f>+BC34*$BD$10</f>
        <v>2983858</v>
      </c>
      <c r="BE34" s="108">
        <f>1+5</f>
        <v>6</v>
      </c>
      <c r="BF34" s="109">
        <f>+BE34*BF10</f>
        <v>8788818</v>
      </c>
      <c r="BG34" s="108"/>
      <c r="BH34" s="109">
        <f t="shared" si="26"/>
        <v>0</v>
      </c>
      <c r="BI34" s="108"/>
      <c r="BJ34" s="109">
        <f t="shared" si="27"/>
        <v>0</v>
      </c>
      <c r="BK34" s="109"/>
      <c r="BL34" s="109">
        <f t="shared" si="21"/>
        <v>0</v>
      </c>
      <c r="BM34" s="108"/>
      <c r="BN34" s="109">
        <f t="shared" si="28"/>
        <v>0</v>
      </c>
    </row>
    <row r="35" spans="3:66" s="110" customFormat="1" ht="12.75" customHeight="1">
      <c r="C35" s="107" t="s">
        <v>168</v>
      </c>
      <c r="D35" s="108">
        <v>4</v>
      </c>
      <c r="E35" s="108">
        <f t="shared" si="0"/>
        <v>4</v>
      </c>
      <c r="F35" s="106">
        <f t="shared" si="0"/>
        <v>23851520</v>
      </c>
      <c r="G35" s="108"/>
      <c r="H35" s="109">
        <f t="shared" si="22"/>
        <v>0</v>
      </c>
      <c r="I35" s="108"/>
      <c r="J35" s="109">
        <f t="shared" si="23"/>
        <v>0</v>
      </c>
      <c r="K35" s="108">
        <v>4</v>
      </c>
      <c r="L35" s="109">
        <f t="shared" si="17"/>
        <v>23851520</v>
      </c>
      <c r="M35" s="108"/>
      <c r="N35" s="109">
        <f t="shared" si="24"/>
        <v>0</v>
      </c>
      <c r="O35" s="108"/>
      <c r="P35" s="109">
        <f t="shared" si="1"/>
        <v>0</v>
      </c>
      <c r="Q35" s="108"/>
      <c r="R35" s="109">
        <f t="shared" si="2"/>
        <v>0</v>
      </c>
      <c r="S35" s="108"/>
      <c r="T35" s="109">
        <f t="shared" si="3"/>
        <v>0</v>
      </c>
      <c r="U35" s="108"/>
      <c r="V35" s="109">
        <f t="shared" si="4"/>
        <v>0</v>
      </c>
      <c r="W35" s="108"/>
      <c r="X35" s="109">
        <f t="shared" si="5"/>
        <v>0</v>
      </c>
      <c r="Y35" s="108"/>
      <c r="Z35" s="109">
        <f t="shared" si="6"/>
        <v>0</v>
      </c>
      <c r="AA35" s="108"/>
      <c r="AB35" s="109">
        <f t="shared" si="7"/>
        <v>0</v>
      </c>
      <c r="AC35" s="108"/>
      <c r="AD35" s="109">
        <f t="shared" si="8"/>
        <v>0</v>
      </c>
      <c r="AE35" s="108"/>
      <c r="AF35" s="109">
        <f t="shared" si="18"/>
        <v>0</v>
      </c>
      <c r="AG35" s="108"/>
      <c r="AH35" s="109">
        <f t="shared" si="9"/>
        <v>0</v>
      </c>
      <c r="AI35" s="108"/>
      <c r="AJ35" s="109">
        <f t="shared" si="19"/>
        <v>0</v>
      </c>
      <c r="AK35" s="108"/>
      <c r="AL35" s="109">
        <f t="shared" si="10"/>
        <v>0</v>
      </c>
      <c r="AM35" s="108"/>
      <c r="AN35" s="109">
        <f t="shared" si="20"/>
        <v>0</v>
      </c>
      <c r="AO35" s="108"/>
      <c r="AP35" s="109">
        <f t="shared" si="11"/>
        <v>0</v>
      </c>
      <c r="AQ35" s="108"/>
      <c r="AR35" s="109">
        <f t="shared" si="12"/>
        <v>0</v>
      </c>
      <c r="AS35" s="108"/>
      <c r="AT35" s="109">
        <f t="shared" si="13"/>
        <v>0</v>
      </c>
      <c r="AU35" s="108"/>
      <c r="AV35" s="109">
        <f t="shared" si="14"/>
        <v>0</v>
      </c>
      <c r="AW35" s="108"/>
      <c r="AX35" s="109">
        <f t="shared" si="15"/>
        <v>0</v>
      </c>
      <c r="AY35" s="108"/>
      <c r="AZ35" s="109">
        <v>0</v>
      </c>
      <c r="BA35" s="107"/>
      <c r="BB35" s="109">
        <f t="shared" si="29"/>
        <v>0</v>
      </c>
      <c r="BC35" s="108"/>
      <c r="BD35" s="109">
        <f t="shared" si="25"/>
        <v>0</v>
      </c>
      <c r="BE35" s="108"/>
      <c r="BF35" s="109">
        <v>0</v>
      </c>
      <c r="BG35" s="108"/>
      <c r="BH35" s="109">
        <f t="shared" si="26"/>
        <v>0</v>
      </c>
      <c r="BI35" s="108"/>
      <c r="BJ35" s="109">
        <f t="shared" si="27"/>
        <v>0</v>
      </c>
      <c r="BK35" s="109"/>
      <c r="BL35" s="109">
        <f t="shared" si="21"/>
        <v>0</v>
      </c>
      <c r="BM35" s="108"/>
      <c r="BN35" s="109">
        <f t="shared" si="28"/>
        <v>0</v>
      </c>
    </row>
    <row r="36" spans="3:66" s="110" customFormat="1" ht="12.75" customHeight="1">
      <c r="C36" s="107" t="s">
        <v>169</v>
      </c>
      <c r="D36" s="108">
        <v>5</v>
      </c>
      <c r="E36" s="108">
        <f t="shared" si="0"/>
        <v>25</v>
      </c>
      <c r="F36" s="106">
        <f t="shared" si="0"/>
        <v>102926592</v>
      </c>
      <c r="G36" s="108">
        <v>1</v>
      </c>
      <c r="H36" s="109">
        <f t="shared" si="22"/>
        <v>6058286</v>
      </c>
      <c r="I36" s="108">
        <v>10</v>
      </c>
      <c r="J36" s="109">
        <f t="shared" si="23"/>
        <v>60582860</v>
      </c>
      <c r="K36" s="108"/>
      <c r="L36" s="109">
        <f t="shared" si="17"/>
        <v>0</v>
      </c>
      <c r="M36" s="108">
        <v>2</v>
      </c>
      <c r="N36" s="109">
        <f t="shared" si="24"/>
        <v>11896270</v>
      </c>
      <c r="O36" s="108">
        <v>3</v>
      </c>
      <c r="P36" s="109">
        <f t="shared" si="1"/>
        <v>8137794</v>
      </c>
      <c r="Q36" s="108"/>
      <c r="R36" s="109">
        <f t="shared" si="2"/>
        <v>0</v>
      </c>
      <c r="S36" s="108"/>
      <c r="T36" s="109">
        <f t="shared" si="3"/>
        <v>0</v>
      </c>
      <c r="U36" s="108"/>
      <c r="V36" s="109">
        <f t="shared" si="4"/>
        <v>0</v>
      </c>
      <c r="W36" s="108">
        <v>1</v>
      </c>
      <c r="X36" s="109">
        <f t="shared" si="5"/>
        <v>2663277</v>
      </c>
      <c r="Y36" s="108">
        <v>2</v>
      </c>
      <c r="Z36" s="109">
        <f t="shared" si="6"/>
        <v>3551038</v>
      </c>
      <c r="AA36" s="108"/>
      <c r="AB36" s="109">
        <f t="shared" si="7"/>
        <v>0</v>
      </c>
      <c r="AC36" s="108"/>
      <c r="AD36" s="109">
        <f t="shared" si="8"/>
        <v>0</v>
      </c>
      <c r="AE36" s="108"/>
      <c r="AF36" s="109">
        <f t="shared" si="18"/>
        <v>0</v>
      </c>
      <c r="AG36" s="108"/>
      <c r="AH36" s="109">
        <f t="shared" si="9"/>
        <v>0</v>
      </c>
      <c r="AI36" s="108"/>
      <c r="AJ36" s="109">
        <f t="shared" si="19"/>
        <v>0</v>
      </c>
      <c r="AK36" s="108">
        <v>3</v>
      </c>
      <c r="AL36" s="109">
        <f t="shared" si="10"/>
        <v>2712597</v>
      </c>
      <c r="AM36" s="108"/>
      <c r="AN36" s="109">
        <f t="shared" si="20"/>
        <v>0</v>
      </c>
      <c r="AO36" s="108">
        <v>3</v>
      </c>
      <c r="AP36" s="109">
        <f t="shared" si="11"/>
        <v>7324470</v>
      </c>
      <c r="AQ36" s="108"/>
      <c r="AR36" s="109">
        <f t="shared" si="12"/>
        <v>0</v>
      </c>
      <c r="AS36" s="108"/>
      <c r="AT36" s="109">
        <f t="shared" si="13"/>
        <v>0</v>
      </c>
      <c r="AU36" s="108"/>
      <c r="AV36" s="109">
        <f t="shared" si="14"/>
        <v>0</v>
      </c>
      <c r="AW36" s="108"/>
      <c r="AX36" s="109">
        <f t="shared" si="15"/>
        <v>0</v>
      </c>
      <c r="AY36" s="108"/>
      <c r="AZ36" s="109">
        <v>0</v>
      </c>
      <c r="BA36" s="107"/>
      <c r="BB36" s="109">
        <f t="shared" si="29"/>
        <v>0</v>
      </c>
      <c r="BC36" s="108"/>
      <c r="BD36" s="109">
        <f t="shared" si="25"/>
        <v>0</v>
      </c>
      <c r="BE36" s="108"/>
      <c r="BF36" s="109">
        <v>0</v>
      </c>
      <c r="BG36" s="108"/>
      <c r="BH36" s="109">
        <f t="shared" si="26"/>
        <v>0</v>
      </c>
      <c r="BI36" s="108"/>
      <c r="BJ36" s="109">
        <f t="shared" si="27"/>
        <v>0</v>
      </c>
      <c r="BK36" s="109"/>
      <c r="BL36" s="109">
        <f t="shared" si="21"/>
        <v>0</v>
      </c>
      <c r="BM36" s="108"/>
      <c r="BN36" s="109">
        <f t="shared" si="28"/>
        <v>0</v>
      </c>
    </row>
    <row r="37" spans="3:66" s="110" customFormat="1" ht="12.75" customHeight="1">
      <c r="C37" s="107" t="s">
        <v>170</v>
      </c>
      <c r="D37" s="108">
        <v>4</v>
      </c>
      <c r="E37" s="108">
        <f t="shared" si="0"/>
        <v>7</v>
      </c>
      <c r="F37" s="106">
        <f t="shared" si="0"/>
        <v>38338955</v>
      </c>
      <c r="G37" s="108">
        <v>1</v>
      </c>
      <c r="H37" s="109">
        <f t="shared" si="22"/>
        <v>6058286</v>
      </c>
      <c r="I37" s="108">
        <f>4+1</f>
        <v>5</v>
      </c>
      <c r="J37" s="109">
        <f t="shared" si="23"/>
        <v>30291430</v>
      </c>
      <c r="K37" s="108"/>
      <c r="L37" s="109">
        <f t="shared" si="17"/>
        <v>0</v>
      </c>
      <c r="M37" s="108"/>
      <c r="N37" s="109">
        <f t="shared" si="24"/>
        <v>0</v>
      </c>
      <c r="O37" s="108"/>
      <c r="P37" s="109">
        <f t="shared" si="1"/>
        <v>0</v>
      </c>
      <c r="Q37" s="108">
        <v>1</v>
      </c>
      <c r="R37" s="109">
        <f t="shared" si="2"/>
        <v>1989239</v>
      </c>
      <c r="S37" s="108"/>
      <c r="T37" s="109">
        <f t="shared" si="3"/>
        <v>0</v>
      </c>
      <c r="U37" s="108"/>
      <c r="V37" s="109">
        <f t="shared" si="4"/>
        <v>0</v>
      </c>
      <c r="W37" s="108"/>
      <c r="X37" s="109">
        <f t="shared" si="5"/>
        <v>0</v>
      </c>
      <c r="Y37" s="108"/>
      <c r="Z37" s="109">
        <f t="shared" si="6"/>
        <v>0</v>
      </c>
      <c r="AA37" s="108"/>
      <c r="AB37" s="109">
        <f t="shared" si="7"/>
        <v>0</v>
      </c>
      <c r="AC37" s="108"/>
      <c r="AD37" s="109">
        <f t="shared" si="8"/>
        <v>0</v>
      </c>
      <c r="AE37" s="108"/>
      <c r="AF37" s="109">
        <f t="shared" si="18"/>
        <v>0</v>
      </c>
      <c r="AG37" s="108"/>
      <c r="AH37" s="109">
        <f t="shared" si="9"/>
        <v>0</v>
      </c>
      <c r="AI37" s="108"/>
      <c r="AJ37" s="109">
        <f t="shared" si="19"/>
        <v>0</v>
      </c>
      <c r="AK37" s="108"/>
      <c r="AL37" s="109">
        <f t="shared" si="10"/>
        <v>0</v>
      </c>
      <c r="AM37" s="108"/>
      <c r="AN37" s="109">
        <f t="shared" si="20"/>
        <v>0</v>
      </c>
      <c r="AO37" s="108"/>
      <c r="AP37" s="109">
        <f t="shared" si="11"/>
        <v>0</v>
      </c>
      <c r="AQ37" s="108"/>
      <c r="AR37" s="109">
        <f t="shared" si="12"/>
        <v>0</v>
      </c>
      <c r="AS37" s="108"/>
      <c r="AT37" s="109">
        <f t="shared" si="13"/>
        <v>0</v>
      </c>
      <c r="AU37" s="108"/>
      <c r="AV37" s="109">
        <f t="shared" si="14"/>
        <v>0</v>
      </c>
      <c r="AW37" s="108"/>
      <c r="AX37" s="109">
        <f t="shared" si="15"/>
        <v>0</v>
      </c>
      <c r="AY37" s="108"/>
      <c r="AZ37" s="109">
        <v>0</v>
      </c>
      <c r="BA37" s="107"/>
      <c r="BB37" s="109">
        <f t="shared" si="29"/>
        <v>0</v>
      </c>
      <c r="BC37" s="108"/>
      <c r="BD37" s="109">
        <f t="shared" si="25"/>
        <v>0</v>
      </c>
      <c r="BE37" s="108"/>
      <c r="BF37" s="109">
        <v>0</v>
      </c>
      <c r="BG37" s="108"/>
      <c r="BH37" s="109">
        <f t="shared" si="26"/>
        <v>0</v>
      </c>
      <c r="BI37" s="108"/>
      <c r="BJ37" s="109">
        <f t="shared" si="27"/>
        <v>0</v>
      </c>
      <c r="BK37" s="109"/>
      <c r="BL37" s="109">
        <f t="shared" si="21"/>
        <v>0</v>
      </c>
      <c r="BM37" s="108"/>
      <c r="BN37" s="109">
        <f t="shared" si="28"/>
        <v>0</v>
      </c>
    </row>
    <row r="38" spans="3:66" s="110" customFormat="1" ht="12.75" customHeight="1">
      <c r="C38" s="107" t="s">
        <v>171</v>
      </c>
      <c r="D38" s="108">
        <v>2</v>
      </c>
      <c r="E38" s="108">
        <f t="shared" si="0"/>
        <v>18</v>
      </c>
      <c r="F38" s="106">
        <f t="shared" si="0"/>
        <v>92855159</v>
      </c>
      <c r="G38" s="108">
        <v>1</v>
      </c>
      <c r="H38" s="109">
        <f t="shared" si="22"/>
        <v>6058286</v>
      </c>
      <c r="I38" s="108">
        <v>13</v>
      </c>
      <c r="J38" s="109">
        <f t="shared" si="23"/>
        <v>78757718</v>
      </c>
      <c r="K38" s="108"/>
      <c r="L38" s="109">
        <f t="shared" si="17"/>
        <v>0</v>
      </c>
      <c r="M38" s="108"/>
      <c r="N38" s="109">
        <f t="shared" si="24"/>
        <v>0</v>
      </c>
      <c r="O38" s="108">
        <v>1</v>
      </c>
      <c r="P38" s="109">
        <f t="shared" si="1"/>
        <v>2712598</v>
      </c>
      <c r="Q38" s="108"/>
      <c r="R38" s="109">
        <f t="shared" si="2"/>
        <v>0</v>
      </c>
      <c r="S38" s="108"/>
      <c r="T38" s="109">
        <f t="shared" si="3"/>
        <v>0</v>
      </c>
      <c r="U38" s="108"/>
      <c r="V38" s="109">
        <f t="shared" si="4"/>
        <v>0</v>
      </c>
      <c r="W38" s="108"/>
      <c r="X38" s="109">
        <f t="shared" si="5"/>
        <v>0</v>
      </c>
      <c r="Y38" s="108">
        <v>3</v>
      </c>
      <c r="Z38" s="109">
        <f t="shared" si="6"/>
        <v>5326557</v>
      </c>
      <c r="AA38" s="108"/>
      <c r="AB38" s="109">
        <f t="shared" si="7"/>
        <v>0</v>
      </c>
      <c r="AC38" s="108"/>
      <c r="AD38" s="109">
        <f t="shared" si="8"/>
        <v>0</v>
      </c>
      <c r="AE38" s="108"/>
      <c r="AF38" s="109">
        <f t="shared" si="18"/>
        <v>0</v>
      </c>
      <c r="AG38" s="108"/>
      <c r="AH38" s="109">
        <f t="shared" si="9"/>
        <v>0</v>
      </c>
      <c r="AI38" s="108"/>
      <c r="AJ38" s="109">
        <f t="shared" si="19"/>
        <v>0</v>
      </c>
      <c r="AK38" s="108"/>
      <c r="AL38" s="109">
        <f t="shared" si="10"/>
        <v>0</v>
      </c>
      <c r="AM38" s="108"/>
      <c r="AN38" s="109">
        <f t="shared" si="20"/>
        <v>0</v>
      </c>
      <c r="AO38" s="108"/>
      <c r="AP38" s="109">
        <f t="shared" si="11"/>
        <v>0</v>
      </c>
      <c r="AQ38" s="108"/>
      <c r="AR38" s="109">
        <f t="shared" si="12"/>
        <v>0</v>
      </c>
      <c r="AS38" s="108"/>
      <c r="AT38" s="109">
        <f t="shared" si="13"/>
        <v>0</v>
      </c>
      <c r="AU38" s="108"/>
      <c r="AV38" s="109">
        <f t="shared" si="14"/>
        <v>0</v>
      </c>
      <c r="AW38" s="108"/>
      <c r="AX38" s="109">
        <f t="shared" si="15"/>
        <v>0</v>
      </c>
      <c r="AY38" s="108"/>
      <c r="AZ38" s="109">
        <v>0</v>
      </c>
      <c r="BA38" s="107"/>
      <c r="BB38" s="109">
        <f t="shared" si="29"/>
        <v>0</v>
      </c>
      <c r="BC38" s="108"/>
      <c r="BD38" s="109">
        <f t="shared" si="25"/>
        <v>0</v>
      </c>
      <c r="BE38" s="108"/>
      <c r="BF38" s="109">
        <v>0</v>
      </c>
      <c r="BG38" s="108"/>
      <c r="BH38" s="109">
        <f t="shared" si="26"/>
        <v>0</v>
      </c>
      <c r="BI38" s="108"/>
      <c r="BJ38" s="109">
        <f t="shared" si="27"/>
        <v>0</v>
      </c>
      <c r="BK38" s="109"/>
      <c r="BL38" s="109">
        <f t="shared" si="21"/>
        <v>0</v>
      </c>
      <c r="BM38" s="108"/>
      <c r="BN38" s="109">
        <f t="shared" si="28"/>
        <v>0</v>
      </c>
    </row>
    <row r="39" spans="3:66" s="110" customFormat="1" ht="15" customHeight="1">
      <c r="C39" s="107" t="s">
        <v>172</v>
      </c>
      <c r="D39" s="108">
        <v>2</v>
      </c>
      <c r="E39" s="108">
        <f t="shared" si="0"/>
        <v>24</v>
      </c>
      <c r="F39" s="106">
        <f t="shared" si="0"/>
        <v>133191723</v>
      </c>
      <c r="G39" s="108">
        <v>1</v>
      </c>
      <c r="H39" s="109">
        <f t="shared" si="22"/>
        <v>6058286</v>
      </c>
      <c r="I39" s="108">
        <f>18+2</f>
        <v>20</v>
      </c>
      <c r="J39" s="109">
        <f t="shared" si="23"/>
        <v>121165720</v>
      </c>
      <c r="K39" s="108"/>
      <c r="L39" s="109">
        <f t="shared" si="17"/>
        <v>0</v>
      </c>
      <c r="M39" s="108"/>
      <c r="N39" s="109">
        <f t="shared" si="24"/>
        <v>0</v>
      </c>
      <c r="O39" s="108"/>
      <c r="P39" s="109">
        <f t="shared" si="1"/>
        <v>0</v>
      </c>
      <c r="Q39" s="108">
        <v>3</v>
      </c>
      <c r="R39" s="109">
        <f t="shared" si="2"/>
        <v>5967717</v>
      </c>
      <c r="S39" s="108"/>
      <c r="T39" s="109">
        <f t="shared" si="3"/>
        <v>0</v>
      </c>
      <c r="U39" s="108"/>
      <c r="V39" s="109">
        <f t="shared" si="4"/>
        <v>0</v>
      </c>
      <c r="W39" s="108"/>
      <c r="X39" s="109">
        <f t="shared" si="5"/>
        <v>0</v>
      </c>
      <c r="Y39" s="108"/>
      <c r="Z39" s="109">
        <f t="shared" si="6"/>
        <v>0</v>
      </c>
      <c r="AA39" s="108"/>
      <c r="AB39" s="109">
        <f t="shared" si="7"/>
        <v>0</v>
      </c>
      <c r="AC39" s="108"/>
      <c r="AD39" s="109">
        <f t="shared" si="8"/>
        <v>0</v>
      </c>
      <c r="AE39" s="108"/>
      <c r="AF39" s="109">
        <f t="shared" si="18"/>
        <v>0</v>
      </c>
      <c r="AG39" s="108"/>
      <c r="AH39" s="109">
        <f t="shared" si="9"/>
        <v>0</v>
      </c>
      <c r="AI39" s="108"/>
      <c r="AJ39" s="109">
        <f t="shared" si="19"/>
        <v>0</v>
      </c>
      <c r="AK39" s="108"/>
      <c r="AL39" s="109">
        <f t="shared" si="10"/>
        <v>0</v>
      </c>
      <c r="AM39" s="108"/>
      <c r="AN39" s="109">
        <f t="shared" si="20"/>
        <v>0</v>
      </c>
      <c r="AO39" s="108"/>
      <c r="AP39" s="109">
        <f t="shared" si="11"/>
        <v>0</v>
      </c>
      <c r="AQ39" s="108"/>
      <c r="AR39" s="109">
        <f t="shared" si="12"/>
        <v>0</v>
      </c>
      <c r="AS39" s="108"/>
      <c r="AT39" s="109">
        <f t="shared" si="13"/>
        <v>0</v>
      </c>
      <c r="AU39" s="108"/>
      <c r="AV39" s="109">
        <f t="shared" si="14"/>
        <v>0</v>
      </c>
      <c r="AW39" s="108"/>
      <c r="AX39" s="109">
        <f t="shared" si="15"/>
        <v>0</v>
      </c>
      <c r="AY39" s="108"/>
      <c r="AZ39" s="109">
        <v>0</v>
      </c>
      <c r="BA39" s="107"/>
      <c r="BB39" s="109">
        <f t="shared" si="29"/>
        <v>0</v>
      </c>
      <c r="BC39" s="108"/>
      <c r="BD39" s="109">
        <f t="shared" si="25"/>
        <v>0</v>
      </c>
      <c r="BE39" s="108"/>
      <c r="BF39" s="109">
        <v>0</v>
      </c>
      <c r="BG39" s="108"/>
      <c r="BH39" s="109">
        <f t="shared" si="26"/>
        <v>0</v>
      </c>
      <c r="BI39" s="108"/>
      <c r="BJ39" s="109">
        <f t="shared" si="27"/>
        <v>0</v>
      </c>
      <c r="BK39" s="109"/>
      <c r="BL39" s="109">
        <f t="shared" si="21"/>
        <v>0</v>
      </c>
      <c r="BM39" s="108"/>
      <c r="BN39" s="109">
        <f t="shared" si="28"/>
        <v>0</v>
      </c>
    </row>
    <row r="40" spans="3:66" s="110" customFormat="1" ht="12.75" customHeight="1">
      <c r="C40" s="107" t="s">
        <v>173</v>
      </c>
      <c r="D40" s="108">
        <v>1</v>
      </c>
      <c r="E40" s="108">
        <f t="shared" si="0"/>
        <v>4</v>
      </c>
      <c r="F40" s="106">
        <f t="shared" si="0"/>
        <v>10751750</v>
      </c>
      <c r="G40" s="108"/>
      <c r="H40" s="109">
        <f t="shared" si="22"/>
        <v>0</v>
      </c>
      <c r="I40" s="108"/>
      <c r="J40" s="109">
        <f t="shared" si="23"/>
        <v>0</v>
      </c>
      <c r="K40" s="108"/>
      <c r="L40" s="109">
        <f t="shared" si="17"/>
        <v>0</v>
      </c>
      <c r="M40" s="108"/>
      <c r="N40" s="109">
        <f t="shared" si="24"/>
        <v>0</v>
      </c>
      <c r="O40" s="108">
        <v>2</v>
      </c>
      <c r="P40" s="109">
        <f t="shared" si="1"/>
        <v>5425196</v>
      </c>
      <c r="Q40" s="108"/>
      <c r="R40" s="109">
        <f t="shared" si="2"/>
        <v>0</v>
      </c>
      <c r="S40" s="108"/>
      <c r="T40" s="109">
        <f t="shared" si="3"/>
        <v>0</v>
      </c>
      <c r="U40" s="108"/>
      <c r="V40" s="109">
        <f t="shared" si="4"/>
        <v>0</v>
      </c>
      <c r="W40" s="108">
        <v>2</v>
      </c>
      <c r="X40" s="109">
        <f t="shared" si="5"/>
        <v>5326554</v>
      </c>
      <c r="Y40" s="108"/>
      <c r="Z40" s="109">
        <f t="shared" si="6"/>
        <v>0</v>
      </c>
      <c r="AA40" s="108"/>
      <c r="AB40" s="109">
        <f t="shared" si="7"/>
        <v>0</v>
      </c>
      <c r="AC40" s="108"/>
      <c r="AD40" s="109">
        <f t="shared" si="8"/>
        <v>0</v>
      </c>
      <c r="AE40" s="108"/>
      <c r="AF40" s="109">
        <f t="shared" si="18"/>
        <v>0</v>
      </c>
      <c r="AG40" s="108"/>
      <c r="AH40" s="109">
        <f t="shared" si="9"/>
        <v>0</v>
      </c>
      <c r="AI40" s="108"/>
      <c r="AJ40" s="109">
        <f t="shared" si="19"/>
        <v>0</v>
      </c>
      <c r="AK40" s="108"/>
      <c r="AL40" s="109">
        <f t="shared" si="10"/>
        <v>0</v>
      </c>
      <c r="AM40" s="108"/>
      <c r="AN40" s="109">
        <f t="shared" si="20"/>
        <v>0</v>
      </c>
      <c r="AO40" s="108"/>
      <c r="AP40" s="109">
        <f t="shared" si="11"/>
        <v>0</v>
      </c>
      <c r="AQ40" s="108"/>
      <c r="AR40" s="109">
        <f t="shared" si="12"/>
        <v>0</v>
      </c>
      <c r="AS40" s="108"/>
      <c r="AT40" s="109">
        <f t="shared" si="13"/>
        <v>0</v>
      </c>
      <c r="AU40" s="108"/>
      <c r="AV40" s="109">
        <f t="shared" si="14"/>
        <v>0</v>
      </c>
      <c r="AW40" s="108"/>
      <c r="AX40" s="109">
        <f t="shared" si="15"/>
        <v>0</v>
      </c>
      <c r="AY40" s="108"/>
      <c r="AZ40" s="109">
        <v>0</v>
      </c>
      <c r="BA40" s="107"/>
      <c r="BB40" s="109">
        <f t="shared" si="29"/>
        <v>0</v>
      </c>
      <c r="BC40" s="108"/>
      <c r="BD40" s="109">
        <f t="shared" si="25"/>
        <v>0</v>
      </c>
      <c r="BE40" s="108"/>
      <c r="BF40" s="109">
        <v>0</v>
      </c>
      <c r="BG40" s="108"/>
      <c r="BH40" s="109">
        <f t="shared" si="26"/>
        <v>0</v>
      </c>
      <c r="BI40" s="108"/>
      <c r="BJ40" s="109">
        <f t="shared" si="27"/>
        <v>0</v>
      </c>
      <c r="BK40" s="109"/>
      <c r="BL40" s="109">
        <f t="shared" si="21"/>
        <v>0</v>
      </c>
      <c r="BM40" s="108"/>
      <c r="BN40" s="109">
        <f t="shared" si="28"/>
        <v>0</v>
      </c>
    </row>
    <row r="41" spans="3:66" s="110" customFormat="1" ht="12.75" customHeight="1">
      <c r="C41" s="107" t="s">
        <v>174</v>
      </c>
      <c r="D41" s="108">
        <v>5</v>
      </c>
      <c r="E41" s="108">
        <f t="shared" si="0"/>
        <v>5</v>
      </c>
      <c r="F41" s="106">
        <f t="shared" si="0"/>
        <v>26344181</v>
      </c>
      <c r="G41" s="108">
        <v>1</v>
      </c>
      <c r="H41" s="109">
        <f t="shared" si="22"/>
        <v>6058286</v>
      </c>
      <c r="I41" s="108"/>
      <c r="J41" s="109">
        <f>+I41*$J$10</f>
        <v>0</v>
      </c>
      <c r="K41" s="108"/>
      <c r="L41" s="109">
        <f t="shared" si="17"/>
        <v>0</v>
      </c>
      <c r="M41" s="108">
        <v>3</v>
      </c>
      <c r="N41" s="109">
        <f t="shared" si="24"/>
        <v>17844405</v>
      </c>
      <c r="O41" s="108"/>
      <c r="P41" s="109">
        <f t="shared" si="1"/>
        <v>0</v>
      </c>
      <c r="Q41" s="108"/>
      <c r="R41" s="109">
        <f t="shared" si="2"/>
        <v>0</v>
      </c>
      <c r="S41" s="108"/>
      <c r="T41" s="109">
        <f t="shared" si="3"/>
        <v>0</v>
      </c>
      <c r="U41" s="108"/>
      <c r="V41" s="109">
        <f t="shared" si="4"/>
        <v>0</v>
      </c>
      <c r="W41" s="108"/>
      <c r="X41" s="109">
        <f t="shared" si="5"/>
        <v>0</v>
      </c>
      <c r="Y41" s="108"/>
      <c r="Z41" s="109">
        <f t="shared" si="6"/>
        <v>0</v>
      </c>
      <c r="AA41" s="108"/>
      <c r="AB41" s="109">
        <f t="shared" si="7"/>
        <v>0</v>
      </c>
      <c r="AC41" s="108"/>
      <c r="AD41" s="109">
        <f t="shared" si="8"/>
        <v>0</v>
      </c>
      <c r="AE41" s="108"/>
      <c r="AF41" s="109">
        <f t="shared" si="18"/>
        <v>0</v>
      </c>
      <c r="AG41" s="108"/>
      <c r="AH41" s="109">
        <f t="shared" si="9"/>
        <v>0</v>
      </c>
      <c r="AI41" s="108"/>
      <c r="AJ41" s="109">
        <f t="shared" si="19"/>
        <v>0</v>
      </c>
      <c r="AK41" s="108"/>
      <c r="AL41" s="109">
        <f t="shared" si="10"/>
        <v>0</v>
      </c>
      <c r="AM41" s="108"/>
      <c r="AN41" s="109">
        <f t="shared" si="20"/>
        <v>0</v>
      </c>
      <c r="AO41" s="108">
        <v>1</v>
      </c>
      <c r="AP41" s="109">
        <f t="shared" si="11"/>
        <v>2441490</v>
      </c>
      <c r="AQ41" s="108"/>
      <c r="AR41" s="109">
        <f>+AQ41*$AR$10</f>
        <v>0</v>
      </c>
      <c r="AS41" s="108"/>
      <c r="AT41" s="109">
        <f>+AS41*$AT$10</f>
        <v>0</v>
      </c>
      <c r="AU41" s="108"/>
      <c r="AV41" s="109">
        <f t="shared" si="14"/>
        <v>0</v>
      </c>
      <c r="AW41" s="108"/>
      <c r="AX41" s="109">
        <f t="shared" si="15"/>
        <v>0</v>
      </c>
      <c r="AY41" s="108"/>
      <c r="AZ41" s="109">
        <v>0</v>
      </c>
      <c r="BA41" s="107"/>
      <c r="BB41" s="109">
        <f t="shared" si="29"/>
        <v>0</v>
      </c>
      <c r="BC41" s="108"/>
      <c r="BD41" s="109">
        <f t="shared" si="25"/>
        <v>0</v>
      </c>
      <c r="BE41" s="108"/>
      <c r="BF41" s="109">
        <v>0</v>
      </c>
      <c r="BG41" s="108"/>
      <c r="BH41" s="109">
        <f t="shared" si="26"/>
        <v>0</v>
      </c>
      <c r="BI41" s="108"/>
      <c r="BJ41" s="109">
        <f t="shared" si="27"/>
        <v>0</v>
      </c>
      <c r="BK41" s="109"/>
      <c r="BL41" s="109">
        <f t="shared" si="21"/>
        <v>0</v>
      </c>
      <c r="BM41" s="108"/>
      <c r="BN41" s="109">
        <f t="shared" si="28"/>
        <v>0</v>
      </c>
    </row>
    <row r="42" spans="3:66" s="110" customFormat="1" ht="12.75" customHeight="1">
      <c r="C42" s="107" t="s">
        <v>175</v>
      </c>
      <c r="D42" s="108">
        <v>1</v>
      </c>
      <c r="E42" s="108">
        <f t="shared" si="0"/>
        <v>76</v>
      </c>
      <c r="F42" s="106">
        <f t="shared" si="0"/>
        <v>347450085</v>
      </c>
      <c r="G42" s="108">
        <v>1</v>
      </c>
      <c r="H42" s="109">
        <f t="shared" si="22"/>
        <v>6058286</v>
      </c>
      <c r="I42" s="108">
        <v>48</v>
      </c>
      <c r="J42" s="109">
        <f>+I42*$J$10</f>
        <v>290797728</v>
      </c>
      <c r="K42" s="108"/>
      <c r="L42" s="109">
        <f t="shared" si="17"/>
        <v>0</v>
      </c>
      <c r="M42" s="108"/>
      <c r="N42" s="109">
        <f t="shared" si="24"/>
        <v>0</v>
      </c>
      <c r="O42" s="108"/>
      <c r="P42" s="109">
        <f t="shared" si="1"/>
        <v>0</v>
      </c>
      <c r="Q42" s="108">
        <v>10</v>
      </c>
      <c r="R42" s="109">
        <f t="shared" si="2"/>
        <v>19892390</v>
      </c>
      <c r="S42" s="108"/>
      <c r="T42" s="109">
        <f t="shared" si="3"/>
        <v>0</v>
      </c>
      <c r="U42" s="108"/>
      <c r="V42" s="109">
        <f t="shared" si="4"/>
        <v>0</v>
      </c>
      <c r="W42" s="108"/>
      <c r="X42" s="109">
        <f t="shared" si="5"/>
        <v>0</v>
      </c>
      <c r="Y42" s="108">
        <v>13</v>
      </c>
      <c r="Z42" s="109">
        <f t="shared" si="6"/>
        <v>23081747</v>
      </c>
      <c r="AA42" s="108"/>
      <c r="AB42" s="109">
        <f t="shared" si="7"/>
        <v>0</v>
      </c>
      <c r="AC42" s="108"/>
      <c r="AD42" s="109"/>
      <c r="AE42" s="108">
        <v>1</v>
      </c>
      <c r="AF42" s="109">
        <f t="shared" si="18"/>
        <v>2737257</v>
      </c>
      <c r="AG42" s="108"/>
      <c r="AH42" s="109">
        <f t="shared" si="9"/>
        <v>0</v>
      </c>
      <c r="AI42" s="108"/>
      <c r="AJ42" s="109">
        <f t="shared" si="19"/>
        <v>0</v>
      </c>
      <c r="AK42" s="108"/>
      <c r="AL42" s="109">
        <f t="shared" si="10"/>
        <v>0</v>
      </c>
      <c r="AM42" s="108"/>
      <c r="AN42" s="109">
        <f t="shared" si="20"/>
        <v>0</v>
      </c>
      <c r="AO42" s="108"/>
      <c r="AP42" s="109">
        <f t="shared" si="11"/>
        <v>0</v>
      </c>
      <c r="AQ42" s="108"/>
      <c r="AR42" s="109">
        <f>+AQ42*$AR$10</f>
        <v>0</v>
      </c>
      <c r="AS42" s="108"/>
      <c r="AT42" s="109">
        <f>+AS42*$AT$10</f>
        <v>0</v>
      </c>
      <c r="AU42" s="108"/>
      <c r="AV42" s="109">
        <f t="shared" si="14"/>
        <v>0</v>
      </c>
      <c r="AW42" s="108"/>
      <c r="AX42" s="109">
        <f t="shared" si="15"/>
        <v>0</v>
      </c>
      <c r="AY42" s="108"/>
      <c r="AZ42" s="109">
        <v>0</v>
      </c>
      <c r="BA42" s="107"/>
      <c r="BB42" s="109">
        <f t="shared" si="29"/>
        <v>0</v>
      </c>
      <c r="BC42" s="108"/>
      <c r="BD42" s="109">
        <f t="shared" si="25"/>
        <v>0</v>
      </c>
      <c r="BE42" s="108"/>
      <c r="BF42" s="109">
        <v>0</v>
      </c>
      <c r="BG42" s="108"/>
      <c r="BH42" s="109">
        <f t="shared" si="26"/>
        <v>0</v>
      </c>
      <c r="BI42" s="108"/>
      <c r="BJ42" s="109">
        <f t="shared" si="27"/>
        <v>0</v>
      </c>
      <c r="BK42" s="109">
        <v>3</v>
      </c>
      <c r="BL42" s="109">
        <f t="shared" si="21"/>
        <v>4882677</v>
      </c>
      <c r="BM42" s="108"/>
      <c r="BN42" s="109">
        <f t="shared" si="28"/>
        <v>0</v>
      </c>
    </row>
    <row r="43" spans="3:66" s="110" customFormat="1" ht="12.75" customHeight="1">
      <c r="C43" s="107" t="s">
        <v>176</v>
      </c>
      <c r="D43" s="108">
        <v>1</v>
      </c>
      <c r="E43" s="108">
        <f t="shared" si="0"/>
        <v>25</v>
      </c>
      <c r="F43" s="106">
        <f t="shared" si="0"/>
        <v>143282887</v>
      </c>
      <c r="G43" s="108">
        <v>1</v>
      </c>
      <c r="H43" s="109">
        <f t="shared" si="22"/>
        <v>6058286</v>
      </c>
      <c r="I43" s="108">
        <v>22</v>
      </c>
      <c r="J43" s="109">
        <f>+I43*$J$10</f>
        <v>133282292</v>
      </c>
      <c r="K43" s="108"/>
      <c r="L43" s="109">
        <f t="shared" si="17"/>
        <v>0</v>
      </c>
      <c r="M43" s="108"/>
      <c r="N43" s="109">
        <f t="shared" si="24"/>
        <v>0</v>
      </c>
      <c r="O43" s="108"/>
      <c r="P43" s="109">
        <f t="shared" si="1"/>
        <v>0</v>
      </c>
      <c r="Q43" s="108">
        <v>1</v>
      </c>
      <c r="R43" s="109">
        <f t="shared" si="2"/>
        <v>1989239</v>
      </c>
      <c r="S43" s="108">
        <v>1</v>
      </c>
      <c r="T43" s="109">
        <f t="shared" si="3"/>
        <v>1953070</v>
      </c>
      <c r="U43" s="108"/>
      <c r="V43" s="109">
        <f t="shared" si="4"/>
        <v>0</v>
      </c>
      <c r="W43" s="108"/>
      <c r="X43" s="109">
        <f t="shared" si="5"/>
        <v>0</v>
      </c>
      <c r="Y43" s="108"/>
      <c r="Z43" s="109">
        <f t="shared" si="6"/>
        <v>0</v>
      </c>
      <c r="AA43" s="108"/>
      <c r="AB43" s="109">
        <f t="shared" si="7"/>
        <v>0</v>
      </c>
      <c r="AC43" s="108"/>
      <c r="AD43" s="109">
        <f>+AC43*$AD$10</f>
        <v>0</v>
      </c>
      <c r="AE43" s="108"/>
      <c r="AF43" s="109">
        <f t="shared" si="18"/>
        <v>0</v>
      </c>
      <c r="AG43" s="108"/>
      <c r="AH43" s="109">
        <f t="shared" si="9"/>
        <v>0</v>
      </c>
      <c r="AI43" s="108"/>
      <c r="AJ43" s="109">
        <f t="shared" si="19"/>
        <v>0</v>
      </c>
      <c r="AK43" s="108"/>
      <c r="AL43" s="109">
        <f t="shared" si="10"/>
        <v>0</v>
      </c>
      <c r="AM43" s="108"/>
      <c r="AN43" s="109">
        <f t="shared" si="20"/>
        <v>0</v>
      </c>
      <c r="AO43" s="108"/>
      <c r="AP43" s="109">
        <f t="shared" si="11"/>
        <v>0</v>
      </c>
      <c r="AQ43" s="108"/>
      <c r="AR43" s="109">
        <f>+AQ43*$AR$10</f>
        <v>0</v>
      </c>
      <c r="AS43" s="108"/>
      <c r="AT43" s="109">
        <f>+AS43*$AT$10</f>
        <v>0</v>
      </c>
      <c r="AU43" s="108"/>
      <c r="AV43" s="109">
        <f t="shared" si="14"/>
        <v>0</v>
      </c>
      <c r="AW43" s="108"/>
      <c r="AX43" s="109">
        <f t="shared" si="15"/>
        <v>0</v>
      </c>
      <c r="AY43" s="108"/>
      <c r="AZ43" s="109">
        <v>0</v>
      </c>
      <c r="BA43" s="107"/>
      <c r="BB43" s="109">
        <f t="shared" si="29"/>
        <v>0</v>
      </c>
      <c r="BC43" s="108"/>
      <c r="BD43" s="109">
        <f t="shared" si="25"/>
        <v>0</v>
      </c>
      <c r="BE43" s="108"/>
      <c r="BF43" s="109">
        <v>0</v>
      </c>
      <c r="BG43" s="108"/>
      <c r="BH43" s="109">
        <f t="shared" si="26"/>
        <v>0</v>
      </c>
      <c r="BI43" s="108"/>
      <c r="BJ43" s="109">
        <f t="shared" si="27"/>
        <v>0</v>
      </c>
      <c r="BK43" s="109"/>
      <c r="BL43" s="109">
        <f t="shared" si="21"/>
        <v>0</v>
      </c>
      <c r="BM43" s="108"/>
      <c r="BN43" s="109">
        <f t="shared" si="28"/>
        <v>0</v>
      </c>
    </row>
    <row r="44" spans="3:66" s="110" customFormat="1" ht="12.75" customHeight="1">
      <c r="C44" s="107" t="s">
        <v>177</v>
      </c>
      <c r="D44" s="108">
        <v>1</v>
      </c>
      <c r="E44" s="108">
        <f t="shared" si="0"/>
        <v>19</v>
      </c>
      <c r="F44" s="106">
        <f t="shared" si="0"/>
        <v>61883199</v>
      </c>
      <c r="G44" s="108">
        <v>1</v>
      </c>
      <c r="H44" s="109">
        <f t="shared" si="22"/>
        <v>6058286</v>
      </c>
      <c r="I44" s="108">
        <v>4</v>
      </c>
      <c r="J44" s="109">
        <f>+I44*$J$10</f>
        <v>24233144</v>
      </c>
      <c r="K44" s="108"/>
      <c r="L44" s="109">
        <f t="shared" si="17"/>
        <v>0</v>
      </c>
      <c r="M44" s="108">
        <v>1</v>
      </c>
      <c r="N44" s="109">
        <f t="shared" si="24"/>
        <v>5948135</v>
      </c>
      <c r="O44" s="108"/>
      <c r="P44" s="109">
        <f t="shared" si="1"/>
        <v>0</v>
      </c>
      <c r="Q44" s="108"/>
      <c r="R44" s="109">
        <f t="shared" si="2"/>
        <v>0</v>
      </c>
      <c r="S44" s="108">
        <v>9</v>
      </c>
      <c r="T44" s="109">
        <f t="shared" si="3"/>
        <v>17577630</v>
      </c>
      <c r="U44" s="108"/>
      <c r="V44" s="109">
        <f t="shared" si="4"/>
        <v>0</v>
      </c>
      <c r="W44" s="108"/>
      <c r="X44" s="109">
        <f t="shared" si="5"/>
        <v>0</v>
      </c>
      <c r="Y44" s="108"/>
      <c r="Z44" s="109">
        <f t="shared" si="6"/>
        <v>0</v>
      </c>
      <c r="AA44" s="108"/>
      <c r="AB44" s="109">
        <f t="shared" si="7"/>
        <v>0</v>
      </c>
      <c r="AC44" s="108">
        <v>1</v>
      </c>
      <c r="AD44" s="109">
        <f>+AC44*$AD$10</f>
        <v>2737257</v>
      </c>
      <c r="AE44" s="108">
        <v>1</v>
      </c>
      <c r="AF44" s="109">
        <f>+AE44*$AF$10</f>
        <v>2007322</v>
      </c>
      <c r="AG44" s="108"/>
      <c r="AH44" s="109">
        <f t="shared" si="9"/>
        <v>0</v>
      </c>
      <c r="AI44" s="108"/>
      <c r="AJ44" s="109">
        <f t="shared" si="19"/>
        <v>0</v>
      </c>
      <c r="AK44" s="108"/>
      <c r="AL44" s="109">
        <f t="shared" si="10"/>
        <v>0</v>
      </c>
      <c r="AM44" s="108">
        <v>1</v>
      </c>
      <c r="AN44" s="109">
        <f t="shared" si="20"/>
        <v>669107</v>
      </c>
      <c r="AO44" s="108"/>
      <c r="AP44" s="109">
        <f t="shared" si="11"/>
        <v>0</v>
      </c>
      <c r="AQ44" s="108"/>
      <c r="AR44" s="109">
        <f>+AQ44*$AR$10</f>
        <v>0</v>
      </c>
      <c r="AS44" s="108"/>
      <c r="AT44" s="109">
        <f>+AS44*$AT$10</f>
        <v>0</v>
      </c>
      <c r="AU44" s="108"/>
      <c r="AV44" s="109">
        <f t="shared" si="14"/>
        <v>0</v>
      </c>
      <c r="AW44" s="108"/>
      <c r="AX44" s="109">
        <f t="shared" si="15"/>
        <v>0</v>
      </c>
      <c r="AY44" s="108"/>
      <c r="AZ44" s="109">
        <v>0</v>
      </c>
      <c r="BA44" s="107"/>
      <c r="BB44" s="109">
        <f t="shared" si="29"/>
        <v>0</v>
      </c>
      <c r="BC44" s="108"/>
      <c r="BD44" s="109">
        <f t="shared" si="25"/>
        <v>0</v>
      </c>
      <c r="BE44" s="108"/>
      <c r="BF44" s="109">
        <v>0</v>
      </c>
      <c r="BG44" s="108"/>
      <c r="BH44" s="109">
        <f t="shared" si="26"/>
        <v>0</v>
      </c>
      <c r="BI44" s="108"/>
      <c r="BJ44" s="109">
        <f t="shared" si="27"/>
        <v>0</v>
      </c>
      <c r="BK44" s="109"/>
      <c r="BL44" s="109">
        <f t="shared" si="21"/>
        <v>0</v>
      </c>
      <c r="BM44" s="108">
        <v>1</v>
      </c>
      <c r="BN44" s="109">
        <f t="shared" si="28"/>
        <v>2652318</v>
      </c>
    </row>
    <row r="45" spans="3:66" s="116" customFormat="1" ht="12.75" customHeight="1">
      <c r="C45" s="111" t="s">
        <v>178</v>
      </c>
      <c r="D45" s="112"/>
      <c r="E45" s="108">
        <f>G45+I45+K45+M45+O45+Q45+S45+U45+W45+Y45+AA45+AG45+AI45+AK45+AO45+AQ45+AS45+AU45+AW45+AY45+BA45+BC45+BE45+BG45+BI45+BM45</f>
        <v>471</v>
      </c>
      <c r="F45" s="113">
        <f>SUM(F11:F44)</f>
        <v>2368099644</v>
      </c>
      <c r="G45" s="114">
        <f>SUM(G11:G44)</f>
        <v>26</v>
      </c>
      <c r="H45" s="113">
        <f>SUM(H11:H44)</f>
        <v>157515436</v>
      </c>
      <c r="I45" s="114">
        <f>SUM(I11:I44)</f>
        <v>297</v>
      </c>
      <c r="J45" s="113">
        <f t="shared" ref="J45:BN45" si="30">SUM(J11:J44)</f>
        <v>1799310942</v>
      </c>
      <c r="K45" s="114">
        <f t="shared" si="30"/>
        <v>13</v>
      </c>
      <c r="L45" s="113">
        <f t="shared" si="30"/>
        <v>77517440</v>
      </c>
      <c r="M45" s="114">
        <f t="shared" si="30"/>
        <v>16</v>
      </c>
      <c r="N45" s="113">
        <f t="shared" si="30"/>
        <v>95170160</v>
      </c>
      <c r="O45" s="114">
        <f t="shared" si="30"/>
        <v>10</v>
      </c>
      <c r="P45" s="113">
        <f t="shared" si="30"/>
        <v>27125980</v>
      </c>
      <c r="Q45" s="114">
        <f t="shared" si="30"/>
        <v>30</v>
      </c>
      <c r="R45" s="113">
        <f t="shared" si="30"/>
        <v>59677170</v>
      </c>
      <c r="S45" s="114">
        <f t="shared" si="30"/>
        <v>11</v>
      </c>
      <c r="T45" s="113">
        <f t="shared" si="30"/>
        <v>21483770</v>
      </c>
      <c r="U45" s="114">
        <f t="shared" si="30"/>
        <v>2</v>
      </c>
      <c r="V45" s="113">
        <f t="shared" si="30"/>
        <v>4701836</v>
      </c>
      <c r="W45" s="114">
        <f t="shared" si="30"/>
        <v>3</v>
      </c>
      <c r="X45" s="113">
        <f t="shared" si="30"/>
        <v>7989831</v>
      </c>
      <c r="Y45" s="114">
        <f t="shared" si="30"/>
        <v>23</v>
      </c>
      <c r="Z45" s="113">
        <f t="shared" si="30"/>
        <v>40836937</v>
      </c>
      <c r="AA45" s="114">
        <f t="shared" si="30"/>
        <v>7</v>
      </c>
      <c r="AB45" s="113">
        <f t="shared" si="30"/>
        <v>12658793</v>
      </c>
      <c r="AC45" s="114">
        <f t="shared" si="30"/>
        <v>1</v>
      </c>
      <c r="AD45" s="113">
        <f t="shared" si="30"/>
        <v>2737257</v>
      </c>
      <c r="AE45" s="114">
        <f t="shared" si="30"/>
        <v>2</v>
      </c>
      <c r="AF45" s="113">
        <f t="shared" si="30"/>
        <v>4744579</v>
      </c>
      <c r="AG45" s="114">
        <f t="shared" si="30"/>
        <v>1</v>
      </c>
      <c r="AH45" s="113">
        <f t="shared" si="30"/>
        <v>120560</v>
      </c>
      <c r="AI45" s="114">
        <f t="shared" si="30"/>
        <v>1</v>
      </c>
      <c r="AJ45" s="113">
        <f t="shared" si="30"/>
        <v>771299</v>
      </c>
      <c r="AK45" s="114">
        <f t="shared" si="30"/>
        <v>3</v>
      </c>
      <c r="AL45" s="113">
        <f t="shared" si="30"/>
        <v>2712597</v>
      </c>
      <c r="AM45" s="114">
        <f t="shared" si="30"/>
        <v>1</v>
      </c>
      <c r="AN45" s="113">
        <f t="shared" si="30"/>
        <v>669107</v>
      </c>
      <c r="AO45" s="114">
        <f t="shared" si="30"/>
        <v>5</v>
      </c>
      <c r="AP45" s="113">
        <f t="shared" si="30"/>
        <v>12207450</v>
      </c>
      <c r="AQ45" s="114">
        <f t="shared" si="30"/>
        <v>1</v>
      </c>
      <c r="AR45" s="113">
        <f t="shared" si="30"/>
        <v>1762230</v>
      </c>
      <c r="AS45" s="114">
        <f t="shared" si="30"/>
        <v>1</v>
      </c>
      <c r="AT45" s="113">
        <f t="shared" si="30"/>
        <v>241120</v>
      </c>
      <c r="AU45" s="114">
        <f t="shared" si="30"/>
        <v>1</v>
      </c>
      <c r="AV45" s="113">
        <f t="shared" si="30"/>
        <v>241120</v>
      </c>
      <c r="AW45" s="114">
        <f t="shared" si="30"/>
        <v>6</v>
      </c>
      <c r="AX45" s="113">
        <f t="shared" si="30"/>
        <v>7956948</v>
      </c>
      <c r="AY45" s="114">
        <f t="shared" si="30"/>
        <v>1</v>
      </c>
      <c r="AZ45" s="113">
        <f t="shared" si="30"/>
        <v>1808399</v>
      </c>
      <c r="BA45" s="115">
        <f t="shared" si="30"/>
        <v>0</v>
      </c>
      <c r="BB45" s="113">
        <f t="shared" si="30"/>
        <v>0</v>
      </c>
      <c r="BC45" s="115">
        <f t="shared" si="30"/>
        <v>2</v>
      </c>
      <c r="BD45" s="113">
        <f t="shared" si="30"/>
        <v>2983858</v>
      </c>
      <c r="BE45" s="115">
        <f t="shared" si="30"/>
        <v>6</v>
      </c>
      <c r="BF45" s="113">
        <f t="shared" si="30"/>
        <v>8788818</v>
      </c>
      <c r="BG45" s="115">
        <f t="shared" si="30"/>
        <v>1</v>
      </c>
      <c r="BH45" s="113">
        <f t="shared" si="30"/>
        <v>1657698</v>
      </c>
      <c r="BI45" s="115">
        <f t="shared" si="30"/>
        <v>2</v>
      </c>
      <c r="BJ45" s="113">
        <f t="shared" si="30"/>
        <v>4520996</v>
      </c>
      <c r="BK45" s="114">
        <f t="shared" si="30"/>
        <v>3</v>
      </c>
      <c r="BL45" s="113">
        <f t="shared" si="30"/>
        <v>4882677</v>
      </c>
      <c r="BM45" s="114">
        <f t="shared" si="30"/>
        <v>2</v>
      </c>
      <c r="BN45" s="113">
        <f t="shared" si="30"/>
        <v>5304636</v>
      </c>
    </row>
    <row r="46" spans="3:66" s="118" customFormat="1" ht="16.5">
      <c r="C46" s="117" t="s">
        <v>179</v>
      </c>
      <c r="D46" s="117"/>
      <c r="E46" s="117"/>
      <c r="F46" s="117"/>
      <c r="H46" s="119"/>
      <c r="I46" s="120"/>
      <c r="J46" s="120"/>
    </row>
    <row r="47" spans="3:66" s="118" customFormat="1" ht="16.5">
      <c r="C47" s="117" t="s">
        <v>180</v>
      </c>
      <c r="D47" s="117"/>
      <c r="E47" s="117"/>
      <c r="F47" s="117"/>
      <c r="H47" s="119"/>
      <c r="I47" s="120"/>
      <c r="J47" s="120"/>
    </row>
    <row r="50" spans="3:66" s="91" customFormat="1" ht="11.25" customHeight="1">
      <c r="E50" s="92"/>
      <c r="F50" s="93"/>
      <c r="G50" s="93"/>
      <c r="H50" s="93"/>
    </row>
    <row r="51" spans="3:66" s="91" customFormat="1" ht="10.5" customHeight="1">
      <c r="E51" s="121"/>
    </row>
    <row r="52" spans="3:66" s="116" customFormat="1">
      <c r="C52" s="122"/>
      <c r="D52" s="122"/>
      <c r="E52" s="122"/>
      <c r="F52" s="122"/>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row>
  </sheetData>
  <sheetProtection algorithmName="SHA-512" hashValue="pa8Y8ca1+8tC1vwpsw+BsiasqRr31qjM9EssfdDiMi7iEXBie9vgmGEXNqrNUZpMAw4rEoIfaMCLkBHBKm96+Q==" saltValue="q0MfRuWimbJjwOeY/5AZOQ==" spinCount="100000" sheet="1" objects="1" scenarios="1" selectLockedCells="1" selectUnlockedCells="1"/>
  <mergeCells count="14">
    <mergeCell ref="BM8:BN8"/>
    <mergeCell ref="C45:D45"/>
    <mergeCell ref="BA8:BB8"/>
    <mergeCell ref="BC8:BD8"/>
    <mergeCell ref="BE8:BF8"/>
    <mergeCell ref="BG8:BH8"/>
    <mergeCell ref="BI8:BJ8"/>
    <mergeCell ref="BK8:BL8"/>
    <mergeCell ref="AO8:AP8"/>
    <mergeCell ref="AQ8:AR8"/>
    <mergeCell ref="AS8:AT8"/>
    <mergeCell ref="AU8:AV8"/>
    <mergeCell ref="AW8:AX8"/>
    <mergeCell ref="AY8:AZ8"/>
  </mergeCells>
  <printOptions horizontalCentered="1"/>
  <pageMargins left="3.937007874015748E-2" right="0.23622047244094491" top="0.74803149606299213" bottom="0.74803149606299213" header="0.31496062992125984" footer="0.31496062992125984"/>
  <pageSetup paperSize="5" scale="26" fitToHeight="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B1:N53"/>
  <sheetViews>
    <sheetView showGridLines="0" zoomScale="80" zoomScaleNormal="80" workbookViewId="0">
      <selection activeCell="A23" sqref="A23"/>
    </sheetView>
  </sheetViews>
  <sheetFormatPr baseColWidth="10" defaultRowHeight="12.75"/>
  <cols>
    <col min="1" max="1" width="1.7109375" style="3" customWidth="1"/>
    <col min="2" max="2" width="74.42578125" style="3" bestFit="1" customWidth="1"/>
    <col min="3" max="3" width="18" style="3" customWidth="1"/>
    <col min="4" max="4" width="13" style="3" customWidth="1"/>
    <col min="5" max="5" width="16.140625" style="3" customWidth="1"/>
    <col min="6" max="9" width="14.7109375" style="3" customWidth="1"/>
    <col min="10" max="10" width="5.28515625" style="3" customWidth="1"/>
    <col min="11" max="11" width="14.7109375" style="3" customWidth="1"/>
    <col min="12" max="12" width="26.140625" style="3" hidden="1" customWidth="1"/>
    <col min="13" max="13" width="13" style="3" hidden="1" customWidth="1"/>
    <col min="14" max="14" width="0" style="3" hidden="1" customWidth="1"/>
    <col min="15" max="16384" width="11.42578125" style="3"/>
  </cols>
  <sheetData>
    <row r="1" spans="2:8" ht="6" customHeight="1"/>
    <row r="2" spans="2:8">
      <c r="B2" s="56" t="s">
        <v>30</v>
      </c>
      <c r="C2" s="56"/>
    </row>
    <row r="3" spans="2:8" ht="5.25" customHeight="1"/>
    <row r="4" spans="2:8">
      <c r="B4" s="55" t="s">
        <v>79</v>
      </c>
      <c r="C4" s="55"/>
    </row>
    <row r="5" spans="2:8" ht="25.5">
      <c r="B5" s="27" t="s">
        <v>31</v>
      </c>
      <c r="C5" s="28" t="s">
        <v>5</v>
      </c>
      <c r="E5" s="19"/>
      <c r="F5" s="19"/>
      <c r="G5" s="26">
        <v>2014</v>
      </c>
      <c r="H5" s="26">
        <v>2015</v>
      </c>
    </row>
    <row r="6" spans="2:8">
      <c r="B6" s="20" t="s">
        <v>6</v>
      </c>
      <c r="C6" s="21">
        <v>0.29849999999999999</v>
      </c>
      <c r="E6" s="60" t="s">
        <v>32</v>
      </c>
      <c r="F6" s="61"/>
      <c r="G6" s="42">
        <f>1/2</f>
        <v>0.5</v>
      </c>
      <c r="H6" s="42">
        <v>11</v>
      </c>
    </row>
    <row r="7" spans="2:8">
      <c r="B7" s="20" t="s">
        <v>7</v>
      </c>
      <c r="C7" s="21">
        <v>0.29849999999999999</v>
      </c>
      <c r="E7" s="62" t="s">
        <v>44</v>
      </c>
      <c r="F7" s="63"/>
      <c r="G7" s="34">
        <v>616000</v>
      </c>
      <c r="H7" s="34">
        <f>G7*(1+3%)</f>
        <v>634480</v>
      </c>
    </row>
    <row r="8" spans="2:8">
      <c r="B8" s="20" t="s">
        <v>47</v>
      </c>
      <c r="C8" s="21">
        <v>0.40300000000000002</v>
      </c>
    </row>
    <row r="9" spans="2:8" ht="3.75" customHeight="1">
      <c r="B9" s="22"/>
      <c r="C9" s="23"/>
      <c r="E9" s="22"/>
      <c r="F9" s="24"/>
      <c r="G9" s="29"/>
    </row>
    <row r="10" spans="2:8">
      <c r="B10" s="59" t="s">
        <v>71</v>
      </c>
      <c r="C10" s="59"/>
      <c r="H10" s="30"/>
    </row>
    <row r="11" spans="2:8">
      <c r="B11" s="20" t="s">
        <v>8</v>
      </c>
      <c r="C11" s="20">
        <v>20</v>
      </c>
    </row>
    <row r="12" spans="2:8">
      <c r="B12" s="20" t="s">
        <v>72</v>
      </c>
      <c r="C12" s="20">
        <v>24</v>
      </c>
    </row>
    <row r="13" spans="2:8">
      <c r="B13" s="20" t="s">
        <v>9</v>
      </c>
      <c r="C13" s="20">
        <v>22</v>
      </c>
    </row>
    <row r="14" spans="2:8">
      <c r="B14" s="20" t="s">
        <v>73</v>
      </c>
      <c r="C14" s="20">
        <v>26</v>
      </c>
    </row>
    <row r="15" spans="2:8">
      <c r="B15" s="20" t="s">
        <v>74</v>
      </c>
      <c r="C15" s="20">
        <v>8</v>
      </c>
    </row>
    <row r="16" spans="2:8">
      <c r="B16" s="20" t="s">
        <v>75</v>
      </c>
      <c r="C16" s="20">
        <v>10</v>
      </c>
    </row>
    <row r="17" spans="2:13" ht="5.25" customHeight="1"/>
    <row r="18" spans="2:13">
      <c r="B18" s="57" t="s">
        <v>4</v>
      </c>
      <c r="C18" s="58"/>
    </row>
    <row r="19" spans="2:13">
      <c r="B19" s="20" t="s">
        <v>48</v>
      </c>
      <c r="C19" s="25">
        <v>0.08</v>
      </c>
    </row>
    <row r="20" spans="2:13">
      <c r="B20" s="20" t="s">
        <v>2</v>
      </c>
      <c r="C20" s="25">
        <v>0.1</v>
      </c>
    </row>
    <row r="21" spans="2:13">
      <c r="B21" s="20" t="s">
        <v>3</v>
      </c>
      <c r="C21" s="25">
        <v>0.11</v>
      </c>
      <c r="I21" s="38"/>
    </row>
    <row r="22" spans="2:13" ht="4.5" customHeight="1"/>
    <row r="23" spans="2:13" ht="42" customHeight="1">
      <c r="B23" s="36" t="s">
        <v>37</v>
      </c>
      <c r="C23" s="37" t="s">
        <v>5</v>
      </c>
      <c r="D23" s="37" t="s">
        <v>11</v>
      </c>
      <c r="E23" s="37" t="s">
        <v>4</v>
      </c>
      <c r="F23" s="35" t="s">
        <v>38</v>
      </c>
      <c r="G23" s="35" t="s">
        <v>39</v>
      </c>
      <c r="H23" s="35" t="s">
        <v>1</v>
      </c>
      <c r="I23" s="41" t="s">
        <v>42</v>
      </c>
      <c r="J23" s="41" t="s">
        <v>40</v>
      </c>
      <c r="K23" s="41" t="s">
        <v>41</v>
      </c>
      <c r="L23" s="84" t="s">
        <v>100</v>
      </c>
      <c r="M23" s="85" t="s">
        <v>101</v>
      </c>
    </row>
    <row r="24" spans="2:13">
      <c r="B24" s="2" t="s">
        <v>43</v>
      </c>
      <c r="C24" s="44">
        <f>SUM($C$6:$C$8)</f>
        <v>1</v>
      </c>
      <c r="D24" s="45">
        <f>30/30</f>
        <v>1</v>
      </c>
      <c r="E24" s="46">
        <f>+C19</f>
        <v>0.08</v>
      </c>
      <c r="F24" s="40">
        <f>+(($G$7*8.8)*C24*D24)</f>
        <v>5420800</v>
      </c>
      <c r="G24" s="40">
        <f>+F24*E24</f>
        <v>433664</v>
      </c>
      <c r="H24" s="40">
        <f>+ROUND(F24+G24,0)</f>
        <v>5854464</v>
      </c>
      <c r="I24" s="40">
        <f>+H24*10%</f>
        <v>585446.40000000002</v>
      </c>
      <c r="J24" s="39">
        <v>0.16</v>
      </c>
      <c r="K24" s="40">
        <f>+ROUND((I24*J24),0)+H24</f>
        <v>5948135</v>
      </c>
      <c r="L24" s="87">
        <f>+'Vigilancia 140904'!N10</f>
        <v>5948135</v>
      </c>
      <c r="M24" s="88">
        <f>+K24-L24</f>
        <v>0</v>
      </c>
    </row>
    <row r="25" spans="2:13">
      <c r="B25" s="2" t="s">
        <v>0</v>
      </c>
      <c r="C25" s="44">
        <f>SUM($C$6:$C$8)</f>
        <v>1</v>
      </c>
      <c r="D25" s="45">
        <f>30/30</f>
        <v>1</v>
      </c>
      <c r="E25" s="46">
        <f>+C20</f>
        <v>0.1</v>
      </c>
      <c r="F25" s="40">
        <f t="shared" ref="F25:F51" si="0">+(($G$7*8.8)*C25*D25)</f>
        <v>5420800</v>
      </c>
      <c r="G25" s="40">
        <f t="shared" ref="G25:G51" si="1">+F25*E25</f>
        <v>542080</v>
      </c>
      <c r="H25" s="40">
        <f t="shared" ref="H25:H51" si="2">+ROUND(F25+G25,0)</f>
        <v>5962880</v>
      </c>
      <c r="I25" s="40">
        <f t="shared" ref="I25:I51" si="3">+H25*10%</f>
        <v>596288</v>
      </c>
      <c r="J25" s="39">
        <v>0.16</v>
      </c>
      <c r="K25" s="40">
        <f t="shared" ref="K25:K51" si="4">+ROUND((I25*J25),0)+H25</f>
        <v>6058286</v>
      </c>
      <c r="L25" s="87">
        <f>+'Vigilancia 140904'!J10</f>
        <v>6058286</v>
      </c>
      <c r="M25" s="88">
        <f t="shared" ref="M25:M51" si="5">+K25-L25</f>
        <v>0</v>
      </c>
    </row>
    <row r="26" spans="2:13">
      <c r="B26" s="1" t="s">
        <v>49</v>
      </c>
      <c r="C26" s="44">
        <f>($C$6/8)*16</f>
        <v>0.59699999999999998</v>
      </c>
      <c r="D26" s="45">
        <f>$C$13/30</f>
        <v>0.73333333333333328</v>
      </c>
      <c r="E26" s="46">
        <f>+C19</f>
        <v>0.08</v>
      </c>
      <c r="F26" s="40">
        <f t="shared" si="0"/>
        <v>2373226.2399999998</v>
      </c>
      <c r="G26" s="40">
        <f t="shared" si="1"/>
        <v>189858.0992</v>
      </c>
      <c r="H26" s="40">
        <f t="shared" si="2"/>
        <v>2563084</v>
      </c>
      <c r="I26" s="40">
        <f t="shared" si="3"/>
        <v>256308.40000000002</v>
      </c>
      <c r="J26" s="39">
        <v>0.16</v>
      </c>
      <c r="K26" s="40">
        <f t="shared" si="4"/>
        <v>2604093</v>
      </c>
      <c r="L26" s="123"/>
      <c r="M26" s="88">
        <f t="shared" si="5"/>
        <v>2604093</v>
      </c>
    </row>
    <row r="27" spans="2:13">
      <c r="B27" s="1" t="s">
        <v>62</v>
      </c>
      <c r="C27" s="44">
        <f>($C$6/8)*16</f>
        <v>0.59699999999999998</v>
      </c>
      <c r="D27" s="45">
        <f>$C$13/30</f>
        <v>0.73333333333333328</v>
      </c>
      <c r="E27" s="46">
        <f>+C20</f>
        <v>0.1</v>
      </c>
      <c r="F27" s="40">
        <f t="shared" si="0"/>
        <v>2373226.2399999998</v>
      </c>
      <c r="G27" s="40">
        <f t="shared" si="1"/>
        <v>237322.62399999998</v>
      </c>
      <c r="H27" s="40">
        <f t="shared" si="2"/>
        <v>2610549</v>
      </c>
      <c r="I27" s="40">
        <f t="shared" si="3"/>
        <v>261054.90000000002</v>
      </c>
      <c r="J27" s="39">
        <v>0.16</v>
      </c>
      <c r="K27" s="40">
        <f t="shared" si="4"/>
        <v>2652318</v>
      </c>
      <c r="L27" s="87">
        <f>+'Vigilancia 140904'!BN10</f>
        <v>2652318</v>
      </c>
      <c r="M27" s="88">
        <f t="shared" si="5"/>
        <v>0</v>
      </c>
    </row>
    <row r="28" spans="2:13">
      <c r="B28" s="2" t="s">
        <v>56</v>
      </c>
      <c r="C28" s="44">
        <f>($C$6/8)*12</f>
        <v>0.44774999999999998</v>
      </c>
      <c r="D28" s="45">
        <f>30/30</f>
        <v>1</v>
      </c>
      <c r="E28" s="46">
        <f>+C19</f>
        <v>0.08</v>
      </c>
      <c r="F28" s="40">
        <f t="shared" si="0"/>
        <v>2427163.1999999997</v>
      </c>
      <c r="G28" s="40">
        <f t="shared" si="1"/>
        <v>194173.05599999998</v>
      </c>
      <c r="H28" s="40">
        <f t="shared" si="2"/>
        <v>2621336</v>
      </c>
      <c r="I28" s="40">
        <f t="shared" si="3"/>
        <v>262133.6</v>
      </c>
      <c r="J28" s="39">
        <v>0.16</v>
      </c>
      <c r="K28" s="40">
        <f t="shared" si="4"/>
        <v>2663277</v>
      </c>
      <c r="L28" s="87">
        <f>+'Vigilancia 140904'!X10</f>
        <v>2663277</v>
      </c>
      <c r="M28" s="88">
        <f t="shared" si="5"/>
        <v>0</v>
      </c>
    </row>
    <row r="29" spans="2:13">
      <c r="B29" s="2" t="s">
        <v>55</v>
      </c>
      <c r="C29" s="44">
        <f t="shared" ref="C29:C36" si="6">($C$6/8)*12</f>
        <v>0.44774999999999998</v>
      </c>
      <c r="D29" s="45">
        <f>30/30</f>
        <v>1</v>
      </c>
      <c r="E29" s="46">
        <f>+C20</f>
        <v>0.1</v>
      </c>
      <c r="F29" s="40">
        <f t="shared" si="0"/>
        <v>2427163.1999999997</v>
      </c>
      <c r="G29" s="40">
        <f t="shared" si="1"/>
        <v>242716.31999999998</v>
      </c>
      <c r="H29" s="40">
        <f t="shared" si="2"/>
        <v>2669880</v>
      </c>
      <c r="I29" s="40">
        <f t="shared" si="3"/>
        <v>266988</v>
      </c>
      <c r="J29" s="39">
        <v>0.16</v>
      </c>
      <c r="K29" s="40">
        <f t="shared" si="4"/>
        <v>2712598</v>
      </c>
      <c r="L29" s="87">
        <f>+'Vigilancia 140904'!P10</f>
        <v>2712598</v>
      </c>
      <c r="M29" s="88">
        <f t="shared" si="5"/>
        <v>0</v>
      </c>
    </row>
    <row r="30" spans="2:13">
      <c r="B30" s="1" t="s">
        <v>13</v>
      </c>
      <c r="C30" s="44">
        <f t="shared" si="6"/>
        <v>0.44774999999999998</v>
      </c>
      <c r="D30" s="45">
        <f>30/30</f>
        <v>1</v>
      </c>
      <c r="E30" s="46">
        <f>+C21</f>
        <v>0.11</v>
      </c>
      <c r="F30" s="40">
        <f t="shared" si="0"/>
        <v>2427163.1999999997</v>
      </c>
      <c r="G30" s="40">
        <f t="shared" si="1"/>
        <v>266987.95199999999</v>
      </c>
      <c r="H30" s="40">
        <f t="shared" si="2"/>
        <v>2694151</v>
      </c>
      <c r="I30" s="40">
        <f t="shared" si="3"/>
        <v>269415.10000000003</v>
      </c>
      <c r="J30" s="39">
        <v>0.16</v>
      </c>
      <c r="K30" s="40">
        <f t="shared" si="4"/>
        <v>2737257</v>
      </c>
      <c r="L30" s="87">
        <f>+'Vigilancia 140904'!AD10</f>
        <v>2737257</v>
      </c>
      <c r="M30" s="88">
        <f t="shared" si="5"/>
        <v>0</v>
      </c>
    </row>
    <row r="31" spans="2:13">
      <c r="B31" s="1" t="s">
        <v>76</v>
      </c>
      <c r="C31" s="44">
        <f t="shared" si="6"/>
        <v>0.44774999999999998</v>
      </c>
      <c r="D31" s="45">
        <f>$C$14/30</f>
        <v>0.8666666666666667</v>
      </c>
      <c r="E31" s="46">
        <f>+C20</f>
        <v>0.1</v>
      </c>
      <c r="F31" s="40">
        <f t="shared" si="0"/>
        <v>2103541.44</v>
      </c>
      <c r="G31" s="40">
        <f t="shared" si="1"/>
        <v>210354.144</v>
      </c>
      <c r="H31" s="40">
        <f t="shared" si="2"/>
        <v>2313896</v>
      </c>
      <c r="I31" s="40">
        <f t="shared" si="3"/>
        <v>231389.6</v>
      </c>
      <c r="J31" s="39">
        <v>0.16</v>
      </c>
      <c r="K31" s="40">
        <f t="shared" si="4"/>
        <v>2350918</v>
      </c>
      <c r="L31" s="87">
        <f>+'Vigilancia 140904'!V10</f>
        <v>2350918</v>
      </c>
      <c r="M31" s="88">
        <f t="shared" si="5"/>
        <v>0</v>
      </c>
    </row>
    <row r="32" spans="2:13">
      <c r="B32" s="1" t="s">
        <v>52</v>
      </c>
      <c r="C32" s="44">
        <f t="shared" si="6"/>
        <v>0.44774999999999998</v>
      </c>
      <c r="D32" s="45">
        <f>$C$13/30</f>
        <v>0.73333333333333328</v>
      </c>
      <c r="E32" s="46">
        <f>+C19</f>
        <v>0.08</v>
      </c>
      <c r="F32" s="40">
        <f t="shared" si="0"/>
        <v>1779919.6799999997</v>
      </c>
      <c r="G32" s="40">
        <f t="shared" si="1"/>
        <v>142393.57439999998</v>
      </c>
      <c r="H32" s="40">
        <f t="shared" si="2"/>
        <v>1922313</v>
      </c>
      <c r="I32" s="40">
        <f t="shared" si="3"/>
        <v>192231.30000000002</v>
      </c>
      <c r="J32" s="39">
        <v>0.16</v>
      </c>
      <c r="K32" s="40">
        <f t="shared" si="4"/>
        <v>1953070</v>
      </c>
      <c r="L32" s="87">
        <f>+'Vigilancia 140904'!T10</f>
        <v>1953070</v>
      </c>
      <c r="M32" s="88">
        <f t="shared" si="5"/>
        <v>0</v>
      </c>
    </row>
    <row r="33" spans="2:14">
      <c r="B33" s="1" t="s">
        <v>59</v>
      </c>
      <c r="C33" s="44">
        <f t="shared" si="6"/>
        <v>0.44774999999999998</v>
      </c>
      <c r="D33" s="45">
        <f>$C$11/30</f>
        <v>0.66666666666666663</v>
      </c>
      <c r="E33" s="46">
        <f>+C19</f>
        <v>0.08</v>
      </c>
      <c r="F33" s="40">
        <f t="shared" si="0"/>
        <v>1618108.7999999998</v>
      </c>
      <c r="G33" s="40">
        <f t="shared" si="1"/>
        <v>129448.70399999998</v>
      </c>
      <c r="H33" s="40">
        <f t="shared" si="2"/>
        <v>1747558</v>
      </c>
      <c r="I33" s="40">
        <f t="shared" si="3"/>
        <v>174755.80000000002</v>
      </c>
      <c r="J33" s="39">
        <v>0.16</v>
      </c>
      <c r="K33" s="40">
        <f t="shared" si="4"/>
        <v>1775519</v>
      </c>
      <c r="L33" s="87">
        <f>+'Vigilancia 140904'!Z10</f>
        <v>1775519</v>
      </c>
      <c r="M33" s="88">
        <f t="shared" si="5"/>
        <v>0</v>
      </c>
    </row>
    <row r="34" spans="2:14">
      <c r="B34" s="1" t="s">
        <v>53</v>
      </c>
      <c r="C34" s="44">
        <f t="shared" si="6"/>
        <v>0.44774999999999998</v>
      </c>
      <c r="D34" s="45">
        <f>$C$13/30</f>
        <v>0.73333333333333328</v>
      </c>
      <c r="E34" s="46">
        <f>+C20</f>
        <v>0.1</v>
      </c>
      <c r="F34" s="40">
        <f t="shared" si="0"/>
        <v>1779919.6799999997</v>
      </c>
      <c r="G34" s="40">
        <f t="shared" si="1"/>
        <v>177991.96799999999</v>
      </c>
      <c r="H34" s="40">
        <f t="shared" si="2"/>
        <v>1957912</v>
      </c>
      <c r="I34" s="40">
        <f t="shared" si="3"/>
        <v>195791.2</v>
      </c>
      <c r="J34" s="39">
        <v>0.16</v>
      </c>
      <c r="K34" s="40">
        <f t="shared" si="4"/>
        <v>1989239</v>
      </c>
      <c r="L34" s="87">
        <f>+'Vigilancia 140904'!R10</f>
        <v>1989239</v>
      </c>
      <c r="M34" s="88">
        <f t="shared" si="5"/>
        <v>0</v>
      </c>
    </row>
    <row r="35" spans="2:14">
      <c r="B35" s="1" t="s">
        <v>61</v>
      </c>
      <c r="C35" s="44">
        <f t="shared" si="6"/>
        <v>0.44774999999999998</v>
      </c>
      <c r="D35" s="45">
        <f>$C$11/30</f>
        <v>0.66666666666666663</v>
      </c>
      <c r="E35" s="46">
        <f>+C20</f>
        <v>0.1</v>
      </c>
      <c r="F35" s="40">
        <f t="shared" si="0"/>
        <v>1618108.7999999998</v>
      </c>
      <c r="G35" s="40">
        <f t="shared" si="1"/>
        <v>161810.88</v>
      </c>
      <c r="H35" s="40">
        <f t="shared" si="2"/>
        <v>1779920</v>
      </c>
      <c r="I35" s="40">
        <f t="shared" si="3"/>
        <v>177992</v>
      </c>
      <c r="J35" s="39">
        <v>0.16</v>
      </c>
      <c r="K35" s="40">
        <f t="shared" si="4"/>
        <v>1808399</v>
      </c>
      <c r="L35" s="87">
        <f>+'Vigilancia 140904'!AB10</f>
        <v>1808399</v>
      </c>
      <c r="M35" s="88">
        <f t="shared" si="5"/>
        <v>0</v>
      </c>
    </row>
    <row r="36" spans="2:14">
      <c r="B36" s="1" t="s">
        <v>50</v>
      </c>
      <c r="C36" s="44">
        <f t="shared" si="6"/>
        <v>0.44774999999999998</v>
      </c>
      <c r="D36" s="45">
        <f>$C$13/30</f>
        <v>0.73333333333333328</v>
      </c>
      <c r="E36" s="46">
        <f>+C21</f>
        <v>0.11</v>
      </c>
      <c r="F36" s="40">
        <f t="shared" si="0"/>
        <v>1779919.6799999997</v>
      </c>
      <c r="G36" s="40">
        <f t="shared" si="1"/>
        <v>195791.16479999997</v>
      </c>
      <c r="H36" s="40">
        <f t="shared" si="2"/>
        <v>1975711</v>
      </c>
      <c r="I36" s="40">
        <f t="shared" si="3"/>
        <v>197571.1</v>
      </c>
      <c r="J36" s="39">
        <v>0.16</v>
      </c>
      <c r="K36" s="40">
        <f t="shared" si="4"/>
        <v>2007322</v>
      </c>
      <c r="L36" s="87">
        <f>+'Vigilancia 140904'!AF10</f>
        <v>2007322</v>
      </c>
      <c r="M36" s="88">
        <f t="shared" si="5"/>
        <v>0</v>
      </c>
    </row>
    <row r="37" spans="2:14">
      <c r="B37" s="1" t="s">
        <v>60</v>
      </c>
      <c r="C37" s="44">
        <f>($C$6/8)*10</f>
        <v>0.37312499999999998</v>
      </c>
      <c r="D37" s="45">
        <f>30/30</f>
        <v>1</v>
      </c>
      <c r="E37" s="46">
        <f>+C20</f>
        <v>0.1</v>
      </c>
      <c r="F37" s="40">
        <f t="shared" si="0"/>
        <v>2022636</v>
      </c>
      <c r="G37" s="40">
        <f t="shared" si="1"/>
        <v>202263.6</v>
      </c>
      <c r="H37" s="40">
        <f t="shared" si="2"/>
        <v>2224900</v>
      </c>
      <c r="I37" s="40">
        <f t="shared" si="3"/>
        <v>222490</v>
      </c>
      <c r="J37" s="39">
        <v>0.16</v>
      </c>
      <c r="K37" s="40">
        <f t="shared" si="4"/>
        <v>2260498</v>
      </c>
      <c r="L37" s="87">
        <f>+'Vigilancia 140904'!BJ10</f>
        <v>2260498</v>
      </c>
      <c r="M37" s="88">
        <f t="shared" si="5"/>
        <v>0</v>
      </c>
    </row>
    <row r="38" spans="2:14">
      <c r="B38" s="1" t="s">
        <v>54</v>
      </c>
      <c r="C38" s="44">
        <f t="shared" ref="C38:C39" si="7">($C$6/8)*10</f>
        <v>0.37312499999999998</v>
      </c>
      <c r="D38" s="45">
        <f>$C$13/30</f>
        <v>0.73333333333333328</v>
      </c>
      <c r="E38" s="46">
        <f>+C19</f>
        <v>0.08</v>
      </c>
      <c r="F38" s="40">
        <f t="shared" si="0"/>
        <v>1483266.4</v>
      </c>
      <c r="G38" s="40">
        <f t="shared" si="1"/>
        <v>118661.31199999999</v>
      </c>
      <c r="H38" s="40">
        <f t="shared" si="2"/>
        <v>1601928</v>
      </c>
      <c r="I38" s="40">
        <f t="shared" si="3"/>
        <v>160192.80000000002</v>
      </c>
      <c r="J38" s="39">
        <v>0.16</v>
      </c>
      <c r="K38" s="40">
        <f t="shared" si="4"/>
        <v>1627559</v>
      </c>
      <c r="L38" s="87">
        <f>+'Vigilancia 140904'!BL10</f>
        <v>1627559</v>
      </c>
      <c r="M38" s="88">
        <f t="shared" si="5"/>
        <v>0</v>
      </c>
    </row>
    <row r="39" spans="2:14">
      <c r="B39" s="1" t="s">
        <v>65</v>
      </c>
      <c r="C39" s="44">
        <f t="shared" si="7"/>
        <v>0.37312499999999998</v>
      </c>
      <c r="D39" s="45">
        <f>$C$13/30</f>
        <v>0.73333333333333328</v>
      </c>
      <c r="E39" s="46">
        <f>+C20</f>
        <v>0.1</v>
      </c>
      <c r="F39" s="40">
        <f t="shared" si="0"/>
        <v>1483266.4</v>
      </c>
      <c r="G39" s="40">
        <f t="shared" si="1"/>
        <v>148326.63999999998</v>
      </c>
      <c r="H39" s="40">
        <f t="shared" si="2"/>
        <v>1631593</v>
      </c>
      <c r="I39" s="40">
        <f t="shared" si="3"/>
        <v>163159.30000000002</v>
      </c>
      <c r="J39" s="39">
        <v>0.16</v>
      </c>
      <c r="K39" s="40">
        <f t="shared" si="4"/>
        <v>1657698</v>
      </c>
      <c r="L39" s="87">
        <f>+'Vigilancia 140904'!BH10</f>
        <v>1657698</v>
      </c>
      <c r="M39" s="88">
        <f t="shared" si="5"/>
        <v>0</v>
      </c>
    </row>
    <row r="40" spans="2:14">
      <c r="B40" s="1" t="s">
        <v>67</v>
      </c>
      <c r="C40" s="44">
        <f>($C$6/8)*9</f>
        <v>0.33581249999999996</v>
      </c>
      <c r="D40" s="45">
        <f>$C$13/30</f>
        <v>0.73333333333333328</v>
      </c>
      <c r="E40" s="46">
        <f>+C19</f>
        <v>0.08</v>
      </c>
      <c r="F40" s="40">
        <f t="shared" si="0"/>
        <v>1334939.7599999998</v>
      </c>
      <c r="G40" s="40">
        <f t="shared" si="1"/>
        <v>106795.18079999999</v>
      </c>
      <c r="H40" s="40">
        <f t="shared" si="2"/>
        <v>1441735</v>
      </c>
      <c r="I40" s="40">
        <f t="shared" si="3"/>
        <v>144173.5</v>
      </c>
      <c r="J40" s="39">
        <v>0.16</v>
      </c>
      <c r="K40" s="40">
        <f t="shared" si="4"/>
        <v>1464803</v>
      </c>
      <c r="L40" s="87">
        <f>+'Vigilancia 140904'!BF10</f>
        <v>1464803</v>
      </c>
      <c r="M40" s="88">
        <f t="shared" si="5"/>
        <v>0</v>
      </c>
    </row>
    <row r="41" spans="2:14">
      <c r="B41" s="1" t="s">
        <v>66</v>
      </c>
      <c r="C41" s="44">
        <f>($C$6/8)*9</f>
        <v>0.33581249999999996</v>
      </c>
      <c r="D41" s="45">
        <f>$C$13/30</f>
        <v>0.73333333333333328</v>
      </c>
      <c r="E41" s="46">
        <f>+C20</f>
        <v>0.1</v>
      </c>
      <c r="F41" s="40">
        <f t="shared" si="0"/>
        <v>1334939.7599999998</v>
      </c>
      <c r="G41" s="40">
        <f t="shared" si="1"/>
        <v>133493.976</v>
      </c>
      <c r="H41" s="40">
        <f t="shared" si="2"/>
        <v>1468434</v>
      </c>
      <c r="I41" s="40">
        <f t="shared" si="3"/>
        <v>146843.4</v>
      </c>
      <c r="J41" s="39">
        <v>0.16</v>
      </c>
      <c r="K41" s="40">
        <f t="shared" si="4"/>
        <v>1491929</v>
      </c>
      <c r="L41" s="87">
        <f>+'Vigilancia 140904'!BD10</f>
        <v>1491929</v>
      </c>
      <c r="M41" s="88">
        <f t="shared" si="5"/>
        <v>0</v>
      </c>
    </row>
    <row r="42" spans="2:14">
      <c r="B42" s="1" t="s">
        <v>63</v>
      </c>
      <c r="C42" s="44">
        <f>($C$8/8)*8</f>
        <v>0.40300000000000002</v>
      </c>
      <c r="D42" s="45">
        <f>30/30</f>
        <v>1</v>
      </c>
      <c r="E42" s="46">
        <f>+C20</f>
        <v>0.1</v>
      </c>
      <c r="F42" s="40">
        <f t="shared" si="0"/>
        <v>2184582.4</v>
      </c>
      <c r="G42" s="40">
        <f t="shared" si="1"/>
        <v>218458.23999999999</v>
      </c>
      <c r="H42" s="40">
        <f t="shared" si="2"/>
        <v>2403041</v>
      </c>
      <c r="I42" s="40">
        <f t="shared" si="3"/>
        <v>240304.1</v>
      </c>
      <c r="J42" s="39">
        <v>0.16</v>
      </c>
      <c r="K42" s="40">
        <f t="shared" si="4"/>
        <v>2441490</v>
      </c>
      <c r="L42" s="87">
        <f>+'Vigilancia 140904'!AP10</f>
        <v>2441490</v>
      </c>
      <c r="M42" s="88">
        <f t="shared" si="5"/>
        <v>0</v>
      </c>
    </row>
    <row r="43" spans="2:14">
      <c r="B43" s="2" t="s">
        <v>64</v>
      </c>
      <c r="C43" s="44">
        <f>($C$6/8)*8</f>
        <v>0.29849999999999999</v>
      </c>
      <c r="D43" s="45">
        <f>30/30</f>
        <v>1</v>
      </c>
      <c r="E43" s="46">
        <f>+C20</f>
        <v>0.1</v>
      </c>
      <c r="F43" s="40">
        <f t="shared" si="0"/>
        <v>1618108.8</v>
      </c>
      <c r="G43" s="40">
        <f t="shared" si="1"/>
        <v>161810.88</v>
      </c>
      <c r="H43" s="40">
        <f t="shared" si="2"/>
        <v>1779920</v>
      </c>
      <c r="I43" s="40">
        <f t="shared" si="3"/>
        <v>177992</v>
      </c>
      <c r="J43" s="39">
        <v>0.16</v>
      </c>
      <c r="K43" s="40">
        <f t="shared" si="4"/>
        <v>1808399</v>
      </c>
      <c r="L43" s="87">
        <f>+'Vigilancia 140904'!AZ10</f>
        <v>1808399</v>
      </c>
      <c r="M43" s="88">
        <f t="shared" si="5"/>
        <v>0</v>
      </c>
    </row>
    <row r="44" spans="2:14">
      <c r="B44" s="2" t="s">
        <v>57</v>
      </c>
      <c r="C44" s="44">
        <f>($C$8/8)*8</f>
        <v>0.40300000000000002</v>
      </c>
      <c r="D44" s="45">
        <f>$C$13/30</f>
        <v>0.73333333333333328</v>
      </c>
      <c r="E44" s="46">
        <f>+C20</f>
        <v>0.1</v>
      </c>
      <c r="F44" s="40">
        <f t="shared" si="0"/>
        <v>1602027.0933333333</v>
      </c>
      <c r="G44" s="40">
        <f t="shared" si="1"/>
        <v>160202.70933333333</v>
      </c>
      <c r="H44" s="40">
        <f t="shared" si="2"/>
        <v>1762230</v>
      </c>
      <c r="I44" s="40">
        <f t="shared" si="3"/>
        <v>176223</v>
      </c>
      <c r="J44" s="39">
        <v>0.16</v>
      </c>
      <c r="K44" s="40">
        <f t="shared" si="4"/>
        <v>1790426</v>
      </c>
      <c r="L44" s="124">
        <f>+'Vigilancia 140904'!AR10</f>
        <v>1762230</v>
      </c>
      <c r="M44" s="88">
        <f>+H44-L44</f>
        <v>0</v>
      </c>
      <c r="N44" s="86"/>
    </row>
    <row r="45" spans="2:14">
      <c r="B45" s="2" t="s">
        <v>68</v>
      </c>
      <c r="C45" s="44">
        <f t="shared" ref="C45:C47" si="8">($C$6/8)*8</f>
        <v>0.29849999999999999</v>
      </c>
      <c r="D45" s="45">
        <f>$C$13/30</f>
        <v>0.73333333333333328</v>
      </c>
      <c r="E45" s="46">
        <f>+C19</f>
        <v>0.08</v>
      </c>
      <c r="F45" s="40">
        <f t="shared" si="0"/>
        <v>1186613.1199999999</v>
      </c>
      <c r="G45" s="40">
        <f t="shared" si="1"/>
        <v>94929.049599999998</v>
      </c>
      <c r="H45" s="40">
        <f t="shared" si="2"/>
        <v>1281542</v>
      </c>
      <c r="I45" s="40">
        <f t="shared" si="3"/>
        <v>128154.20000000001</v>
      </c>
      <c r="J45" s="39">
        <v>0.16</v>
      </c>
      <c r="K45" s="40">
        <f t="shared" si="4"/>
        <v>1302047</v>
      </c>
      <c r="L45" s="87">
        <f>+'Vigilancia 140904'!BB10</f>
        <v>1302047</v>
      </c>
      <c r="M45" s="88">
        <f t="shared" si="5"/>
        <v>0</v>
      </c>
    </row>
    <row r="46" spans="2:14">
      <c r="B46" s="2" t="s">
        <v>70</v>
      </c>
      <c r="C46" s="44">
        <f t="shared" si="8"/>
        <v>0.29849999999999999</v>
      </c>
      <c r="D46" s="45">
        <f>($C$15/2)/30</f>
        <v>0.13333333333333333</v>
      </c>
      <c r="E46" s="46">
        <f>+C20</f>
        <v>0.1</v>
      </c>
      <c r="F46" s="40">
        <f t="shared" si="0"/>
        <v>215747.84</v>
      </c>
      <c r="G46" s="40">
        <f t="shared" si="1"/>
        <v>21574.784</v>
      </c>
      <c r="H46" s="40">
        <f t="shared" si="2"/>
        <v>237323</v>
      </c>
      <c r="I46" s="40">
        <f t="shared" si="3"/>
        <v>23732.300000000003</v>
      </c>
      <c r="J46" s="39">
        <v>0.16</v>
      </c>
      <c r="K46" s="40">
        <f t="shared" si="4"/>
        <v>241120</v>
      </c>
      <c r="L46" s="87">
        <f>+'Vigilancia 140904'!AT10</f>
        <v>241120</v>
      </c>
      <c r="M46" s="88">
        <f t="shared" si="5"/>
        <v>0</v>
      </c>
    </row>
    <row r="47" spans="2:14">
      <c r="B47" s="2" t="s">
        <v>77</v>
      </c>
      <c r="C47" s="44">
        <f t="shared" si="8"/>
        <v>0.29849999999999999</v>
      </c>
      <c r="D47" s="45">
        <f>($C$15/2)/30</f>
        <v>0.13333333333333333</v>
      </c>
      <c r="E47" s="46">
        <f>+C20</f>
        <v>0.1</v>
      </c>
      <c r="F47" s="40">
        <f t="shared" si="0"/>
        <v>215747.84</v>
      </c>
      <c r="G47" s="40">
        <f t="shared" si="1"/>
        <v>21574.784</v>
      </c>
      <c r="H47" s="40">
        <f t="shared" si="2"/>
        <v>237323</v>
      </c>
      <c r="I47" s="40">
        <f t="shared" si="3"/>
        <v>23732.300000000003</v>
      </c>
      <c r="J47" s="39">
        <v>0.16</v>
      </c>
      <c r="K47" s="40">
        <f t="shared" si="4"/>
        <v>241120</v>
      </c>
      <c r="L47" s="87">
        <f>+'Vigilancia 140904'!AV10</f>
        <v>241120</v>
      </c>
      <c r="M47" s="88">
        <f t="shared" si="5"/>
        <v>0</v>
      </c>
    </row>
    <row r="48" spans="2:14">
      <c r="B48" s="2" t="s">
        <v>69</v>
      </c>
      <c r="C48" s="44">
        <f>($C$6/8)*4</f>
        <v>0.14924999999999999</v>
      </c>
      <c r="D48" s="45">
        <f>30/30</f>
        <v>1</v>
      </c>
      <c r="E48" s="46">
        <f>+C20</f>
        <v>0.1</v>
      </c>
      <c r="F48" s="40">
        <f t="shared" si="0"/>
        <v>809054.4</v>
      </c>
      <c r="G48" s="40">
        <f t="shared" si="1"/>
        <v>80905.440000000002</v>
      </c>
      <c r="H48" s="40">
        <f t="shared" si="2"/>
        <v>889960</v>
      </c>
      <c r="I48" s="40">
        <f t="shared" si="3"/>
        <v>88996</v>
      </c>
      <c r="J48" s="39">
        <v>0.16</v>
      </c>
      <c r="K48" s="40">
        <f t="shared" si="4"/>
        <v>904199</v>
      </c>
      <c r="L48" s="87">
        <f>+'Vigilancia 140904'!AL10</f>
        <v>904199</v>
      </c>
      <c r="M48" s="88">
        <f t="shared" si="5"/>
        <v>0</v>
      </c>
    </row>
    <row r="49" spans="2:14">
      <c r="B49" s="2" t="s">
        <v>58</v>
      </c>
      <c r="C49" s="44">
        <f t="shared" ref="C49:C51" si="9">($C$6/8)*4</f>
        <v>0.14924999999999999</v>
      </c>
      <c r="D49" s="45">
        <f>$C$13/30</f>
        <v>0.73333333333333328</v>
      </c>
      <c r="E49" s="46">
        <f>+C20</f>
        <v>0.1</v>
      </c>
      <c r="F49" s="40">
        <f t="shared" si="0"/>
        <v>593306.55999999994</v>
      </c>
      <c r="G49" s="40">
        <f t="shared" si="1"/>
        <v>59330.655999999995</v>
      </c>
      <c r="H49" s="40">
        <f t="shared" si="2"/>
        <v>652637</v>
      </c>
      <c r="I49" s="40">
        <f t="shared" si="3"/>
        <v>65263.700000000004</v>
      </c>
      <c r="J49" s="39">
        <v>0.16</v>
      </c>
      <c r="K49" s="40">
        <f t="shared" si="4"/>
        <v>663079</v>
      </c>
      <c r="L49" s="123">
        <f>+'Vigilancia 140904'!AJ10</f>
        <v>771299</v>
      </c>
      <c r="M49" s="88">
        <f t="shared" si="5"/>
        <v>-108220</v>
      </c>
      <c r="N49" s="86">
        <f>+L49-H49</f>
        <v>118662</v>
      </c>
    </row>
    <row r="50" spans="2:14">
      <c r="B50" s="1" t="s">
        <v>51</v>
      </c>
      <c r="C50" s="44">
        <f t="shared" si="9"/>
        <v>0.14924999999999999</v>
      </c>
      <c r="D50" s="45">
        <f>$C$13/30</f>
        <v>0.73333333333333328</v>
      </c>
      <c r="E50" s="46">
        <f>+C21</f>
        <v>0.11</v>
      </c>
      <c r="F50" s="40">
        <f t="shared" si="0"/>
        <v>593306.55999999994</v>
      </c>
      <c r="G50" s="40">
        <f t="shared" si="1"/>
        <v>65263.721599999997</v>
      </c>
      <c r="H50" s="40">
        <f t="shared" si="2"/>
        <v>658570</v>
      </c>
      <c r="I50" s="40">
        <f t="shared" si="3"/>
        <v>65857</v>
      </c>
      <c r="J50" s="39">
        <v>0.16</v>
      </c>
      <c r="K50" s="40">
        <f t="shared" si="4"/>
        <v>669107</v>
      </c>
      <c r="L50" s="87">
        <f>+'Vigilancia 140904'!AN10</f>
        <v>669107</v>
      </c>
      <c r="M50" s="88">
        <f t="shared" si="5"/>
        <v>0</v>
      </c>
    </row>
    <row r="51" spans="2:14">
      <c r="B51" s="2" t="s">
        <v>78</v>
      </c>
      <c r="C51" s="44">
        <f t="shared" si="9"/>
        <v>0.14924999999999999</v>
      </c>
      <c r="D51" s="45">
        <f>($C$15/2)/30</f>
        <v>0.13333333333333333</v>
      </c>
      <c r="E51" s="46">
        <f>+C20</f>
        <v>0.1</v>
      </c>
      <c r="F51" s="40">
        <f t="shared" si="0"/>
        <v>107873.92</v>
      </c>
      <c r="G51" s="40">
        <f t="shared" si="1"/>
        <v>10787.392</v>
      </c>
      <c r="H51" s="40">
        <f t="shared" si="2"/>
        <v>118661</v>
      </c>
      <c r="I51" s="40">
        <f t="shared" si="3"/>
        <v>11866.1</v>
      </c>
      <c r="J51" s="39">
        <v>0.16</v>
      </c>
      <c r="K51" s="40">
        <f t="shared" si="4"/>
        <v>120560</v>
      </c>
      <c r="L51" s="87">
        <f>+'Vigilancia 140904'!AH10</f>
        <v>120560</v>
      </c>
      <c r="M51" s="88">
        <f t="shared" si="5"/>
        <v>0</v>
      </c>
    </row>
    <row r="52" spans="2:14">
      <c r="G52" s="48"/>
      <c r="H52" s="47"/>
      <c r="M52" s="86"/>
    </row>
    <row r="53" spans="2:14" ht="33" customHeight="1">
      <c r="B53" s="54" t="s">
        <v>46</v>
      </c>
      <c r="C53" s="54"/>
      <c r="D53" s="54"/>
      <c r="E53" s="54"/>
      <c r="F53" s="54"/>
      <c r="G53" s="54"/>
      <c r="H53" s="54"/>
      <c r="I53" s="54"/>
      <c r="J53" s="54"/>
      <c r="K53" s="54"/>
    </row>
  </sheetData>
  <sheetProtection algorithmName="SHA-512" hashValue="wfx+9bCjDUlDHWPjMaq92SJ0Itq24O80XihJ7x9GWuhFEDXKUeUd8EFzseDoMyr2XfUo0JIBYldMH8vE1lBFKw==" saltValue="jWaCJevrZ1xia2M7Zuxrng==" spinCount="100000" sheet="1" objects="1" scenarios="1" selectLockedCells="1" selectUnlockedCells="1"/>
  <autoFilter ref="B23:H51"/>
  <mergeCells count="7">
    <mergeCell ref="B53:K53"/>
    <mergeCell ref="B4:C4"/>
    <mergeCell ref="B2:C2"/>
    <mergeCell ref="B18:C18"/>
    <mergeCell ref="B10:C10"/>
    <mergeCell ref="E6:F6"/>
    <mergeCell ref="E7:F7"/>
  </mergeCells>
  <pageMargins left="0.7" right="0.7" top="0.75" bottom="0.75" header="0.3" footer="0.3"/>
  <pageSetup orientation="portrait" r:id="rId1"/>
  <ignoredErrors>
    <ignoredError sqref="H7 G6" unlockedFormula="1"/>
    <ignoredError sqref="C43:C44 D33:D34 D35 D37 M44" formula="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59999389629810485"/>
  </sheetPr>
  <dimension ref="A1:AU85"/>
  <sheetViews>
    <sheetView showGridLines="0" zoomScaleNormal="100" workbookViewId="0">
      <selection activeCell="F10" sqref="F10:L11"/>
    </sheetView>
  </sheetViews>
  <sheetFormatPr baseColWidth="10" defaultColWidth="0" defaultRowHeight="0" customHeight="1" zeroHeight="1"/>
  <cols>
    <col min="1" max="1" width="2.42578125" style="125" customWidth="1"/>
    <col min="2" max="2" width="3.140625" style="125" customWidth="1"/>
    <col min="3" max="3" width="3.7109375" style="125" customWidth="1"/>
    <col min="4" max="4" width="3.140625" style="125" customWidth="1"/>
    <col min="5" max="20" width="2.7109375" style="125" customWidth="1"/>
    <col min="21" max="26" width="2.42578125" style="125" customWidth="1"/>
    <col min="27" max="30" width="3.140625" style="125" customWidth="1"/>
    <col min="31" max="36" width="2.85546875" style="125" customWidth="1"/>
    <col min="37" max="38" width="3.85546875" style="125" customWidth="1"/>
    <col min="39" max="39" width="3.140625" style="125" customWidth="1"/>
    <col min="40" max="40" width="3.42578125" style="125" customWidth="1"/>
    <col min="41" max="41" width="3.85546875" style="125" customWidth="1"/>
    <col min="42" max="42" width="3" style="125" customWidth="1"/>
    <col min="43" max="47" width="0" style="125" hidden="1" customWidth="1"/>
    <col min="48" max="16384" width="11.42578125" style="125" hidden="1"/>
  </cols>
  <sheetData>
    <row r="1" spans="2:41" ht="6" customHeight="1"/>
    <row r="2" spans="2:41" ht="15.75" customHeight="1">
      <c r="B2" s="126"/>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c r="AF2" s="127"/>
      <c r="AG2" s="127"/>
      <c r="AH2" s="127"/>
      <c r="AI2" s="127"/>
      <c r="AJ2" s="127"/>
      <c r="AK2" s="127"/>
      <c r="AL2" s="127"/>
      <c r="AM2" s="127"/>
      <c r="AN2" s="127"/>
      <c r="AO2" s="128"/>
    </row>
    <row r="3" spans="2:41" ht="15.75" customHeight="1">
      <c r="B3" s="129"/>
      <c r="C3" s="130"/>
      <c r="D3" s="130"/>
      <c r="E3" s="130"/>
      <c r="F3" s="130"/>
      <c r="G3" s="130"/>
      <c r="H3" s="130"/>
      <c r="I3" s="130"/>
      <c r="J3" s="130"/>
      <c r="K3" s="130"/>
      <c r="L3" s="130"/>
      <c r="M3" s="130"/>
      <c r="N3" s="130"/>
      <c r="O3" s="130"/>
      <c r="P3" s="130"/>
      <c r="Q3" s="130"/>
      <c r="R3" s="130"/>
      <c r="S3" s="130"/>
      <c r="T3" s="130"/>
      <c r="U3" s="130"/>
      <c r="V3" s="130"/>
      <c r="W3" s="130"/>
      <c r="X3" s="130"/>
      <c r="Y3" s="130"/>
      <c r="Z3" s="130"/>
      <c r="AA3" s="130"/>
      <c r="AB3" s="130"/>
      <c r="AC3" s="130"/>
      <c r="AD3" s="130"/>
      <c r="AE3" s="130"/>
      <c r="AF3" s="130"/>
      <c r="AG3" s="130"/>
      <c r="AH3" s="130"/>
      <c r="AI3" s="130"/>
      <c r="AJ3" s="130"/>
      <c r="AK3" s="130"/>
      <c r="AL3" s="130"/>
      <c r="AM3" s="130"/>
      <c r="AN3" s="130"/>
      <c r="AO3" s="131"/>
    </row>
    <row r="4" spans="2:41" ht="15.75" customHeight="1">
      <c r="B4" s="129"/>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1"/>
    </row>
    <row r="5" spans="2:41" ht="15.75" customHeight="1">
      <c r="B5" s="129"/>
      <c r="C5" s="130"/>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0"/>
      <c r="AI5" s="130"/>
      <c r="AJ5" s="130"/>
      <c r="AK5" s="130"/>
      <c r="AL5" s="130"/>
      <c r="AM5" s="130"/>
      <c r="AN5" s="130"/>
      <c r="AO5" s="131"/>
    </row>
    <row r="6" spans="2:41" ht="6.75" customHeight="1">
      <c r="B6" s="132"/>
      <c r="C6" s="133"/>
      <c r="D6" s="133"/>
      <c r="E6" s="133"/>
      <c r="F6" s="133"/>
      <c r="G6" s="133"/>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133"/>
      <c r="AH6" s="133"/>
      <c r="AI6" s="133"/>
      <c r="AJ6" s="133"/>
      <c r="AK6" s="133"/>
      <c r="AL6" s="133"/>
      <c r="AM6" s="133"/>
      <c r="AN6" s="133"/>
      <c r="AO6" s="134"/>
    </row>
    <row r="7" spans="2:41" ht="8.25" customHeight="1"/>
    <row r="8" spans="2:41" ht="18.75" customHeight="1">
      <c r="B8" s="135" t="s">
        <v>182</v>
      </c>
      <c r="C8" s="135"/>
      <c r="D8" s="135"/>
      <c r="E8" s="135"/>
      <c r="F8" s="136"/>
      <c r="G8" s="136"/>
      <c r="H8" s="136"/>
      <c r="I8" s="136"/>
      <c r="J8" s="136"/>
      <c r="K8" s="136"/>
      <c r="L8" s="136"/>
      <c r="M8" s="136"/>
      <c r="N8" s="136"/>
      <c r="O8" s="136"/>
      <c r="P8" s="136"/>
      <c r="Q8" s="136"/>
      <c r="R8" s="136"/>
      <c r="S8" s="136"/>
      <c r="T8" s="136"/>
      <c r="U8" s="136"/>
      <c r="V8" s="136"/>
      <c r="W8" s="136"/>
      <c r="X8" s="136"/>
      <c r="Y8" s="136"/>
      <c r="Z8" s="136"/>
      <c r="AA8" s="136"/>
      <c r="AB8" s="136"/>
      <c r="AC8" s="136"/>
      <c r="AD8" s="136"/>
      <c r="AE8" s="136"/>
      <c r="AF8" s="136"/>
      <c r="AG8" s="136"/>
      <c r="AH8" s="136"/>
      <c r="AI8" s="136"/>
      <c r="AJ8" s="136"/>
      <c r="AK8" s="136"/>
      <c r="AL8" s="136"/>
      <c r="AM8" s="136"/>
      <c r="AN8" s="136"/>
      <c r="AO8" s="136"/>
    </row>
    <row r="9" spans="2:41" ht="6.75" customHeight="1"/>
    <row r="10" spans="2:41" ht="16.5" customHeight="1">
      <c r="B10" s="137" t="s">
        <v>183</v>
      </c>
      <c r="C10" s="138"/>
      <c r="D10" s="138"/>
      <c r="E10" s="139"/>
      <c r="F10" s="140"/>
      <c r="G10" s="141"/>
      <c r="H10" s="141"/>
      <c r="I10" s="141"/>
      <c r="J10" s="141"/>
      <c r="K10" s="141"/>
      <c r="L10" s="142"/>
      <c r="M10" s="143" t="s">
        <v>184</v>
      </c>
      <c r="N10" s="144"/>
      <c r="O10" s="144"/>
      <c r="P10" s="144"/>
      <c r="Q10" s="144"/>
      <c r="R10" s="144"/>
      <c r="S10" s="144"/>
      <c r="T10" s="145"/>
      <c r="U10" s="146"/>
      <c r="V10" s="147"/>
      <c r="W10" s="147"/>
      <c r="X10" s="147"/>
      <c r="Y10" s="147"/>
      <c r="Z10" s="147"/>
      <c r="AA10" s="147"/>
      <c r="AB10" s="147"/>
      <c r="AC10" s="148"/>
      <c r="AD10" s="137" t="s">
        <v>185</v>
      </c>
      <c r="AE10" s="138"/>
      <c r="AF10" s="138"/>
      <c r="AG10" s="138"/>
      <c r="AH10" s="138"/>
      <c r="AI10" s="138"/>
      <c r="AJ10" s="139"/>
      <c r="AK10" s="149"/>
      <c r="AL10" s="150"/>
      <c r="AM10" s="150"/>
      <c r="AN10" s="150"/>
      <c r="AO10" s="151"/>
    </row>
    <row r="11" spans="2:41" ht="16.5" customHeight="1">
      <c r="B11" s="152"/>
      <c r="C11" s="153"/>
      <c r="D11" s="153"/>
      <c r="E11" s="154"/>
      <c r="F11" s="155"/>
      <c r="G11" s="156"/>
      <c r="H11" s="156"/>
      <c r="I11" s="156"/>
      <c r="J11" s="156"/>
      <c r="K11" s="156"/>
      <c r="L11" s="157"/>
      <c r="M11" s="158"/>
      <c r="N11" s="159"/>
      <c r="O11" s="159"/>
      <c r="P11" s="159"/>
      <c r="Q11" s="159"/>
      <c r="R11" s="159"/>
      <c r="S11" s="159"/>
      <c r="T11" s="160"/>
      <c r="U11" s="161"/>
      <c r="V11" s="162"/>
      <c r="W11" s="162"/>
      <c r="X11" s="162"/>
      <c r="Y11" s="162"/>
      <c r="Z11" s="162"/>
      <c r="AA11" s="162"/>
      <c r="AB11" s="162"/>
      <c r="AC11" s="163"/>
      <c r="AD11" s="164" t="s">
        <v>186</v>
      </c>
      <c r="AE11" s="164"/>
      <c r="AF11" s="164"/>
      <c r="AG11" s="164"/>
      <c r="AH11" s="164"/>
      <c r="AI11" s="164"/>
      <c r="AJ11" s="164"/>
      <c r="AK11" s="149"/>
      <c r="AL11" s="150"/>
      <c r="AM11" s="150"/>
      <c r="AN11" s="150"/>
      <c r="AO11" s="151"/>
    </row>
    <row r="12" spans="2:41" ht="16.5" customHeight="1">
      <c r="B12" s="165" t="s">
        <v>187</v>
      </c>
      <c r="C12" s="165"/>
      <c r="D12" s="165"/>
      <c r="E12" s="165"/>
      <c r="F12" s="166"/>
      <c r="G12" s="166"/>
      <c r="H12" s="166"/>
      <c r="I12" s="166"/>
      <c r="J12" s="166"/>
      <c r="K12" s="166"/>
      <c r="L12" s="166"/>
      <c r="M12" s="166"/>
      <c r="N12" s="166"/>
      <c r="O12" s="166"/>
      <c r="P12" s="166"/>
      <c r="Q12" s="166"/>
      <c r="R12" s="166"/>
      <c r="S12" s="166"/>
      <c r="T12" s="166"/>
      <c r="U12" s="166"/>
      <c r="V12" s="166"/>
      <c r="W12" s="166"/>
      <c r="X12" s="166"/>
      <c r="Y12" s="166"/>
      <c r="Z12" s="166"/>
      <c r="AA12" s="166"/>
      <c r="AB12" s="166"/>
      <c r="AC12" s="166"/>
      <c r="AD12" s="166"/>
      <c r="AE12" s="166"/>
      <c r="AF12" s="166"/>
      <c r="AG12" s="166"/>
      <c r="AH12" s="166"/>
      <c r="AI12" s="166"/>
      <c r="AJ12" s="166"/>
      <c r="AK12" s="166"/>
      <c r="AL12" s="166"/>
      <c r="AM12" s="166"/>
      <c r="AN12" s="166"/>
      <c r="AO12" s="166"/>
    </row>
    <row r="13" spans="2:41" ht="16.5" customHeight="1">
      <c r="B13" s="165" t="s">
        <v>188</v>
      </c>
      <c r="C13" s="165"/>
      <c r="D13" s="165"/>
      <c r="E13" s="165"/>
      <c r="F13" s="166"/>
      <c r="G13" s="166"/>
      <c r="H13" s="166"/>
      <c r="I13" s="166"/>
      <c r="J13" s="166"/>
      <c r="K13" s="166"/>
      <c r="L13" s="166"/>
      <c r="M13" s="166"/>
      <c r="N13" s="166"/>
      <c r="O13" s="166"/>
      <c r="P13" s="166"/>
      <c r="Q13" s="166"/>
      <c r="R13" s="166"/>
      <c r="S13" s="166"/>
      <c r="T13" s="166"/>
      <c r="U13" s="166"/>
      <c r="V13" s="166"/>
      <c r="W13" s="166"/>
      <c r="X13" s="166"/>
      <c r="Y13" s="166"/>
      <c r="Z13" s="166"/>
      <c r="AA13" s="166"/>
      <c r="AB13" s="166"/>
      <c r="AC13" s="166"/>
      <c r="AD13" s="166"/>
      <c r="AE13" s="166"/>
      <c r="AF13" s="166"/>
      <c r="AG13" s="166"/>
      <c r="AH13" s="166"/>
      <c r="AI13" s="166"/>
      <c r="AJ13" s="166"/>
      <c r="AK13" s="166"/>
      <c r="AL13" s="166"/>
      <c r="AM13" s="166"/>
      <c r="AN13" s="166"/>
      <c r="AO13" s="166"/>
    </row>
    <row r="14" spans="2:41" ht="16.5" customHeight="1">
      <c r="B14" s="143" t="s">
        <v>189</v>
      </c>
      <c r="C14" s="144"/>
      <c r="D14" s="144"/>
      <c r="E14" s="145"/>
      <c r="F14" s="167" t="s">
        <v>190</v>
      </c>
      <c r="G14" s="168"/>
      <c r="H14" s="168"/>
      <c r="I14" s="168"/>
      <c r="J14" s="168"/>
      <c r="K14" s="169"/>
      <c r="L14" s="169"/>
      <c r="M14" s="169"/>
      <c r="N14" s="169"/>
      <c r="O14" s="169"/>
      <c r="P14" s="169"/>
      <c r="Q14" s="169"/>
      <c r="R14" s="169"/>
      <c r="S14" s="169"/>
      <c r="T14" s="170"/>
      <c r="U14" s="167" t="s">
        <v>191</v>
      </c>
      <c r="V14" s="168"/>
      <c r="W14" s="168"/>
      <c r="X14" s="168"/>
      <c r="Y14" s="168"/>
      <c r="Z14" s="168"/>
      <c r="AA14" s="168"/>
      <c r="AB14" s="168"/>
      <c r="AC14" s="168"/>
      <c r="AD14" s="168"/>
      <c r="AE14" s="168"/>
      <c r="AF14" s="168"/>
      <c r="AG14" s="168"/>
      <c r="AH14" s="168"/>
      <c r="AI14" s="168"/>
      <c r="AJ14" s="171"/>
      <c r="AK14" s="172" t="s">
        <v>192</v>
      </c>
      <c r="AL14" s="173"/>
      <c r="AM14" s="173"/>
      <c r="AN14" s="173"/>
      <c r="AO14" s="174"/>
    </row>
    <row r="15" spans="2:41" ht="16.5" customHeight="1">
      <c r="B15" s="158"/>
      <c r="C15" s="159"/>
      <c r="D15" s="159"/>
      <c r="E15" s="160"/>
      <c r="F15" s="175"/>
      <c r="G15" s="176"/>
      <c r="H15" s="176"/>
      <c r="I15" s="176"/>
      <c r="J15" s="176"/>
      <c r="K15" s="176"/>
      <c r="L15" s="176"/>
      <c r="M15" s="176"/>
      <c r="N15" s="176"/>
      <c r="O15" s="176"/>
      <c r="P15" s="176"/>
      <c r="Q15" s="176"/>
      <c r="R15" s="176"/>
      <c r="S15" s="176"/>
      <c r="T15" s="177"/>
      <c r="U15" s="175"/>
      <c r="V15" s="176"/>
      <c r="W15" s="176"/>
      <c r="X15" s="176"/>
      <c r="Y15" s="176"/>
      <c r="Z15" s="176"/>
      <c r="AA15" s="176"/>
      <c r="AB15" s="176"/>
      <c r="AC15" s="176"/>
      <c r="AD15" s="176"/>
      <c r="AE15" s="176"/>
      <c r="AF15" s="176"/>
      <c r="AG15" s="176"/>
      <c r="AH15" s="176"/>
      <c r="AI15" s="176"/>
      <c r="AJ15" s="177"/>
      <c r="AK15" s="175"/>
      <c r="AL15" s="176"/>
      <c r="AM15" s="176"/>
      <c r="AN15" s="176"/>
      <c r="AO15" s="177"/>
    </row>
    <row r="16" spans="2:41" ht="16.5" customHeight="1">
      <c r="B16" s="143" t="s">
        <v>193</v>
      </c>
      <c r="C16" s="144"/>
      <c r="D16" s="144"/>
      <c r="E16" s="145"/>
      <c r="F16" s="164" t="s">
        <v>194</v>
      </c>
      <c r="G16" s="164"/>
      <c r="H16" s="164"/>
      <c r="I16" s="164"/>
      <c r="J16" s="164"/>
      <c r="K16" s="178"/>
      <c r="L16" s="178"/>
      <c r="M16" s="178"/>
      <c r="N16" s="178"/>
      <c r="O16" s="178"/>
      <c r="P16" s="178"/>
      <c r="Q16" s="178"/>
      <c r="R16" s="178"/>
      <c r="S16" s="178"/>
      <c r="T16" s="178"/>
      <c r="U16" s="167" t="s">
        <v>195</v>
      </c>
      <c r="V16" s="168"/>
      <c r="W16" s="168"/>
      <c r="X16" s="168"/>
      <c r="Y16" s="168"/>
      <c r="Z16" s="168"/>
      <c r="AA16" s="168"/>
      <c r="AB16" s="168"/>
      <c r="AC16" s="168"/>
      <c r="AD16" s="168"/>
      <c r="AE16" s="168"/>
      <c r="AF16" s="168"/>
      <c r="AG16" s="168"/>
      <c r="AH16" s="168"/>
      <c r="AI16" s="168"/>
      <c r="AJ16" s="171"/>
      <c r="AK16" s="167" t="s">
        <v>196</v>
      </c>
      <c r="AL16" s="168"/>
      <c r="AM16" s="168"/>
      <c r="AN16" s="168"/>
      <c r="AO16" s="171"/>
    </row>
    <row r="17" spans="2:41" ht="16.5" customHeight="1">
      <c r="B17" s="158"/>
      <c r="C17" s="159"/>
      <c r="D17" s="159"/>
      <c r="E17" s="160"/>
      <c r="F17" s="179"/>
      <c r="G17" s="179"/>
      <c r="H17" s="179"/>
      <c r="I17" s="179"/>
      <c r="J17" s="179"/>
      <c r="K17" s="179"/>
      <c r="L17" s="179"/>
      <c r="M17" s="179"/>
      <c r="N17" s="179"/>
      <c r="O17" s="179"/>
      <c r="P17" s="179"/>
      <c r="Q17" s="179"/>
      <c r="R17" s="179"/>
      <c r="S17" s="179"/>
      <c r="T17" s="179"/>
      <c r="U17" s="175"/>
      <c r="V17" s="176"/>
      <c r="W17" s="176"/>
      <c r="X17" s="176"/>
      <c r="Y17" s="176"/>
      <c r="Z17" s="176"/>
      <c r="AA17" s="176"/>
      <c r="AB17" s="176"/>
      <c r="AC17" s="176"/>
      <c r="AD17" s="176"/>
      <c r="AE17" s="176"/>
      <c r="AF17" s="176"/>
      <c r="AG17" s="176"/>
      <c r="AH17" s="176"/>
      <c r="AI17" s="176"/>
      <c r="AJ17" s="177"/>
      <c r="AK17" s="175"/>
      <c r="AL17" s="176"/>
      <c r="AM17" s="176"/>
      <c r="AN17" s="176"/>
      <c r="AO17" s="177"/>
    </row>
    <row r="18" spans="2:41" s="180" customFormat="1" ht="16.5" customHeight="1">
      <c r="B18" s="167" t="s">
        <v>197</v>
      </c>
      <c r="C18" s="168"/>
      <c r="D18" s="168"/>
      <c r="E18" s="168"/>
      <c r="F18" s="169"/>
      <c r="G18" s="169"/>
      <c r="H18" s="169"/>
      <c r="I18" s="169"/>
      <c r="J18" s="169"/>
      <c r="K18" s="169"/>
      <c r="L18" s="169"/>
      <c r="M18" s="169"/>
      <c r="N18" s="169"/>
      <c r="O18" s="169"/>
      <c r="P18" s="169"/>
      <c r="Q18" s="169"/>
      <c r="R18" s="169"/>
      <c r="S18" s="169"/>
      <c r="T18" s="170"/>
      <c r="U18" s="167" t="s">
        <v>198</v>
      </c>
      <c r="V18" s="168"/>
      <c r="W18" s="168"/>
      <c r="X18" s="168"/>
      <c r="Y18" s="168"/>
      <c r="Z18" s="168"/>
      <c r="AA18" s="168"/>
      <c r="AB18" s="168"/>
      <c r="AC18" s="171"/>
      <c r="AD18" s="167" t="s">
        <v>199</v>
      </c>
      <c r="AE18" s="168"/>
      <c r="AF18" s="168"/>
      <c r="AG18" s="168"/>
      <c r="AH18" s="168"/>
      <c r="AI18" s="168"/>
      <c r="AJ18" s="171"/>
      <c r="AK18" s="167" t="s">
        <v>183</v>
      </c>
      <c r="AL18" s="168"/>
      <c r="AM18" s="168"/>
      <c r="AN18" s="168"/>
      <c r="AO18" s="171"/>
    </row>
    <row r="19" spans="2:41" ht="16.5" customHeight="1">
      <c r="B19" s="175"/>
      <c r="C19" s="176"/>
      <c r="D19" s="176"/>
      <c r="E19" s="176"/>
      <c r="F19" s="176"/>
      <c r="G19" s="176"/>
      <c r="H19" s="176"/>
      <c r="I19" s="176"/>
      <c r="J19" s="176"/>
      <c r="K19" s="176"/>
      <c r="L19" s="176"/>
      <c r="M19" s="176"/>
      <c r="N19" s="176"/>
      <c r="O19" s="176"/>
      <c r="P19" s="176"/>
      <c r="Q19" s="176"/>
      <c r="R19" s="176"/>
      <c r="S19" s="176"/>
      <c r="T19" s="177"/>
      <c r="U19" s="175"/>
      <c r="V19" s="176"/>
      <c r="W19" s="176"/>
      <c r="X19" s="176"/>
      <c r="Y19" s="176"/>
      <c r="Z19" s="176"/>
      <c r="AA19" s="176"/>
      <c r="AB19" s="176"/>
      <c r="AC19" s="177"/>
      <c r="AD19" s="175"/>
      <c r="AE19" s="176"/>
      <c r="AF19" s="176"/>
      <c r="AG19" s="176"/>
      <c r="AH19" s="176"/>
      <c r="AI19" s="176"/>
      <c r="AJ19" s="177"/>
      <c r="AK19" s="175"/>
      <c r="AL19" s="176"/>
      <c r="AM19" s="176"/>
      <c r="AN19" s="176"/>
      <c r="AO19" s="177"/>
    </row>
    <row r="20" spans="2:41" s="180" customFormat="1" ht="16.5" customHeight="1">
      <c r="B20" s="167" t="s">
        <v>200</v>
      </c>
      <c r="C20" s="168"/>
      <c r="D20" s="168"/>
      <c r="E20" s="168"/>
      <c r="F20" s="169"/>
      <c r="G20" s="169"/>
      <c r="H20" s="169"/>
      <c r="I20" s="169"/>
      <c r="J20" s="169"/>
      <c r="K20" s="169"/>
      <c r="L20" s="169"/>
      <c r="M20" s="169"/>
      <c r="N20" s="169"/>
      <c r="O20" s="169"/>
      <c r="P20" s="169"/>
      <c r="Q20" s="169"/>
      <c r="R20" s="169"/>
      <c r="S20" s="169"/>
      <c r="T20" s="170"/>
      <c r="U20" s="167" t="s">
        <v>201</v>
      </c>
      <c r="V20" s="168"/>
      <c r="W20" s="168"/>
      <c r="X20" s="168"/>
      <c r="Y20" s="168"/>
      <c r="Z20" s="168"/>
      <c r="AA20" s="168"/>
      <c r="AB20" s="168"/>
      <c r="AC20" s="171"/>
      <c r="AD20" s="181" t="s">
        <v>202</v>
      </c>
      <c r="AE20" s="182"/>
      <c r="AF20" s="182"/>
      <c r="AG20" s="182"/>
      <c r="AH20" s="182"/>
      <c r="AI20" s="182"/>
      <c r="AJ20" s="182"/>
      <c r="AK20" s="182"/>
      <c r="AL20" s="182"/>
      <c r="AM20" s="182"/>
      <c r="AN20" s="182"/>
      <c r="AO20" s="183"/>
    </row>
    <row r="21" spans="2:41" ht="16.5" customHeight="1">
      <c r="B21" s="175"/>
      <c r="C21" s="176"/>
      <c r="D21" s="176"/>
      <c r="E21" s="176"/>
      <c r="F21" s="176"/>
      <c r="G21" s="176"/>
      <c r="H21" s="176"/>
      <c r="I21" s="176"/>
      <c r="J21" s="176"/>
      <c r="K21" s="176"/>
      <c r="L21" s="176"/>
      <c r="M21" s="176"/>
      <c r="N21" s="176"/>
      <c r="O21" s="176"/>
      <c r="P21" s="176"/>
      <c r="Q21" s="176"/>
      <c r="R21" s="176"/>
      <c r="S21" s="176"/>
      <c r="T21" s="177"/>
      <c r="U21" s="175"/>
      <c r="V21" s="176"/>
      <c r="W21" s="176"/>
      <c r="X21" s="176"/>
      <c r="Y21" s="176"/>
      <c r="Z21" s="176"/>
      <c r="AA21" s="176"/>
      <c r="AB21" s="176"/>
      <c r="AC21" s="177"/>
      <c r="AD21" s="175"/>
      <c r="AE21" s="176"/>
      <c r="AF21" s="176"/>
      <c r="AG21" s="176"/>
      <c r="AH21" s="176"/>
      <c r="AI21" s="176"/>
      <c r="AJ21" s="176"/>
      <c r="AK21" s="176"/>
      <c r="AL21" s="176"/>
      <c r="AM21" s="176"/>
      <c r="AN21" s="176"/>
      <c r="AO21" s="177"/>
    </row>
    <row r="22" spans="2:41" ht="16.5" customHeight="1">
      <c r="B22" s="165" t="s">
        <v>203</v>
      </c>
      <c r="C22" s="165"/>
      <c r="D22" s="165"/>
      <c r="E22" s="165"/>
      <c r="F22" s="166"/>
      <c r="G22" s="166"/>
      <c r="H22" s="166"/>
      <c r="I22" s="166"/>
      <c r="J22" s="166"/>
      <c r="K22" s="166"/>
      <c r="L22" s="166"/>
      <c r="M22" s="166"/>
      <c r="N22" s="166"/>
      <c r="O22" s="166"/>
      <c r="P22" s="166"/>
      <c r="Q22" s="166"/>
      <c r="R22" s="166"/>
      <c r="S22" s="166"/>
      <c r="T22" s="166"/>
      <c r="U22" s="166"/>
      <c r="V22" s="166"/>
      <c r="W22" s="166"/>
      <c r="X22" s="166"/>
      <c r="Y22" s="166"/>
      <c r="Z22" s="166"/>
      <c r="AA22" s="166"/>
      <c r="AB22" s="166"/>
      <c r="AC22" s="166"/>
      <c r="AD22" s="166"/>
      <c r="AE22" s="166"/>
      <c r="AF22" s="166"/>
      <c r="AG22" s="166"/>
      <c r="AH22" s="166"/>
      <c r="AI22" s="166"/>
      <c r="AJ22" s="166"/>
      <c r="AK22" s="166"/>
      <c r="AL22" s="166"/>
      <c r="AM22" s="166"/>
      <c r="AN22" s="166"/>
      <c r="AO22" s="166"/>
    </row>
    <row r="23" spans="2:41" ht="16.5" customHeight="1">
      <c r="B23" s="167" t="s">
        <v>204</v>
      </c>
      <c r="C23" s="168"/>
      <c r="D23" s="168"/>
      <c r="E23" s="168"/>
      <c r="F23" s="168"/>
      <c r="G23" s="168"/>
      <c r="H23" s="168"/>
      <c r="I23" s="168"/>
      <c r="J23" s="171"/>
      <c r="K23" s="167" t="s">
        <v>205</v>
      </c>
      <c r="L23" s="168"/>
      <c r="M23" s="168"/>
      <c r="N23" s="168"/>
      <c r="O23" s="168"/>
      <c r="P23" s="168"/>
      <c r="Q23" s="168"/>
      <c r="R23" s="168"/>
      <c r="S23" s="168"/>
      <c r="T23" s="170"/>
      <c r="U23" s="167" t="s">
        <v>198</v>
      </c>
      <c r="V23" s="168"/>
      <c r="W23" s="168"/>
      <c r="X23" s="168"/>
      <c r="Y23" s="168"/>
      <c r="Z23" s="168"/>
      <c r="AA23" s="168"/>
      <c r="AB23" s="168"/>
      <c r="AC23" s="171"/>
      <c r="AD23" s="167" t="s">
        <v>206</v>
      </c>
      <c r="AE23" s="168"/>
      <c r="AF23" s="168"/>
      <c r="AG23" s="168"/>
      <c r="AH23" s="168"/>
      <c r="AI23" s="168"/>
      <c r="AJ23" s="171"/>
      <c r="AK23" s="167" t="s">
        <v>207</v>
      </c>
      <c r="AL23" s="168"/>
      <c r="AM23" s="168"/>
      <c r="AN23" s="168"/>
      <c r="AO23" s="171"/>
    </row>
    <row r="24" spans="2:41" ht="16.5" customHeight="1">
      <c r="B24" s="175"/>
      <c r="C24" s="176"/>
      <c r="D24" s="176"/>
      <c r="E24" s="176"/>
      <c r="F24" s="176"/>
      <c r="G24" s="176"/>
      <c r="H24" s="176"/>
      <c r="I24" s="176"/>
      <c r="J24" s="177"/>
      <c r="K24" s="175"/>
      <c r="L24" s="176"/>
      <c r="M24" s="176"/>
      <c r="N24" s="176"/>
      <c r="O24" s="176"/>
      <c r="P24" s="176"/>
      <c r="Q24" s="176"/>
      <c r="R24" s="176"/>
      <c r="S24" s="176"/>
      <c r="T24" s="177"/>
      <c r="U24" s="175"/>
      <c r="V24" s="176"/>
      <c r="W24" s="176"/>
      <c r="X24" s="176"/>
      <c r="Y24" s="176"/>
      <c r="Z24" s="176"/>
      <c r="AA24" s="176"/>
      <c r="AB24" s="176"/>
      <c r="AC24" s="177"/>
      <c r="AD24" s="175"/>
      <c r="AE24" s="176"/>
      <c r="AF24" s="176"/>
      <c r="AG24" s="176"/>
      <c r="AH24" s="176"/>
      <c r="AI24" s="176"/>
      <c r="AJ24" s="177"/>
      <c r="AK24" s="175"/>
      <c r="AL24" s="176"/>
      <c r="AM24" s="176"/>
      <c r="AN24" s="176"/>
      <c r="AO24" s="177"/>
    </row>
    <row r="25" spans="2:41" ht="16.5" customHeight="1">
      <c r="B25" s="167" t="s">
        <v>208</v>
      </c>
      <c r="C25" s="168"/>
      <c r="D25" s="168"/>
      <c r="E25" s="168"/>
      <c r="F25" s="168"/>
      <c r="G25" s="168"/>
      <c r="H25" s="168"/>
      <c r="I25" s="168"/>
      <c r="J25" s="171"/>
      <c r="K25" s="167" t="s">
        <v>205</v>
      </c>
      <c r="L25" s="168"/>
      <c r="M25" s="168"/>
      <c r="N25" s="168"/>
      <c r="O25" s="168"/>
      <c r="P25" s="168"/>
      <c r="Q25" s="168"/>
      <c r="R25" s="168"/>
      <c r="S25" s="168"/>
      <c r="T25" s="170"/>
      <c r="U25" s="167" t="s">
        <v>198</v>
      </c>
      <c r="V25" s="168"/>
      <c r="W25" s="168"/>
      <c r="X25" s="168"/>
      <c r="Y25" s="168"/>
      <c r="Z25" s="168"/>
      <c r="AA25" s="168"/>
      <c r="AB25" s="168"/>
      <c r="AC25" s="171"/>
      <c r="AD25" s="167" t="s">
        <v>206</v>
      </c>
      <c r="AE25" s="168"/>
      <c r="AF25" s="168"/>
      <c r="AG25" s="168"/>
      <c r="AH25" s="168"/>
      <c r="AI25" s="168"/>
      <c r="AJ25" s="171"/>
      <c r="AK25" s="167" t="s">
        <v>207</v>
      </c>
      <c r="AL25" s="168"/>
      <c r="AM25" s="168"/>
      <c r="AN25" s="168"/>
      <c r="AO25" s="171"/>
    </row>
    <row r="26" spans="2:41" ht="16.5" customHeight="1">
      <c r="B26" s="175"/>
      <c r="C26" s="176"/>
      <c r="D26" s="176"/>
      <c r="E26" s="176"/>
      <c r="F26" s="176"/>
      <c r="G26" s="176"/>
      <c r="H26" s="176"/>
      <c r="I26" s="176"/>
      <c r="J26" s="177"/>
      <c r="K26" s="175"/>
      <c r="L26" s="176"/>
      <c r="M26" s="176"/>
      <c r="N26" s="176"/>
      <c r="O26" s="176"/>
      <c r="P26" s="176"/>
      <c r="Q26" s="176"/>
      <c r="R26" s="176"/>
      <c r="S26" s="176"/>
      <c r="T26" s="177"/>
      <c r="U26" s="175"/>
      <c r="V26" s="176"/>
      <c r="W26" s="176"/>
      <c r="X26" s="176"/>
      <c r="Y26" s="176"/>
      <c r="Z26" s="176"/>
      <c r="AA26" s="176"/>
      <c r="AB26" s="176"/>
      <c r="AC26" s="177"/>
      <c r="AD26" s="175"/>
      <c r="AE26" s="176"/>
      <c r="AF26" s="176"/>
      <c r="AG26" s="176"/>
      <c r="AH26" s="176"/>
      <c r="AI26" s="176"/>
      <c r="AJ26" s="177"/>
      <c r="AK26" s="175"/>
      <c r="AL26" s="176"/>
      <c r="AM26" s="176"/>
      <c r="AN26" s="176"/>
      <c r="AO26" s="177"/>
    </row>
    <row r="27" spans="2:41" ht="16.5" customHeight="1">
      <c r="B27" s="167" t="s">
        <v>209</v>
      </c>
      <c r="C27" s="168"/>
      <c r="D27" s="168"/>
      <c r="E27" s="168"/>
      <c r="F27" s="168"/>
      <c r="G27" s="168"/>
      <c r="H27" s="168"/>
      <c r="I27" s="168"/>
      <c r="J27" s="171"/>
      <c r="K27" s="167" t="s">
        <v>205</v>
      </c>
      <c r="L27" s="168"/>
      <c r="M27" s="168"/>
      <c r="N27" s="168"/>
      <c r="O27" s="168"/>
      <c r="P27" s="168"/>
      <c r="Q27" s="168"/>
      <c r="R27" s="168"/>
      <c r="S27" s="168"/>
      <c r="T27" s="170"/>
      <c r="U27" s="167" t="s">
        <v>198</v>
      </c>
      <c r="V27" s="168"/>
      <c r="W27" s="168"/>
      <c r="X27" s="168"/>
      <c r="Y27" s="168"/>
      <c r="Z27" s="168"/>
      <c r="AA27" s="168"/>
      <c r="AB27" s="168"/>
      <c r="AC27" s="171"/>
      <c r="AD27" s="167" t="s">
        <v>206</v>
      </c>
      <c r="AE27" s="168"/>
      <c r="AF27" s="168"/>
      <c r="AG27" s="168"/>
      <c r="AH27" s="168"/>
      <c r="AI27" s="168"/>
      <c r="AJ27" s="171"/>
      <c r="AK27" s="167" t="s">
        <v>207</v>
      </c>
      <c r="AL27" s="168"/>
      <c r="AM27" s="168"/>
      <c r="AN27" s="168"/>
      <c r="AO27" s="171"/>
    </row>
    <row r="28" spans="2:41" ht="16.5" customHeight="1">
      <c r="B28" s="175"/>
      <c r="C28" s="176"/>
      <c r="D28" s="176"/>
      <c r="E28" s="176"/>
      <c r="F28" s="176"/>
      <c r="G28" s="176"/>
      <c r="H28" s="176"/>
      <c r="I28" s="176"/>
      <c r="J28" s="177"/>
      <c r="K28" s="175"/>
      <c r="L28" s="176"/>
      <c r="M28" s="176"/>
      <c r="N28" s="176"/>
      <c r="O28" s="176"/>
      <c r="P28" s="176"/>
      <c r="Q28" s="176"/>
      <c r="R28" s="176"/>
      <c r="S28" s="176"/>
      <c r="T28" s="177"/>
      <c r="U28" s="175"/>
      <c r="V28" s="176"/>
      <c r="W28" s="176"/>
      <c r="X28" s="176"/>
      <c r="Y28" s="176"/>
      <c r="Z28" s="176"/>
      <c r="AA28" s="176"/>
      <c r="AB28" s="176"/>
      <c r="AC28" s="177"/>
      <c r="AD28" s="175"/>
      <c r="AE28" s="176"/>
      <c r="AF28" s="176"/>
      <c r="AG28" s="176"/>
      <c r="AH28" s="176"/>
      <c r="AI28" s="176"/>
      <c r="AJ28" s="177"/>
      <c r="AK28" s="175"/>
      <c r="AL28" s="176"/>
      <c r="AM28" s="176"/>
      <c r="AN28" s="176"/>
      <c r="AO28" s="177"/>
    </row>
    <row r="29" spans="2:41" ht="16.5" customHeight="1">
      <c r="B29" s="165" t="s">
        <v>210</v>
      </c>
      <c r="C29" s="165"/>
      <c r="D29" s="165"/>
      <c r="E29" s="165"/>
      <c r="F29" s="166"/>
      <c r="G29" s="166"/>
      <c r="H29" s="166"/>
      <c r="I29" s="166"/>
      <c r="J29" s="166"/>
      <c r="K29" s="166"/>
      <c r="L29" s="166"/>
      <c r="M29" s="166"/>
      <c r="N29" s="166"/>
      <c r="O29" s="166"/>
      <c r="P29" s="166"/>
      <c r="Q29" s="166"/>
      <c r="R29" s="166"/>
      <c r="S29" s="166"/>
      <c r="T29" s="166"/>
      <c r="U29" s="166"/>
      <c r="V29" s="166"/>
      <c r="W29" s="166"/>
      <c r="X29" s="166"/>
      <c r="Y29" s="166"/>
      <c r="Z29" s="166"/>
      <c r="AA29" s="166"/>
      <c r="AB29" s="166"/>
      <c r="AC29" s="166"/>
      <c r="AD29" s="166"/>
      <c r="AE29" s="166"/>
      <c r="AF29" s="166"/>
      <c r="AG29" s="166"/>
      <c r="AH29" s="166"/>
      <c r="AI29" s="166"/>
      <c r="AJ29" s="166"/>
      <c r="AK29" s="166"/>
      <c r="AL29" s="166"/>
      <c r="AM29" s="166"/>
      <c r="AN29" s="166"/>
      <c r="AO29" s="166"/>
    </row>
    <row r="30" spans="2:41" ht="24.75" customHeight="1">
      <c r="B30" s="184" t="s">
        <v>211</v>
      </c>
      <c r="C30" s="185"/>
      <c r="D30" s="185"/>
      <c r="E30" s="185"/>
      <c r="F30" s="186"/>
      <c r="G30" s="186"/>
      <c r="H30" s="186"/>
      <c r="I30" s="186"/>
      <c r="J30" s="186"/>
      <c r="K30" s="186"/>
      <c r="L30" s="186"/>
      <c r="M30" s="186"/>
      <c r="N30" s="186"/>
      <c r="O30" s="186"/>
      <c r="P30" s="186"/>
      <c r="Q30" s="186"/>
      <c r="R30" s="186"/>
      <c r="S30" s="186"/>
      <c r="T30" s="186"/>
      <c r="U30" s="186"/>
      <c r="V30" s="186"/>
      <c r="W30" s="186"/>
      <c r="X30" s="186"/>
      <c r="Y30" s="186"/>
      <c r="Z30" s="186"/>
      <c r="AA30" s="186"/>
      <c r="AB30" s="186"/>
      <c r="AC30" s="186"/>
      <c r="AD30" s="186"/>
      <c r="AE30" s="186"/>
      <c r="AF30" s="186"/>
      <c r="AG30" s="186"/>
      <c r="AH30" s="186"/>
      <c r="AI30" s="186"/>
      <c r="AJ30" s="187"/>
      <c r="AK30" s="188" t="s">
        <v>212</v>
      </c>
      <c r="AL30" s="189"/>
      <c r="AM30" s="189"/>
      <c r="AN30" s="189"/>
      <c r="AO30" s="190"/>
    </row>
    <row r="31" spans="2:41" ht="16.5" customHeight="1">
      <c r="B31" s="191"/>
      <c r="C31" s="192"/>
      <c r="D31" s="192"/>
      <c r="E31" s="192"/>
      <c r="F31" s="192"/>
      <c r="G31" s="192"/>
      <c r="H31" s="192"/>
      <c r="I31" s="192"/>
      <c r="J31" s="192"/>
      <c r="K31" s="192"/>
      <c r="L31" s="192"/>
      <c r="M31" s="192"/>
      <c r="N31" s="192"/>
      <c r="O31" s="192"/>
      <c r="P31" s="192"/>
      <c r="Q31" s="192"/>
      <c r="R31" s="192"/>
      <c r="S31" s="192"/>
      <c r="T31" s="192"/>
      <c r="U31" s="192"/>
      <c r="V31" s="192"/>
      <c r="W31" s="192"/>
      <c r="X31" s="192"/>
      <c r="Y31" s="192"/>
      <c r="Z31" s="192"/>
      <c r="AA31" s="192"/>
      <c r="AB31" s="192"/>
      <c r="AC31" s="192"/>
      <c r="AD31" s="192"/>
      <c r="AE31" s="192"/>
      <c r="AF31" s="192"/>
      <c r="AG31" s="192"/>
      <c r="AH31" s="192"/>
      <c r="AI31" s="192"/>
      <c r="AJ31" s="193"/>
      <c r="AK31" s="175"/>
      <c r="AL31" s="176"/>
      <c r="AM31" s="176"/>
      <c r="AN31" s="176"/>
      <c r="AO31" s="177"/>
    </row>
    <row r="32" spans="2:41" ht="16.5" customHeight="1">
      <c r="B32" s="191"/>
      <c r="C32" s="192"/>
      <c r="D32" s="192"/>
      <c r="E32" s="192"/>
      <c r="F32" s="192"/>
      <c r="G32" s="192"/>
      <c r="H32" s="192"/>
      <c r="I32" s="192"/>
      <c r="J32" s="192"/>
      <c r="K32" s="192"/>
      <c r="L32" s="192"/>
      <c r="M32" s="192"/>
      <c r="N32" s="192"/>
      <c r="O32" s="192"/>
      <c r="P32" s="192"/>
      <c r="Q32" s="192"/>
      <c r="R32" s="192"/>
      <c r="S32" s="192"/>
      <c r="T32" s="192"/>
      <c r="U32" s="192"/>
      <c r="V32" s="192"/>
      <c r="W32" s="192"/>
      <c r="X32" s="192"/>
      <c r="Y32" s="192"/>
      <c r="Z32" s="192"/>
      <c r="AA32" s="192"/>
      <c r="AB32" s="192"/>
      <c r="AC32" s="192"/>
      <c r="AD32" s="192"/>
      <c r="AE32" s="192"/>
      <c r="AF32" s="192"/>
      <c r="AG32" s="192"/>
      <c r="AH32" s="192"/>
      <c r="AI32" s="192"/>
      <c r="AJ32" s="193"/>
      <c r="AK32" s="175"/>
      <c r="AL32" s="176"/>
      <c r="AM32" s="176"/>
      <c r="AN32" s="176"/>
      <c r="AO32" s="177"/>
    </row>
    <row r="33" spans="2:41" ht="16.5" customHeight="1">
      <c r="B33" s="191"/>
      <c r="C33" s="192"/>
      <c r="D33" s="192"/>
      <c r="E33" s="192"/>
      <c r="F33" s="192"/>
      <c r="G33" s="192"/>
      <c r="H33" s="192"/>
      <c r="I33" s="192"/>
      <c r="J33" s="192"/>
      <c r="K33" s="192"/>
      <c r="L33" s="192"/>
      <c r="M33" s="192"/>
      <c r="N33" s="192"/>
      <c r="O33" s="192"/>
      <c r="P33" s="192"/>
      <c r="Q33" s="192"/>
      <c r="R33" s="192"/>
      <c r="S33" s="192"/>
      <c r="T33" s="192"/>
      <c r="U33" s="192"/>
      <c r="V33" s="192"/>
      <c r="W33" s="192"/>
      <c r="X33" s="192"/>
      <c r="Y33" s="192"/>
      <c r="Z33" s="192"/>
      <c r="AA33" s="192"/>
      <c r="AB33" s="192"/>
      <c r="AC33" s="192"/>
      <c r="AD33" s="192"/>
      <c r="AE33" s="192"/>
      <c r="AF33" s="192"/>
      <c r="AG33" s="192"/>
      <c r="AH33" s="192"/>
      <c r="AI33" s="192"/>
      <c r="AJ33" s="193"/>
      <c r="AK33" s="175"/>
      <c r="AL33" s="176"/>
      <c r="AM33" s="176"/>
      <c r="AN33" s="176"/>
      <c r="AO33" s="177"/>
    </row>
    <row r="34" spans="2:41" ht="16.5" customHeight="1">
      <c r="B34" s="191"/>
      <c r="C34" s="192"/>
      <c r="D34" s="192"/>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2"/>
      <c r="AG34" s="192"/>
      <c r="AH34" s="192"/>
      <c r="AI34" s="192"/>
      <c r="AJ34" s="193"/>
      <c r="AK34" s="175"/>
      <c r="AL34" s="176"/>
      <c r="AM34" s="176"/>
      <c r="AN34" s="176"/>
      <c r="AO34" s="177"/>
    </row>
    <row r="35" spans="2:41" ht="16.5" customHeight="1">
      <c r="B35" s="194"/>
      <c r="C35" s="195"/>
      <c r="D35" s="195"/>
      <c r="E35" s="195"/>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2"/>
      <c r="AE35" s="192"/>
      <c r="AF35" s="192"/>
      <c r="AG35" s="192"/>
      <c r="AH35" s="192"/>
      <c r="AI35" s="192"/>
      <c r="AJ35" s="193"/>
      <c r="AK35" s="175"/>
      <c r="AL35" s="176"/>
      <c r="AM35" s="176"/>
      <c r="AN35" s="176"/>
      <c r="AO35" s="177"/>
    </row>
    <row r="36" spans="2:41" ht="16.5" customHeight="1">
      <c r="B36" s="196" t="s">
        <v>213</v>
      </c>
      <c r="C36" s="197"/>
      <c r="D36" s="197"/>
      <c r="E36" s="197"/>
      <c r="F36" s="198"/>
      <c r="G36" s="198"/>
      <c r="H36" s="198"/>
      <c r="I36" s="198"/>
      <c r="J36" s="198"/>
      <c r="K36" s="198"/>
      <c r="L36" s="198"/>
      <c r="M36" s="198"/>
      <c r="N36" s="198"/>
      <c r="O36" s="198"/>
      <c r="P36" s="198"/>
      <c r="Q36" s="198"/>
      <c r="R36" s="198"/>
      <c r="S36" s="198"/>
      <c r="T36" s="198"/>
      <c r="U36" s="198"/>
      <c r="V36" s="198"/>
      <c r="W36" s="198"/>
      <c r="X36" s="198"/>
      <c r="Y36" s="198"/>
      <c r="Z36" s="198"/>
      <c r="AA36" s="198"/>
      <c r="AB36" s="198"/>
      <c r="AC36" s="198"/>
      <c r="AD36" s="198"/>
      <c r="AE36" s="198"/>
      <c r="AF36" s="198"/>
      <c r="AG36" s="198"/>
      <c r="AH36" s="198"/>
      <c r="AI36" s="198"/>
      <c r="AJ36" s="199"/>
      <c r="AK36" s="200" t="s">
        <v>214</v>
      </c>
      <c r="AL36" s="201"/>
      <c r="AM36" s="201"/>
      <c r="AN36" s="201"/>
      <c r="AO36" s="202"/>
    </row>
    <row r="37" spans="2:41" ht="21.75" customHeight="1">
      <c r="B37" s="203" t="s">
        <v>215</v>
      </c>
      <c r="C37" s="204"/>
      <c r="D37" s="204"/>
      <c r="E37" s="205"/>
      <c r="F37" s="203" t="s">
        <v>216</v>
      </c>
      <c r="G37" s="204"/>
      <c r="H37" s="204"/>
      <c r="I37" s="204"/>
      <c r="J37" s="204"/>
      <c r="K37" s="206"/>
      <c r="L37" s="206"/>
      <c r="M37" s="206"/>
      <c r="N37" s="206"/>
      <c r="O37" s="206"/>
      <c r="P37" s="206"/>
      <c r="Q37" s="206"/>
      <c r="R37" s="206"/>
      <c r="S37" s="206"/>
      <c r="T37" s="206"/>
      <c r="U37" s="206"/>
      <c r="V37" s="206"/>
      <c r="W37" s="206"/>
      <c r="X37" s="206"/>
      <c r="Y37" s="206"/>
      <c r="Z37" s="206"/>
      <c r="AA37" s="206"/>
      <c r="AB37" s="206"/>
      <c r="AC37" s="207"/>
      <c r="AD37" s="203" t="s">
        <v>217</v>
      </c>
      <c r="AE37" s="204"/>
      <c r="AF37" s="204"/>
      <c r="AG37" s="204"/>
      <c r="AH37" s="204"/>
      <c r="AI37" s="204"/>
      <c r="AJ37" s="205"/>
      <c r="AK37" s="208"/>
      <c r="AL37" s="209"/>
      <c r="AM37" s="209"/>
      <c r="AN37" s="209"/>
      <c r="AO37" s="210"/>
    </row>
    <row r="38" spans="2:41" ht="16.5" customHeight="1">
      <c r="B38" s="175"/>
      <c r="C38" s="176"/>
      <c r="D38" s="176"/>
      <c r="E38" s="177"/>
      <c r="F38" s="191"/>
      <c r="G38" s="192"/>
      <c r="H38" s="192"/>
      <c r="I38" s="192"/>
      <c r="J38" s="192"/>
      <c r="K38" s="192"/>
      <c r="L38" s="192"/>
      <c r="M38" s="192"/>
      <c r="N38" s="192"/>
      <c r="O38" s="192"/>
      <c r="P38" s="192"/>
      <c r="Q38" s="192"/>
      <c r="R38" s="192"/>
      <c r="S38" s="192"/>
      <c r="T38" s="192"/>
      <c r="U38" s="192"/>
      <c r="V38" s="192"/>
      <c r="W38" s="192"/>
      <c r="X38" s="192"/>
      <c r="Y38" s="192"/>
      <c r="Z38" s="192"/>
      <c r="AA38" s="192"/>
      <c r="AB38" s="192"/>
      <c r="AC38" s="193"/>
      <c r="AD38" s="175"/>
      <c r="AE38" s="176"/>
      <c r="AF38" s="176"/>
      <c r="AG38" s="176"/>
      <c r="AH38" s="176"/>
      <c r="AI38" s="176"/>
      <c r="AJ38" s="177"/>
      <c r="AK38" s="140"/>
      <c r="AL38" s="141"/>
      <c r="AM38" s="141"/>
      <c r="AN38" s="141"/>
      <c r="AO38" s="142"/>
    </row>
    <row r="39" spans="2:41" ht="16.5" customHeight="1">
      <c r="B39" s="175"/>
      <c r="C39" s="176"/>
      <c r="D39" s="176"/>
      <c r="E39" s="177"/>
      <c r="F39" s="191"/>
      <c r="G39" s="192"/>
      <c r="H39" s="192"/>
      <c r="I39" s="192"/>
      <c r="J39" s="192"/>
      <c r="K39" s="192"/>
      <c r="L39" s="192"/>
      <c r="M39" s="192"/>
      <c r="N39" s="192"/>
      <c r="O39" s="192"/>
      <c r="P39" s="192"/>
      <c r="Q39" s="192"/>
      <c r="R39" s="192"/>
      <c r="S39" s="192"/>
      <c r="T39" s="192"/>
      <c r="U39" s="192"/>
      <c r="V39" s="192"/>
      <c r="W39" s="192"/>
      <c r="X39" s="192"/>
      <c r="Y39" s="192"/>
      <c r="Z39" s="192"/>
      <c r="AA39" s="192"/>
      <c r="AB39" s="192"/>
      <c r="AC39" s="193"/>
      <c r="AD39" s="175"/>
      <c r="AE39" s="176"/>
      <c r="AF39" s="176"/>
      <c r="AG39" s="176"/>
      <c r="AH39" s="176"/>
      <c r="AI39" s="176"/>
      <c r="AJ39" s="177"/>
      <c r="AK39" s="211"/>
      <c r="AL39" s="212"/>
      <c r="AM39" s="212"/>
      <c r="AN39" s="212"/>
      <c r="AO39" s="213"/>
    </row>
    <row r="40" spans="2:41" ht="16.5" customHeight="1">
      <c r="B40" s="175"/>
      <c r="C40" s="176"/>
      <c r="D40" s="176"/>
      <c r="E40" s="177"/>
      <c r="F40" s="191"/>
      <c r="G40" s="192"/>
      <c r="H40" s="192"/>
      <c r="I40" s="192"/>
      <c r="J40" s="192"/>
      <c r="K40" s="192"/>
      <c r="L40" s="192"/>
      <c r="M40" s="192"/>
      <c r="N40" s="192"/>
      <c r="O40" s="192"/>
      <c r="P40" s="192"/>
      <c r="Q40" s="192"/>
      <c r="R40" s="192"/>
      <c r="S40" s="192"/>
      <c r="T40" s="192"/>
      <c r="U40" s="192"/>
      <c r="V40" s="192"/>
      <c r="W40" s="192"/>
      <c r="X40" s="192"/>
      <c r="Y40" s="192"/>
      <c r="Z40" s="192"/>
      <c r="AA40" s="192"/>
      <c r="AB40" s="192"/>
      <c r="AC40" s="193"/>
      <c r="AD40" s="175"/>
      <c r="AE40" s="176"/>
      <c r="AF40" s="176"/>
      <c r="AG40" s="176"/>
      <c r="AH40" s="176"/>
      <c r="AI40" s="176"/>
      <c r="AJ40" s="177"/>
      <c r="AK40" s="155"/>
      <c r="AL40" s="156"/>
      <c r="AM40" s="156"/>
      <c r="AN40" s="156"/>
      <c r="AO40" s="157"/>
    </row>
    <row r="41" spans="2:41" ht="16.5" customHeight="1">
      <c r="B41" s="165" t="s">
        <v>218</v>
      </c>
      <c r="C41" s="165"/>
      <c r="D41" s="165"/>
      <c r="E41" s="165"/>
      <c r="F41" s="166"/>
      <c r="G41" s="166"/>
      <c r="H41" s="166"/>
      <c r="I41" s="166"/>
      <c r="J41" s="166"/>
      <c r="K41" s="166"/>
      <c r="L41" s="166"/>
      <c r="M41" s="166"/>
      <c r="N41" s="166"/>
      <c r="O41" s="166"/>
      <c r="P41" s="166"/>
      <c r="Q41" s="166"/>
      <c r="R41" s="166"/>
      <c r="S41" s="166"/>
      <c r="T41" s="166"/>
      <c r="U41" s="166"/>
      <c r="V41" s="166"/>
      <c r="W41" s="166"/>
      <c r="X41" s="166"/>
      <c r="Y41" s="166"/>
      <c r="Z41" s="166"/>
      <c r="AA41" s="166"/>
      <c r="AB41" s="166"/>
      <c r="AC41" s="166"/>
      <c r="AD41" s="166"/>
      <c r="AE41" s="166"/>
      <c r="AF41" s="166"/>
      <c r="AG41" s="166"/>
      <c r="AH41" s="166"/>
      <c r="AI41" s="166"/>
      <c r="AJ41" s="166"/>
      <c r="AK41" s="166"/>
      <c r="AL41" s="166"/>
      <c r="AM41" s="166"/>
      <c r="AN41" s="166"/>
      <c r="AO41" s="166"/>
    </row>
    <row r="42" spans="2:41" ht="16.5" customHeight="1">
      <c r="B42" s="214" t="s">
        <v>219</v>
      </c>
      <c r="C42" s="215"/>
      <c r="D42" s="215"/>
      <c r="E42" s="215"/>
      <c r="F42" s="215"/>
      <c r="G42" s="215"/>
      <c r="H42" s="215"/>
      <c r="I42" s="215"/>
      <c r="J42" s="215"/>
      <c r="K42" s="215"/>
      <c r="L42" s="216"/>
      <c r="M42" s="217" t="s">
        <v>220</v>
      </c>
      <c r="N42" s="218"/>
      <c r="O42" s="218"/>
      <c r="P42" s="218"/>
      <c r="Q42" s="218"/>
      <c r="R42" s="218"/>
      <c r="S42" s="218"/>
      <c r="T42" s="219"/>
      <c r="U42" s="217" t="s">
        <v>221</v>
      </c>
      <c r="V42" s="218"/>
      <c r="W42" s="218"/>
      <c r="X42" s="218"/>
      <c r="Y42" s="218"/>
      <c r="Z42" s="218"/>
      <c r="AA42" s="218"/>
      <c r="AB42" s="218"/>
      <c r="AC42" s="219"/>
      <c r="AD42" s="214" t="s">
        <v>222</v>
      </c>
      <c r="AE42" s="215"/>
      <c r="AF42" s="215"/>
      <c r="AG42" s="215"/>
      <c r="AH42" s="215"/>
      <c r="AI42" s="215"/>
      <c r="AJ42" s="215"/>
      <c r="AK42" s="215"/>
      <c r="AL42" s="215"/>
      <c r="AM42" s="215"/>
      <c r="AN42" s="215"/>
      <c r="AO42" s="216"/>
    </row>
    <row r="43" spans="2:41" ht="16.5" customHeight="1">
      <c r="B43" s="220" t="s">
        <v>223</v>
      </c>
      <c r="C43" s="221"/>
      <c r="D43" s="221"/>
      <c r="E43" s="222"/>
      <c r="F43" s="223" t="s">
        <v>224</v>
      </c>
      <c r="G43" s="224"/>
      <c r="H43" s="224"/>
      <c r="I43" s="224"/>
      <c r="J43" s="224"/>
      <c r="K43" s="224"/>
      <c r="L43" s="225"/>
      <c r="M43" s="226" t="s">
        <v>225</v>
      </c>
      <c r="N43" s="226"/>
      <c r="O43" s="226"/>
      <c r="P43" s="226"/>
      <c r="Q43" s="226"/>
      <c r="R43" s="226"/>
      <c r="S43" s="226"/>
      <c r="T43" s="226"/>
      <c r="U43" s="227"/>
      <c r="V43" s="228"/>
      <c r="W43" s="228"/>
      <c r="X43" s="228"/>
      <c r="Y43" s="228"/>
      <c r="Z43" s="228"/>
      <c r="AA43" s="228"/>
      <c r="AB43" s="228"/>
      <c r="AC43" s="229"/>
      <c r="AD43" s="230">
        <f>+IFERROR(U43/U44,0)</f>
        <v>0</v>
      </c>
      <c r="AE43" s="231"/>
      <c r="AF43" s="231"/>
      <c r="AG43" s="231"/>
      <c r="AH43" s="231"/>
      <c r="AI43" s="231"/>
      <c r="AJ43" s="232"/>
      <c r="AK43" s="143" t="s">
        <v>226</v>
      </c>
      <c r="AL43" s="144"/>
      <c r="AM43" s="144"/>
      <c r="AN43" s="144"/>
      <c r="AO43" s="145"/>
    </row>
    <row r="44" spans="2:41" ht="16.5" customHeight="1">
      <c r="B44" s="233"/>
      <c r="C44" s="234"/>
      <c r="D44" s="234"/>
      <c r="E44" s="235"/>
      <c r="F44" s="236"/>
      <c r="G44" s="237"/>
      <c r="H44" s="237"/>
      <c r="I44" s="237"/>
      <c r="J44" s="237"/>
      <c r="K44" s="237"/>
      <c r="L44" s="238"/>
      <c r="M44" s="226" t="s">
        <v>227</v>
      </c>
      <c r="N44" s="226"/>
      <c r="O44" s="226"/>
      <c r="P44" s="226"/>
      <c r="Q44" s="226"/>
      <c r="R44" s="226"/>
      <c r="S44" s="226"/>
      <c r="T44" s="226"/>
      <c r="U44" s="227"/>
      <c r="V44" s="228"/>
      <c r="W44" s="228"/>
      <c r="X44" s="228"/>
      <c r="Y44" s="228"/>
      <c r="Z44" s="228"/>
      <c r="AA44" s="228"/>
      <c r="AB44" s="228"/>
      <c r="AC44" s="229"/>
      <c r="AD44" s="239"/>
      <c r="AE44" s="240"/>
      <c r="AF44" s="240"/>
      <c r="AG44" s="240"/>
      <c r="AH44" s="240"/>
      <c r="AI44" s="240"/>
      <c r="AJ44" s="241"/>
      <c r="AK44" s="158"/>
      <c r="AL44" s="159"/>
      <c r="AM44" s="159"/>
      <c r="AN44" s="159"/>
      <c r="AO44" s="160"/>
    </row>
    <row r="45" spans="2:41" ht="16.5" customHeight="1">
      <c r="B45" s="233"/>
      <c r="C45" s="234"/>
      <c r="D45" s="234"/>
      <c r="E45" s="235"/>
      <c r="F45" s="223" t="s">
        <v>228</v>
      </c>
      <c r="G45" s="224"/>
      <c r="H45" s="224"/>
      <c r="I45" s="224"/>
      <c r="J45" s="224"/>
      <c r="K45" s="224"/>
      <c r="L45" s="225"/>
      <c r="M45" s="226" t="s">
        <v>229</v>
      </c>
      <c r="N45" s="226"/>
      <c r="O45" s="226"/>
      <c r="P45" s="226"/>
      <c r="Q45" s="226"/>
      <c r="R45" s="226"/>
      <c r="S45" s="226"/>
      <c r="T45" s="226"/>
      <c r="U45" s="227"/>
      <c r="V45" s="228"/>
      <c r="W45" s="228"/>
      <c r="X45" s="228"/>
      <c r="Y45" s="228"/>
      <c r="Z45" s="228"/>
      <c r="AA45" s="228"/>
      <c r="AB45" s="228"/>
      <c r="AC45" s="229"/>
      <c r="AD45" s="242">
        <f>+IFERROR(U45/U46,0)</f>
        <v>0</v>
      </c>
      <c r="AE45" s="243"/>
      <c r="AF45" s="243"/>
      <c r="AG45" s="243"/>
      <c r="AH45" s="243"/>
      <c r="AI45" s="243"/>
      <c r="AJ45" s="244"/>
      <c r="AK45" s="245" t="s">
        <v>230</v>
      </c>
      <c r="AL45" s="246"/>
      <c r="AM45" s="246"/>
      <c r="AN45" s="246"/>
      <c r="AO45" s="247"/>
    </row>
    <row r="46" spans="2:41" ht="16.5" customHeight="1">
      <c r="B46" s="233"/>
      <c r="C46" s="234"/>
      <c r="D46" s="234"/>
      <c r="E46" s="235"/>
      <c r="F46" s="236"/>
      <c r="G46" s="237"/>
      <c r="H46" s="237"/>
      <c r="I46" s="237"/>
      <c r="J46" s="237"/>
      <c r="K46" s="237"/>
      <c r="L46" s="238"/>
      <c r="M46" s="226" t="s">
        <v>231</v>
      </c>
      <c r="N46" s="226"/>
      <c r="O46" s="226"/>
      <c r="P46" s="226"/>
      <c r="Q46" s="226"/>
      <c r="R46" s="226"/>
      <c r="S46" s="226"/>
      <c r="T46" s="226"/>
      <c r="U46" s="227"/>
      <c r="V46" s="228"/>
      <c r="W46" s="228"/>
      <c r="X46" s="228"/>
      <c r="Y46" s="228"/>
      <c r="Z46" s="228"/>
      <c r="AA46" s="228"/>
      <c r="AB46" s="228"/>
      <c r="AC46" s="229"/>
      <c r="AD46" s="248"/>
      <c r="AE46" s="249"/>
      <c r="AF46" s="249"/>
      <c r="AG46" s="249"/>
      <c r="AH46" s="249"/>
      <c r="AI46" s="249"/>
      <c r="AJ46" s="250"/>
      <c r="AK46" s="251"/>
      <c r="AL46" s="252"/>
      <c r="AM46" s="252"/>
      <c r="AN46" s="252"/>
      <c r="AO46" s="253"/>
    </row>
    <row r="47" spans="2:41" ht="16.5" customHeight="1">
      <c r="B47" s="233"/>
      <c r="C47" s="234"/>
      <c r="D47" s="234"/>
      <c r="E47" s="235"/>
      <c r="F47" s="223" t="s">
        <v>232</v>
      </c>
      <c r="G47" s="224"/>
      <c r="H47" s="224"/>
      <c r="I47" s="224"/>
      <c r="J47" s="224"/>
      <c r="K47" s="224"/>
      <c r="L47" s="225"/>
      <c r="M47" s="226" t="s">
        <v>233</v>
      </c>
      <c r="N47" s="226"/>
      <c r="O47" s="226"/>
      <c r="P47" s="226"/>
      <c r="Q47" s="226"/>
      <c r="R47" s="226"/>
      <c r="S47" s="226"/>
      <c r="T47" s="226"/>
      <c r="U47" s="227"/>
      <c r="V47" s="228"/>
      <c r="W47" s="228"/>
      <c r="X47" s="228"/>
      <c r="Y47" s="228"/>
      <c r="Z47" s="228"/>
      <c r="AA47" s="228"/>
      <c r="AB47" s="228"/>
      <c r="AC47" s="229"/>
      <c r="AD47" s="230">
        <f>+IFERROR(U47/U48,0)</f>
        <v>0</v>
      </c>
      <c r="AE47" s="231"/>
      <c r="AF47" s="231"/>
      <c r="AG47" s="231"/>
      <c r="AH47" s="231"/>
      <c r="AI47" s="231"/>
      <c r="AJ47" s="232"/>
      <c r="AK47" s="254" t="s">
        <v>226</v>
      </c>
      <c r="AL47" s="255"/>
      <c r="AM47" s="255"/>
      <c r="AN47" s="255"/>
      <c r="AO47" s="256"/>
    </row>
    <row r="48" spans="2:41" ht="16.5" customHeight="1">
      <c r="B48" s="257"/>
      <c r="C48" s="258"/>
      <c r="D48" s="258"/>
      <c r="E48" s="259"/>
      <c r="F48" s="236"/>
      <c r="G48" s="237"/>
      <c r="H48" s="237"/>
      <c r="I48" s="237"/>
      <c r="J48" s="237"/>
      <c r="K48" s="237"/>
      <c r="L48" s="238"/>
      <c r="M48" s="226" t="s">
        <v>234</v>
      </c>
      <c r="N48" s="226"/>
      <c r="O48" s="226"/>
      <c r="P48" s="226"/>
      <c r="Q48" s="226"/>
      <c r="R48" s="226"/>
      <c r="S48" s="226"/>
      <c r="T48" s="226"/>
      <c r="U48" s="227"/>
      <c r="V48" s="228"/>
      <c r="W48" s="228"/>
      <c r="X48" s="228"/>
      <c r="Y48" s="228"/>
      <c r="Z48" s="228"/>
      <c r="AA48" s="228"/>
      <c r="AB48" s="228"/>
      <c r="AC48" s="229"/>
      <c r="AD48" s="239"/>
      <c r="AE48" s="240"/>
      <c r="AF48" s="240"/>
      <c r="AG48" s="240"/>
      <c r="AH48" s="240"/>
      <c r="AI48" s="240"/>
      <c r="AJ48" s="241"/>
      <c r="AK48" s="260"/>
      <c r="AL48" s="261"/>
      <c r="AM48" s="261"/>
      <c r="AN48" s="261"/>
      <c r="AO48" s="262"/>
    </row>
    <row r="49" spans="2:41" ht="16.5" customHeight="1">
      <c r="B49" s="220" t="s">
        <v>235</v>
      </c>
      <c r="C49" s="221"/>
      <c r="D49" s="221"/>
      <c r="E49" s="222"/>
      <c r="F49" s="223" t="s">
        <v>236</v>
      </c>
      <c r="G49" s="224"/>
      <c r="H49" s="224"/>
      <c r="I49" s="224"/>
      <c r="J49" s="224"/>
      <c r="K49" s="224"/>
      <c r="L49" s="225"/>
      <c r="M49" s="226" t="s">
        <v>233</v>
      </c>
      <c r="N49" s="226"/>
      <c r="O49" s="226"/>
      <c r="P49" s="226"/>
      <c r="Q49" s="226"/>
      <c r="R49" s="226"/>
      <c r="S49" s="226"/>
      <c r="T49" s="226"/>
      <c r="U49" s="227"/>
      <c r="V49" s="228"/>
      <c r="W49" s="228"/>
      <c r="X49" s="228"/>
      <c r="Y49" s="228"/>
      <c r="Z49" s="228"/>
      <c r="AA49" s="228"/>
      <c r="AB49" s="228"/>
      <c r="AC49" s="229"/>
      <c r="AD49" s="242">
        <f>+IFERROR(U49/U50,0)</f>
        <v>0</v>
      </c>
      <c r="AE49" s="243"/>
      <c r="AF49" s="243"/>
      <c r="AG49" s="243"/>
      <c r="AH49" s="243"/>
      <c r="AI49" s="243"/>
      <c r="AJ49" s="244"/>
      <c r="AK49" s="245" t="s">
        <v>230</v>
      </c>
      <c r="AL49" s="246"/>
      <c r="AM49" s="246"/>
      <c r="AN49" s="246"/>
      <c r="AO49" s="247"/>
    </row>
    <row r="50" spans="2:41" ht="16.5" customHeight="1">
      <c r="B50" s="233"/>
      <c r="C50" s="234"/>
      <c r="D50" s="234"/>
      <c r="E50" s="235"/>
      <c r="F50" s="236"/>
      <c r="G50" s="237"/>
      <c r="H50" s="237"/>
      <c r="I50" s="237"/>
      <c r="J50" s="237"/>
      <c r="K50" s="237"/>
      <c r="L50" s="238"/>
      <c r="M50" s="226" t="s">
        <v>237</v>
      </c>
      <c r="N50" s="226"/>
      <c r="O50" s="226"/>
      <c r="P50" s="226"/>
      <c r="Q50" s="226"/>
      <c r="R50" s="226"/>
      <c r="S50" s="226"/>
      <c r="T50" s="226"/>
      <c r="U50" s="227"/>
      <c r="V50" s="228"/>
      <c r="W50" s="228"/>
      <c r="X50" s="228"/>
      <c r="Y50" s="228"/>
      <c r="Z50" s="228"/>
      <c r="AA50" s="228"/>
      <c r="AB50" s="228"/>
      <c r="AC50" s="229"/>
      <c r="AD50" s="248"/>
      <c r="AE50" s="249"/>
      <c r="AF50" s="249"/>
      <c r="AG50" s="249"/>
      <c r="AH50" s="249"/>
      <c r="AI50" s="249"/>
      <c r="AJ50" s="250"/>
      <c r="AK50" s="251"/>
      <c r="AL50" s="252"/>
      <c r="AM50" s="252"/>
      <c r="AN50" s="252"/>
      <c r="AO50" s="253"/>
    </row>
    <row r="51" spans="2:41" ht="16.5" customHeight="1">
      <c r="B51" s="233"/>
      <c r="C51" s="234"/>
      <c r="D51" s="234"/>
      <c r="E51" s="235"/>
      <c r="F51" s="223" t="s">
        <v>238</v>
      </c>
      <c r="G51" s="224"/>
      <c r="H51" s="224"/>
      <c r="I51" s="224"/>
      <c r="J51" s="224"/>
      <c r="K51" s="224"/>
      <c r="L51" s="225"/>
      <c r="M51" s="226" t="s">
        <v>233</v>
      </c>
      <c r="N51" s="226"/>
      <c r="O51" s="226"/>
      <c r="P51" s="226"/>
      <c r="Q51" s="226"/>
      <c r="R51" s="226"/>
      <c r="S51" s="226"/>
      <c r="T51" s="226"/>
      <c r="U51" s="227"/>
      <c r="V51" s="228"/>
      <c r="W51" s="228"/>
      <c r="X51" s="228"/>
      <c r="Y51" s="228"/>
      <c r="Z51" s="228"/>
      <c r="AA51" s="228"/>
      <c r="AB51" s="228"/>
      <c r="AC51" s="229"/>
      <c r="AD51" s="242">
        <f>+IFERROR(U51/U52,0)</f>
        <v>0</v>
      </c>
      <c r="AE51" s="243"/>
      <c r="AF51" s="243"/>
      <c r="AG51" s="243"/>
      <c r="AH51" s="243"/>
      <c r="AI51" s="243"/>
      <c r="AJ51" s="244"/>
      <c r="AK51" s="245" t="s">
        <v>230</v>
      </c>
      <c r="AL51" s="246"/>
      <c r="AM51" s="246"/>
      <c r="AN51" s="246"/>
      <c r="AO51" s="247"/>
    </row>
    <row r="52" spans="2:41" ht="16.5" customHeight="1">
      <c r="B52" s="257"/>
      <c r="C52" s="258"/>
      <c r="D52" s="258"/>
      <c r="E52" s="259"/>
      <c r="F52" s="236"/>
      <c r="G52" s="237"/>
      <c r="H52" s="237"/>
      <c r="I52" s="237"/>
      <c r="J52" s="237"/>
      <c r="K52" s="237"/>
      <c r="L52" s="238"/>
      <c r="M52" s="226" t="s">
        <v>231</v>
      </c>
      <c r="N52" s="226"/>
      <c r="O52" s="226"/>
      <c r="P52" s="226"/>
      <c r="Q52" s="226"/>
      <c r="R52" s="226"/>
      <c r="S52" s="226"/>
      <c r="T52" s="226"/>
      <c r="U52" s="227"/>
      <c r="V52" s="228"/>
      <c r="W52" s="228"/>
      <c r="X52" s="228"/>
      <c r="Y52" s="228"/>
      <c r="Z52" s="228"/>
      <c r="AA52" s="228"/>
      <c r="AB52" s="228"/>
      <c r="AC52" s="229"/>
      <c r="AD52" s="248"/>
      <c r="AE52" s="249"/>
      <c r="AF52" s="249"/>
      <c r="AG52" s="249"/>
      <c r="AH52" s="249"/>
      <c r="AI52" s="249"/>
      <c r="AJ52" s="250"/>
      <c r="AK52" s="251"/>
      <c r="AL52" s="252"/>
      <c r="AM52" s="252"/>
      <c r="AN52" s="252"/>
      <c r="AO52" s="253"/>
    </row>
    <row r="53" spans="2:41" ht="34.5" customHeight="1">
      <c r="B53" s="184" t="s">
        <v>239</v>
      </c>
      <c r="C53" s="185"/>
      <c r="D53" s="185"/>
      <c r="E53" s="185"/>
      <c r="F53" s="186"/>
      <c r="G53" s="186"/>
      <c r="H53" s="186"/>
      <c r="I53" s="186"/>
      <c r="J53" s="186"/>
      <c r="K53" s="186"/>
      <c r="L53" s="186"/>
      <c r="M53" s="186"/>
      <c r="N53" s="186"/>
      <c r="O53" s="186"/>
      <c r="P53" s="186"/>
      <c r="Q53" s="186"/>
      <c r="R53" s="186"/>
      <c r="S53" s="186"/>
      <c r="T53" s="186"/>
      <c r="U53" s="186"/>
      <c r="V53" s="186"/>
      <c r="W53" s="186"/>
      <c r="X53" s="186"/>
      <c r="Y53" s="186"/>
      <c r="Z53" s="186"/>
      <c r="AA53" s="186"/>
      <c r="AB53" s="186"/>
      <c r="AC53" s="186"/>
      <c r="AD53" s="186"/>
      <c r="AE53" s="186"/>
      <c r="AF53" s="186"/>
      <c r="AG53" s="186"/>
      <c r="AH53" s="186"/>
      <c r="AI53" s="186"/>
      <c r="AJ53" s="186"/>
      <c r="AK53" s="186"/>
      <c r="AL53" s="186"/>
      <c r="AM53" s="186"/>
      <c r="AN53" s="186"/>
      <c r="AO53" s="187"/>
    </row>
    <row r="54" spans="2:41" ht="20.25" customHeight="1">
      <c r="B54" s="165" t="s">
        <v>240</v>
      </c>
      <c r="C54" s="165"/>
      <c r="D54" s="165"/>
      <c r="E54" s="165"/>
      <c r="F54" s="166"/>
      <c r="G54" s="166"/>
      <c r="H54" s="166"/>
      <c r="I54" s="166"/>
      <c r="J54" s="166"/>
      <c r="K54" s="166"/>
      <c r="L54" s="166"/>
      <c r="M54" s="166"/>
      <c r="N54" s="166"/>
      <c r="O54" s="166"/>
      <c r="P54" s="166"/>
      <c r="Q54" s="166"/>
      <c r="R54" s="166"/>
      <c r="S54" s="166"/>
      <c r="T54" s="166"/>
      <c r="U54" s="166"/>
      <c r="V54" s="166"/>
      <c r="W54" s="166"/>
      <c r="X54" s="166"/>
      <c r="Y54" s="166"/>
      <c r="Z54" s="166"/>
      <c r="AA54" s="166"/>
      <c r="AB54" s="166"/>
      <c r="AC54" s="166"/>
      <c r="AD54" s="166"/>
      <c r="AE54" s="166"/>
      <c r="AF54" s="166"/>
      <c r="AG54" s="166"/>
      <c r="AH54" s="166"/>
      <c r="AI54" s="166"/>
      <c r="AJ54" s="166"/>
      <c r="AK54" s="166"/>
      <c r="AL54" s="166"/>
      <c r="AM54" s="166"/>
      <c r="AN54" s="166"/>
      <c r="AO54" s="166"/>
    </row>
    <row r="55" spans="2:41" ht="11.25">
      <c r="B55" s="263"/>
      <c r="C55" s="263"/>
      <c r="D55" s="263"/>
      <c r="E55" s="263"/>
      <c r="F55" s="263"/>
      <c r="G55" s="263"/>
      <c r="H55" s="263"/>
      <c r="I55" s="263"/>
      <c r="J55" s="263"/>
      <c r="K55" s="263"/>
      <c r="L55" s="263"/>
      <c r="M55" s="263"/>
      <c r="N55" s="263"/>
      <c r="O55" s="263"/>
      <c r="P55" s="263"/>
      <c r="Q55" s="263"/>
      <c r="R55" s="263"/>
      <c r="S55" s="263"/>
      <c r="T55" s="263"/>
      <c r="U55" s="263"/>
      <c r="V55" s="263"/>
      <c r="W55" s="263"/>
      <c r="X55" s="263"/>
      <c r="Y55" s="263"/>
      <c r="Z55" s="263"/>
      <c r="AA55" s="263"/>
      <c r="AB55" s="263"/>
      <c r="AC55" s="263"/>
      <c r="AD55" s="263"/>
      <c r="AE55" s="263"/>
      <c r="AF55" s="263"/>
      <c r="AG55" s="263"/>
      <c r="AH55" s="263"/>
      <c r="AI55" s="263"/>
      <c r="AJ55" s="263"/>
      <c r="AK55" s="263"/>
      <c r="AL55" s="263"/>
      <c r="AM55" s="263"/>
      <c r="AN55" s="263"/>
      <c r="AO55" s="263"/>
    </row>
    <row r="56" spans="2:41" ht="11.25">
      <c r="B56" s="263"/>
      <c r="C56" s="263"/>
      <c r="D56" s="263"/>
      <c r="E56" s="263"/>
      <c r="F56" s="263"/>
      <c r="G56" s="263"/>
      <c r="H56" s="263"/>
      <c r="I56" s="263"/>
      <c r="J56" s="263"/>
      <c r="K56" s="263"/>
      <c r="L56" s="263"/>
      <c r="M56" s="263"/>
      <c r="N56" s="263"/>
      <c r="O56" s="263"/>
      <c r="P56" s="263"/>
      <c r="Q56" s="263"/>
      <c r="R56" s="263"/>
      <c r="S56" s="263"/>
      <c r="T56" s="263"/>
      <c r="U56" s="263"/>
      <c r="V56" s="263"/>
      <c r="W56" s="263"/>
      <c r="X56" s="263"/>
      <c r="Y56" s="263"/>
      <c r="Z56" s="263"/>
      <c r="AA56" s="263"/>
      <c r="AB56" s="263"/>
      <c r="AC56" s="263"/>
      <c r="AD56" s="263"/>
      <c r="AE56" s="263"/>
      <c r="AF56" s="263"/>
      <c r="AG56" s="263"/>
      <c r="AH56" s="263"/>
      <c r="AI56" s="263"/>
      <c r="AJ56" s="263"/>
      <c r="AK56" s="263"/>
      <c r="AL56" s="263"/>
      <c r="AM56" s="263"/>
      <c r="AN56" s="263"/>
      <c r="AO56" s="263"/>
    </row>
    <row r="57" spans="2:41" ht="11.25">
      <c r="B57" s="263"/>
      <c r="C57" s="263"/>
      <c r="D57" s="263"/>
      <c r="E57" s="263"/>
      <c r="F57" s="263"/>
      <c r="G57" s="263"/>
      <c r="H57" s="263"/>
      <c r="I57" s="263"/>
      <c r="J57" s="263"/>
      <c r="K57" s="263"/>
      <c r="L57" s="263"/>
      <c r="M57" s="263"/>
      <c r="N57" s="263"/>
      <c r="O57" s="263"/>
      <c r="P57" s="263"/>
      <c r="Q57" s="263"/>
      <c r="R57" s="263"/>
      <c r="S57" s="263"/>
      <c r="T57" s="263"/>
      <c r="U57" s="263"/>
      <c r="V57" s="263"/>
      <c r="W57" s="263"/>
      <c r="X57" s="263"/>
      <c r="Y57" s="263"/>
      <c r="Z57" s="263"/>
      <c r="AA57" s="263"/>
      <c r="AB57" s="263"/>
      <c r="AC57" s="263"/>
      <c r="AD57" s="263"/>
      <c r="AE57" s="263"/>
      <c r="AF57" s="263"/>
      <c r="AG57" s="263"/>
      <c r="AH57" s="263"/>
      <c r="AI57" s="263"/>
      <c r="AJ57" s="263"/>
      <c r="AK57" s="263"/>
      <c r="AL57" s="263"/>
      <c r="AM57" s="263"/>
      <c r="AN57" s="263"/>
      <c r="AO57" s="263"/>
    </row>
    <row r="58" spans="2:41" ht="11.25">
      <c r="B58" s="263"/>
      <c r="C58" s="263"/>
      <c r="D58" s="263"/>
      <c r="E58" s="263"/>
      <c r="F58" s="263"/>
      <c r="G58" s="263"/>
      <c r="H58" s="263"/>
      <c r="I58" s="263"/>
      <c r="J58" s="263"/>
      <c r="K58" s="263"/>
      <c r="L58" s="263"/>
      <c r="M58" s="263"/>
      <c r="N58" s="263"/>
      <c r="O58" s="263"/>
      <c r="P58" s="263"/>
      <c r="Q58" s="263"/>
      <c r="R58" s="263"/>
      <c r="S58" s="263"/>
      <c r="T58" s="263"/>
      <c r="U58" s="263"/>
      <c r="V58" s="263"/>
      <c r="W58" s="263"/>
      <c r="X58" s="263"/>
      <c r="Y58" s="263"/>
      <c r="Z58" s="263"/>
      <c r="AA58" s="263"/>
      <c r="AB58" s="263"/>
      <c r="AC58" s="263"/>
      <c r="AD58" s="263"/>
      <c r="AE58" s="263"/>
      <c r="AF58" s="263"/>
      <c r="AG58" s="263"/>
      <c r="AH58" s="263"/>
      <c r="AI58" s="263"/>
      <c r="AJ58" s="263"/>
      <c r="AK58" s="263"/>
      <c r="AL58" s="263"/>
      <c r="AM58" s="263"/>
      <c r="AN58" s="263"/>
      <c r="AO58" s="263"/>
    </row>
    <row r="59" spans="2:41" ht="11.25">
      <c r="B59" s="263"/>
      <c r="C59" s="263"/>
      <c r="D59" s="263"/>
      <c r="E59" s="263"/>
      <c r="F59" s="263"/>
      <c r="G59" s="263"/>
      <c r="H59" s="263"/>
      <c r="I59" s="263"/>
      <c r="J59" s="263"/>
      <c r="K59" s="263"/>
      <c r="L59" s="263"/>
      <c r="M59" s="263"/>
      <c r="N59" s="263"/>
      <c r="O59" s="263"/>
      <c r="P59" s="263"/>
      <c r="Q59" s="263"/>
      <c r="R59" s="263"/>
      <c r="S59" s="263"/>
      <c r="T59" s="263"/>
      <c r="U59" s="263"/>
      <c r="V59" s="263"/>
      <c r="W59" s="263"/>
      <c r="X59" s="263"/>
      <c r="Y59" s="263"/>
      <c r="Z59" s="263"/>
      <c r="AA59" s="263"/>
      <c r="AB59" s="263"/>
      <c r="AC59" s="263"/>
      <c r="AD59" s="263"/>
      <c r="AE59" s="263"/>
      <c r="AF59" s="263"/>
      <c r="AG59" s="263"/>
      <c r="AH59" s="263"/>
      <c r="AI59" s="263"/>
      <c r="AJ59" s="263"/>
      <c r="AK59" s="263"/>
      <c r="AL59" s="263"/>
      <c r="AM59" s="263"/>
      <c r="AN59" s="263"/>
      <c r="AO59" s="263"/>
    </row>
    <row r="60" spans="2:41" ht="11.25">
      <c r="B60" s="263"/>
      <c r="C60" s="263"/>
      <c r="D60" s="263"/>
      <c r="E60" s="263"/>
      <c r="F60" s="263"/>
      <c r="G60" s="263"/>
      <c r="H60" s="263"/>
      <c r="I60" s="263"/>
      <c r="J60" s="263"/>
      <c r="K60" s="263"/>
      <c r="L60" s="263"/>
      <c r="M60" s="263"/>
      <c r="N60" s="263"/>
      <c r="O60" s="263"/>
      <c r="P60" s="263"/>
      <c r="Q60" s="263"/>
      <c r="R60" s="263"/>
      <c r="S60" s="263"/>
      <c r="T60" s="263"/>
      <c r="U60" s="263"/>
      <c r="V60" s="263"/>
      <c r="W60" s="263"/>
      <c r="X60" s="263"/>
      <c r="Y60" s="263"/>
      <c r="Z60" s="263"/>
      <c r="AA60" s="263"/>
      <c r="AB60" s="263"/>
      <c r="AC60" s="263"/>
      <c r="AD60" s="263"/>
      <c r="AE60" s="263"/>
      <c r="AF60" s="263"/>
      <c r="AG60" s="263"/>
      <c r="AH60" s="263"/>
      <c r="AI60" s="263"/>
      <c r="AJ60" s="263"/>
      <c r="AK60" s="263"/>
      <c r="AL60" s="263"/>
      <c r="AM60" s="263"/>
      <c r="AN60" s="263"/>
      <c r="AO60" s="263"/>
    </row>
    <row r="61" spans="2:41" ht="11.25">
      <c r="B61" s="263"/>
      <c r="C61" s="263"/>
      <c r="D61" s="263"/>
      <c r="E61" s="263"/>
      <c r="F61" s="263"/>
      <c r="G61" s="263"/>
      <c r="H61" s="263"/>
      <c r="I61" s="263"/>
      <c r="J61" s="263"/>
      <c r="K61" s="263"/>
      <c r="L61" s="263"/>
      <c r="M61" s="263"/>
      <c r="N61" s="263"/>
      <c r="O61" s="263"/>
      <c r="P61" s="263"/>
      <c r="Q61" s="263"/>
      <c r="R61" s="263"/>
      <c r="S61" s="263"/>
      <c r="T61" s="263"/>
      <c r="U61" s="263"/>
      <c r="V61" s="263"/>
      <c r="W61" s="263"/>
      <c r="X61" s="263"/>
      <c r="Y61" s="263"/>
      <c r="Z61" s="263"/>
      <c r="AA61" s="263"/>
      <c r="AB61" s="263"/>
      <c r="AC61" s="263"/>
      <c r="AD61" s="263"/>
      <c r="AE61" s="263"/>
      <c r="AF61" s="263"/>
      <c r="AG61" s="263"/>
      <c r="AH61" s="263"/>
      <c r="AI61" s="263"/>
      <c r="AJ61" s="263"/>
      <c r="AK61" s="263"/>
      <c r="AL61" s="263"/>
      <c r="AM61" s="263"/>
      <c r="AN61" s="263"/>
      <c r="AO61" s="263"/>
    </row>
    <row r="62" spans="2:41" ht="11.25">
      <c r="B62" s="263"/>
      <c r="C62" s="263"/>
      <c r="D62" s="263"/>
      <c r="E62" s="263"/>
      <c r="F62" s="263"/>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263"/>
      <c r="AK62" s="263"/>
      <c r="AL62" s="263"/>
      <c r="AM62" s="263"/>
      <c r="AN62" s="263"/>
      <c r="AO62" s="263"/>
    </row>
    <row r="63" spans="2:41" ht="11.25">
      <c r="B63" s="263"/>
      <c r="C63" s="263"/>
      <c r="D63" s="263"/>
      <c r="E63" s="263"/>
      <c r="F63" s="263"/>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263"/>
      <c r="AK63" s="263"/>
      <c r="AL63" s="263"/>
      <c r="AM63" s="263"/>
      <c r="AN63" s="263"/>
      <c r="AO63" s="263"/>
    </row>
    <row r="64" spans="2:41" ht="11.25">
      <c r="B64" s="263"/>
      <c r="C64" s="263"/>
      <c r="D64" s="263"/>
      <c r="E64" s="263"/>
      <c r="F64" s="26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263"/>
      <c r="AK64" s="263"/>
      <c r="AL64" s="263"/>
      <c r="AM64" s="263"/>
      <c r="AN64" s="263"/>
      <c r="AO64" s="263"/>
    </row>
    <row r="65" spans="2:41" ht="11.25">
      <c r="B65" s="263"/>
      <c r="C65" s="263"/>
      <c r="D65" s="263"/>
      <c r="E65" s="263"/>
      <c r="F65" s="26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3"/>
      <c r="AE65" s="263"/>
      <c r="AF65" s="263"/>
      <c r="AG65" s="263"/>
      <c r="AH65" s="263"/>
      <c r="AI65" s="263"/>
      <c r="AJ65" s="263"/>
      <c r="AK65" s="263"/>
      <c r="AL65" s="263"/>
      <c r="AM65" s="263"/>
      <c r="AN65" s="263"/>
      <c r="AO65" s="263"/>
    </row>
    <row r="66" spans="2:41" ht="11.25">
      <c r="B66" s="263"/>
      <c r="C66" s="263"/>
      <c r="D66" s="263"/>
      <c r="E66" s="263"/>
      <c r="F66" s="263"/>
      <c r="G66" s="263"/>
      <c r="H66" s="263"/>
      <c r="I66" s="263"/>
      <c r="J66" s="263"/>
      <c r="K66" s="263"/>
      <c r="L66" s="263"/>
      <c r="M66" s="263"/>
      <c r="N66" s="263"/>
      <c r="O66" s="263"/>
      <c r="P66" s="263"/>
      <c r="Q66" s="263"/>
      <c r="R66" s="263"/>
      <c r="S66" s="263"/>
      <c r="T66" s="263"/>
      <c r="U66" s="263"/>
      <c r="V66" s="263"/>
      <c r="W66" s="263"/>
      <c r="X66" s="263"/>
      <c r="Y66" s="263"/>
      <c r="Z66" s="263"/>
      <c r="AA66" s="263"/>
      <c r="AB66" s="263"/>
      <c r="AC66" s="263"/>
      <c r="AD66" s="263"/>
      <c r="AE66" s="263"/>
      <c r="AF66" s="263"/>
      <c r="AG66" s="263"/>
      <c r="AH66" s="263"/>
      <c r="AI66" s="263"/>
      <c r="AJ66" s="263"/>
      <c r="AK66" s="263"/>
      <c r="AL66" s="263"/>
      <c r="AM66" s="263"/>
      <c r="AN66" s="263"/>
      <c r="AO66" s="263"/>
    </row>
    <row r="67" spans="2:41" ht="11.25">
      <c r="B67" s="263"/>
      <c r="C67" s="263"/>
      <c r="D67" s="263"/>
      <c r="E67" s="263"/>
      <c r="F67" s="263"/>
      <c r="G67" s="263"/>
      <c r="H67" s="263"/>
      <c r="I67" s="263"/>
      <c r="J67" s="263"/>
      <c r="K67" s="263"/>
      <c r="L67" s="263"/>
      <c r="M67" s="263"/>
      <c r="N67" s="263"/>
      <c r="O67" s="263"/>
      <c r="P67" s="263"/>
      <c r="Q67" s="263"/>
      <c r="R67" s="263"/>
      <c r="S67" s="263"/>
      <c r="T67" s="263"/>
      <c r="U67" s="263"/>
      <c r="V67" s="263"/>
      <c r="W67" s="263"/>
      <c r="X67" s="263"/>
      <c r="Y67" s="263"/>
      <c r="Z67" s="263"/>
      <c r="AA67" s="263"/>
      <c r="AB67" s="263"/>
      <c r="AC67" s="263"/>
      <c r="AD67" s="263"/>
      <c r="AE67" s="263"/>
      <c r="AF67" s="263"/>
      <c r="AG67" s="263"/>
      <c r="AH67" s="263"/>
      <c r="AI67" s="263"/>
      <c r="AJ67" s="263"/>
      <c r="AK67" s="263"/>
      <c r="AL67" s="263"/>
      <c r="AM67" s="263"/>
      <c r="AN67" s="263"/>
      <c r="AO67" s="263"/>
    </row>
    <row r="68" spans="2:41" ht="11.25">
      <c r="B68" s="263"/>
      <c r="C68" s="263"/>
      <c r="D68" s="263"/>
      <c r="E68" s="263"/>
      <c r="F68" s="263"/>
      <c r="G68" s="263"/>
      <c r="H68" s="263"/>
      <c r="I68" s="263"/>
      <c r="J68" s="263"/>
      <c r="K68" s="263"/>
      <c r="L68" s="263"/>
      <c r="M68" s="263"/>
      <c r="N68" s="263"/>
      <c r="O68" s="263"/>
      <c r="P68" s="263"/>
      <c r="Q68" s="263"/>
      <c r="R68" s="263"/>
      <c r="S68" s="263"/>
      <c r="T68" s="263"/>
      <c r="U68" s="263"/>
      <c r="V68" s="263"/>
      <c r="W68" s="263"/>
      <c r="X68" s="263"/>
      <c r="Y68" s="263"/>
      <c r="Z68" s="263"/>
      <c r="AA68" s="263"/>
      <c r="AB68" s="263"/>
      <c r="AC68" s="263"/>
      <c r="AD68" s="263"/>
      <c r="AE68" s="263"/>
      <c r="AF68" s="263"/>
      <c r="AG68" s="263"/>
      <c r="AH68" s="263"/>
      <c r="AI68" s="263"/>
      <c r="AJ68" s="263"/>
      <c r="AK68" s="263"/>
      <c r="AL68" s="263"/>
      <c r="AM68" s="263"/>
      <c r="AN68" s="263"/>
      <c r="AO68" s="263"/>
    </row>
    <row r="69" spans="2:41" ht="11.25">
      <c r="B69" s="263"/>
      <c r="C69" s="263"/>
      <c r="D69" s="263"/>
      <c r="E69" s="263"/>
      <c r="F69" s="263"/>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3"/>
      <c r="AE69" s="263"/>
      <c r="AF69" s="263"/>
      <c r="AG69" s="263"/>
      <c r="AH69" s="263"/>
      <c r="AI69" s="263"/>
      <c r="AJ69" s="263"/>
      <c r="AK69" s="263"/>
      <c r="AL69" s="263"/>
      <c r="AM69" s="263"/>
      <c r="AN69" s="263"/>
      <c r="AO69" s="263"/>
    </row>
    <row r="70" spans="2:41" ht="11.25">
      <c r="B70" s="263"/>
      <c r="C70" s="263"/>
      <c r="D70" s="263"/>
      <c r="E70" s="263"/>
      <c r="F70" s="263"/>
      <c r="G70" s="263"/>
      <c r="H70" s="263"/>
      <c r="I70" s="263"/>
      <c r="J70" s="263"/>
      <c r="K70" s="263"/>
      <c r="L70" s="263"/>
      <c r="M70" s="263"/>
      <c r="N70" s="263"/>
      <c r="O70" s="263"/>
      <c r="P70" s="263"/>
      <c r="Q70" s="263"/>
      <c r="R70" s="263"/>
      <c r="S70" s="263"/>
      <c r="T70" s="263"/>
      <c r="U70" s="263"/>
      <c r="V70" s="263"/>
      <c r="W70" s="263"/>
      <c r="X70" s="263"/>
      <c r="Y70" s="263"/>
      <c r="Z70" s="263"/>
      <c r="AA70" s="263"/>
      <c r="AB70" s="263"/>
      <c r="AC70" s="263"/>
      <c r="AD70" s="263"/>
      <c r="AE70" s="263"/>
      <c r="AF70" s="263"/>
      <c r="AG70" s="263"/>
      <c r="AH70" s="263"/>
      <c r="AI70" s="263"/>
      <c r="AJ70" s="263"/>
      <c r="AK70" s="263"/>
      <c r="AL70" s="263"/>
      <c r="AM70" s="263"/>
      <c r="AN70" s="263"/>
      <c r="AO70" s="263"/>
    </row>
    <row r="71" spans="2:41" ht="11.25">
      <c r="B71" s="263"/>
      <c r="C71" s="263"/>
      <c r="D71" s="263"/>
      <c r="E71" s="263"/>
      <c r="F71" s="263"/>
      <c r="G71" s="263"/>
      <c r="H71" s="263"/>
      <c r="I71" s="263"/>
      <c r="J71" s="263"/>
      <c r="K71" s="263"/>
      <c r="L71" s="263"/>
      <c r="M71" s="263"/>
      <c r="N71" s="263"/>
      <c r="O71" s="263"/>
      <c r="P71" s="263"/>
      <c r="Q71" s="263"/>
      <c r="R71" s="263"/>
      <c r="S71" s="263"/>
      <c r="T71" s="263"/>
      <c r="U71" s="263"/>
      <c r="V71" s="263"/>
      <c r="W71" s="263"/>
      <c r="X71" s="263"/>
      <c r="Y71" s="263"/>
      <c r="Z71" s="263"/>
      <c r="AA71" s="263"/>
      <c r="AB71" s="263"/>
      <c r="AC71" s="263"/>
      <c r="AD71" s="263"/>
      <c r="AE71" s="263"/>
      <c r="AF71" s="263"/>
      <c r="AG71" s="263"/>
      <c r="AH71" s="263"/>
      <c r="AI71" s="263"/>
      <c r="AJ71" s="263"/>
      <c r="AK71" s="263"/>
      <c r="AL71" s="263"/>
      <c r="AM71" s="263"/>
      <c r="AN71" s="263"/>
      <c r="AO71" s="263"/>
    </row>
    <row r="72" spans="2:41" ht="11.25">
      <c r="B72" s="263"/>
      <c r="C72" s="263"/>
      <c r="D72" s="263"/>
      <c r="E72" s="263"/>
      <c r="F72" s="263"/>
      <c r="G72" s="263"/>
      <c r="H72" s="263"/>
      <c r="I72" s="263"/>
      <c r="J72" s="263"/>
      <c r="K72" s="263"/>
      <c r="L72" s="263"/>
      <c r="M72" s="263"/>
      <c r="N72" s="263"/>
      <c r="O72" s="263"/>
      <c r="P72" s="263"/>
      <c r="Q72" s="263"/>
      <c r="R72" s="263"/>
      <c r="S72" s="263"/>
      <c r="T72" s="263"/>
      <c r="U72" s="263"/>
      <c r="V72" s="263"/>
      <c r="W72" s="263"/>
      <c r="X72" s="263"/>
      <c r="Y72" s="263"/>
      <c r="Z72" s="263"/>
      <c r="AA72" s="263"/>
      <c r="AB72" s="263"/>
      <c r="AC72" s="263"/>
      <c r="AD72" s="263"/>
      <c r="AE72" s="263"/>
      <c r="AF72" s="263"/>
      <c r="AG72" s="263"/>
      <c r="AH72" s="263"/>
      <c r="AI72" s="263"/>
      <c r="AJ72" s="263"/>
      <c r="AK72" s="263"/>
      <c r="AL72" s="263"/>
      <c r="AM72" s="263"/>
      <c r="AN72" s="263"/>
      <c r="AO72" s="263"/>
    </row>
    <row r="73" spans="2:41" ht="11.25"/>
    <row r="74" spans="2:41" ht="11.25" hidden="1"/>
    <row r="75" spans="2:41" ht="11.25" hidden="1"/>
    <row r="76" spans="2:41" ht="11.25" hidden="1"/>
    <row r="77" spans="2:41" ht="11.25" hidden="1"/>
    <row r="78" spans="2:41" ht="11.25" hidden="1"/>
    <row r="79" spans="2:41" ht="11.25" hidden="1"/>
    <row r="80" spans="2:41" ht="11.25" hidden="1"/>
    <row r="81" ht="14.25" hidden="1" customHeight="1"/>
    <row r="82" ht="14.25" hidden="1" customHeight="1"/>
    <row r="83" ht="14.25" hidden="1" customHeight="1"/>
    <row r="84" ht="14.25" hidden="1" customHeight="1"/>
    <row r="85" ht="14.25" hidden="1" customHeight="1"/>
  </sheetData>
  <sheetProtection algorithmName="SHA-512" hashValue="6wL+KMyEk/MfixZTsVqJM3QXburGymd+7UWyA01Rv2f75skHkoXHyRgEkSNQqTL+RMdNfABrE5NzuBFB0fVL1w==" saltValue="UeRe9kF79SJVAI/4gIFE7g==" spinCount="100000" sheet="1" objects="1" scenarios="1" selectLockedCells="1"/>
  <mergeCells count="143">
    <mergeCell ref="B54:AO54"/>
    <mergeCell ref="B55:AO72"/>
    <mergeCell ref="U51:AC51"/>
    <mergeCell ref="AD51:AJ52"/>
    <mergeCell ref="AK51:AO52"/>
    <mergeCell ref="M52:T52"/>
    <mergeCell ref="U52:AC52"/>
    <mergeCell ref="B53:AO53"/>
    <mergeCell ref="B49:E52"/>
    <mergeCell ref="F49:L50"/>
    <mergeCell ref="M49:T49"/>
    <mergeCell ref="U49:AC49"/>
    <mergeCell ref="AD49:AJ50"/>
    <mergeCell ref="AK49:AO50"/>
    <mergeCell ref="M50:T50"/>
    <mergeCell ref="U50:AC50"/>
    <mergeCell ref="F51:L52"/>
    <mergeCell ref="M51:T51"/>
    <mergeCell ref="AK45:AO46"/>
    <mergeCell ref="M46:T46"/>
    <mergeCell ref="U46:AC46"/>
    <mergeCell ref="F47:L48"/>
    <mergeCell ref="M47:T47"/>
    <mergeCell ref="U47:AC47"/>
    <mergeCell ref="AD47:AJ48"/>
    <mergeCell ref="AK47:AO48"/>
    <mergeCell ref="M48:T48"/>
    <mergeCell ref="U48:AC48"/>
    <mergeCell ref="M44:T44"/>
    <mergeCell ref="U44:AC44"/>
    <mergeCell ref="F45:L46"/>
    <mergeCell ref="M45:T45"/>
    <mergeCell ref="U45:AC45"/>
    <mergeCell ref="AD45:AJ46"/>
    <mergeCell ref="B42:L42"/>
    <mergeCell ref="M42:T42"/>
    <mergeCell ref="U42:AC42"/>
    <mergeCell ref="AD42:AO42"/>
    <mergeCell ref="B43:E48"/>
    <mergeCell ref="F43:L44"/>
    <mergeCell ref="M43:T43"/>
    <mergeCell ref="U43:AC43"/>
    <mergeCell ref="AD43:AJ44"/>
    <mergeCell ref="AK43:AO44"/>
    <mergeCell ref="F39:AC39"/>
    <mergeCell ref="AD39:AJ39"/>
    <mergeCell ref="B40:E40"/>
    <mergeCell ref="F40:AC40"/>
    <mergeCell ref="AD40:AJ40"/>
    <mergeCell ref="B41:AO41"/>
    <mergeCell ref="B36:AJ36"/>
    <mergeCell ref="AK36:AO37"/>
    <mergeCell ref="B37:E37"/>
    <mergeCell ref="F37:AC37"/>
    <mergeCell ref="AD37:AJ37"/>
    <mergeCell ref="B38:E38"/>
    <mergeCell ref="F38:AC38"/>
    <mergeCell ref="AD38:AJ38"/>
    <mergeCell ref="AK38:AO40"/>
    <mergeCell ref="B39:E39"/>
    <mergeCell ref="B33:AJ33"/>
    <mergeCell ref="AK33:AO33"/>
    <mergeCell ref="B34:AJ34"/>
    <mergeCell ref="AK34:AO34"/>
    <mergeCell ref="B35:AJ35"/>
    <mergeCell ref="AK35:AO35"/>
    <mergeCell ref="B30:AJ30"/>
    <mergeCell ref="AK30:AO30"/>
    <mergeCell ref="B31:AJ31"/>
    <mergeCell ref="AK31:AO31"/>
    <mergeCell ref="B32:AJ32"/>
    <mergeCell ref="AK32:AO32"/>
    <mergeCell ref="B28:J28"/>
    <mergeCell ref="K28:T28"/>
    <mergeCell ref="U28:AC28"/>
    <mergeCell ref="AD28:AJ28"/>
    <mergeCell ref="AK28:AO28"/>
    <mergeCell ref="B29:AO29"/>
    <mergeCell ref="B26:J26"/>
    <mergeCell ref="K26:T26"/>
    <mergeCell ref="U26:AC26"/>
    <mergeCell ref="AD26:AJ26"/>
    <mergeCell ref="AK26:AO26"/>
    <mergeCell ref="B27:J27"/>
    <mergeCell ref="K27:T27"/>
    <mergeCell ref="U27:AC27"/>
    <mergeCell ref="AD27:AJ27"/>
    <mergeCell ref="AK27:AO27"/>
    <mergeCell ref="B24:J24"/>
    <mergeCell ref="K24:T24"/>
    <mergeCell ref="U24:AC24"/>
    <mergeCell ref="AD24:AJ24"/>
    <mergeCell ref="AK24:AO24"/>
    <mergeCell ref="B25:J25"/>
    <mergeCell ref="K25:T25"/>
    <mergeCell ref="U25:AC25"/>
    <mergeCell ref="AD25:AJ25"/>
    <mergeCell ref="AK25:AO25"/>
    <mergeCell ref="B22:AO22"/>
    <mergeCell ref="B23:J23"/>
    <mergeCell ref="K23:T23"/>
    <mergeCell ref="U23:AC23"/>
    <mergeCell ref="AD23:AJ23"/>
    <mergeCell ref="AK23:AO23"/>
    <mergeCell ref="B20:T20"/>
    <mergeCell ref="U20:AC20"/>
    <mergeCell ref="AD20:AO20"/>
    <mergeCell ref="B21:T21"/>
    <mergeCell ref="U21:AC21"/>
    <mergeCell ref="AD21:AO21"/>
    <mergeCell ref="B18:T18"/>
    <mergeCell ref="U18:AC18"/>
    <mergeCell ref="AD18:AJ18"/>
    <mergeCell ref="AK18:AO18"/>
    <mergeCell ref="B19:T19"/>
    <mergeCell ref="U19:AC19"/>
    <mergeCell ref="AD19:AJ19"/>
    <mergeCell ref="AK19:AO19"/>
    <mergeCell ref="B16:E17"/>
    <mergeCell ref="F16:T16"/>
    <mergeCell ref="U16:AJ16"/>
    <mergeCell ref="AK16:AO16"/>
    <mergeCell ref="F17:T17"/>
    <mergeCell ref="U17:AJ17"/>
    <mergeCell ref="AK17:AO17"/>
    <mergeCell ref="B12:AO12"/>
    <mergeCell ref="B13:AO13"/>
    <mergeCell ref="B14:E15"/>
    <mergeCell ref="F14:T14"/>
    <mergeCell ref="U14:AJ14"/>
    <mergeCell ref="AK14:AO14"/>
    <mergeCell ref="F15:T15"/>
    <mergeCell ref="U15:AJ15"/>
    <mergeCell ref="AK15:AO15"/>
    <mergeCell ref="B8:AO8"/>
    <mergeCell ref="B10:E11"/>
    <mergeCell ref="F10:L11"/>
    <mergeCell ref="M10:T11"/>
    <mergeCell ref="U10:AC11"/>
    <mergeCell ref="AD10:AJ10"/>
    <mergeCell ref="AK10:AO10"/>
    <mergeCell ref="AD11:AJ11"/>
    <mergeCell ref="AK11:AO11"/>
  </mergeCells>
  <printOptions horizontalCentered="1"/>
  <pageMargins left="0.23622047244094491" right="0.43307086614173229" top="0.74803149606299213" bottom="0.74803149606299213" header="0.31496062992125984" footer="0.31496062992125984"/>
  <pageSetup scale="75" orientation="portrait" r:id="rId1"/>
  <headerFooter>
    <oddFooter>&amp;C&amp;"Arial,Normal"&amp;8&amp;P/&amp;N</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B1:R81"/>
  <sheetViews>
    <sheetView showGridLines="0" tabSelected="1" zoomScale="80" zoomScaleNormal="80" zoomScaleSheetLayoutView="80" workbookViewId="0">
      <selection activeCell="C10" sqref="C10"/>
    </sheetView>
  </sheetViews>
  <sheetFormatPr baseColWidth="10" defaultColWidth="11.42578125" defaultRowHeight="12.75"/>
  <cols>
    <col min="1" max="1" width="2.42578125" style="4" customWidth="1"/>
    <col min="2" max="2" width="10.7109375" style="4" customWidth="1"/>
    <col min="3" max="3" width="52.42578125" style="4" customWidth="1"/>
    <col min="4" max="4" width="10.7109375" style="4" customWidth="1"/>
    <col min="5" max="6" width="17.7109375" style="4" customWidth="1"/>
    <col min="7" max="7" width="10.7109375" style="4" customWidth="1"/>
    <col min="8" max="9" width="17.7109375" style="4" customWidth="1"/>
    <col min="10" max="10" width="10.7109375" style="4" customWidth="1"/>
    <col min="11" max="12" width="17.7109375" style="4" customWidth="1"/>
    <col min="13" max="13" width="10.7109375" style="4" customWidth="1"/>
    <col min="14" max="15" width="17.7109375" style="4" customWidth="1"/>
    <col min="16" max="16" width="10.7109375" style="4" customWidth="1"/>
    <col min="17" max="18" width="17.7109375" style="4" customWidth="1"/>
    <col min="19" max="19" width="11.42578125" style="4" customWidth="1"/>
    <col min="20" max="16384" width="11.42578125" style="4"/>
  </cols>
  <sheetData>
    <row r="1" spans="2:11" ht="6.75" customHeight="1"/>
    <row r="2" spans="2:11" s="8" customFormat="1" ht="10.5" customHeight="1">
      <c r="B2" s="327"/>
      <c r="C2" s="327"/>
      <c r="D2" s="327"/>
      <c r="E2" s="327"/>
      <c r="F2" s="327"/>
      <c r="G2" s="327"/>
      <c r="H2" s="327"/>
      <c r="I2" s="327"/>
      <c r="J2" s="327"/>
      <c r="K2" s="327"/>
    </row>
    <row r="3" spans="2:11" s="8" customFormat="1" ht="12" customHeight="1">
      <c r="B3" s="327"/>
      <c r="C3" s="327"/>
      <c r="D3" s="327"/>
      <c r="E3" s="327"/>
      <c r="F3" s="327"/>
      <c r="G3" s="327"/>
      <c r="H3" s="327"/>
      <c r="I3" s="327"/>
      <c r="J3" s="327"/>
      <c r="K3" s="327"/>
    </row>
    <row r="4" spans="2:11" s="8" customFormat="1" ht="12" customHeight="1">
      <c r="B4" s="327"/>
      <c r="C4" s="327"/>
      <c r="D4" s="327"/>
      <c r="E4" s="327"/>
      <c r="F4" s="327"/>
      <c r="G4" s="327"/>
      <c r="H4" s="327"/>
      <c r="I4" s="327"/>
      <c r="J4" s="327"/>
      <c r="K4" s="327"/>
    </row>
    <row r="5" spans="2:11" s="8" customFormat="1" ht="12" customHeight="1">
      <c r="B5" s="327"/>
      <c r="C5" s="327"/>
      <c r="D5" s="327"/>
      <c r="E5" s="327"/>
      <c r="F5" s="327"/>
      <c r="G5" s="327"/>
      <c r="H5" s="327"/>
      <c r="I5" s="327"/>
      <c r="J5" s="327"/>
      <c r="K5" s="327"/>
    </row>
    <row r="6" spans="2:11" s="8" customFormat="1" ht="12" customHeight="1">
      <c r="B6" s="327"/>
      <c r="C6" s="327"/>
      <c r="D6" s="327"/>
      <c r="E6" s="327"/>
      <c r="F6" s="327"/>
      <c r="G6" s="327"/>
      <c r="H6" s="327"/>
      <c r="I6" s="327"/>
      <c r="J6" s="327"/>
      <c r="K6" s="327"/>
    </row>
    <row r="7" spans="2:11" s="8" customFormat="1" ht="7.5" customHeight="1">
      <c r="B7" s="327"/>
      <c r="C7" s="327"/>
      <c r="D7" s="327"/>
      <c r="E7" s="327"/>
      <c r="F7" s="327"/>
      <c r="G7" s="327"/>
      <c r="H7" s="327"/>
      <c r="I7" s="327"/>
      <c r="J7" s="327"/>
      <c r="K7" s="327"/>
    </row>
    <row r="8" spans="2:11" s="8" customFormat="1" ht="3.75" customHeight="1">
      <c r="B8" s="328"/>
      <c r="C8" s="328"/>
      <c r="D8" s="328"/>
      <c r="E8" s="328"/>
      <c r="F8" s="328"/>
      <c r="G8" s="328"/>
      <c r="H8" s="328"/>
      <c r="I8" s="328"/>
      <c r="J8" s="328"/>
      <c r="K8" s="328"/>
    </row>
    <row r="9" spans="2:11" s="8" customFormat="1" ht="15.75" customHeight="1">
      <c r="B9" s="83" t="s">
        <v>20</v>
      </c>
      <c r="C9" s="83"/>
      <c r="D9" s="83"/>
      <c r="E9" s="83"/>
      <c r="F9" s="83"/>
      <c r="G9" s="83"/>
      <c r="H9" s="83"/>
      <c r="I9" s="83"/>
      <c r="J9" s="83"/>
      <c r="K9" s="83"/>
    </row>
    <row r="10" spans="2:11" s="9" customFormat="1" ht="14.25" customHeight="1">
      <c r="B10" s="10" t="s">
        <v>27</v>
      </c>
      <c r="C10" s="364"/>
      <c r="D10" s="11" t="s">
        <v>21</v>
      </c>
      <c r="E10" s="78"/>
      <c r="F10" s="78"/>
      <c r="G10" s="78"/>
      <c r="H10" s="12" t="s">
        <v>22</v>
      </c>
      <c r="I10" s="78"/>
      <c r="J10" s="78"/>
      <c r="K10" s="78"/>
    </row>
    <row r="11" spans="2:11" s="9" customFormat="1" ht="14.25" customHeight="1">
      <c r="B11" s="13" t="s">
        <v>28</v>
      </c>
      <c r="C11" s="365"/>
      <c r="D11" s="6" t="s">
        <v>23</v>
      </c>
      <c r="E11" s="78"/>
      <c r="F11" s="78"/>
      <c r="G11" s="78"/>
      <c r="H11" s="7" t="s">
        <v>24</v>
      </c>
      <c r="I11" s="78"/>
      <c r="J11" s="78"/>
      <c r="K11" s="78"/>
    </row>
    <row r="12" spans="2:11" s="9" customFormat="1" ht="14.25" customHeight="1">
      <c r="B12" s="13" t="s">
        <v>29</v>
      </c>
      <c r="C12" s="365"/>
      <c r="D12" s="6" t="s">
        <v>25</v>
      </c>
      <c r="E12" s="78"/>
      <c r="F12" s="78"/>
      <c r="G12" s="78"/>
      <c r="H12" s="7" t="s">
        <v>26</v>
      </c>
      <c r="I12" s="78"/>
      <c r="J12" s="78"/>
      <c r="K12" s="78"/>
    </row>
    <row r="13" spans="2:11" s="14" customFormat="1" ht="5.25" customHeight="1">
      <c r="B13" s="15"/>
      <c r="C13" s="15"/>
      <c r="D13" s="15"/>
      <c r="E13" s="16"/>
      <c r="F13" s="16"/>
      <c r="G13" s="16"/>
      <c r="H13" s="17"/>
      <c r="I13" s="17"/>
      <c r="J13" s="18"/>
    </row>
    <row r="14" spans="2:11" s="14" customFormat="1" ht="15" customHeight="1">
      <c r="B14" s="82" t="s">
        <v>15</v>
      </c>
      <c r="C14" s="82"/>
      <c r="D14" s="82"/>
      <c r="E14" s="82"/>
      <c r="F14" s="82"/>
      <c r="G14" s="82"/>
      <c r="H14" s="82"/>
      <c r="I14" s="82"/>
      <c r="J14" s="82"/>
      <c r="K14" s="82"/>
    </row>
    <row r="15" spans="2:11" s="14" customFormat="1" ht="98.25" customHeight="1">
      <c r="B15" s="74" t="s">
        <v>282</v>
      </c>
      <c r="C15" s="74"/>
      <c r="D15" s="74"/>
      <c r="E15" s="74"/>
      <c r="F15" s="74"/>
      <c r="G15" s="74"/>
      <c r="H15" s="74"/>
      <c r="I15" s="74"/>
      <c r="J15" s="74"/>
      <c r="K15" s="74"/>
    </row>
    <row r="16" spans="2:11" s="14" customFormat="1" ht="70.5" customHeight="1">
      <c r="B16" s="75" t="s">
        <v>181</v>
      </c>
      <c r="C16" s="75"/>
      <c r="D16" s="75"/>
      <c r="E16" s="75"/>
      <c r="F16" s="75"/>
      <c r="G16" s="75"/>
      <c r="H16" s="75"/>
      <c r="I16" s="75"/>
      <c r="J16" s="75"/>
      <c r="K16" s="75"/>
    </row>
    <row r="17" spans="2:18" s="14" customFormat="1" ht="5.25" customHeight="1">
      <c r="B17" s="15"/>
      <c r="C17" s="15"/>
      <c r="D17" s="15"/>
      <c r="E17" s="16"/>
      <c r="F17" s="16"/>
      <c r="G17" s="16"/>
      <c r="H17" s="17"/>
      <c r="I17" s="17"/>
      <c r="J17" s="18"/>
    </row>
    <row r="18" spans="2:18" ht="15" customHeight="1">
      <c r="E18" s="43">
        <v>2014</v>
      </c>
      <c r="F18" s="43">
        <v>2015</v>
      </c>
    </row>
    <row r="19" spans="2:18" ht="15" customHeight="1">
      <c r="B19" s="79" t="s">
        <v>18</v>
      </c>
      <c r="C19" s="80"/>
      <c r="D19" s="81"/>
      <c r="E19" s="31">
        <f>+' Circular 025 de 2014'!G6</f>
        <v>0.5</v>
      </c>
      <c r="F19" s="31">
        <f>+' Circular 025 de 2014'!H6</f>
        <v>11</v>
      </c>
    </row>
    <row r="20" spans="2:18" ht="15" customHeight="1">
      <c r="B20" s="79" t="s">
        <v>44</v>
      </c>
      <c r="C20" s="80"/>
      <c r="D20" s="81"/>
      <c r="E20" s="33">
        <v>616000</v>
      </c>
      <c r="F20" s="33">
        <f>+' Circular 025 de 2014'!H7</f>
        <v>634480</v>
      </c>
    </row>
    <row r="21" spans="2:18" ht="4.5" customHeight="1"/>
    <row r="22" spans="2:18" s="32" customFormat="1" ht="15" customHeight="1">
      <c r="D22" s="71" t="s">
        <v>33</v>
      </c>
      <c r="E22" s="71"/>
      <c r="F22" s="72"/>
      <c r="G22" s="73" t="s">
        <v>45</v>
      </c>
      <c r="H22" s="71"/>
      <c r="I22" s="72"/>
      <c r="J22" s="73" t="s">
        <v>80</v>
      </c>
      <c r="K22" s="71"/>
      <c r="L22" s="72"/>
      <c r="M22" s="73" t="s">
        <v>81</v>
      </c>
      <c r="N22" s="71"/>
      <c r="O22" s="72"/>
      <c r="P22" s="73" t="s">
        <v>82</v>
      </c>
      <c r="Q22" s="71"/>
      <c r="R22" s="72"/>
    </row>
    <row r="23" spans="2:18" ht="40.5" customHeight="1">
      <c r="B23" s="329" t="s">
        <v>37</v>
      </c>
      <c r="C23" s="329"/>
      <c r="D23" s="330" t="s">
        <v>34</v>
      </c>
      <c r="E23" s="330" t="s">
        <v>35</v>
      </c>
      <c r="F23" s="331" t="s">
        <v>36</v>
      </c>
      <c r="G23" s="332" t="s">
        <v>34</v>
      </c>
      <c r="H23" s="330" t="s">
        <v>35</v>
      </c>
      <c r="I23" s="331" t="s">
        <v>36</v>
      </c>
      <c r="J23" s="332" t="s">
        <v>34</v>
      </c>
      <c r="K23" s="330" t="s">
        <v>35</v>
      </c>
      <c r="L23" s="331" t="s">
        <v>36</v>
      </c>
      <c r="M23" s="332" t="s">
        <v>34</v>
      </c>
      <c r="N23" s="330" t="s">
        <v>35</v>
      </c>
      <c r="O23" s="331" t="s">
        <v>36</v>
      </c>
      <c r="P23" s="332" t="s">
        <v>34</v>
      </c>
      <c r="Q23" s="330" t="s">
        <v>35</v>
      </c>
      <c r="R23" s="331" t="s">
        <v>36</v>
      </c>
    </row>
    <row r="24" spans="2:18" ht="15" customHeight="1">
      <c r="B24" s="333" t="s">
        <v>43</v>
      </c>
      <c r="C24" s="333"/>
      <c r="D24" s="334">
        <f>1+1</f>
        <v>2</v>
      </c>
      <c r="E24" s="335">
        <f>+IF(D24=0,0,(VLOOKUP($B24,' Circular 025 de 2014'!$B$24:$H$51,7,0)))</f>
        <v>5854464</v>
      </c>
      <c r="F24" s="336">
        <f>+E24*D24</f>
        <v>11708928</v>
      </c>
      <c r="G24" s="337">
        <v>8</v>
      </c>
      <c r="H24" s="335">
        <f>+IF(G24=0,0,(VLOOKUP($B24,' Circular 025 de 2014'!$B$24:$H$51,7,0)))</f>
        <v>5854464</v>
      </c>
      <c r="I24" s="336">
        <f>+H24*G24</f>
        <v>46835712</v>
      </c>
      <c r="J24" s="337">
        <v>1</v>
      </c>
      <c r="K24" s="335">
        <f>+IF(J24=0,0,(VLOOKUP($B24,' Circular 025 de 2014'!$B$24:$H$51,7,0)))</f>
        <v>5854464</v>
      </c>
      <c r="L24" s="336">
        <f>+K24*J24</f>
        <v>5854464</v>
      </c>
      <c r="M24" s="337"/>
      <c r="N24" s="335">
        <f>+IF(M24=0,0,(VLOOKUP($B24,' Circular 025 de 2014'!$B$24:$H$51,7,0)))</f>
        <v>0</v>
      </c>
      <c r="O24" s="336">
        <f>+N24*M24</f>
        <v>0</v>
      </c>
      <c r="P24" s="337">
        <f>2+3</f>
        <v>5</v>
      </c>
      <c r="Q24" s="335">
        <f>+IF(P24=0,0,(VLOOKUP($B24,' Circular 025 de 2014'!$B$24:$H$51,7,0)))</f>
        <v>5854464</v>
      </c>
      <c r="R24" s="336">
        <f>+Q24*P24</f>
        <v>29272320</v>
      </c>
    </row>
    <row r="25" spans="2:18" ht="15">
      <c r="B25" s="333" t="s">
        <v>0</v>
      </c>
      <c r="C25" s="338"/>
      <c r="D25" s="334">
        <f>5+49+23+9+2+1+9</f>
        <v>98</v>
      </c>
      <c r="E25" s="335">
        <f>+IF(D25=0,0,(VLOOKUP($B25,' Circular 025 de 2014'!$B$24:$H$51,7,0)))</f>
        <v>5962880</v>
      </c>
      <c r="F25" s="336">
        <f t="shared" ref="F25:F51" si="0">+E25*D25</f>
        <v>584362240</v>
      </c>
      <c r="G25" s="337">
        <f>21+14+8+13+10+6+1</f>
        <v>73</v>
      </c>
      <c r="H25" s="335">
        <f>+IF(G25=0,0,(VLOOKUP($B25,' Circular 025 de 2014'!$B$24:$H$51,7,0)))</f>
        <v>5962880</v>
      </c>
      <c r="I25" s="336">
        <f t="shared" ref="I25:I51" si="1">+H25*G25</f>
        <v>435290240</v>
      </c>
      <c r="J25" s="337">
        <f>19+5+6+6+10+9</f>
        <v>55</v>
      </c>
      <c r="K25" s="335">
        <f>+IF(J25=0,0,(VLOOKUP($B25,' Circular 025 de 2014'!$B$24:$H$51,7,0)))</f>
        <v>5962880</v>
      </c>
      <c r="L25" s="336">
        <f t="shared" ref="L25:L51" si="2">+K25*J25</f>
        <v>327958400</v>
      </c>
      <c r="M25" s="337">
        <f>14+14+9+6+6+4</f>
        <v>53</v>
      </c>
      <c r="N25" s="335">
        <f>+IF(M25=0,0,(VLOOKUP($B25,' Circular 025 de 2014'!$B$24:$H$51,7,0)))</f>
        <v>5962880</v>
      </c>
      <c r="O25" s="336">
        <f t="shared" ref="O25:O51" si="3">+N25*M25</f>
        <v>316032640</v>
      </c>
      <c r="P25" s="337">
        <f>11+15+9+11+3+5+1</f>
        <v>55</v>
      </c>
      <c r="Q25" s="335">
        <f>+IF(P25=0,0,(VLOOKUP($B25,' Circular 025 de 2014'!$B$24:$H$51,7,0)))</f>
        <v>5962880</v>
      </c>
      <c r="R25" s="336">
        <f t="shared" ref="R25:R51" si="4">+Q25*P25</f>
        <v>327958400</v>
      </c>
    </row>
    <row r="26" spans="2:18" ht="15">
      <c r="B26" s="74" t="s">
        <v>49</v>
      </c>
      <c r="C26" s="338"/>
      <c r="D26" s="334">
        <v>1</v>
      </c>
      <c r="E26" s="335">
        <f>+IF(D26=0,0,(VLOOKUP($B26,' Circular 025 de 2014'!$B$24:$H$51,7,0)))</f>
        <v>2563084</v>
      </c>
      <c r="F26" s="336">
        <f t="shared" si="0"/>
        <v>2563084</v>
      </c>
      <c r="G26" s="337"/>
      <c r="H26" s="335">
        <f>+IF(G26=0,0,(VLOOKUP($B26,' Circular 025 de 2014'!$B$24:$H$51,7,0)))</f>
        <v>0</v>
      </c>
      <c r="I26" s="336">
        <f t="shared" si="1"/>
        <v>0</v>
      </c>
      <c r="J26" s="337"/>
      <c r="K26" s="335">
        <f>+IF(J26=0,0,(VLOOKUP($B26,' Circular 025 de 2014'!$B$24:$H$51,7,0)))</f>
        <v>0</v>
      </c>
      <c r="L26" s="336">
        <f t="shared" si="2"/>
        <v>0</v>
      </c>
      <c r="M26" s="337"/>
      <c r="N26" s="335">
        <f>+IF(M26=0,0,(VLOOKUP($B26,' Circular 025 de 2014'!$B$24:$H$51,7,0)))</f>
        <v>0</v>
      </c>
      <c r="O26" s="336">
        <f t="shared" si="3"/>
        <v>0</v>
      </c>
      <c r="P26" s="337"/>
      <c r="Q26" s="335">
        <f>+IF(P26=0,0,(VLOOKUP($B26,' Circular 025 de 2014'!$B$24:$H$51,7,0)))</f>
        <v>0</v>
      </c>
      <c r="R26" s="336">
        <f t="shared" si="4"/>
        <v>0</v>
      </c>
    </row>
    <row r="27" spans="2:18" ht="15">
      <c r="B27" s="74" t="s">
        <v>62</v>
      </c>
      <c r="C27" s="338"/>
      <c r="D27" s="334"/>
      <c r="E27" s="335">
        <f>+IF(D27=0,0,(VLOOKUP($B27,' Circular 025 de 2014'!$B$24:$H$51,7,0)))</f>
        <v>0</v>
      </c>
      <c r="F27" s="336">
        <f t="shared" si="0"/>
        <v>0</v>
      </c>
      <c r="G27" s="337">
        <v>1</v>
      </c>
      <c r="H27" s="335">
        <f>+IF(G27=0,0,(VLOOKUP($B27,' Circular 025 de 2014'!$B$24:$H$51,7,0)))</f>
        <v>2610549</v>
      </c>
      <c r="I27" s="336">
        <f t="shared" si="1"/>
        <v>2610549</v>
      </c>
      <c r="J27" s="337"/>
      <c r="K27" s="335">
        <f>+IF(J27=0,0,(VLOOKUP($B27,' Circular 025 de 2014'!$B$24:$H$51,7,0)))</f>
        <v>0</v>
      </c>
      <c r="L27" s="336">
        <f t="shared" si="2"/>
        <v>0</v>
      </c>
      <c r="M27" s="337"/>
      <c r="N27" s="335">
        <f>+IF(M27=0,0,(VLOOKUP($B27,' Circular 025 de 2014'!$B$24:$H$51,7,0)))</f>
        <v>0</v>
      </c>
      <c r="O27" s="336">
        <f t="shared" si="3"/>
        <v>0</v>
      </c>
      <c r="P27" s="337"/>
      <c r="Q27" s="335">
        <f>+IF(P27=0,0,(VLOOKUP($B27,' Circular 025 de 2014'!$B$24:$H$51,7,0)))</f>
        <v>0</v>
      </c>
      <c r="R27" s="336">
        <f t="shared" si="4"/>
        <v>0</v>
      </c>
    </row>
    <row r="28" spans="2:18" ht="15">
      <c r="B28" s="333" t="s">
        <v>56</v>
      </c>
      <c r="C28" s="338"/>
      <c r="D28" s="334">
        <v>2</v>
      </c>
      <c r="E28" s="335">
        <f>+IF(D28=0,0,(VLOOKUP($B28,' Circular 025 de 2014'!$B$24:$H$51,7,0)))</f>
        <v>2621336</v>
      </c>
      <c r="F28" s="336">
        <f t="shared" si="0"/>
        <v>5242672</v>
      </c>
      <c r="G28" s="337"/>
      <c r="H28" s="335">
        <f>+IF(G28=0,0,(VLOOKUP($B28,' Circular 025 de 2014'!$B$24:$H$51,7,0)))</f>
        <v>0</v>
      </c>
      <c r="I28" s="336">
        <f t="shared" si="1"/>
        <v>0</v>
      </c>
      <c r="J28" s="337"/>
      <c r="K28" s="335">
        <f>+IF(J28=0,0,(VLOOKUP($B28,' Circular 025 de 2014'!$B$24:$H$51,7,0)))</f>
        <v>0</v>
      </c>
      <c r="L28" s="336">
        <f t="shared" si="2"/>
        <v>0</v>
      </c>
      <c r="M28" s="337"/>
      <c r="N28" s="335">
        <f>+IF(M28=0,0,(VLOOKUP($B28,' Circular 025 de 2014'!$B$24:$H$51,7,0)))</f>
        <v>0</v>
      </c>
      <c r="O28" s="336">
        <f t="shared" si="3"/>
        <v>0</v>
      </c>
      <c r="P28" s="337">
        <v>1</v>
      </c>
      <c r="Q28" s="335">
        <f>+IF(P28=0,0,(VLOOKUP($B28,' Circular 025 de 2014'!$B$24:$H$51,7,0)))</f>
        <v>2621336</v>
      </c>
      <c r="R28" s="336">
        <f t="shared" si="4"/>
        <v>2621336</v>
      </c>
    </row>
    <row r="29" spans="2:18" ht="15">
      <c r="B29" s="333" t="s">
        <v>55</v>
      </c>
      <c r="C29" s="338"/>
      <c r="D29" s="334">
        <v>2</v>
      </c>
      <c r="E29" s="335">
        <f>+IF(D29=0,0,(VLOOKUP($B29,' Circular 025 de 2014'!$B$24:$H$51,7,0)))</f>
        <v>2669880</v>
      </c>
      <c r="F29" s="336">
        <f t="shared" si="0"/>
        <v>5339760</v>
      </c>
      <c r="G29" s="337">
        <v>1</v>
      </c>
      <c r="H29" s="335">
        <f>+IF(G29=0,0,(VLOOKUP($B29,' Circular 025 de 2014'!$B$24:$H$51,7,0)))</f>
        <v>2669880</v>
      </c>
      <c r="I29" s="336">
        <f t="shared" si="1"/>
        <v>2669880</v>
      </c>
      <c r="J29" s="337">
        <f>1+1</f>
        <v>2</v>
      </c>
      <c r="K29" s="335">
        <f>+IF(J29=0,0,(VLOOKUP($B29,' Circular 025 de 2014'!$B$24:$H$51,7,0)))</f>
        <v>2669880</v>
      </c>
      <c r="L29" s="336">
        <f t="shared" si="2"/>
        <v>5339760</v>
      </c>
      <c r="M29" s="337">
        <v>2</v>
      </c>
      <c r="N29" s="335">
        <f>+IF(M29=0,0,(VLOOKUP($B29,' Circular 025 de 2014'!$B$24:$H$51,7,0)))</f>
        <v>2669880</v>
      </c>
      <c r="O29" s="336">
        <f t="shared" si="3"/>
        <v>5339760</v>
      </c>
      <c r="P29" s="337">
        <f>3+2</f>
        <v>5</v>
      </c>
      <c r="Q29" s="335">
        <f>+IF(P29=0,0,(VLOOKUP($B29,' Circular 025 de 2014'!$B$24:$H$51,7,0)))</f>
        <v>2669880</v>
      </c>
      <c r="R29" s="336">
        <f t="shared" si="4"/>
        <v>13349400</v>
      </c>
    </row>
    <row r="30" spans="2:18" ht="15">
      <c r="B30" s="74" t="s">
        <v>13</v>
      </c>
      <c r="C30" s="338"/>
      <c r="D30" s="334">
        <v>1</v>
      </c>
      <c r="E30" s="335">
        <f>+IF(D30=0,0,(VLOOKUP($B30,' Circular 025 de 2014'!$B$24:$H$51,7,0)))</f>
        <v>2694151</v>
      </c>
      <c r="F30" s="336">
        <f t="shared" si="0"/>
        <v>2694151</v>
      </c>
      <c r="G30" s="337"/>
      <c r="H30" s="335">
        <f>+IF(G30=0,0,(VLOOKUP($B30,' Circular 025 de 2014'!$B$24:$H$51,7,0)))</f>
        <v>0</v>
      </c>
      <c r="I30" s="336">
        <f t="shared" si="1"/>
        <v>0</v>
      </c>
      <c r="J30" s="337"/>
      <c r="K30" s="335">
        <f>+IF(J30=0,0,(VLOOKUP($B30,' Circular 025 de 2014'!$B$24:$H$51,7,0)))</f>
        <v>0</v>
      </c>
      <c r="L30" s="336">
        <f t="shared" si="2"/>
        <v>0</v>
      </c>
      <c r="M30" s="337"/>
      <c r="N30" s="335">
        <f>+IF(M30=0,0,(VLOOKUP($B30,' Circular 025 de 2014'!$B$24:$H$51,7,0)))</f>
        <v>0</v>
      </c>
      <c r="O30" s="336">
        <f t="shared" si="3"/>
        <v>0</v>
      </c>
      <c r="P30" s="337"/>
      <c r="Q30" s="335">
        <f>+IF(P30=0,0,(VLOOKUP($B30,' Circular 025 de 2014'!$B$24:$H$51,7,0)))</f>
        <v>0</v>
      </c>
      <c r="R30" s="336">
        <f t="shared" si="4"/>
        <v>0</v>
      </c>
    </row>
    <row r="31" spans="2:18" ht="15">
      <c r="B31" s="74" t="s">
        <v>76</v>
      </c>
      <c r="C31" s="338"/>
      <c r="D31" s="334"/>
      <c r="E31" s="335">
        <f>+IF(D31=0,0,(VLOOKUP($B31,' Circular 025 de 2014'!$B$24:$H$51,7,0)))</f>
        <v>0</v>
      </c>
      <c r="F31" s="336">
        <f t="shared" si="0"/>
        <v>0</v>
      </c>
      <c r="G31" s="337"/>
      <c r="H31" s="335">
        <f>+IF(G31=0,0,(VLOOKUP($B31,' Circular 025 de 2014'!$B$24:$H$51,7,0)))</f>
        <v>0</v>
      </c>
      <c r="I31" s="336">
        <f t="shared" si="1"/>
        <v>0</v>
      </c>
      <c r="J31" s="337">
        <v>2</v>
      </c>
      <c r="K31" s="335">
        <f>+IF(J31=0,0,(VLOOKUP($B31,' Circular 025 de 2014'!$B$24:$H$51,7,0)))</f>
        <v>2313896</v>
      </c>
      <c r="L31" s="336">
        <f t="shared" si="2"/>
        <v>4627792</v>
      </c>
      <c r="M31" s="337"/>
      <c r="N31" s="335">
        <f>+IF(M31=0,0,(VLOOKUP($B31,' Circular 025 de 2014'!$B$24:$H$51,7,0)))</f>
        <v>0</v>
      </c>
      <c r="O31" s="336">
        <f t="shared" si="3"/>
        <v>0</v>
      </c>
      <c r="P31" s="337"/>
      <c r="Q31" s="335">
        <f>+IF(P31=0,0,(VLOOKUP($B31,' Circular 025 de 2014'!$B$24:$H$51,7,0)))</f>
        <v>0</v>
      </c>
      <c r="R31" s="336">
        <f t="shared" si="4"/>
        <v>0</v>
      </c>
    </row>
    <row r="32" spans="2:18" ht="15">
      <c r="B32" s="74" t="s">
        <v>52</v>
      </c>
      <c r="C32" s="338"/>
      <c r="D32" s="334">
        <f>9+13+2</f>
        <v>24</v>
      </c>
      <c r="E32" s="335">
        <f>+IF(D32=0,0,(VLOOKUP($B32,' Circular 025 de 2014'!$B$24:$H$51,7,0)))</f>
        <v>1922313</v>
      </c>
      <c r="F32" s="336">
        <f t="shared" si="0"/>
        <v>46135512</v>
      </c>
      <c r="G32" s="337"/>
      <c r="H32" s="335">
        <f>+IF(G32=0,0,(VLOOKUP($B32,' Circular 025 de 2014'!$B$24:$H$51,7,0)))</f>
        <v>0</v>
      </c>
      <c r="I32" s="336">
        <f t="shared" si="1"/>
        <v>0</v>
      </c>
      <c r="J32" s="337">
        <v>1</v>
      </c>
      <c r="K32" s="335">
        <f>+IF(J32=0,0,(VLOOKUP($B32,' Circular 025 de 2014'!$B$24:$H$51,7,0)))</f>
        <v>1922313</v>
      </c>
      <c r="L32" s="336">
        <f t="shared" si="2"/>
        <v>1922313</v>
      </c>
      <c r="M32" s="337"/>
      <c r="N32" s="335">
        <f>+IF(M32=0,0,(VLOOKUP($B32,' Circular 025 de 2014'!$B$24:$H$51,7,0)))</f>
        <v>0</v>
      </c>
      <c r="O32" s="336">
        <f t="shared" si="3"/>
        <v>0</v>
      </c>
      <c r="P32" s="337"/>
      <c r="Q32" s="335">
        <f>+IF(P32=0,0,(VLOOKUP($B32,' Circular 025 de 2014'!$B$24:$H$51,7,0)))</f>
        <v>0</v>
      </c>
      <c r="R32" s="336">
        <f t="shared" si="4"/>
        <v>0</v>
      </c>
    </row>
    <row r="33" spans="2:18" ht="15">
      <c r="B33" s="74" t="s">
        <v>59</v>
      </c>
      <c r="C33" s="338"/>
      <c r="D33" s="334"/>
      <c r="E33" s="335">
        <f>+IF(D33=0,0,(VLOOKUP($B33,' Circular 025 de 2014'!$B$24:$H$51,7,0)))</f>
        <v>0</v>
      </c>
      <c r="F33" s="336">
        <f t="shared" si="0"/>
        <v>0</v>
      </c>
      <c r="G33" s="337">
        <v>3</v>
      </c>
      <c r="H33" s="335">
        <f>+IF(G33=0,0,(VLOOKUP($B33,' Circular 025 de 2014'!$B$24:$H$51,7,0)))</f>
        <v>1747558</v>
      </c>
      <c r="I33" s="336">
        <f t="shared" si="1"/>
        <v>5242674</v>
      </c>
      <c r="J33" s="337">
        <v>1</v>
      </c>
      <c r="K33" s="335">
        <f>+IF(J33=0,0,(VLOOKUP($B33,' Circular 025 de 2014'!$B$24:$H$51,7,0)))</f>
        <v>1747558</v>
      </c>
      <c r="L33" s="336">
        <f t="shared" si="2"/>
        <v>1747558</v>
      </c>
      <c r="M33" s="337"/>
      <c r="N33" s="335">
        <f>+IF(M33=0,0,(VLOOKUP($B33,' Circular 025 de 2014'!$B$24:$H$51,7,0)))</f>
        <v>0</v>
      </c>
      <c r="O33" s="336">
        <f t="shared" si="3"/>
        <v>0</v>
      </c>
      <c r="P33" s="337">
        <f>2+1</f>
        <v>3</v>
      </c>
      <c r="Q33" s="335">
        <f>+IF(P33=0,0,(VLOOKUP($B33,' Circular 025 de 2014'!$B$24:$H$51,7,0)))</f>
        <v>1747558</v>
      </c>
      <c r="R33" s="336">
        <f t="shared" si="4"/>
        <v>5242674</v>
      </c>
    </row>
    <row r="34" spans="2:18" ht="15">
      <c r="B34" s="74" t="s">
        <v>53</v>
      </c>
      <c r="C34" s="338"/>
      <c r="D34" s="334">
        <f>10+3</f>
        <v>13</v>
      </c>
      <c r="E34" s="335">
        <f>+IF(D34=0,0,(VLOOKUP($B34,' Circular 025 de 2014'!$B$24:$H$51,7,0)))</f>
        <v>1957912</v>
      </c>
      <c r="F34" s="336">
        <f t="shared" si="0"/>
        <v>25452856</v>
      </c>
      <c r="G34" s="337">
        <v>3</v>
      </c>
      <c r="H34" s="335">
        <f>+IF(G34=0,0,(VLOOKUP($B34,' Circular 025 de 2014'!$B$24:$H$51,7,0)))</f>
        <v>1957912</v>
      </c>
      <c r="I34" s="336">
        <f t="shared" si="1"/>
        <v>5873736</v>
      </c>
      <c r="J34" s="337">
        <f>1+5+2</f>
        <v>8</v>
      </c>
      <c r="K34" s="335">
        <f>+IF(J34=0,0,(VLOOKUP($B34,' Circular 025 de 2014'!$B$24:$H$51,7,0)))</f>
        <v>1957912</v>
      </c>
      <c r="L34" s="336">
        <f t="shared" si="2"/>
        <v>15663296</v>
      </c>
      <c r="M34" s="337">
        <f>1+1</f>
        <v>2</v>
      </c>
      <c r="N34" s="335">
        <f>+IF(M34=0,0,(VLOOKUP($B34,' Circular 025 de 2014'!$B$24:$H$51,7,0)))</f>
        <v>1957912</v>
      </c>
      <c r="O34" s="336">
        <f t="shared" si="3"/>
        <v>3915824</v>
      </c>
      <c r="P34" s="337">
        <v>1</v>
      </c>
      <c r="Q34" s="335">
        <f>+IF(P34=0,0,(VLOOKUP($B34,' Circular 025 de 2014'!$B$24:$H$51,7,0)))</f>
        <v>1957912</v>
      </c>
      <c r="R34" s="336">
        <f t="shared" si="4"/>
        <v>1957912</v>
      </c>
    </row>
    <row r="35" spans="2:18" ht="15">
      <c r="B35" s="74" t="s">
        <v>61</v>
      </c>
      <c r="C35" s="338"/>
      <c r="D35" s="334"/>
      <c r="E35" s="335">
        <f>+IF(D35=0,0,(VLOOKUP($B35,' Circular 025 de 2014'!$B$24:$H$51,7,0)))</f>
        <v>0</v>
      </c>
      <c r="F35" s="336">
        <f t="shared" si="0"/>
        <v>0</v>
      </c>
      <c r="G35" s="337">
        <v>4</v>
      </c>
      <c r="H35" s="335">
        <f>+IF(G35=0,0,(VLOOKUP($B35,' Circular 025 de 2014'!$B$24:$H$51,7,0)))</f>
        <v>1779920</v>
      </c>
      <c r="I35" s="336">
        <f t="shared" si="1"/>
        <v>7119680</v>
      </c>
      <c r="J35" s="337">
        <v>1</v>
      </c>
      <c r="K35" s="335">
        <f>+IF(J35=0,0,(VLOOKUP($B35,' Circular 025 de 2014'!$B$24:$H$51,7,0)))</f>
        <v>1779920</v>
      </c>
      <c r="L35" s="336">
        <f t="shared" si="2"/>
        <v>1779920</v>
      </c>
      <c r="M35" s="337">
        <v>1</v>
      </c>
      <c r="N35" s="335">
        <f>+IF(M35=0,0,(VLOOKUP($B35,' Circular 025 de 2014'!$B$24:$H$51,7,0)))</f>
        <v>1779920</v>
      </c>
      <c r="O35" s="336">
        <f t="shared" si="3"/>
        <v>1779920</v>
      </c>
      <c r="P35" s="337"/>
      <c r="Q35" s="335">
        <f>+IF(P35=0,0,(VLOOKUP($B35,' Circular 025 de 2014'!$B$24:$H$51,7,0)))</f>
        <v>0</v>
      </c>
      <c r="R35" s="336">
        <f t="shared" si="4"/>
        <v>0</v>
      </c>
    </row>
    <row r="36" spans="2:18" ht="15">
      <c r="B36" s="74" t="s">
        <v>50</v>
      </c>
      <c r="C36" s="338"/>
      <c r="D36" s="334">
        <f>1+1</f>
        <v>2</v>
      </c>
      <c r="E36" s="335">
        <f>+IF(D36=0,0,(VLOOKUP($B36,' Circular 025 de 2014'!$B$24:$H$51,7,0)))</f>
        <v>1975711</v>
      </c>
      <c r="F36" s="336">
        <f t="shared" si="0"/>
        <v>3951422</v>
      </c>
      <c r="G36" s="337"/>
      <c r="H36" s="335">
        <f>+IF(G36=0,0,(VLOOKUP($B36,' Circular 025 de 2014'!$B$24:$H$51,7,0)))</f>
        <v>0</v>
      </c>
      <c r="I36" s="336">
        <f t="shared" si="1"/>
        <v>0</v>
      </c>
      <c r="J36" s="337"/>
      <c r="K36" s="335">
        <f>+IF(J36=0,0,(VLOOKUP($B36,' Circular 025 de 2014'!$B$24:$H$51,7,0)))</f>
        <v>0</v>
      </c>
      <c r="L36" s="336">
        <f t="shared" si="2"/>
        <v>0</v>
      </c>
      <c r="M36" s="337"/>
      <c r="N36" s="335">
        <f>+IF(M36=0,0,(VLOOKUP($B36,' Circular 025 de 2014'!$B$24:$H$51,7,0)))</f>
        <v>0</v>
      </c>
      <c r="O36" s="336">
        <f t="shared" si="3"/>
        <v>0</v>
      </c>
      <c r="P36" s="337"/>
      <c r="Q36" s="335">
        <f>+IF(P36=0,0,(VLOOKUP($B36,' Circular 025 de 2014'!$B$24:$H$51,7,0)))</f>
        <v>0</v>
      </c>
      <c r="R36" s="336">
        <f t="shared" si="4"/>
        <v>0</v>
      </c>
    </row>
    <row r="37" spans="2:18" ht="15">
      <c r="B37" s="74" t="s">
        <v>60</v>
      </c>
      <c r="C37" s="338"/>
      <c r="D37" s="334"/>
      <c r="E37" s="335">
        <f>+IF(D37=0,0,(VLOOKUP($B37,' Circular 025 de 2014'!$B$24:$H$51,7,0)))</f>
        <v>0</v>
      </c>
      <c r="F37" s="336">
        <f t="shared" si="0"/>
        <v>0</v>
      </c>
      <c r="G37" s="337">
        <v>2</v>
      </c>
      <c r="H37" s="335">
        <f>+IF(G37=0,0,(VLOOKUP($B37,' Circular 025 de 2014'!$B$24:$H$51,7,0)))</f>
        <v>2224900</v>
      </c>
      <c r="I37" s="336">
        <f t="shared" si="1"/>
        <v>4449800</v>
      </c>
      <c r="J37" s="337"/>
      <c r="K37" s="335">
        <f>+IF(J37=0,0,(VLOOKUP($B37,' Circular 025 de 2014'!$B$24:$H$51,7,0)))</f>
        <v>0</v>
      </c>
      <c r="L37" s="336">
        <f t="shared" si="2"/>
        <v>0</v>
      </c>
      <c r="M37" s="337"/>
      <c r="N37" s="335">
        <f>+IF(M37=0,0,(VLOOKUP($B37,' Circular 025 de 2014'!$B$24:$H$51,7,0)))</f>
        <v>0</v>
      </c>
      <c r="O37" s="336">
        <f t="shared" si="3"/>
        <v>0</v>
      </c>
      <c r="P37" s="337"/>
      <c r="Q37" s="335">
        <f>+IF(P37=0,0,(VLOOKUP($B37,' Circular 025 de 2014'!$B$24:$H$51,7,0)))</f>
        <v>0</v>
      </c>
      <c r="R37" s="336">
        <f t="shared" si="4"/>
        <v>0</v>
      </c>
    </row>
    <row r="38" spans="2:18" ht="15">
      <c r="B38" s="74" t="s">
        <v>54</v>
      </c>
      <c r="C38" s="338"/>
      <c r="D38" s="334">
        <v>3</v>
      </c>
      <c r="E38" s="335">
        <f>+IF(D38=0,0,(VLOOKUP($B38,' Circular 025 de 2014'!$B$24:$H$51,7,0)))</f>
        <v>1601928</v>
      </c>
      <c r="F38" s="336">
        <f t="shared" si="0"/>
        <v>4805784</v>
      </c>
      <c r="G38" s="337"/>
      <c r="H38" s="335">
        <f>+IF(G38=0,0,(VLOOKUP($B38,' Circular 025 de 2014'!$B$24:$H$51,7,0)))</f>
        <v>0</v>
      </c>
      <c r="I38" s="336">
        <f t="shared" si="1"/>
        <v>0</v>
      </c>
      <c r="J38" s="337"/>
      <c r="K38" s="335">
        <f>+IF(J38=0,0,(VLOOKUP($B38,' Circular 025 de 2014'!$B$24:$H$51,7,0)))</f>
        <v>0</v>
      </c>
      <c r="L38" s="336">
        <f t="shared" si="2"/>
        <v>0</v>
      </c>
      <c r="M38" s="337"/>
      <c r="N38" s="335">
        <f>+IF(M38=0,0,(VLOOKUP($B38,' Circular 025 de 2014'!$B$24:$H$51,7,0)))</f>
        <v>0</v>
      </c>
      <c r="O38" s="336">
        <f t="shared" si="3"/>
        <v>0</v>
      </c>
      <c r="P38" s="337"/>
      <c r="Q38" s="335">
        <f>+IF(P38=0,0,(VLOOKUP($B38,' Circular 025 de 2014'!$B$24:$H$51,7,0)))</f>
        <v>0</v>
      </c>
      <c r="R38" s="336">
        <f t="shared" si="4"/>
        <v>0</v>
      </c>
    </row>
    <row r="39" spans="2:18" ht="15">
      <c r="B39" s="74" t="s">
        <v>65</v>
      </c>
      <c r="C39" s="338"/>
      <c r="D39" s="334"/>
      <c r="E39" s="335">
        <f>+IF(D39=0,0,(VLOOKUP($B39,' Circular 025 de 2014'!$B$24:$H$51,7,0)))</f>
        <v>0</v>
      </c>
      <c r="F39" s="336">
        <f t="shared" si="0"/>
        <v>0</v>
      </c>
      <c r="G39" s="337"/>
      <c r="H39" s="335">
        <f>+IF(G39=0,0,(VLOOKUP($B39,' Circular 025 de 2014'!$B$24:$H$51,7,0)))</f>
        <v>0</v>
      </c>
      <c r="I39" s="336">
        <f t="shared" si="1"/>
        <v>0</v>
      </c>
      <c r="J39" s="337">
        <v>1</v>
      </c>
      <c r="K39" s="335">
        <f>+IF(J39=0,0,(VLOOKUP($B39,' Circular 025 de 2014'!$B$24:$H$51,7,0)))</f>
        <v>1631593</v>
      </c>
      <c r="L39" s="336">
        <f t="shared" si="2"/>
        <v>1631593</v>
      </c>
      <c r="M39" s="337"/>
      <c r="N39" s="335">
        <f>+IF(M39=0,0,(VLOOKUP($B39,' Circular 025 de 2014'!$B$24:$H$51,7,0)))</f>
        <v>0</v>
      </c>
      <c r="O39" s="336">
        <f t="shared" si="3"/>
        <v>0</v>
      </c>
      <c r="P39" s="337"/>
      <c r="Q39" s="335">
        <f>+IF(P39=0,0,(VLOOKUP($B39,' Circular 025 de 2014'!$B$24:$H$51,7,0)))</f>
        <v>0</v>
      </c>
      <c r="R39" s="336">
        <f t="shared" si="4"/>
        <v>0</v>
      </c>
    </row>
    <row r="40" spans="2:18" ht="15">
      <c r="B40" s="74" t="s">
        <v>67</v>
      </c>
      <c r="C40" s="338"/>
      <c r="D40" s="334"/>
      <c r="E40" s="335">
        <f>+IF(D40=0,0,(VLOOKUP($B40,' Circular 025 de 2014'!$B$24:$H$51,7,0)))</f>
        <v>0</v>
      </c>
      <c r="F40" s="336">
        <f t="shared" si="0"/>
        <v>0</v>
      </c>
      <c r="G40" s="337"/>
      <c r="H40" s="335">
        <f>+IF(G40=0,0,(VLOOKUP($B40,' Circular 025 de 2014'!$B$24:$H$51,7,0)))</f>
        <v>0</v>
      </c>
      <c r="I40" s="336">
        <f t="shared" si="1"/>
        <v>0</v>
      </c>
      <c r="J40" s="337">
        <v>6</v>
      </c>
      <c r="K40" s="335">
        <f>+IF(J40=0,0,(VLOOKUP($B40,' Circular 025 de 2014'!$B$24:$H$51,7,0)))</f>
        <v>1441735</v>
      </c>
      <c r="L40" s="336">
        <f t="shared" si="2"/>
        <v>8650410</v>
      </c>
      <c r="M40" s="337"/>
      <c r="N40" s="335">
        <f>+IF(M40=0,0,(VLOOKUP($B40,' Circular 025 de 2014'!$B$24:$H$51,7,0)))</f>
        <v>0</v>
      </c>
      <c r="O40" s="336">
        <f t="shared" si="3"/>
        <v>0</v>
      </c>
      <c r="P40" s="337"/>
      <c r="Q40" s="335">
        <f>+IF(P40=0,0,(VLOOKUP($B40,' Circular 025 de 2014'!$B$24:$H$51,7,0)))</f>
        <v>0</v>
      </c>
      <c r="R40" s="336">
        <f t="shared" si="4"/>
        <v>0</v>
      </c>
    </row>
    <row r="41" spans="2:18" ht="15">
      <c r="B41" s="74" t="s">
        <v>66</v>
      </c>
      <c r="C41" s="338"/>
      <c r="D41" s="334"/>
      <c r="E41" s="335">
        <f>+IF(D41=0,0,(VLOOKUP($B41,' Circular 025 de 2014'!$B$24:$H$51,7,0)))</f>
        <v>0</v>
      </c>
      <c r="F41" s="336">
        <f t="shared" si="0"/>
        <v>0</v>
      </c>
      <c r="G41" s="337"/>
      <c r="H41" s="335">
        <f>+IF(G41=0,0,(VLOOKUP($B41,' Circular 025 de 2014'!$B$24:$H$51,7,0)))</f>
        <v>0</v>
      </c>
      <c r="I41" s="336">
        <f t="shared" si="1"/>
        <v>0</v>
      </c>
      <c r="J41" s="337">
        <v>2</v>
      </c>
      <c r="K41" s="335">
        <f>+IF(J41=0,0,(VLOOKUP($B41,' Circular 025 de 2014'!$B$24:$H$51,7,0)))</f>
        <v>1468434</v>
      </c>
      <c r="L41" s="336">
        <f t="shared" si="2"/>
        <v>2936868</v>
      </c>
      <c r="M41" s="337"/>
      <c r="N41" s="335">
        <f>+IF(M41=0,0,(VLOOKUP($B41,' Circular 025 de 2014'!$B$24:$H$51,7,0)))</f>
        <v>0</v>
      </c>
      <c r="O41" s="336">
        <f t="shared" si="3"/>
        <v>0</v>
      </c>
      <c r="P41" s="337"/>
      <c r="Q41" s="335">
        <f>+IF(P41=0,0,(VLOOKUP($B41,' Circular 025 de 2014'!$B$24:$H$51,7,0)))</f>
        <v>0</v>
      </c>
      <c r="R41" s="336">
        <f t="shared" si="4"/>
        <v>0</v>
      </c>
    </row>
    <row r="42" spans="2:18" ht="15">
      <c r="B42" s="74" t="s">
        <v>63</v>
      </c>
      <c r="C42" s="338"/>
      <c r="D42" s="334"/>
      <c r="E42" s="335">
        <f>+IF(D42=0,0,(VLOOKUP($B42,' Circular 025 de 2014'!$B$24:$H$51,7,0)))</f>
        <v>0</v>
      </c>
      <c r="F42" s="336">
        <f t="shared" si="0"/>
        <v>0</v>
      </c>
      <c r="G42" s="337">
        <v>1</v>
      </c>
      <c r="H42" s="335">
        <f>+IF(G42=0,0,(VLOOKUP($B42,' Circular 025 de 2014'!$B$24:$H$51,7,0)))</f>
        <v>2403041</v>
      </c>
      <c r="I42" s="336">
        <f t="shared" si="1"/>
        <v>2403041</v>
      </c>
      <c r="J42" s="337"/>
      <c r="K42" s="335">
        <f>+IF(J42=0,0,(VLOOKUP($B42,' Circular 025 de 2014'!$B$24:$H$51,7,0)))</f>
        <v>0</v>
      </c>
      <c r="L42" s="336">
        <f t="shared" si="2"/>
        <v>0</v>
      </c>
      <c r="M42" s="337"/>
      <c r="N42" s="335">
        <f>+IF(M42=0,0,(VLOOKUP($B42,' Circular 025 de 2014'!$B$24:$H$51,7,0)))</f>
        <v>0</v>
      </c>
      <c r="O42" s="336">
        <f t="shared" si="3"/>
        <v>0</v>
      </c>
      <c r="P42" s="337">
        <v>3</v>
      </c>
      <c r="Q42" s="335">
        <f>+IF(P42=0,0,(VLOOKUP($B42,' Circular 025 de 2014'!$B$24:$H$51,7,0)))</f>
        <v>2403041</v>
      </c>
      <c r="R42" s="336">
        <f t="shared" si="4"/>
        <v>7209123</v>
      </c>
    </row>
    <row r="43" spans="2:18" ht="15">
      <c r="B43" s="333" t="s">
        <v>64</v>
      </c>
      <c r="C43" s="338"/>
      <c r="D43" s="334"/>
      <c r="E43" s="335">
        <f>+IF(D43=0,0,(VLOOKUP($B43,' Circular 025 de 2014'!$B$24:$H$51,7,0)))</f>
        <v>0</v>
      </c>
      <c r="F43" s="336">
        <f t="shared" si="0"/>
        <v>0</v>
      </c>
      <c r="G43" s="337">
        <v>1</v>
      </c>
      <c r="H43" s="335">
        <f>+IF(G43=0,0,(VLOOKUP($B43,' Circular 025 de 2014'!$B$24:$H$51,7,0)))</f>
        <v>1779920</v>
      </c>
      <c r="I43" s="336">
        <f t="shared" si="1"/>
        <v>1779920</v>
      </c>
      <c r="J43" s="337"/>
      <c r="K43" s="335">
        <f>+IF(J43=0,0,(VLOOKUP($B43,' Circular 025 de 2014'!$B$24:$H$51,7,0)))</f>
        <v>0</v>
      </c>
      <c r="L43" s="336">
        <f t="shared" si="2"/>
        <v>0</v>
      </c>
      <c r="M43" s="337"/>
      <c r="N43" s="335">
        <f>+IF(M43=0,0,(VLOOKUP($B43,' Circular 025 de 2014'!$B$24:$H$51,7,0)))</f>
        <v>0</v>
      </c>
      <c r="O43" s="336">
        <f t="shared" si="3"/>
        <v>0</v>
      </c>
      <c r="P43" s="337"/>
      <c r="Q43" s="335">
        <f>+IF(P43=0,0,(VLOOKUP($B43,' Circular 025 de 2014'!$B$24:$H$51,7,0)))</f>
        <v>0</v>
      </c>
      <c r="R43" s="336">
        <f t="shared" si="4"/>
        <v>0</v>
      </c>
    </row>
    <row r="44" spans="2:18" ht="15">
      <c r="B44" s="333" t="s">
        <v>57</v>
      </c>
      <c r="C44" s="338"/>
      <c r="D44" s="334">
        <v>1</v>
      </c>
      <c r="E44" s="335">
        <f>+IF(D44=0,0,(VLOOKUP($B44,' Circular 025 de 2014'!$B$24:$H$51,7,0)))</f>
        <v>1762230</v>
      </c>
      <c r="F44" s="336">
        <f t="shared" si="0"/>
        <v>1762230</v>
      </c>
      <c r="G44" s="337"/>
      <c r="H44" s="335">
        <f>+IF(G44=0,0,(VLOOKUP($B44,' Circular 025 de 2014'!$B$24:$H$51,7,0)))</f>
        <v>0</v>
      </c>
      <c r="I44" s="336">
        <f t="shared" si="1"/>
        <v>0</v>
      </c>
      <c r="J44" s="337"/>
      <c r="K44" s="335">
        <f>+IF(J44=0,0,(VLOOKUP($B44,' Circular 025 de 2014'!$B$24:$H$51,7,0)))</f>
        <v>0</v>
      </c>
      <c r="L44" s="336">
        <f t="shared" si="2"/>
        <v>0</v>
      </c>
      <c r="M44" s="337"/>
      <c r="N44" s="335">
        <f>+IF(M44=0,0,(VLOOKUP($B44,' Circular 025 de 2014'!$B$24:$H$51,7,0)))</f>
        <v>0</v>
      </c>
      <c r="O44" s="336">
        <f t="shared" si="3"/>
        <v>0</v>
      </c>
      <c r="P44" s="337"/>
      <c r="Q44" s="335">
        <f>+IF(P44=0,0,(VLOOKUP($B44,' Circular 025 de 2014'!$B$24:$H$51,7,0)))</f>
        <v>0</v>
      </c>
      <c r="R44" s="336">
        <f t="shared" si="4"/>
        <v>0</v>
      </c>
    </row>
    <row r="45" spans="2:18" ht="15">
      <c r="B45" s="333" t="s">
        <v>68</v>
      </c>
      <c r="C45" s="338"/>
      <c r="D45" s="334"/>
      <c r="E45" s="335">
        <f>+IF(D45=0,0,(VLOOKUP($B45,' Circular 025 de 2014'!$B$24:$H$51,7,0)))</f>
        <v>0</v>
      </c>
      <c r="F45" s="336">
        <f t="shared" si="0"/>
        <v>0</v>
      </c>
      <c r="G45" s="337"/>
      <c r="H45" s="335">
        <f>+IF(G45=0,0,(VLOOKUP($B45,' Circular 025 de 2014'!$B$24:$H$51,7,0)))</f>
        <v>0</v>
      </c>
      <c r="I45" s="336">
        <f t="shared" si="1"/>
        <v>0</v>
      </c>
      <c r="J45" s="337">
        <v>3</v>
      </c>
      <c r="K45" s="335">
        <f>+IF(J45=0,0,(VLOOKUP($B45,' Circular 025 de 2014'!$B$24:$H$51,7,0)))</f>
        <v>1281542</v>
      </c>
      <c r="L45" s="336">
        <f t="shared" si="2"/>
        <v>3844626</v>
      </c>
      <c r="M45" s="337"/>
      <c r="N45" s="335">
        <f>+IF(M45=0,0,(VLOOKUP($B45,' Circular 025 de 2014'!$B$24:$H$51,7,0)))</f>
        <v>0</v>
      </c>
      <c r="O45" s="336">
        <f t="shared" si="3"/>
        <v>0</v>
      </c>
      <c r="P45" s="337"/>
      <c r="Q45" s="335">
        <f>+IF(P45=0,0,(VLOOKUP($B45,' Circular 025 de 2014'!$B$24:$H$51,7,0)))</f>
        <v>0</v>
      </c>
      <c r="R45" s="336">
        <f t="shared" si="4"/>
        <v>0</v>
      </c>
    </row>
    <row r="46" spans="2:18" ht="15">
      <c r="B46" s="333" t="s">
        <v>70</v>
      </c>
      <c r="C46" s="338"/>
      <c r="D46" s="334"/>
      <c r="E46" s="335">
        <f>+IF(D46=0,0,(VLOOKUP($B46,' Circular 025 de 2014'!$B$24:$H$51,7,0)))</f>
        <v>0</v>
      </c>
      <c r="F46" s="336">
        <f t="shared" si="0"/>
        <v>0</v>
      </c>
      <c r="G46" s="337"/>
      <c r="H46" s="335">
        <f>+IF(G46=0,0,(VLOOKUP($B46,' Circular 025 de 2014'!$B$24:$H$51,7,0)))</f>
        <v>0</v>
      </c>
      <c r="I46" s="336">
        <f t="shared" si="1"/>
        <v>0</v>
      </c>
      <c r="J46" s="337"/>
      <c r="K46" s="335">
        <f>+IF(J46=0,0,(VLOOKUP($B46,' Circular 025 de 2014'!$B$24:$H$51,7,0)))</f>
        <v>0</v>
      </c>
      <c r="L46" s="336">
        <f t="shared" si="2"/>
        <v>0</v>
      </c>
      <c r="M46" s="337"/>
      <c r="N46" s="335">
        <f>+IF(M46=0,0,(VLOOKUP($B46,' Circular 025 de 2014'!$B$24:$H$51,7,0)))</f>
        <v>0</v>
      </c>
      <c r="O46" s="336">
        <f t="shared" si="3"/>
        <v>0</v>
      </c>
      <c r="P46" s="337">
        <v>1</v>
      </c>
      <c r="Q46" s="335">
        <f>+IF(P46=0,0,(VLOOKUP($B46,' Circular 025 de 2014'!$B$24:$H$51,7,0)))</f>
        <v>237323</v>
      </c>
      <c r="R46" s="336">
        <f t="shared" si="4"/>
        <v>237323</v>
      </c>
    </row>
    <row r="47" spans="2:18" ht="15">
      <c r="B47" s="333" t="s">
        <v>77</v>
      </c>
      <c r="C47" s="338"/>
      <c r="D47" s="334"/>
      <c r="E47" s="335">
        <f>+IF(D47=0,0,(VLOOKUP($B47,' Circular 025 de 2014'!$B$24:$H$51,7,0)))</f>
        <v>0</v>
      </c>
      <c r="F47" s="336">
        <f t="shared" si="0"/>
        <v>0</v>
      </c>
      <c r="G47" s="337">
        <v>1</v>
      </c>
      <c r="H47" s="335">
        <f>+IF(G47=0,0,(VLOOKUP($B47,' Circular 025 de 2014'!$B$24:$H$51,7,0)))</f>
        <v>237323</v>
      </c>
      <c r="I47" s="336">
        <f t="shared" si="1"/>
        <v>237323</v>
      </c>
      <c r="J47" s="337"/>
      <c r="K47" s="335">
        <f>+IF(J47=0,0,(VLOOKUP($B47,' Circular 025 de 2014'!$B$24:$H$51,7,0)))</f>
        <v>0</v>
      </c>
      <c r="L47" s="336">
        <f t="shared" si="2"/>
        <v>0</v>
      </c>
      <c r="M47" s="337"/>
      <c r="N47" s="335">
        <f>+IF(M47=0,0,(VLOOKUP($B47,' Circular 025 de 2014'!$B$24:$H$51,7,0)))</f>
        <v>0</v>
      </c>
      <c r="O47" s="336">
        <f t="shared" si="3"/>
        <v>0</v>
      </c>
      <c r="P47" s="337"/>
      <c r="Q47" s="335">
        <f>+IF(P47=0,0,(VLOOKUP($B47,' Circular 025 de 2014'!$B$24:$H$51,7,0)))</f>
        <v>0</v>
      </c>
      <c r="R47" s="336">
        <f t="shared" si="4"/>
        <v>0</v>
      </c>
    </row>
    <row r="48" spans="2:18" ht="15">
      <c r="B48" s="333" t="s">
        <v>69</v>
      </c>
      <c r="C48" s="338"/>
      <c r="D48" s="334"/>
      <c r="E48" s="335">
        <f>+IF(D48=0,0,(VLOOKUP($B48,' Circular 025 de 2014'!$B$24:$H$51,7,0)))</f>
        <v>0</v>
      </c>
      <c r="F48" s="336">
        <f t="shared" si="0"/>
        <v>0</v>
      </c>
      <c r="G48" s="337"/>
      <c r="H48" s="335">
        <f>+IF(G48=0,0,(VLOOKUP($B48,' Circular 025 de 2014'!$B$24:$H$51,7,0)))</f>
        <v>0</v>
      </c>
      <c r="I48" s="336">
        <f t="shared" si="1"/>
        <v>0</v>
      </c>
      <c r="J48" s="337"/>
      <c r="K48" s="335">
        <f>+IF(J48=0,0,(VLOOKUP($B48,' Circular 025 de 2014'!$B$24:$H$51,7,0)))</f>
        <v>0</v>
      </c>
      <c r="L48" s="336">
        <f t="shared" si="2"/>
        <v>0</v>
      </c>
      <c r="M48" s="337"/>
      <c r="N48" s="335">
        <f>+IF(M48=0,0,(VLOOKUP($B48,' Circular 025 de 2014'!$B$24:$H$51,7,0)))</f>
        <v>0</v>
      </c>
      <c r="O48" s="336">
        <f t="shared" si="3"/>
        <v>0</v>
      </c>
      <c r="P48" s="337">
        <v>3</v>
      </c>
      <c r="Q48" s="335">
        <f>+IF(P48=0,0,(VLOOKUP($B48,' Circular 025 de 2014'!$B$24:$H$51,7,0)))</f>
        <v>889960</v>
      </c>
      <c r="R48" s="336">
        <f t="shared" si="4"/>
        <v>2669880</v>
      </c>
    </row>
    <row r="49" spans="2:18" ht="15">
      <c r="B49" s="333" t="s">
        <v>58</v>
      </c>
      <c r="C49" s="338"/>
      <c r="D49" s="334">
        <v>1</v>
      </c>
      <c r="E49" s="335">
        <f>+IF(D49=0,0,(VLOOKUP($B49,' Circular 025 de 2014'!$B$24:$H$51,7,0)))</f>
        <v>652637</v>
      </c>
      <c r="F49" s="336">
        <f t="shared" si="0"/>
        <v>652637</v>
      </c>
      <c r="G49" s="337"/>
      <c r="H49" s="335">
        <f>+IF(G49=0,0,(VLOOKUP($B49,' Circular 025 de 2014'!$B$24:$H$51,7,0)))</f>
        <v>0</v>
      </c>
      <c r="I49" s="336">
        <f t="shared" si="1"/>
        <v>0</v>
      </c>
      <c r="J49" s="337"/>
      <c r="K49" s="335">
        <f>+IF(J49=0,0,(VLOOKUP($B49,' Circular 025 de 2014'!$B$24:$H$51,7,0)))</f>
        <v>0</v>
      </c>
      <c r="L49" s="336">
        <f t="shared" si="2"/>
        <v>0</v>
      </c>
      <c r="M49" s="337"/>
      <c r="N49" s="335">
        <f>+IF(M49=0,0,(VLOOKUP($B49,' Circular 025 de 2014'!$B$24:$H$51,7,0)))</f>
        <v>0</v>
      </c>
      <c r="O49" s="336">
        <f t="shared" si="3"/>
        <v>0</v>
      </c>
      <c r="P49" s="337"/>
      <c r="Q49" s="335">
        <f>+IF(P49=0,0,(VLOOKUP($B49,' Circular 025 de 2014'!$B$24:$H$51,7,0)))</f>
        <v>0</v>
      </c>
      <c r="R49" s="336">
        <f t="shared" si="4"/>
        <v>0</v>
      </c>
    </row>
    <row r="50" spans="2:18" ht="15">
      <c r="B50" s="74" t="s">
        <v>51</v>
      </c>
      <c r="C50" s="338"/>
      <c r="D50" s="334">
        <v>1</v>
      </c>
      <c r="E50" s="335">
        <f>+IF(D50=0,0,(VLOOKUP($B50,' Circular 025 de 2014'!$B$24:$H$51,7,0)))</f>
        <v>658570</v>
      </c>
      <c r="F50" s="336">
        <f t="shared" si="0"/>
        <v>658570</v>
      </c>
      <c r="G50" s="337"/>
      <c r="H50" s="335">
        <f>+IF(G50=0,0,(VLOOKUP($B50,' Circular 025 de 2014'!$B$24:$H$51,7,0)))</f>
        <v>0</v>
      </c>
      <c r="I50" s="336">
        <f t="shared" si="1"/>
        <v>0</v>
      </c>
      <c r="J50" s="337"/>
      <c r="K50" s="335">
        <f>+IF(J50=0,0,(VLOOKUP($B50,' Circular 025 de 2014'!$B$24:$H$51,7,0)))</f>
        <v>0</v>
      </c>
      <c r="L50" s="336">
        <f t="shared" si="2"/>
        <v>0</v>
      </c>
      <c r="M50" s="337"/>
      <c r="N50" s="335">
        <f>+IF(M50=0,0,(VLOOKUP($B50,' Circular 025 de 2014'!$B$24:$H$51,7,0)))</f>
        <v>0</v>
      </c>
      <c r="O50" s="336">
        <f t="shared" si="3"/>
        <v>0</v>
      </c>
      <c r="P50" s="337"/>
      <c r="Q50" s="335">
        <f>+IF(P50=0,0,(VLOOKUP($B50,' Circular 025 de 2014'!$B$24:$H$51,7,0)))</f>
        <v>0</v>
      </c>
      <c r="R50" s="336">
        <f t="shared" si="4"/>
        <v>0</v>
      </c>
    </row>
    <row r="51" spans="2:18" ht="15">
      <c r="B51" s="333" t="s">
        <v>78</v>
      </c>
      <c r="C51" s="338"/>
      <c r="D51" s="334"/>
      <c r="E51" s="335">
        <f>+IF(D51=0,0,(VLOOKUP($B51,' Circular 025 de 2014'!$B$24:$H$51,7,0)))</f>
        <v>0</v>
      </c>
      <c r="F51" s="336">
        <f t="shared" si="0"/>
        <v>0</v>
      </c>
      <c r="G51" s="337">
        <v>1</v>
      </c>
      <c r="H51" s="335">
        <f>+IF(G51=0,0,(VLOOKUP($B51,' Circular 025 de 2014'!$B$24:$H$51,7,0)))</f>
        <v>118661</v>
      </c>
      <c r="I51" s="336">
        <f t="shared" si="1"/>
        <v>118661</v>
      </c>
      <c r="J51" s="337"/>
      <c r="K51" s="335">
        <f>+IF(J51=0,0,(VLOOKUP($B51,' Circular 025 de 2014'!$B$24:$H$51,7,0)))</f>
        <v>0</v>
      </c>
      <c r="L51" s="336">
        <f t="shared" si="2"/>
        <v>0</v>
      </c>
      <c r="M51" s="337"/>
      <c r="N51" s="335">
        <f>+IF(M51=0,0,(VLOOKUP($B51,' Circular 025 de 2014'!$B$24:$H$51,7,0)))</f>
        <v>0</v>
      </c>
      <c r="O51" s="336">
        <f t="shared" si="3"/>
        <v>0</v>
      </c>
      <c r="P51" s="337"/>
      <c r="Q51" s="335">
        <f>+IF(P51=0,0,(VLOOKUP($B51,' Circular 025 de 2014'!$B$24:$H$51,7,0)))</f>
        <v>0</v>
      </c>
      <c r="R51" s="336">
        <f t="shared" si="4"/>
        <v>0</v>
      </c>
    </row>
    <row r="52" spans="2:18" ht="15">
      <c r="B52" s="339" t="s">
        <v>88</v>
      </c>
      <c r="C52" s="340"/>
      <c r="D52" s="334">
        <f>SUM(D24:D51)</f>
        <v>151</v>
      </c>
      <c r="E52" s="341" t="s">
        <v>14</v>
      </c>
      <c r="F52" s="336">
        <f>SUM(F24:F51)</f>
        <v>695329846</v>
      </c>
      <c r="G52" s="337">
        <f>SUM(G24:G51)</f>
        <v>99</v>
      </c>
      <c r="H52" s="341" t="s">
        <v>14</v>
      </c>
      <c r="I52" s="336">
        <f>SUM(I24:I51)</f>
        <v>514631216</v>
      </c>
      <c r="J52" s="337">
        <f>SUM(J24:J51)</f>
        <v>83</v>
      </c>
      <c r="K52" s="341" t="s">
        <v>14</v>
      </c>
      <c r="L52" s="336">
        <f>SUM(L24:L51)</f>
        <v>381957000</v>
      </c>
      <c r="M52" s="337">
        <f>SUM(M24:M51)</f>
        <v>58</v>
      </c>
      <c r="N52" s="341" t="s">
        <v>14</v>
      </c>
      <c r="O52" s="336">
        <f>SUM(O24:O51)</f>
        <v>327068144</v>
      </c>
      <c r="P52" s="337">
        <f>SUM(P24:P51)</f>
        <v>77</v>
      </c>
      <c r="Q52" s="341" t="s">
        <v>14</v>
      </c>
      <c r="R52" s="336">
        <f>SUM(R24:R51)</f>
        <v>390518368</v>
      </c>
    </row>
    <row r="53" spans="2:18" ht="23.25" customHeight="1">
      <c r="B53" s="342"/>
      <c r="C53" s="343"/>
      <c r="D53" s="68" t="s">
        <v>10</v>
      </c>
      <c r="E53" s="69"/>
      <c r="F53" s="51">
        <f>+F52*10%</f>
        <v>69532984.600000009</v>
      </c>
      <c r="G53" s="70" t="s">
        <v>10</v>
      </c>
      <c r="H53" s="69"/>
      <c r="I53" s="51">
        <f>+I52*10%</f>
        <v>51463121.600000001</v>
      </c>
      <c r="J53" s="70" t="s">
        <v>10</v>
      </c>
      <c r="K53" s="69"/>
      <c r="L53" s="51">
        <f>+L52*10%</f>
        <v>38195700</v>
      </c>
      <c r="M53" s="70" t="s">
        <v>10</v>
      </c>
      <c r="N53" s="69"/>
      <c r="O53" s="51">
        <f>+O52*10%</f>
        <v>32706814.400000002</v>
      </c>
      <c r="P53" s="70" t="s">
        <v>10</v>
      </c>
      <c r="Q53" s="69"/>
      <c r="R53" s="51">
        <f>+R52*10%</f>
        <v>39051836.800000004</v>
      </c>
    </row>
    <row r="54" spans="2:18" ht="15">
      <c r="B54" s="342"/>
      <c r="C54" s="343"/>
      <c r="D54" s="49" t="s">
        <v>40</v>
      </c>
      <c r="E54" s="50">
        <v>0.16</v>
      </c>
      <c r="F54" s="51">
        <f>+F53*E54</f>
        <v>11125277.536000002</v>
      </c>
      <c r="G54" s="52" t="s">
        <v>40</v>
      </c>
      <c r="H54" s="50">
        <v>0.16</v>
      </c>
      <c r="I54" s="51">
        <f>+I53*H54</f>
        <v>8234099.4560000002</v>
      </c>
      <c r="J54" s="52" t="s">
        <v>40</v>
      </c>
      <c r="K54" s="50">
        <v>0.16</v>
      </c>
      <c r="L54" s="51">
        <f>+L53*K54</f>
        <v>6111312</v>
      </c>
      <c r="M54" s="52" t="s">
        <v>40</v>
      </c>
      <c r="N54" s="50">
        <v>0.16</v>
      </c>
      <c r="O54" s="51">
        <f>+O53*N54</f>
        <v>5233090.3040000005</v>
      </c>
      <c r="P54" s="52" t="s">
        <v>40</v>
      </c>
      <c r="Q54" s="50">
        <v>0.16</v>
      </c>
      <c r="R54" s="51">
        <f>+R53*Q54</f>
        <v>6248293.8880000012</v>
      </c>
    </row>
    <row r="55" spans="2:18" ht="34.5" customHeight="1">
      <c r="B55" s="342"/>
      <c r="C55" s="343"/>
      <c r="D55" s="66" t="s">
        <v>83</v>
      </c>
      <c r="E55" s="67"/>
      <c r="F55" s="53">
        <f>+ROUND(F52+F54,0)</f>
        <v>706455124</v>
      </c>
      <c r="G55" s="66" t="s">
        <v>84</v>
      </c>
      <c r="H55" s="67"/>
      <c r="I55" s="53">
        <f>+ROUND(I52+I54,0)</f>
        <v>522865315</v>
      </c>
      <c r="J55" s="66" t="s">
        <v>85</v>
      </c>
      <c r="K55" s="67"/>
      <c r="L55" s="53">
        <f>+ROUND(L52+L54,0)</f>
        <v>388068312</v>
      </c>
      <c r="M55" s="66" t="s">
        <v>86</v>
      </c>
      <c r="N55" s="67"/>
      <c r="O55" s="53">
        <f>+ROUND(O52+O54,0)</f>
        <v>332301234</v>
      </c>
      <c r="P55" s="66" t="s">
        <v>87</v>
      </c>
      <c r="Q55" s="67"/>
      <c r="R55" s="53">
        <f>+ROUND(R52+R54,0)</f>
        <v>396766662</v>
      </c>
    </row>
    <row r="56" spans="2:18" s="345" customFormat="1">
      <c r="B56" s="344"/>
      <c r="C56" s="344"/>
      <c r="D56" s="344"/>
      <c r="E56" s="344"/>
      <c r="F56" s="344"/>
      <c r="G56" s="344"/>
      <c r="H56" s="344"/>
    </row>
    <row r="57" spans="2:18" s="345" customFormat="1">
      <c r="B57" s="342"/>
      <c r="C57" s="342"/>
      <c r="D57" s="71" t="s">
        <v>33</v>
      </c>
      <c r="E57" s="71"/>
      <c r="F57" s="72"/>
      <c r="G57" s="73" t="s">
        <v>45</v>
      </c>
      <c r="H57" s="71"/>
      <c r="I57" s="72"/>
      <c r="J57" s="73" t="s">
        <v>80</v>
      </c>
      <c r="K57" s="71"/>
      <c r="L57" s="72"/>
      <c r="M57" s="73" t="s">
        <v>81</v>
      </c>
      <c r="N57" s="71"/>
      <c r="O57" s="72"/>
      <c r="P57" s="73" t="s">
        <v>82</v>
      </c>
      <c r="Q57" s="71"/>
      <c r="R57" s="72"/>
    </row>
    <row r="58" spans="2:18" ht="46.5" customHeight="1">
      <c r="B58" s="329" t="s">
        <v>89</v>
      </c>
      <c r="C58" s="329"/>
      <c r="D58" s="330" t="s">
        <v>34</v>
      </c>
      <c r="E58" s="330" t="s">
        <v>35</v>
      </c>
      <c r="F58" s="331" t="s">
        <v>36</v>
      </c>
      <c r="G58" s="332" t="s">
        <v>34</v>
      </c>
      <c r="H58" s="330" t="s">
        <v>35</v>
      </c>
      <c r="I58" s="331" t="s">
        <v>36</v>
      </c>
      <c r="J58" s="332" t="s">
        <v>34</v>
      </c>
      <c r="K58" s="330" t="s">
        <v>35</v>
      </c>
      <c r="L58" s="331" t="s">
        <v>36</v>
      </c>
      <c r="M58" s="332" t="s">
        <v>34</v>
      </c>
      <c r="N58" s="330" t="s">
        <v>35</v>
      </c>
      <c r="O58" s="331" t="s">
        <v>36</v>
      </c>
      <c r="P58" s="332" t="s">
        <v>34</v>
      </c>
      <c r="Q58" s="330" t="s">
        <v>35</v>
      </c>
      <c r="R58" s="331" t="s">
        <v>36</v>
      </c>
    </row>
    <row r="59" spans="2:18" ht="26.25" customHeight="1">
      <c r="B59" s="346" t="s">
        <v>269</v>
      </c>
      <c r="C59" s="347"/>
      <c r="D59" s="334">
        <v>49</v>
      </c>
      <c r="E59" s="366"/>
      <c r="F59" s="336">
        <f>+E59*D59</f>
        <v>0</v>
      </c>
      <c r="G59" s="337">
        <v>68</v>
      </c>
      <c r="H59" s="366"/>
      <c r="I59" s="336">
        <f>+H59*G59</f>
        <v>0</v>
      </c>
      <c r="J59" s="337">
        <v>52</v>
      </c>
      <c r="K59" s="366"/>
      <c r="L59" s="336">
        <f>+K59*J59</f>
        <v>0</v>
      </c>
      <c r="M59" s="337">
        <v>33</v>
      </c>
      <c r="N59" s="366"/>
      <c r="O59" s="336">
        <f>+N59*M59</f>
        <v>0</v>
      </c>
      <c r="P59" s="337">
        <v>45</v>
      </c>
      <c r="Q59" s="366"/>
      <c r="R59" s="336">
        <f>+Q59*P59</f>
        <v>0</v>
      </c>
    </row>
    <row r="60" spans="2:18" ht="26.25" customHeight="1">
      <c r="B60" s="346" t="s">
        <v>270</v>
      </c>
      <c r="C60" s="348"/>
      <c r="D60" s="334">
        <v>12</v>
      </c>
      <c r="E60" s="366"/>
      <c r="F60" s="336">
        <f t="shared" ref="F60:F65" si="5">+E60*D60</f>
        <v>0</v>
      </c>
      <c r="G60" s="337">
        <v>8</v>
      </c>
      <c r="H60" s="366"/>
      <c r="I60" s="336">
        <f t="shared" ref="I60:I65" si="6">+H60*G60</f>
        <v>0</v>
      </c>
      <c r="J60" s="337">
        <v>8</v>
      </c>
      <c r="K60" s="366"/>
      <c r="L60" s="336">
        <f t="shared" ref="L60:L65" si="7">+K60*J60</f>
        <v>0</v>
      </c>
      <c r="M60" s="337">
        <v>7</v>
      </c>
      <c r="N60" s="366"/>
      <c r="O60" s="336">
        <f t="shared" ref="O60:O65" si="8">+N60*M60</f>
        <v>0</v>
      </c>
      <c r="P60" s="337">
        <v>7</v>
      </c>
      <c r="Q60" s="366"/>
      <c r="R60" s="336">
        <f t="shared" ref="R60:R65" si="9">+Q60*P60</f>
        <v>0</v>
      </c>
    </row>
    <row r="61" spans="2:18" ht="26.25" customHeight="1">
      <c r="B61" s="346" t="s">
        <v>271</v>
      </c>
      <c r="C61" s="348"/>
      <c r="D61" s="334">
        <v>26</v>
      </c>
      <c r="E61" s="366"/>
      <c r="F61" s="336">
        <f t="shared" si="5"/>
        <v>0</v>
      </c>
      <c r="G61" s="337">
        <v>11</v>
      </c>
      <c r="H61" s="366"/>
      <c r="I61" s="336">
        <f t="shared" si="6"/>
        <v>0</v>
      </c>
      <c r="J61" s="337">
        <v>9</v>
      </c>
      <c r="K61" s="366"/>
      <c r="L61" s="336">
        <f t="shared" si="7"/>
        <v>0</v>
      </c>
      <c r="M61" s="337">
        <v>7</v>
      </c>
      <c r="N61" s="366"/>
      <c r="O61" s="336">
        <f t="shared" si="8"/>
        <v>0</v>
      </c>
      <c r="P61" s="337">
        <v>6</v>
      </c>
      <c r="Q61" s="366"/>
      <c r="R61" s="336">
        <f t="shared" si="9"/>
        <v>0</v>
      </c>
    </row>
    <row r="62" spans="2:18" ht="26.25" customHeight="1">
      <c r="B62" s="346" t="s">
        <v>12</v>
      </c>
      <c r="C62" s="348"/>
      <c r="D62" s="334">
        <v>21</v>
      </c>
      <c r="E62" s="366"/>
      <c r="F62" s="336">
        <f t="shared" si="5"/>
        <v>0</v>
      </c>
      <c r="G62" s="337">
        <v>61</v>
      </c>
      <c r="H62" s="366"/>
      <c r="I62" s="336">
        <f t="shared" si="6"/>
        <v>0</v>
      </c>
      <c r="J62" s="337">
        <v>53</v>
      </c>
      <c r="K62" s="366"/>
      <c r="L62" s="336">
        <f t="shared" si="7"/>
        <v>0</v>
      </c>
      <c r="M62" s="337">
        <v>35</v>
      </c>
      <c r="N62" s="366"/>
      <c r="O62" s="336">
        <f t="shared" si="8"/>
        <v>0</v>
      </c>
      <c r="P62" s="337">
        <v>47</v>
      </c>
      <c r="Q62" s="366"/>
      <c r="R62" s="336">
        <f t="shared" si="9"/>
        <v>0</v>
      </c>
    </row>
    <row r="63" spans="2:18" ht="26.25" customHeight="1">
      <c r="B63" s="346" t="s">
        <v>272</v>
      </c>
      <c r="C63" s="348"/>
      <c r="D63" s="334">
        <v>25</v>
      </c>
      <c r="E63" s="366"/>
      <c r="F63" s="336">
        <f t="shared" si="5"/>
        <v>0</v>
      </c>
      <c r="G63" s="337">
        <v>33</v>
      </c>
      <c r="H63" s="366"/>
      <c r="I63" s="336">
        <f t="shared" si="6"/>
        <v>0</v>
      </c>
      <c r="J63" s="337">
        <v>12</v>
      </c>
      <c r="K63" s="366"/>
      <c r="L63" s="336">
        <f t="shared" si="7"/>
        <v>0</v>
      </c>
      <c r="M63" s="337">
        <v>7</v>
      </c>
      <c r="N63" s="366"/>
      <c r="O63" s="336">
        <f t="shared" si="8"/>
        <v>0</v>
      </c>
      <c r="P63" s="337">
        <v>19</v>
      </c>
      <c r="Q63" s="366"/>
      <c r="R63" s="336">
        <f t="shared" si="9"/>
        <v>0</v>
      </c>
    </row>
    <row r="64" spans="2:18" ht="26.25" customHeight="1">
      <c r="B64" s="346" t="s">
        <v>273</v>
      </c>
      <c r="C64" s="348"/>
      <c r="D64" s="334">
        <f>SUM(D24:D25)</f>
        <v>100</v>
      </c>
      <c r="E64" s="366"/>
      <c r="F64" s="336">
        <f t="shared" si="5"/>
        <v>0</v>
      </c>
      <c r="G64" s="334">
        <f>SUM(G24:G25)</f>
        <v>81</v>
      </c>
      <c r="H64" s="366"/>
      <c r="I64" s="336">
        <f t="shared" si="6"/>
        <v>0</v>
      </c>
      <c r="J64" s="334">
        <f>SUM(J24:J25)</f>
        <v>56</v>
      </c>
      <c r="K64" s="366"/>
      <c r="L64" s="336">
        <f t="shared" si="7"/>
        <v>0</v>
      </c>
      <c r="M64" s="334">
        <f>SUM(M24:M25)</f>
        <v>53</v>
      </c>
      <c r="N64" s="366"/>
      <c r="O64" s="336">
        <f t="shared" si="8"/>
        <v>0</v>
      </c>
      <c r="P64" s="334">
        <f>SUM(P24:P25)</f>
        <v>60</v>
      </c>
      <c r="Q64" s="366"/>
      <c r="R64" s="336">
        <f t="shared" si="9"/>
        <v>0</v>
      </c>
    </row>
    <row r="65" spans="2:18" ht="53.25" customHeight="1">
      <c r="B65" s="346" t="s">
        <v>274</v>
      </c>
      <c r="C65" s="348"/>
      <c r="D65" s="334">
        <f>+D$52</f>
        <v>151</v>
      </c>
      <c r="E65" s="366"/>
      <c r="F65" s="336">
        <f t="shared" si="5"/>
        <v>0</v>
      </c>
      <c r="G65" s="334">
        <f>+G$52</f>
        <v>99</v>
      </c>
      <c r="H65" s="366"/>
      <c r="I65" s="336">
        <f t="shared" si="6"/>
        <v>0</v>
      </c>
      <c r="J65" s="334">
        <f>+J$52</f>
        <v>83</v>
      </c>
      <c r="K65" s="366"/>
      <c r="L65" s="336">
        <f t="shared" si="7"/>
        <v>0</v>
      </c>
      <c r="M65" s="334">
        <f>+M$52</f>
        <v>58</v>
      </c>
      <c r="N65" s="366"/>
      <c r="O65" s="336">
        <f t="shared" si="8"/>
        <v>0</v>
      </c>
      <c r="P65" s="334">
        <f>+P$52</f>
        <v>77</v>
      </c>
      <c r="Q65" s="366"/>
      <c r="R65" s="336">
        <f t="shared" si="9"/>
        <v>0</v>
      </c>
    </row>
    <row r="66" spans="2:18" ht="26.25" customHeight="1">
      <c r="B66" s="349" t="s">
        <v>277</v>
      </c>
      <c r="C66" s="348"/>
      <c r="D66" s="334">
        <f>+D$52</f>
        <v>151</v>
      </c>
      <c r="E66" s="366"/>
      <c r="F66" s="336">
        <f t="shared" ref="F66:F68" si="10">+E66*D66</f>
        <v>0</v>
      </c>
      <c r="G66" s="334">
        <f t="shared" ref="G66:G68" si="11">+G$52</f>
        <v>99</v>
      </c>
      <c r="H66" s="366"/>
      <c r="I66" s="336">
        <f t="shared" ref="I66:I68" si="12">+H66*G66</f>
        <v>0</v>
      </c>
      <c r="J66" s="334">
        <f t="shared" ref="J66:J68" si="13">+J$52</f>
        <v>83</v>
      </c>
      <c r="K66" s="366"/>
      <c r="L66" s="336">
        <f t="shared" ref="L66:L68" si="14">+K66*J66</f>
        <v>0</v>
      </c>
      <c r="M66" s="334">
        <f t="shared" ref="M66:M68" si="15">+M$52</f>
        <v>58</v>
      </c>
      <c r="N66" s="366"/>
      <c r="O66" s="336">
        <f t="shared" ref="O66:O68" si="16">+N66*M66</f>
        <v>0</v>
      </c>
      <c r="P66" s="334">
        <f t="shared" ref="P66:P68" si="17">+P$52</f>
        <v>77</v>
      </c>
      <c r="Q66" s="366"/>
      <c r="R66" s="336">
        <f t="shared" ref="R66:R68" si="18">+Q66*P66</f>
        <v>0</v>
      </c>
    </row>
    <row r="67" spans="2:18" s="345" customFormat="1" ht="26.25" customHeight="1">
      <c r="B67" s="350" t="s">
        <v>278</v>
      </c>
      <c r="C67" s="351"/>
      <c r="D67" s="334">
        <f>+D$52</f>
        <v>151</v>
      </c>
      <c r="E67" s="366"/>
      <c r="F67" s="336">
        <f t="shared" si="10"/>
        <v>0</v>
      </c>
      <c r="G67" s="334">
        <f t="shared" si="11"/>
        <v>99</v>
      </c>
      <c r="H67" s="366"/>
      <c r="I67" s="336">
        <f t="shared" si="12"/>
        <v>0</v>
      </c>
      <c r="J67" s="334">
        <f t="shared" si="13"/>
        <v>83</v>
      </c>
      <c r="K67" s="366"/>
      <c r="L67" s="336">
        <f t="shared" si="14"/>
        <v>0</v>
      </c>
      <c r="M67" s="334">
        <f t="shared" si="15"/>
        <v>58</v>
      </c>
      <c r="N67" s="366"/>
      <c r="O67" s="336">
        <f t="shared" si="16"/>
        <v>0</v>
      </c>
      <c r="P67" s="334">
        <f t="shared" si="17"/>
        <v>77</v>
      </c>
      <c r="Q67" s="366"/>
      <c r="R67" s="336">
        <f t="shared" si="18"/>
        <v>0</v>
      </c>
    </row>
    <row r="68" spans="2:18" ht="26.25" customHeight="1">
      <c r="B68" s="350" t="s">
        <v>279</v>
      </c>
      <c r="C68" s="351"/>
      <c r="D68" s="334">
        <f>+D$52</f>
        <v>151</v>
      </c>
      <c r="E68" s="366"/>
      <c r="F68" s="336">
        <f t="shared" si="10"/>
        <v>0</v>
      </c>
      <c r="G68" s="334">
        <f t="shared" si="11"/>
        <v>99</v>
      </c>
      <c r="H68" s="366"/>
      <c r="I68" s="336">
        <f t="shared" si="12"/>
        <v>0</v>
      </c>
      <c r="J68" s="334">
        <f t="shared" si="13"/>
        <v>83</v>
      </c>
      <c r="K68" s="366"/>
      <c r="L68" s="336">
        <f t="shared" si="14"/>
        <v>0</v>
      </c>
      <c r="M68" s="334">
        <f t="shared" si="15"/>
        <v>58</v>
      </c>
      <c r="N68" s="366"/>
      <c r="O68" s="336">
        <f t="shared" si="16"/>
        <v>0</v>
      </c>
      <c r="P68" s="334">
        <f t="shared" si="17"/>
        <v>77</v>
      </c>
      <c r="Q68" s="366"/>
      <c r="R68" s="336">
        <f t="shared" si="18"/>
        <v>0</v>
      </c>
    </row>
    <row r="69" spans="2:18" ht="15" customHeight="1">
      <c r="B69" s="339" t="s">
        <v>88</v>
      </c>
      <c r="C69" s="340"/>
      <c r="D69" s="334">
        <f>SUM(D59:D68)</f>
        <v>837</v>
      </c>
      <c r="E69" s="341" t="s">
        <v>14</v>
      </c>
      <c r="F69" s="336">
        <f>SUM(F59:F68)</f>
        <v>0</v>
      </c>
      <c r="G69" s="334">
        <f>SUM(G59:G68)</f>
        <v>658</v>
      </c>
      <c r="H69" s="341" t="s">
        <v>14</v>
      </c>
      <c r="I69" s="336">
        <f>SUM(I59:I68)</f>
        <v>0</v>
      </c>
      <c r="J69" s="334">
        <f>SUM(J59:J68)</f>
        <v>522</v>
      </c>
      <c r="K69" s="341" t="s">
        <v>14</v>
      </c>
      <c r="L69" s="336">
        <f>SUM(L59:L68)</f>
        <v>0</v>
      </c>
      <c r="M69" s="334">
        <f>SUM(M59:M68)</f>
        <v>374</v>
      </c>
      <c r="N69" s="341" t="s">
        <v>14</v>
      </c>
      <c r="O69" s="336">
        <f>SUM(O59:O68)</f>
        <v>0</v>
      </c>
      <c r="P69" s="334">
        <f>SUM(P59:P68)</f>
        <v>492</v>
      </c>
      <c r="Q69" s="341" t="s">
        <v>14</v>
      </c>
      <c r="R69" s="336">
        <f>SUM(R59:R68)</f>
        <v>0</v>
      </c>
    </row>
    <row r="70" spans="2:18" ht="23.25" customHeight="1">
      <c r="B70" s="342"/>
      <c r="C70" s="343"/>
      <c r="D70" s="68" t="s">
        <v>10</v>
      </c>
      <c r="E70" s="69"/>
      <c r="F70" s="51">
        <f>+F69*10%</f>
        <v>0</v>
      </c>
      <c r="G70" s="70" t="s">
        <v>10</v>
      </c>
      <c r="H70" s="69"/>
      <c r="I70" s="51">
        <f>+I69*10%</f>
        <v>0</v>
      </c>
      <c r="J70" s="70" t="s">
        <v>10</v>
      </c>
      <c r="K70" s="69"/>
      <c r="L70" s="51">
        <f>+L69*10%</f>
        <v>0</v>
      </c>
      <c r="M70" s="70" t="s">
        <v>10</v>
      </c>
      <c r="N70" s="69"/>
      <c r="O70" s="51">
        <f>+O69*10%</f>
        <v>0</v>
      </c>
      <c r="P70" s="70" t="s">
        <v>10</v>
      </c>
      <c r="Q70" s="69"/>
      <c r="R70" s="51">
        <f>+R69*10%</f>
        <v>0</v>
      </c>
    </row>
    <row r="71" spans="2:18" ht="15" customHeight="1">
      <c r="B71" s="342"/>
      <c r="C71" s="343"/>
      <c r="D71" s="49" t="s">
        <v>40</v>
      </c>
      <c r="E71" s="50">
        <v>0.16</v>
      </c>
      <c r="F71" s="51">
        <f>+F70*E71</f>
        <v>0</v>
      </c>
      <c r="G71" s="52" t="s">
        <v>40</v>
      </c>
      <c r="H71" s="50">
        <v>0.16</v>
      </c>
      <c r="I71" s="51">
        <f>+I70*H71</f>
        <v>0</v>
      </c>
      <c r="J71" s="52" t="s">
        <v>40</v>
      </c>
      <c r="K71" s="50">
        <v>0.16</v>
      </c>
      <c r="L71" s="51">
        <f>+L70*K71</f>
        <v>0</v>
      </c>
      <c r="M71" s="52" t="s">
        <v>40</v>
      </c>
      <c r="N71" s="50">
        <v>0.16</v>
      </c>
      <c r="O71" s="51">
        <f>+O70*N71</f>
        <v>0</v>
      </c>
      <c r="P71" s="52" t="s">
        <v>40</v>
      </c>
      <c r="Q71" s="50">
        <v>0.16</v>
      </c>
      <c r="R71" s="51">
        <f>+R70*Q71</f>
        <v>0</v>
      </c>
    </row>
    <row r="72" spans="2:18" ht="48" customHeight="1">
      <c r="B72" s="342"/>
      <c r="C72" s="343"/>
      <c r="D72" s="66" t="s">
        <v>90</v>
      </c>
      <c r="E72" s="67"/>
      <c r="F72" s="53">
        <f>+ROUND(F69+F71,0)</f>
        <v>0</v>
      </c>
      <c r="G72" s="66" t="s">
        <v>91</v>
      </c>
      <c r="H72" s="67"/>
      <c r="I72" s="53">
        <f>+ROUND(I69+I71,0)</f>
        <v>0</v>
      </c>
      <c r="J72" s="66" t="s">
        <v>92</v>
      </c>
      <c r="K72" s="67"/>
      <c r="L72" s="53">
        <f>+ROUND(L69+L71,0)</f>
        <v>0</v>
      </c>
      <c r="M72" s="66" t="s">
        <v>93</v>
      </c>
      <c r="N72" s="67"/>
      <c r="O72" s="53">
        <f>+ROUND(O69+O71,0)</f>
        <v>0</v>
      </c>
      <c r="P72" s="66" t="s">
        <v>94</v>
      </c>
      <c r="Q72" s="67"/>
      <c r="R72" s="53">
        <f>+ROUND(R69+R71,0)</f>
        <v>0</v>
      </c>
    </row>
    <row r="73" spans="2:18">
      <c r="C73" s="352"/>
      <c r="D73" s="353"/>
      <c r="F73" s="354"/>
      <c r="I73" s="354"/>
      <c r="L73" s="354"/>
      <c r="O73" s="354"/>
      <c r="R73" s="354"/>
    </row>
    <row r="74" spans="2:18" ht="40.5" customHeight="1">
      <c r="B74" s="342"/>
      <c r="C74" s="343"/>
      <c r="D74" s="64" t="s">
        <v>95</v>
      </c>
      <c r="E74" s="65"/>
      <c r="F74" s="53">
        <f>+F55+F72</f>
        <v>706455124</v>
      </c>
      <c r="G74" s="64" t="s">
        <v>96</v>
      </c>
      <c r="H74" s="65"/>
      <c r="I74" s="53">
        <f>+I55+I72</f>
        <v>522865315</v>
      </c>
      <c r="J74" s="64" t="s">
        <v>97</v>
      </c>
      <c r="K74" s="65"/>
      <c r="L74" s="53">
        <f>+L55+L72</f>
        <v>388068312</v>
      </c>
      <c r="M74" s="64" t="s">
        <v>98</v>
      </c>
      <c r="N74" s="65"/>
      <c r="O74" s="53">
        <f>+O55+O72</f>
        <v>332301234</v>
      </c>
      <c r="P74" s="64" t="s">
        <v>99</v>
      </c>
      <c r="Q74" s="65"/>
      <c r="R74" s="53">
        <f>+R55+R72</f>
        <v>396766662</v>
      </c>
    </row>
    <row r="75" spans="2:18">
      <c r="M75" s="355"/>
    </row>
    <row r="76" spans="2:18" ht="20.25" customHeight="1">
      <c r="B76" s="356" t="s">
        <v>280</v>
      </c>
      <c r="C76" s="357"/>
      <c r="D76" s="357"/>
      <c r="E76" s="357"/>
      <c r="F76" s="357"/>
      <c r="G76" s="357"/>
      <c r="H76" s="357"/>
      <c r="I76" s="357"/>
      <c r="J76" s="357"/>
      <c r="K76" s="358"/>
      <c r="L76" s="359"/>
      <c r="M76" s="360"/>
    </row>
    <row r="77" spans="2:18" ht="20.25" customHeight="1">
      <c r="B77" s="361"/>
      <c r="C77" s="362"/>
      <c r="D77" s="362"/>
      <c r="E77" s="362"/>
      <c r="F77" s="362"/>
      <c r="G77" s="362"/>
      <c r="H77" s="362"/>
      <c r="I77" s="362"/>
      <c r="J77" s="362"/>
      <c r="K77" s="363"/>
      <c r="L77" s="359"/>
      <c r="M77" s="360"/>
    </row>
    <row r="79" spans="2:18" s="14" customFormat="1" ht="15.75" customHeight="1">
      <c r="B79" s="76" t="s">
        <v>16</v>
      </c>
      <c r="C79" s="76"/>
      <c r="D79" s="76"/>
      <c r="E79" s="76"/>
      <c r="F79" s="76"/>
      <c r="G79" s="76"/>
      <c r="H79" s="76"/>
      <c r="I79" s="76"/>
      <c r="J79" s="76"/>
      <c r="K79" s="76"/>
    </row>
    <row r="80" spans="2:18" s="14" customFormat="1" ht="59.25" customHeight="1">
      <c r="B80" s="77" t="s">
        <v>17</v>
      </c>
      <c r="C80" s="77"/>
      <c r="D80" s="77"/>
      <c r="E80" s="77"/>
      <c r="F80" s="77"/>
      <c r="G80" s="77"/>
      <c r="H80" s="77"/>
      <c r="I80" s="77"/>
      <c r="J80" s="77"/>
      <c r="K80" s="77"/>
    </row>
    <row r="81" spans="2:11" s="14" customFormat="1" ht="57" customHeight="1">
      <c r="B81" s="77" t="s">
        <v>19</v>
      </c>
      <c r="C81" s="77"/>
      <c r="D81" s="77"/>
      <c r="E81" s="77"/>
      <c r="F81" s="77"/>
      <c r="G81" s="77"/>
      <c r="H81" s="77"/>
      <c r="I81" s="77"/>
      <c r="J81" s="77"/>
      <c r="K81" s="77"/>
    </row>
  </sheetData>
  <sheetProtection algorithmName="SHA-512" hashValue="0D1KMwkA7HbFQSjWpDmSohcIibN5IIqXEWjmrvQwSAkcI0k+VZZmxiCJoC4CFI4B+tnuufjy7+IuDbWollt8Og==" saltValue="ZSjZ0rnq/3pLuNQ+QnXTag==" spinCount="100000" sheet="1" objects="1" scenarios="1" selectLockedCells="1"/>
  <mergeCells count="95">
    <mergeCell ref="B2:K7"/>
    <mergeCell ref="B9:K9"/>
    <mergeCell ref="D22:F22"/>
    <mergeCell ref="G22:I22"/>
    <mergeCell ref="B81:K81"/>
    <mergeCell ref="B56:H56"/>
    <mergeCell ref="B62:C62"/>
    <mergeCell ref="B63:C63"/>
    <mergeCell ref="B64:C64"/>
    <mergeCell ref="B65:C65"/>
    <mergeCell ref="B76:K77"/>
    <mergeCell ref="B15:K15"/>
    <mergeCell ref="B16:K16"/>
    <mergeCell ref="B79:K79"/>
    <mergeCell ref="B80:K80"/>
    <mergeCell ref="I10:K10"/>
    <mergeCell ref="I11:K11"/>
    <mergeCell ref="I12:K12"/>
    <mergeCell ref="E10:G10"/>
    <mergeCell ref="E11:G11"/>
    <mergeCell ref="E12:G12"/>
    <mergeCell ref="B19:D19"/>
    <mergeCell ref="B20:D20"/>
    <mergeCell ref="B14:K14"/>
    <mergeCell ref="B66:C66"/>
    <mergeCell ref="B67:C67"/>
    <mergeCell ref="B68:C68"/>
    <mergeCell ref="B58:C58"/>
    <mergeCell ref="B59:C59"/>
    <mergeCell ref="B60:C60"/>
    <mergeCell ref="B61:C61"/>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D53:E53"/>
    <mergeCell ref="D55:E55"/>
    <mergeCell ref="B48:C48"/>
    <mergeCell ref="B49:C49"/>
    <mergeCell ref="B50:C50"/>
    <mergeCell ref="B51:C51"/>
    <mergeCell ref="B52:C52"/>
    <mergeCell ref="G53:H53"/>
    <mergeCell ref="G55:H55"/>
    <mergeCell ref="J22:L22"/>
    <mergeCell ref="J53:K53"/>
    <mergeCell ref="J55:K55"/>
    <mergeCell ref="M22:O22"/>
    <mergeCell ref="M53:N53"/>
    <mergeCell ref="M55:N55"/>
    <mergeCell ref="P22:R22"/>
    <mergeCell ref="P53:Q53"/>
    <mergeCell ref="P55:Q55"/>
    <mergeCell ref="P70:Q70"/>
    <mergeCell ref="D57:F57"/>
    <mergeCell ref="G57:I57"/>
    <mergeCell ref="J57:L57"/>
    <mergeCell ref="M57:O57"/>
    <mergeCell ref="P57:R57"/>
    <mergeCell ref="B69:C69"/>
    <mergeCell ref="D70:E70"/>
    <mergeCell ref="G70:H70"/>
    <mergeCell ref="J70:K70"/>
    <mergeCell ref="M70:N70"/>
    <mergeCell ref="D72:E72"/>
    <mergeCell ref="G72:H72"/>
    <mergeCell ref="J72:K72"/>
    <mergeCell ref="M72:N72"/>
    <mergeCell ref="P72:Q72"/>
    <mergeCell ref="D74:E74"/>
    <mergeCell ref="G74:H74"/>
    <mergeCell ref="J74:K74"/>
    <mergeCell ref="M74:N74"/>
    <mergeCell ref="P74:Q74"/>
  </mergeCells>
  <pageMargins left="0.23622047244094491" right="0.23622047244094491" top="0.74803149606299213" bottom="0.74803149606299213" header="0.31496062992125984" footer="0.31496062992125984"/>
  <pageSetup scale="45" orientation="landscape" r:id="rId1"/>
  <rowBreaks count="1" manualBreakCount="1">
    <brk id="55" min="1" max="1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B2:F16"/>
  <sheetViews>
    <sheetView showGridLines="0" zoomScale="80" zoomScaleNormal="80" workbookViewId="0">
      <selection activeCell="C6" sqref="C6"/>
    </sheetView>
  </sheetViews>
  <sheetFormatPr baseColWidth="10" defaultRowHeight="15"/>
  <cols>
    <col min="1" max="1" width="4.5703125" style="368" customWidth="1"/>
    <col min="2" max="2" width="70.140625" style="368" customWidth="1"/>
    <col min="3" max="6" width="20.7109375" style="368" customWidth="1"/>
    <col min="7" max="16384" width="11.42578125" style="368"/>
  </cols>
  <sheetData>
    <row r="2" spans="2:6">
      <c r="B2" s="367" t="s">
        <v>287</v>
      </c>
      <c r="C2" s="367"/>
      <c r="D2" s="367"/>
      <c r="E2" s="367"/>
      <c r="F2" s="367"/>
    </row>
    <row r="3" spans="2:6">
      <c r="B3" s="367"/>
      <c r="C3" s="367"/>
      <c r="D3" s="367"/>
      <c r="E3" s="367"/>
      <c r="F3" s="367"/>
    </row>
    <row r="5" spans="2:6" ht="29.25" customHeight="1">
      <c r="B5" s="369" t="s">
        <v>89</v>
      </c>
      <c r="C5" s="370" t="s">
        <v>284</v>
      </c>
      <c r="D5" s="371" t="s">
        <v>283</v>
      </c>
      <c r="E5" s="372" t="s">
        <v>285</v>
      </c>
      <c r="F5" s="371" t="s">
        <v>286</v>
      </c>
    </row>
    <row r="6" spans="2:6" ht="24.75" customHeight="1">
      <c r="B6" s="373" t="s">
        <v>269</v>
      </c>
      <c r="C6" s="376"/>
      <c r="D6" s="377"/>
      <c r="E6" s="378"/>
      <c r="F6" s="377"/>
    </row>
    <row r="7" spans="2:6" ht="24.75" customHeight="1">
      <c r="B7" s="373" t="s">
        <v>270</v>
      </c>
      <c r="C7" s="376"/>
      <c r="D7" s="377"/>
      <c r="E7" s="378"/>
      <c r="F7" s="377"/>
    </row>
    <row r="8" spans="2:6" ht="24.75" customHeight="1">
      <c r="B8" s="373" t="s">
        <v>271</v>
      </c>
      <c r="C8" s="376"/>
      <c r="D8" s="377"/>
      <c r="E8" s="378"/>
      <c r="F8" s="377"/>
    </row>
    <row r="9" spans="2:6" ht="24.75" customHeight="1">
      <c r="B9" s="373" t="s">
        <v>12</v>
      </c>
      <c r="C9" s="376"/>
      <c r="D9" s="377"/>
      <c r="E9" s="378"/>
      <c r="F9" s="377"/>
    </row>
    <row r="10" spans="2:6" ht="24.75" customHeight="1">
      <c r="B10" s="373" t="s">
        <v>272</v>
      </c>
      <c r="C10" s="376"/>
      <c r="D10" s="377"/>
      <c r="E10" s="378"/>
      <c r="F10" s="377"/>
    </row>
    <row r="11" spans="2:6" ht="24.75" customHeight="1">
      <c r="B11" s="373" t="s">
        <v>273</v>
      </c>
      <c r="C11" s="376"/>
      <c r="D11" s="377"/>
      <c r="E11" s="378"/>
      <c r="F11" s="377"/>
    </row>
    <row r="12" spans="2:6" ht="53.25" customHeight="1">
      <c r="B12" s="373" t="s">
        <v>274</v>
      </c>
      <c r="C12" s="376"/>
      <c r="D12" s="377"/>
      <c r="E12" s="378"/>
      <c r="F12" s="377"/>
    </row>
    <row r="13" spans="2:6" ht="24.75" customHeight="1">
      <c r="B13" s="374" t="s">
        <v>275</v>
      </c>
      <c r="C13" s="376"/>
      <c r="D13" s="377"/>
      <c r="E13" s="378"/>
      <c r="F13" s="377"/>
    </row>
    <row r="14" spans="2:6" ht="24.75" customHeight="1">
      <c r="B14" s="375" t="s">
        <v>276</v>
      </c>
      <c r="C14" s="376"/>
      <c r="D14" s="377"/>
      <c r="E14" s="378"/>
      <c r="F14" s="377"/>
    </row>
    <row r="15" spans="2:6" ht="30.75" customHeight="1">
      <c r="B15" s="375" t="s">
        <v>281</v>
      </c>
      <c r="C15" s="376"/>
      <c r="D15" s="377"/>
      <c r="E15" s="378"/>
      <c r="F15" s="377"/>
    </row>
    <row r="16" spans="2:6" ht="24.75" customHeight="1"/>
  </sheetData>
  <sheetProtection algorithmName="SHA-512" hashValue="7d/eHBIwSg2MYwEXAbek3bEQpomfqehAXFCNnNfuT9Y3IhP+kg002RhUcipPbBEF6Oh3QYpLynS3hLRWprMfaQ==" saltValue="EtQEi0XlJCSRuvOGH5vFDw==" spinCount="100000" sheet="1" objects="1" scenarios="1" selectLockedCells="1"/>
  <mergeCells count="1">
    <mergeCell ref="B2:F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showGridLines="0" showRowColHeaders="0" zoomScale="80" zoomScaleNormal="80" workbookViewId="0">
      <selection activeCell="B42" sqref="B42:L42"/>
    </sheetView>
  </sheetViews>
  <sheetFormatPr baseColWidth="10" defaultColWidth="0" defaultRowHeight="12.75" customHeight="1" zeroHeight="1"/>
  <cols>
    <col min="1" max="1" width="4" style="264" customWidth="1"/>
    <col min="2" max="2" width="47.42578125" style="264" customWidth="1"/>
    <col min="3" max="3" width="7.140625" style="264" bestFit="1" customWidth="1"/>
    <col min="4" max="4" width="11.42578125" style="264" customWidth="1"/>
    <col min="5" max="5" width="21" style="265" customWidth="1"/>
    <col min="6" max="7" width="11.42578125" style="264" customWidth="1"/>
    <col min="8" max="8" width="4.28515625" style="264" customWidth="1"/>
    <col min="9" max="16384" width="11.42578125" style="264" hidden="1"/>
  </cols>
  <sheetData>
    <row r="1" spans="2:7"/>
    <row r="2" spans="2:7" s="271" customFormat="1" ht="15" customHeight="1">
      <c r="B2" s="266"/>
      <c r="C2" s="267"/>
      <c r="D2" s="267"/>
      <c r="E2" s="268"/>
      <c r="F2" s="269"/>
      <c r="G2" s="270"/>
    </row>
    <row r="3" spans="2:7" s="271" customFormat="1" ht="15" customHeight="1">
      <c r="B3" s="272"/>
      <c r="C3" s="273"/>
      <c r="D3" s="273"/>
      <c r="E3" s="274"/>
      <c r="F3" s="275"/>
      <c r="G3" s="276"/>
    </row>
    <row r="4" spans="2:7" s="271" customFormat="1" ht="15.75" customHeight="1">
      <c r="B4" s="272"/>
      <c r="C4" s="273"/>
      <c r="D4" s="273"/>
      <c r="E4" s="274"/>
      <c r="F4" s="275"/>
      <c r="G4" s="276"/>
    </row>
    <row r="5" spans="2:7" s="271" customFormat="1" ht="15.75" customHeight="1">
      <c r="B5" s="272"/>
      <c r="C5" s="273"/>
      <c r="D5" s="273"/>
      <c r="E5" s="274"/>
      <c r="F5" s="275"/>
      <c r="G5" s="276"/>
    </row>
    <row r="6" spans="2:7" s="271" customFormat="1" ht="15.75" customHeight="1">
      <c r="B6" s="272"/>
      <c r="C6" s="273"/>
      <c r="D6" s="273"/>
      <c r="E6" s="274"/>
      <c r="G6" s="277"/>
    </row>
    <row r="7" spans="2:7" s="271" customFormat="1" ht="15.75" customHeight="1">
      <c r="B7" s="272"/>
      <c r="C7" s="273"/>
      <c r="D7" s="273"/>
      <c r="E7" s="274"/>
      <c r="G7" s="277"/>
    </row>
    <row r="8" spans="2:7" s="271" customFormat="1" ht="15.75" customHeight="1">
      <c r="B8" s="272"/>
      <c r="C8" s="273"/>
      <c r="D8" s="273"/>
      <c r="E8" s="274"/>
      <c r="G8" s="277"/>
    </row>
    <row r="9" spans="2:7" s="271" customFormat="1" ht="9" customHeight="1">
      <c r="B9" s="278" t="s">
        <v>241</v>
      </c>
      <c r="C9" s="279"/>
      <c r="D9" s="279"/>
      <c r="E9" s="279"/>
      <c r="F9" s="279"/>
      <c r="G9" s="280"/>
    </row>
    <row r="10" spans="2:7" s="271" customFormat="1" ht="9" customHeight="1">
      <c r="B10" s="281"/>
      <c r="C10" s="282"/>
      <c r="D10" s="282"/>
      <c r="E10" s="282"/>
      <c r="F10" s="282"/>
      <c r="G10" s="283"/>
    </row>
    <row r="11" spans="2:7" s="288" customFormat="1" ht="15.75" customHeight="1">
      <c r="B11" s="284"/>
      <c r="C11" s="285"/>
      <c r="D11" s="285"/>
      <c r="E11" s="286"/>
      <c r="F11" s="285"/>
      <c r="G11" s="287"/>
    </row>
    <row r="12" spans="2:7" s="288" customFormat="1" ht="34.5" customHeight="1">
      <c r="B12" s="289" t="s">
        <v>242</v>
      </c>
      <c r="C12" s="290"/>
      <c r="D12" s="290"/>
      <c r="E12" s="290"/>
      <c r="F12" s="290"/>
      <c r="G12" s="291"/>
    </row>
    <row r="13" spans="2:7">
      <c r="B13" s="292"/>
      <c r="C13" s="293"/>
      <c r="D13" s="293"/>
      <c r="E13" s="294"/>
      <c r="F13" s="293"/>
      <c r="G13" s="295"/>
    </row>
    <row r="14" spans="2:7">
      <c r="B14" s="296" t="s">
        <v>243</v>
      </c>
      <c r="C14" s="293"/>
      <c r="D14" s="293"/>
      <c r="E14" s="294"/>
      <c r="F14" s="293"/>
      <c r="G14" s="295"/>
    </row>
    <row r="15" spans="2:7">
      <c r="B15" s="297"/>
      <c r="C15" s="298"/>
      <c r="D15" s="298"/>
      <c r="E15" s="299"/>
      <c r="F15" s="298"/>
      <c r="G15" s="300"/>
    </row>
    <row r="16" spans="2:7" ht="25.5">
      <c r="B16" s="301" t="s">
        <v>244</v>
      </c>
      <c r="C16" s="301"/>
      <c r="D16" s="302" t="s">
        <v>245</v>
      </c>
      <c r="E16" s="301" t="s">
        <v>246</v>
      </c>
      <c r="F16" s="301"/>
      <c r="G16" s="301"/>
    </row>
    <row r="17" spans="2:7" ht="22.5" customHeight="1">
      <c r="B17" s="303" t="s">
        <v>247</v>
      </c>
      <c r="C17" s="303"/>
      <c r="D17" s="304">
        <v>0.1</v>
      </c>
      <c r="E17" s="305" t="s">
        <v>248</v>
      </c>
      <c r="F17" s="305"/>
      <c r="G17" s="305"/>
    </row>
    <row r="18" spans="2:7" ht="28.5" customHeight="1">
      <c r="B18" s="303" t="s">
        <v>249</v>
      </c>
      <c r="C18" s="303"/>
      <c r="D18" s="304">
        <v>0.2</v>
      </c>
      <c r="E18" s="306" t="s">
        <v>250</v>
      </c>
      <c r="F18" s="306"/>
      <c r="G18" s="306"/>
    </row>
    <row r="19" spans="2:7" ht="29.25" customHeight="1">
      <c r="B19" s="303" t="s">
        <v>251</v>
      </c>
      <c r="C19" s="303"/>
      <c r="D19" s="304">
        <v>0.1</v>
      </c>
      <c r="E19" s="306" t="s">
        <v>252</v>
      </c>
      <c r="F19" s="306"/>
      <c r="G19" s="306"/>
    </row>
    <row r="20" spans="2:7" ht="25.5" customHeight="1">
      <c r="B20" s="303" t="s">
        <v>253</v>
      </c>
      <c r="C20" s="303"/>
      <c r="D20" s="304">
        <v>0.2</v>
      </c>
      <c r="E20" s="306" t="s">
        <v>250</v>
      </c>
      <c r="F20" s="306"/>
      <c r="G20" s="306"/>
    </row>
    <row r="21" spans="2:7" ht="23.25" customHeight="1">
      <c r="B21" s="307" t="s">
        <v>254</v>
      </c>
      <c r="C21" s="308"/>
      <c r="D21" s="304">
        <v>0.1</v>
      </c>
      <c r="E21" s="305" t="s">
        <v>248</v>
      </c>
      <c r="F21" s="305"/>
      <c r="G21" s="305"/>
    </row>
    <row r="22" spans="2:7" ht="27" customHeight="1">
      <c r="B22" s="264" t="s">
        <v>255</v>
      </c>
    </row>
    <row r="23" spans="2:7"/>
  </sheetData>
  <sheetProtection algorithmName="SHA-512" hashValue="Z7Aac5p0ll6HGIskflXadPdiBVwEWYVtRD+7q770IaYfRgBmlclbALNh3gpF/do2hq24fpwgji1166N3c1hCiA==" saltValue="djAajjKGgXTn8+LgGAiobg==" spinCount="100000" sheet="1" objects="1" scenarios="1" selectLockedCells="1" selectUnlockedCells="1"/>
  <mergeCells count="14">
    <mergeCell ref="B21:C21"/>
    <mergeCell ref="E21:G21"/>
    <mergeCell ref="B18:C18"/>
    <mergeCell ref="E18:G18"/>
    <mergeCell ref="B19:C19"/>
    <mergeCell ref="E19:G19"/>
    <mergeCell ref="B20:C20"/>
    <mergeCell ref="E20:G20"/>
    <mergeCell ref="B9:G10"/>
    <mergeCell ref="B12:G12"/>
    <mergeCell ref="B16:C16"/>
    <mergeCell ref="E16:G16"/>
    <mergeCell ref="B17:C17"/>
    <mergeCell ref="E17:G17"/>
  </mergeCells>
  <printOptions horizontalCentered="1"/>
  <pageMargins left="0.70866141732283472" right="0.70866141732283472" top="0.74803149606299213" bottom="0.74803149606299213" header="0.31496062992125984" footer="0.31496062992125984"/>
  <pageSetup orientation="landscape" r:id="rId1"/>
  <headerFooter>
    <oddFooter>&amp;C&amp;"Arial,Normal"&amp;8&amp;P/&amp;N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B1:J91"/>
  <sheetViews>
    <sheetView showGridLines="0" zoomScale="80" zoomScaleNormal="80" workbookViewId="0">
      <selection activeCell="B13" sqref="B13"/>
    </sheetView>
  </sheetViews>
  <sheetFormatPr baseColWidth="10" defaultColWidth="11.42578125" defaultRowHeight="14.25" customHeight="1" zeroHeight="1"/>
  <cols>
    <col min="1" max="1" width="2.28515625" style="5" customWidth="1"/>
    <col min="2" max="2" width="11.28515625" style="5" customWidth="1"/>
    <col min="3" max="3" width="24.85546875" style="5" customWidth="1"/>
    <col min="4" max="4" width="13.28515625" style="5" customWidth="1"/>
    <col min="5" max="5" width="60.42578125" style="5" customWidth="1"/>
    <col min="6" max="6" width="16.5703125" style="5" customWidth="1"/>
    <col min="7" max="7" width="13.140625" style="5" customWidth="1"/>
    <col min="8" max="8" width="19.5703125" style="5" customWidth="1"/>
    <col min="9" max="9" width="14.5703125" style="5" customWidth="1"/>
    <col min="10" max="10" width="24.85546875" style="5" customWidth="1"/>
    <col min="11" max="11" width="3" style="5" customWidth="1"/>
    <col min="12" max="17" width="11.42578125" style="5" customWidth="1"/>
    <col min="18" max="16384" width="11.42578125" style="5"/>
  </cols>
  <sheetData>
    <row r="1" spans="2:10" ht="12.75"/>
    <row r="2" spans="2:10" ht="6" customHeight="1">
      <c r="B2" s="309"/>
      <c r="C2" s="309"/>
      <c r="D2" s="309"/>
      <c r="E2" s="309"/>
      <c r="F2" s="309"/>
      <c r="G2" s="309"/>
      <c r="H2" s="309"/>
      <c r="I2" s="309"/>
      <c r="J2" s="309"/>
    </row>
    <row r="3" spans="2:10" ht="15.75" customHeight="1">
      <c r="B3" s="309"/>
      <c r="C3" s="309"/>
      <c r="D3" s="309"/>
      <c r="E3" s="309"/>
      <c r="F3" s="309"/>
      <c r="G3" s="309"/>
      <c r="H3" s="309"/>
      <c r="I3" s="309"/>
      <c r="J3" s="309"/>
    </row>
    <row r="4" spans="2:10" ht="15.75" customHeight="1">
      <c r="B4" s="309"/>
      <c r="C4" s="309"/>
      <c r="D4" s="309"/>
      <c r="E4" s="309"/>
      <c r="F4" s="309"/>
      <c r="G4" s="309"/>
      <c r="H4" s="309"/>
      <c r="I4" s="309"/>
      <c r="J4" s="309"/>
    </row>
    <row r="5" spans="2:10" ht="15.75" customHeight="1">
      <c r="B5" s="309"/>
      <c r="C5" s="309"/>
      <c r="D5" s="309"/>
      <c r="E5" s="309"/>
      <c r="F5" s="309"/>
      <c r="G5" s="309"/>
      <c r="H5" s="309"/>
      <c r="I5" s="309"/>
      <c r="J5" s="309"/>
    </row>
    <row r="6" spans="2:10" ht="15.75" customHeight="1">
      <c r="B6" s="309"/>
      <c r="C6" s="309"/>
      <c r="D6" s="309"/>
      <c r="E6" s="309"/>
      <c r="F6" s="309"/>
      <c r="G6" s="309"/>
      <c r="H6" s="309"/>
      <c r="I6" s="309"/>
      <c r="J6" s="309"/>
    </row>
    <row r="7" spans="2:10" ht="12.75">
      <c r="B7" s="309"/>
      <c r="C7" s="309"/>
      <c r="D7" s="309"/>
      <c r="E7" s="309"/>
      <c r="F7" s="309"/>
      <c r="G7" s="309"/>
      <c r="H7" s="309"/>
      <c r="I7" s="309"/>
      <c r="J7" s="309"/>
    </row>
    <row r="8" spans="2:10" ht="12.75">
      <c r="B8" s="309" t="s">
        <v>256</v>
      </c>
      <c r="C8" s="309"/>
      <c r="D8" s="309"/>
      <c r="E8" s="309"/>
      <c r="F8" s="309"/>
      <c r="G8" s="309"/>
      <c r="H8" s="309"/>
      <c r="I8" s="309"/>
      <c r="J8" s="309"/>
    </row>
    <row r="9" spans="2:10" ht="18" customHeight="1">
      <c r="B9" s="310" t="s">
        <v>257</v>
      </c>
      <c r="C9" s="311"/>
      <c r="D9" s="311"/>
      <c r="E9" s="311"/>
      <c r="F9" s="311"/>
      <c r="G9" s="311"/>
      <c r="H9" s="311"/>
      <c r="I9" s="311"/>
      <c r="J9" s="312"/>
    </row>
    <row r="10" spans="2:10" s="314" customFormat="1" ht="9.75" customHeight="1">
      <c r="B10" s="313"/>
      <c r="C10" s="313"/>
      <c r="D10" s="313"/>
      <c r="E10" s="313"/>
      <c r="F10" s="313"/>
      <c r="G10" s="313"/>
      <c r="H10" s="313"/>
      <c r="I10" s="313"/>
      <c r="J10" s="313"/>
    </row>
    <row r="11" spans="2:10" ht="25.5" customHeight="1">
      <c r="B11" s="315" t="s">
        <v>258</v>
      </c>
      <c r="C11" s="315"/>
      <c r="D11" s="315"/>
      <c r="E11" s="315"/>
      <c r="F11" s="315"/>
      <c r="G11" s="315"/>
      <c r="H11" s="315"/>
      <c r="I11" s="315"/>
      <c r="J11" s="315"/>
    </row>
    <row r="12" spans="2:10" ht="9.75" customHeight="1">
      <c r="B12" s="316"/>
      <c r="C12" s="317"/>
      <c r="D12" s="317"/>
      <c r="E12" s="317"/>
      <c r="F12" s="317"/>
      <c r="G12" s="317"/>
      <c r="H12" s="317"/>
      <c r="I12" s="317"/>
      <c r="J12" s="317"/>
    </row>
    <row r="13" spans="2:10" ht="51">
      <c r="B13" s="318" t="s">
        <v>259</v>
      </c>
      <c r="C13" s="318" t="s">
        <v>260</v>
      </c>
      <c r="D13" s="318" t="s">
        <v>261</v>
      </c>
      <c r="E13" s="318" t="s">
        <v>262</v>
      </c>
      <c r="F13" s="318" t="s">
        <v>263</v>
      </c>
      <c r="G13" s="318" t="s">
        <v>264</v>
      </c>
      <c r="H13" s="318" t="s">
        <v>265</v>
      </c>
      <c r="I13" s="318" t="s">
        <v>266</v>
      </c>
      <c r="J13" s="318" t="s">
        <v>267</v>
      </c>
    </row>
    <row r="14" spans="2:10" ht="23.25" customHeight="1">
      <c r="B14" s="319"/>
      <c r="C14" s="319"/>
      <c r="D14" s="319"/>
      <c r="E14" s="319"/>
      <c r="F14" s="320"/>
      <c r="G14" s="319"/>
      <c r="H14" s="319"/>
      <c r="I14" s="319"/>
      <c r="J14" s="321"/>
    </row>
    <row r="15" spans="2:10" ht="23.25" customHeight="1">
      <c r="B15" s="319"/>
      <c r="C15" s="319"/>
      <c r="D15" s="319"/>
      <c r="E15" s="319"/>
      <c r="F15" s="320"/>
      <c r="G15" s="319"/>
      <c r="H15" s="319"/>
      <c r="I15" s="319"/>
      <c r="J15" s="321"/>
    </row>
    <row r="16" spans="2:10" ht="23.25" customHeight="1">
      <c r="B16" s="319"/>
      <c r="C16" s="319"/>
      <c r="D16" s="319"/>
      <c r="E16" s="319"/>
      <c r="F16" s="320"/>
      <c r="G16" s="319"/>
      <c r="H16" s="319"/>
      <c r="I16" s="319"/>
      <c r="J16" s="321"/>
    </row>
    <row r="17" spans="2:10" ht="23.25" customHeight="1">
      <c r="B17" s="319"/>
      <c r="C17" s="319"/>
      <c r="D17" s="319"/>
      <c r="E17" s="319"/>
      <c r="F17" s="320"/>
      <c r="G17" s="319"/>
      <c r="H17" s="319"/>
      <c r="I17" s="319"/>
      <c r="J17" s="321"/>
    </row>
    <row r="18" spans="2:10" ht="23.25" customHeight="1">
      <c r="B18" s="319"/>
      <c r="C18" s="319"/>
      <c r="D18" s="319"/>
      <c r="E18" s="319"/>
      <c r="F18" s="320"/>
      <c r="G18" s="319"/>
      <c r="H18" s="319"/>
      <c r="I18" s="319"/>
      <c r="J18" s="321"/>
    </row>
    <row r="19" spans="2:10" ht="23.25" customHeight="1">
      <c r="B19" s="319"/>
      <c r="C19" s="319"/>
      <c r="D19" s="319"/>
      <c r="E19" s="319"/>
      <c r="F19" s="320"/>
      <c r="G19" s="319"/>
      <c r="H19" s="319"/>
      <c r="I19" s="319"/>
      <c r="J19" s="321"/>
    </row>
    <row r="20" spans="2:10" ht="23.25" customHeight="1">
      <c r="B20" s="319"/>
      <c r="C20" s="319"/>
      <c r="D20" s="319"/>
      <c r="E20" s="319"/>
      <c r="F20" s="320"/>
      <c r="G20" s="319"/>
      <c r="H20" s="319"/>
      <c r="I20" s="319"/>
      <c r="J20" s="321"/>
    </row>
    <row r="21" spans="2:10" ht="23.25" customHeight="1">
      <c r="B21" s="319"/>
      <c r="C21" s="319"/>
      <c r="D21" s="319"/>
      <c r="E21" s="319"/>
      <c r="F21" s="320"/>
      <c r="G21" s="319"/>
      <c r="H21" s="319"/>
      <c r="I21" s="319"/>
      <c r="J21" s="321"/>
    </row>
    <row r="22" spans="2:10" ht="23.25" customHeight="1">
      <c r="B22" s="319"/>
      <c r="C22" s="319"/>
      <c r="D22" s="319"/>
      <c r="E22" s="319"/>
      <c r="F22" s="320"/>
      <c r="G22" s="319"/>
      <c r="H22" s="319"/>
      <c r="I22" s="319"/>
      <c r="J22" s="321"/>
    </row>
    <row r="23" spans="2:10" ht="23.25" customHeight="1">
      <c r="B23" s="319"/>
      <c r="C23" s="319"/>
      <c r="D23" s="319"/>
      <c r="E23" s="319"/>
      <c r="F23" s="320"/>
      <c r="G23" s="319"/>
      <c r="H23" s="319"/>
      <c r="I23" s="319"/>
      <c r="J23" s="321"/>
    </row>
    <row r="24" spans="2:10" ht="12.75">
      <c r="B24" s="322"/>
      <c r="C24" s="323"/>
      <c r="D24" s="322"/>
      <c r="E24" s="323"/>
      <c r="F24" s="324"/>
      <c r="G24" s="325"/>
      <c r="H24" s="325"/>
      <c r="I24" s="325"/>
      <c r="J24" s="326"/>
    </row>
    <row r="25" spans="2:10" ht="12.75">
      <c r="B25" s="5" t="s">
        <v>268</v>
      </c>
    </row>
    <row r="26" spans="2:10" ht="12.75"/>
    <row r="27" spans="2:10" ht="12.75" hidden="1"/>
    <row r="28" spans="2:10" ht="12.75" hidden="1"/>
    <row r="29" spans="2:10" ht="12.75" hidden="1"/>
    <row r="30" spans="2:10" ht="12.75" hidden="1"/>
    <row r="31" spans="2:10" ht="12.75" hidden="1"/>
    <row r="32" spans="2:10" ht="12.75" hidden="1"/>
    <row r="33" ht="12.75" hidden="1"/>
    <row r="34" ht="12.75" hidden="1"/>
    <row r="35" ht="12.75" hidden="1"/>
    <row r="36" ht="12.75" hidden="1"/>
    <row r="37" ht="12.75" hidden="1"/>
    <row r="38" ht="12.75" hidden="1"/>
    <row r="39" ht="12.75" hidden="1"/>
    <row r="40" ht="12.75" hidden="1"/>
    <row r="41" ht="12.75" hidden="1"/>
    <row r="42" ht="12.75" hidden="1"/>
    <row r="43" ht="12.75" hidden="1"/>
    <row r="44" ht="12.75" hidden="1"/>
    <row r="45" ht="12.75" hidden="1"/>
    <row r="46" ht="12.75" hidden="1"/>
    <row r="47" ht="12.75" hidden="1"/>
    <row r="48" ht="12.75" hidden="1"/>
    <row r="49" ht="12.75" hidden="1"/>
    <row r="50" ht="12.75" hidden="1"/>
    <row r="51" ht="12.75" hidden="1"/>
    <row r="52" ht="12.75" hidden="1"/>
    <row r="53" ht="12.75" hidden="1"/>
    <row r="54" ht="12.75" hidden="1"/>
    <row r="55" ht="12.75" hidden="1"/>
    <row r="56" ht="12.75" hidden="1"/>
    <row r="57" ht="12.75" hidden="1"/>
    <row r="58" ht="12.75" hidden="1"/>
    <row r="59" ht="12.75" hidden="1"/>
    <row r="60" ht="12.75" hidden="1"/>
    <row r="61" ht="12.75" hidden="1"/>
    <row r="62" ht="12.75" hidden="1"/>
    <row r="63" ht="12.75" hidden="1"/>
    <row r="64" ht="12.75" hidden="1"/>
    <row r="65" ht="12.75" hidden="1"/>
    <row r="66" ht="12.75" hidden="1"/>
    <row r="67" ht="12.75" hidden="1"/>
    <row r="68" ht="12.75" hidden="1"/>
    <row r="69" ht="12.75" hidden="1"/>
    <row r="70" ht="12.75" hidden="1"/>
    <row r="71" ht="12.75" hidden="1"/>
    <row r="72" ht="12.75" hidden="1"/>
    <row r="73" ht="12.75" hidden="1"/>
    <row r="74" ht="12.75" hidden="1"/>
    <row r="75" ht="12.75" hidden="1"/>
    <row r="76" ht="12.75" hidden="1"/>
    <row r="77" ht="12.75" hidden="1"/>
    <row r="78" ht="12.75" hidden="1"/>
    <row r="79" ht="12.75" hidden="1"/>
    <row r="80" ht="12.75"/>
    <row r="81" ht="12.75"/>
    <row r="82" ht="12.75"/>
    <row r="83" ht="12.75"/>
    <row r="84" ht="14.25" customHeight="1"/>
    <row r="85" ht="14.25" customHeight="1"/>
    <row r="86" ht="14.25" customHeight="1"/>
    <row r="87" ht="14.25" customHeight="1"/>
    <row r="88" ht="14.25" customHeight="1"/>
    <row r="89" ht="14.25" customHeight="1"/>
    <row r="90" ht="14.25" customHeight="1"/>
    <row r="91" ht="14.25" customHeight="1"/>
  </sheetData>
  <sheetProtection algorithmName="SHA-512" hashValue="sgdTGBMxFWvr2BaNMRqFlTesltOdKkl6DygVqN+4QdZxOo16s3ZV28jab6x9x1No6305s+UPg0L9N8TEhgCwbQ==" saltValue="m0AGZ+ew+WeKI2IqsSR5yw==" spinCount="100000" sheet="1" objects="1" scenarios="1" insertRows="0"/>
  <mergeCells count="3">
    <mergeCell ref="B2:J8"/>
    <mergeCell ref="B9:J9"/>
    <mergeCell ref="B11:J11"/>
  </mergeCells>
  <dataValidations count="2">
    <dataValidation type="list" allowBlank="1" showInputMessage="1" showErrorMessage="1" sqref="B14:B23">
      <formula1>"Pública,Privada"</formula1>
    </dataValidation>
    <dataValidation type="list" allowBlank="1" showInputMessage="1" showErrorMessage="1" sqref="H14:H23">
      <formula1>"UT,Consorcio,Individual"</formula1>
    </dataValidation>
  </dataValidations>
  <printOptions horizontalCentered="1"/>
  <pageMargins left="0.23622047244094491" right="0.23622047244094491" top="0.74803149606299213" bottom="0.74803149606299213" header="0.31496062992125984" footer="0.31496062992125984"/>
  <pageSetup scale="67" orientation="landscape" r:id="rId1"/>
  <headerFooter>
    <oddFooter>&amp;C&amp;"Arial,Normal"&amp;8&amp;P/&amp;N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9</vt:i4>
      </vt:variant>
    </vt:vector>
  </HeadingPairs>
  <TitlesOfParts>
    <vt:vector size="16" baseType="lpstr">
      <vt:lpstr>Vigilancia 140904</vt:lpstr>
      <vt:lpstr> Circular 025 de 2014</vt:lpstr>
      <vt:lpstr>INFO GENERAL Y FINANCIERA</vt:lpstr>
      <vt:lpstr>FORMATO DE COTIZACIÓN</vt:lpstr>
      <vt:lpstr>Medios Tecnológicos</vt:lpstr>
      <vt:lpstr>POLIZAS</vt:lpstr>
      <vt:lpstr>INFO EXPERIENCIA</vt:lpstr>
      <vt:lpstr>'FORMATO DE COTIZACIÓN'!Área_de_impresión</vt:lpstr>
      <vt:lpstr>'INFO EXPERIENCIA'!Área_de_impresión</vt:lpstr>
      <vt:lpstr>'INFO GENERAL Y FINANCIERA'!Área_de_impresión</vt:lpstr>
      <vt:lpstr>POLIZAS!Área_de_impresión</vt:lpstr>
      <vt:lpstr>'Vigilancia 140904'!Área_de_impresión</vt:lpstr>
      <vt:lpstr>'FORMATO DE COTIZACIÓN'!Títulos_a_imprimir</vt:lpstr>
      <vt:lpstr>'INFO EXPERIENCIA'!Títulos_a_imprimir</vt:lpstr>
      <vt:lpstr>'INFO GENERAL Y FINANCIERA'!Títulos_a_imprimir</vt:lpstr>
      <vt:lpstr>'Vigilancia 140904'!Títulos_a_imprimir</vt:lpstr>
    </vt:vector>
  </TitlesOfParts>
  <Company>ICBF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Robinson Hernan Parada Barajas</cp:lastModifiedBy>
  <cp:lastPrinted>2014-09-05T17:26:51Z</cp:lastPrinted>
  <dcterms:created xsi:type="dcterms:W3CDTF">2013-08-22T20:49:37Z</dcterms:created>
  <dcterms:modified xsi:type="dcterms:W3CDTF">2014-09-05T17:44:47Z</dcterms:modified>
</cp:coreProperties>
</file>