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 firstSheet="2" activeTab="2"/>
  </bookViews>
  <sheets>
    <sheet name="CUPOS PROGRAMADOS 2018" sheetId="11" state="hidden" r:id="rId1"/>
    <sheet name="LISTAS" sheetId="5" state="hidden" r:id="rId2"/>
    <sheet name="Certificación Operador" sheetId="12" r:id="rId3"/>
    <sheet name="Certificación Supervisor" sheetId="9" r:id="rId4"/>
  </sheets>
  <definedNames>
    <definedName name="_xlnm._FilterDatabase" localSheetId="0" hidden="1">'CUPOS PROGRAMADOS 2018'!$A$3:$O$37</definedName>
    <definedName name="_xlnm._FilterDatabase" localSheetId="1" hidden="1">LISTAS!$A$3:$B$74</definedName>
    <definedName name="_xlnm.Print_Area" localSheetId="2">'Certificación Operador'!$A$2:$G$46</definedName>
    <definedName name="_xlnm.Print_Area" localSheetId="3">'Certificación Supervisor'!$A$1:$I$46</definedName>
    <definedName name="_xlnm.Print_Area" localSheetId="0">'CUPOS PROGRAMADOS 2018'!$B$3:$O$37</definedName>
  </definedNames>
  <calcPr calcId="152511"/>
</workbook>
</file>

<file path=xl/calcChain.xml><?xml version="1.0" encoding="utf-8"?>
<calcChain xmlns="http://schemas.openxmlformats.org/spreadsheetml/2006/main">
  <c r="D38" i="9" l="1"/>
  <c r="R18" i="9" l="1"/>
  <c r="Q18" i="9"/>
  <c r="P18" i="9"/>
  <c r="O18" i="9"/>
  <c r="N18" i="9"/>
  <c r="M18" i="9"/>
  <c r="N14" i="9" l="1"/>
  <c r="P18" i="12" l="1"/>
  <c r="O18" i="12"/>
  <c r="N18" i="12"/>
  <c r="M18" i="12"/>
  <c r="L18" i="12"/>
  <c r="K18" i="12"/>
  <c r="L14" i="12" l="1"/>
  <c r="E14" i="9"/>
  <c r="P74" i="5" l="1"/>
  <c r="K74" i="5"/>
  <c r="F74" i="5"/>
  <c r="P38" i="5" l="1"/>
  <c r="K38" i="5"/>
  <c r="F38" i="5"/>
  <c r="J4" i="12"/>
  <c r="C22" i="12"/>
  <c r="C33" i="11"/>
  <c r="C29" i="11"/>
  <c r="C20" i="11"/>
  <c r="C16" i="11"/>
  <c r="C13" i="11"/>
  <c r="C27" i="11"/>
  <c r="C23" i="11"/>
  <c r="C17" i="11"/>
  <c r="C11" i="11"/>
  <c r="C9" i="11"/>
  <c r="C5" i="11"/>
  <c r="C31" i="11"/>
  <c r="C15" i="11"/>
  <c r="C7" i="11"/>
  <c r="C36" i="11"/>
  <c r="C26" i="11"/>
  <c r="C24" i="11"/>
  <c r="C21" i="11"/>
  <c r="C14" i="11"/>
  <c r="C12" i="11"/>
  <c r="C25" i="11"/>
  <c r="C30" i="11"/>
  <c r="C22" i="11"/>
  <c r="C6" i="11"/>
  <c r="C35" i="11"/>
  <c r="C19" i="11"/>
  <c r="C34" i="11"/>
  <c r="C32" i="11"/>
  <c r="C28" i="11"/>
  <c r="C18" i="11"/>
  <c r="C10" i="11"/>
  <c r="C8" i="11"/>
  <c r="O37" i="11"/>
  <c r="N37" i="11"/>
  <c r="M37" i="11"/>
  <c r="J37" i="11"/>
  <c r="L37" i="11" l="1"/>
  <c r="K37" i="11"/>
  <c r="J4" i="9" l="1"/>
  <c r="C38" i="12" l="1"/>
  <c r="A31" i="12"/>
  <c r="E31" i="12" s="1"/>
  <c r="I26" i="12"/>
  <c r="A26" i="12"/>
  <c r="E26" i="12" s="1"/>
  <c r="A27" i="12" l="1"/>
  <c r="E27" i="12" s="1"/>
  <c r="A33" i="12"/>
  <c r="E33" i="12" s="1"/>
  <c r="A29" i="12"/>
  <c r="E29" i="12" s="1"/>
  <c r="A34" i="12"/>
  <c r="E34" i="12" s="1"/>
  <c r="A30" i="12"/>
  <c r="E30" i="12" s="1"/>
  <c r="A35" i="12"/>
  <c r="E35" i="12" s="1"/>
  <c r="A37" i="12"/>
  <c r="E37" i="12" s="1"/>
  <c r="A28" i="12"/>
  <c r="E28" i="12" s="1"/>
  <c r="A32" i="12"/>
  <c r="E32" i="12" s="1"/>
  <c r="A36" i="12"/>
  <c r="E36" i="12" s="1"/>
  <c r="B6" i="5" l="1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5" i="5"/>
  <c r="K17" i="12" l="1"/>
  <c r="K16" i="12"/>
  <c r="M17" i="9"/>
  <c r="A37" i="9"/>
  <c r="G37" i="9" s="1"/>
  <c r="A26" i="9"/>
  <c r="G26" i="9" s="1"/>
  <c r="A30" i="9"/>
  <c r="G30" i="9" s="1"/>
  <c r="A34" i="9"/>
  <c r="G34" i="9" s="1"/>
  <c r="A27" i="9"/>
  <c r="G27" i="9" s="1"/>
  <c r="A31" i="9"/>
  <c r="G31" i="9" s="1"/>
  <c r="A35" i="9"/>
  <c r="G35" i="9" s="1"/>
  <c r="A28" i="9"/>
  <c r="G28" i="9" s="1"/>
  <c r="A32" i="9"/>
  <c r="G32" i="9" s="1"/>
  <c r="A36" i="9"/>
  <c r="G36" i="9" s="1"/>
  <c r="A29" i="9"/>
  <c r="G29" i="9" s="1"/>
  <c r="A33" i="9"/>
  <c r="G33" i="9" s="1"/>
  <c r="M16" i="9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1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5" i="5"/>
  <c r="O74" i="5"/>
  <c r="J74" i="5"/>
  <c r="E74" i="5"/>
  <c r="O38" i="5"/>
  <c r="J38" i="5"/>
  <c r="E38" i="5"/>
  <c r="M17" i="12" l="1"/>
  <c r="M16" i="12"/>
  <c r="O16" i="12"/>
  <c r="O17" i="12"/>
  <c r="N16" i="12"/>
  <c r="N17" i="12"/>
  <c r="L17" i="12"/>
  <c r="L16" i="12"/>
  <c r="P16" i="12"/>
  <c r="P17" i="12"/>
  <c r="Q17" i="9"/>
  <c r="O16" i="9"/>
  <c r="N16" i="9"/>
  <c r="P17" i="9"/>
  <c r="R16" i="9"/>
  <c r="N17" i="9"/>
  <c r="Q16" i="9"/>
  <c r="O17" i="9"/>
  <c r="P16" i="9"/>
  <c r="R17" i="9"/>
  <c r="D44" i="11"/>
  <c r="I43" i="11"/>
  <c r="I42" i="11"/>
  <c r="I41" i="11"/>
  <c r="E49" i="11"/>
  <c r="E48" i="11"/>
  <c r="E55" i="11"/>
  <c r="E54" i="11"/>
  <c r="H37" i="11"/>
  <c r="G37" i="11"/>
  <c r="F37" i="11"/>
  <c r="E37" i="11"/>
  <c r="D37" i="11"/>
  <c r="C4" i="11"/>
  <c r="L15" i="12" l="1"/>
  <c r="N11" i="9"/>
  <c r="N15" i="9"/>
  <c r="L13" i="12"/>
  <c r="I44" i="11"/>
  <c r="I37" i="11"/>
  <c r="C37" i="11"/>
  <c r="C20" i="12" l="1"/>
  <c r="C19" i="12"/>
  <c r="I22" i="12" s="1"/>
  <c r="C19" i="9"/>
  <c r="K22" i="9" s="1"/>
  <c r="C20" i="9"/>
  <c r="D49" i="11"/>
  <c r="D55" i="11"/>
  <c r="D54" i="11"/>
  <c r="D56" i="11" s="1"/>
  <c r="D48" i="11"/>
  <c r="D50" i="11" s="1"/>
  <c r="C41" i="12" l="1"/>
  <c r="D58" i="11"/>
  <c r="D41" i="9" l="1"/>
  <c r="K26" i="9"/>
  <c r="C22" i="9"/>
  <c r="AC5" i="5" l="1"/>
  <c r="AD5" i="5" s="1"/>
</calcChain>
</file>

<file path=xl/sharedStrings.xml><?xml version="1.0" encoding="utf-8"?>
<sst xmlns="http://schemas.openxmlformats.org/spreadsheetml/2006/main" count="684" uniqueCount="206">
  <si>
    <t>CERTIFICA:</t>
  </si>
  <si>
    <t>CONVENCIONES</t>
  </si>
  <si>
    <t xml:space="preserve"># ENCUENTRO VIVENCIAL EN EL MES DE OPERACIÓN </t>
  </si>
  <si>
    <t>Nota 1: Es responsabilidad del contratista la validación de las cifras, así como la verificación y manipulación de las formulas</t>
  </si>
  <si>
    <t>Valor</t>
  </si>
  <si>
    <t>No. DE ENCUENTROS VIVENCIALES AL MES</t>
  </si>
  <si>
    <t>Modalidad</t>
  </si>
  <si>
    <t>EncuentrosContratados</t>
  </si>
  <si>
    <t>Mes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</si>
  <si>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</si>
  <si>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</si>
  <si>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</si>
  <si>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</si>
  <si>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</si>
  <si>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</si>
  <si>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</si>
  <si>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</si>
  <si>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</si>
  <si>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</si>
  <si>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</si>
  <si>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</si>
  <si>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(1) Regional:</t>
  </si>
  <si>
    <t>(1) :Seleccione el nombre de la Regional</t>
  </si>
  <si>
    <t>ANTIOQUIA</t>
  </si>
  <si>
    <t>ATLÁNTICO</t>
  </si>
  <si>
    <t>BOLÍVAR</t>
  </si>
  <si>
    <t>BOYACÁ</t>
  </si>
  <si>
    <t>CALDAS</t>
  </si>
  <si>
    <t>CAUCA</t>
  </si>
  <si>
    <t>CESAR</t>
  </si>
  <si>
    <t>CÓRDOBA</t>
  </si>
  <si>
    <t>CHOCÓ</t>
  </si>
  <si>
    <t>HUILA</t>
  </si>
  <si>
    <t>LA GUAJIRA</t>
  </si>
  <si>
    <t>MAGDALENA</t>
  </si>
  <si>
    <t>META</t>
  </si>
  <si>
    <t>NORTE DE SANTANDER</t>
  </si>
  <si>
    <t>RISARALDA</t>
  </si>
  <si>
    <t>SUCRE</t>
  </si>
  <si>
    <t>TOLIMA</t>
  </si>
  <si>
    <t>VALLE DEL CAUCA</t>
  </si>
  <si>
    <t>ARAUCA</t>
  </si>
  <si>
    <t>PUTUMAYO</t>
  </si>
  <si>
    <t>SAN ANDRÉS</t>
  </si>
  <si>
    <t>AMAZONAS</t>
  </si>
  <si>
    <t>GUAINÍA</t>
  </si>
  <si>
    <t>GUAVIARE</t>
  </si>
  <si>
    <t>VAUPÉS</t>
  </si>
  <si>
    <t>VICHADA</t>
  </si>
  <si>
    <t>BOGOTÁ</t>
  </si>
  <si>
    <t>CAQUETÁ</t>
  </si>
  <si>
    <t>CASANARE</t>
  </si>
  <si>
    <t>CUNDINAMARCA</t>
  </si>
  <si>
    <t>QUINDÍO</t>
  </si>
  <si>
    <t>SANTANDER</t>
  </si>
  <si>
    <t>Modalidad:</t>
  </si>
  <si>
    <t>(2) : Registre los datos el operador/contratista</t>
  </si>
  <si>
    <t xml:space="preserve"> Que los encuentros vivenciales operados por esta entidad, funcionaron normalmente de acuerdo a lineamientos, entre:</t>
  </si>
  <si>
    <t>(10) : En caso de requerirse, especifique el valor amortizado</t>
  </si>
  <si>
    <t>(10)AMORTIZACION ANTICIPO</t>
  </si>
  <si>
    <t>LAS 3 MODALIDADES, VICTIMAS Y NO VICTIMAS</t>
  </si>
  <si>
    <t>tradicional</t>
  </si>
  <si>
    <t>8 encuentros</t>
  </si>
  <si>
    <t>rural y etnicos</t>
  </si>
  <si>
    <t>12 encuentros</t>
  </si>
  <si>
    <t>No. de contrato</t>
  </si>
  <si>
    <t>nit</t>
  </si>
  <si>
    <t>TOTAL GCB</t>
  </si>
  <si>
    <t>Cod Reg</t>
  </si>
  <si>
    <t xml:space="preserve">Regional </t>
  </si>
  <si>
    <t>TOTAL COBERTURA</t>
  </si>
  <si>
    <t>Cobertura
No Victimas GCB</t>
  </si>
  <si>
    <t>Cobertura
No Victimas  GRCB</t>
  </si>
  <si>
    <t>Cobertura
No Victimas GECB</t>
  </si>
  <si>
    <t>Cobertura
Victimas GCB</t>
  </si>
  <si>
    <t>Cobertura
Victimas GRCB</t>
  </si>
  <si>
    <t>Cobertura
Victimas GECB</t>
  </si>
  <si>
    <t>COSTO CUPO MES DE ENCUENTROS VIVENCIALES No Victimas GCB</t>
  </si>
  <si>
    <t>COSTO CUPO MES DE ENCUENTROS VIVENCIALES No Victimas  GRCB</t>
  </si>
  <si>
    <t>COSTO CUPO MES DE ENCUENTROS VIVENCIALES No Victimas GECB</t>
  </si>
  <si>
    <t>COSTO CUPO MES DE ENCUENTROS VIVENCIALES Victimas GCB</t>
  </si>
  <si>
    <t>COSTO CUPO MES DE ENCUENTROS VIVENCIALES Victimas  GRCB</t>
  </si>
  <si>
    <t>COSTO CUPO MES DE ENCUENTROS VIVENCIALES Victimas GECB</t>
  </si>
  <si>
    <t>VALOR TOTAL No Victimas GCB</t>
  </si>
  <si>
    <t>VALOR TOTAL No Victimas  GRCB</t>
  </si>
  <si>
    <t>VALOR TOTAL  Victimas GCB</t>
  </si>
  <si>
    <t>VALOR TOTAL Victimas  GRCB</t>
  </si>
  <si>
    <t>TOTAL</t>
  </si>
  <si>
    <t>NARIÑO</t>
  </si>
  <si>
    <t>ESCENARIO META( COBERTURA 2015)</t>
  </si>
  <si>
    <t>PROGRAMA</t>
  </si>
  <si>
    <t>COBERTURA</t>
  </si>
  <si>
    <t>TIEMPO DE EJECUCION</t>
  </si>
  <si>
    <t>VALOR ALISTAMIENTO</t>
  </si>
  <si>
    <t>ENCUENTROS VIVENCIALES</t>
  </si>
  <si>
    <t>ACTIVIDAD DE CIERRE</t>
  </si>
  <si>
    <t>RURAL</t>
  </si>
  <si>
    <t>TRADICIONAL</t>
  </si>
  <si>
    <t>ETNICO</t>
  </si>
  <si>
    <t>VALOR</t>
  </si>
  <si>
    <t>TIEMPO</t>
  </si>
  <si>
    <t>SUBTOTAL VICTIMAS</t>
  </si>
  <si>
    <t>SUBTOTAL NO VICTIMAS</t>
  </si>
  <si>
    <t>encuentros vivenciales</t>
  </si>
  <si>
    <t>ellos</t>
  </si>
  <si>
    <t>Tradicional Victimas</t>
  </si>
  <si>
    <t>Rural Victimas</t>
  </si>
  <si>
    <t>Etnico Victimas</t>
  </si>
  <si>
    <t>Tradicional No Victimas</t>
  </si>
  <si>
    <t>Rural No Victimas</t>
  </si>
  <si>
    <t>Etnico No Victimas</t>
  </si>
  <si>
    <t>Cupos</t>
  </si>
  <si>
    <t xml:space="preserve">Subtotales por Encuentro Vivencial </t>
  </si>
  <si>
    <t>(4) Valor Inicial del Contrato:</t>
  </si>
  <si>
    <t xml:space="preserve">(5)Modificación del Contrato: </t>
  </si>
  <si>
    <t>(7) Valor de Modificación del Contrato:</t>
  </si>
  <si>
    <t>(6) Número de Modificación del Contrato:</t>
  </si>
  <si>
    <t>(2) El suscrito representante legal de la entidad contratista:_______________________________________________________________  NIT___________________</t>
  </si>
  <si>
    <t>(3) Número de Contrato: _________________</t>
  </si>
  <si>
    <t>(4)Mes de Ejecución</t>
  </si>
  <si>
    <t xml:space="preserve">(6) Cupos Contratados </t>
  </si>
  <si>
    <t>(7)Grupos  Constituidos</t>
  </si>
  <si>
    <t>(8) Número de Niños, Niñas y Adolescentes que participaron en cada Encuentro Vivencial</t>
  </si>
  <si>
    <t xml:space="preserve">(9) SUMATORIA ASISTENCIA </t>
  </si>
  <si>
    <t>(3): Registre el número del Contrato</t>
  </si>
  <si>
    <t>(4) : Seleccione el mes de ejecucion</t>
  </si>
  <si>
    <t>(6) : Registre el numero de cupos que se contrataron</t>
  </si>
  <si>
    <t>(7) : Registre el numero de grupos constituidos</t>
  </si>
  <si>
    <t>(8) : Registre el numero de niños, niñas y adolescentes que participaron en cada encuentro vivencial. NO puede ser mayor al numero de cupos contratados según convención (6); en caso de que sea mayor la celda se tornará de COLOR ROJO lo que indica que debe corregir la cifra</t>
  </si>
  <si>
    <t>(9) : La matriz determina automáticamente la SUMATORIA de asistencia a todos los encuentros vivenciales</t>
  </si>
  <si>
    <t>(3) : Registre el número del contrato</t>
  </si>
  <si>
    <t>(4) : Registre el valor Inicial del Contrato</t>
  </si>
  <si>
    <t>(5) : Seleccione una opción si se ha realizado alguna modificación al contrato</t>
  </si>
  <si>
    <t>(6) : Registre el número de la modificación del contrato</t>
  </si>
  <si>
    <t>(9) Valor Total del Contrato:</t>
  </si>
  <si>
    <t>(9) :La matriz calcula el valor total del contrato</t>
  </si>
  <si>
    <t>(10) : Seleccione el mes de ejecucion</t>
  </si>
  <si>
    <t>(12) : Registre el numero de cupos que se contrataron</t>
  </si>
  <si>
    <t>(13) : Registre el numero de grupos constituidos</t>
  </si>
  <si>
    <t>(14) : Registre el numero de niños, niñas y adolescentes que participaron en cada encuentro vivencial. NO puede ser mayor al numero de cupos contratados según convención (13); en caso de que sea mayor la celda se tornará de COLOR ROJO lo que indica que debe corregir la cifra</t>
  </si>
  <si>
    <t>(15) : La matriz determina automáticamente la SUMATORIA de asistencia a todos los encuentros vivenciales</t>
  </si>
  <si>
    <t>(16) : En caso de requerirse, especifique el valor amortizado</t>
  </si>
  <si>
    <t>(18) : La matriz determina automáticamente el VALOR A FACTURAR en el periodo</t>
  </si>
  <si>
    <t>(19) : Registre la fecha de expedición del Certificado</t>
  </si>
  <si>
    <t>(10)Mes de Ejecución</t>
  </si>
  <si>
    <t xml:space="preserve">(12) Cupos Contratados </t>
  </si>
  <si>
    <t>(14) Número de Niños, Niñas y Adolescentes que participaron en cada Encuentro Vivencial</t>
  </si>
  <si>
    <t xml:space="preserve">(15) SUMATORIA ASISTENCIA </t>
  </si>
  <si>
    <t>(16)AMORTIZACION ANTICIPO</t>
  </si>
  <si>
    <t>(17)PORCENTAJE DE AMORTIZACION</t>
  </si>
  <si>
    <t>(18) VALOR A FACTURAR</t>
  </si>
  <si>
    <t>(8) :Registre el valor de las modificaciones anteriores del contrato. (Debe sumar las adiciones y restar las reducciones)</t>
  </si>
  <si>
    <t>(8) Valor de Modificaciones Anteriores del Contrato:</t>
  </si>
  <si>
    <t>(17) : En caso de requerirse, especifique el porcentaje de amortización</t>
  </si>
  <si>
    <t>(11)PORCENTAJE DE AMORTIZACION</t>
  </si>
  <si>
    <t>(12) VALOR A FACTURAR</t>
  </si>
  <si>
    <t>(13) La presente certificación se expide a solicitud del supervisor del contrato, a los__________días del mes de_________________del año ___________</t>
  </si>
  <si>
    <t xml:space="preserve">(14) NOMBRE Y FIRMA REPRESENTANTE LEGAL </t>
  </si>
  <si>
    <t>(12) : La matriz determina automáticamente el VALOR A FACTURAR en el periodo</t>
  </si>
  <si>
    <t>(13) : Registre la fecha de expedición del Certificado</t>
  </si>
  <si>
    <t>(14) : Registre el NOMBRE Y FIRMA del Representante Legal de la Entidad Contratista / Operador</t>
  </si>
  <si>
    <t>(11) : En caso de requerirse, especifique el porcentaje de amortización</t>
  </si>
  <si>
    <t xml:space="preserve">(7) : Registre el valor de la modificación del contrato, despues de haber seleccionado la opción (5), de lo contrario no se sumara en el valor total del contrato. </t>
  </si>
  <si>
    <t>(13)Grupos  Constituidos</t>
  </si>
  <si>
    <t>Reducción</t>
  </si>
  <si>
    <t>(20) NOMBRE Y FIRMA DEL SUPERVISOR DEL CONTRATO</t>
  </si>
  <si>
    <t>(20) : Registre el NOMBRE Y FIRMA del Supervisor del Contrato</t>
  </si>
  <si>
    <t>(2) : Registre los datos del supervisor del Contrato</t>
  </si>
  <si>
    <t>Proyección Grupos Contratados</t>
  </si>
  <si>
    <t>(19) La presente certificación se expide a los__________días del mes de_________________del año ___________</t>
  </si>
  <si>
    <r>
      <rPr>
        <b/>
        <sz val="10"/>
        <rFont val="Calibri"/>
        <family val="2"/>
        <scheme val="minor"/>
      </rPr>
      <t xml:space="preserve">Gestión para la Promoción y Prevención para la Protección Integral de la Niñez y Adolescencia  </t>
    </r>
    <r>
      <rPr>
        <sz val="10"/>
        <rFont val="Calibri"/>
        <family val="2"/>
        <scheme val="minor"/>
      </rPr>
      <t xml:space="preserve">       
</t>
    </r>
  </si>
  <si>
    <t>Cargo :</t>
  </si>
  <si>
    <t>Nombre:</t>
  </si>
  <si>
    <t>Cargo:</t>
  </si>
  <si>
    <t>CERTIFICADO DE COBERTURA ( Corresponde al Operador )</t>
  </si>
  <si>
    <t xml:space="preserve">PROGRAMA GENERACIONES CON BIENESTAR </t>
  </si>
  <si>
    <t>Página 1 de 1</t>
  </si>
  <si>
    <t>Clasificación de la Información:
Pública</t>
  </si>
  <si>
    <t>PROCESO PROMOCIÓN Y PREVENCIÓN 
CERTIFICADO DE CUMPLIMIENTO GENERACIONES CON BIENESTAR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</si>
  <si>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</t>
    </r>
  </si>
  <si>
    <t>F1.P4.PP</t>
  </si>
  <si>
    <t xml:space="preserve">                                                                                                  CERTIFICACION DE COBERTURA (Corresponde al Supervisor)                                                                                                      </t>
  </si>
  <si>
    <t xml:space="preserve"> PROGRAMA GENERACIONES CON BIENESTAR </t>
  </si>
  <si>
    <r>
      <t xml:space="preserve">(3) Número de Contrato: </t>
    </r>
    <r>
      <rPr>
        <sz val="8"/>
        <rFont val="Calibri"/>
        <family val="2"/>
        <scheme val="minor"/>
      </rPr>
      <t>____________</t>
    </r>
  </si>
  <si>
    <t xml:space="preserve">                                                                                                    </t>
  </si>
  <si>
    <t xml:space="preserve">
(2) El suscrito supervisor:_______________________________________________________________        
Cédula de Ciudadanía___________________
</t>
  </si>
  <si>
    <t xml:space="preserve">Consecutivo Certificación: </t>
  </si>
  <si>
    <t>Valor encuentro</t>
  </si>
  <si>
    <t>tradicional no victimas</t>
  </si>
  <si>
    <t>rural no victimas</t>
  </si>
  <si>
    <t>etnicos no victimas</t>
  </si>
  <si>
    <t>tradicional victimas</t>
  </si>
  <si>
    <t>Rural victimas</t>
  </si>
  <si>
    <t>Etnicos victimas</t>
  </si>
  <si>
    <t>Valor Cupo Mensual EV</t>
  </si>
  <si>
    <t>(5) EV a realizar * mes</t>
  </si>
  <si>
    <t>No. EV por modalidad</t>
  </si>
  <si>
    <t>(11) EV a realizar * mes</t>
  </si>
  <si>
    <t>Valor Unitario EV</t>
  </si>
  <si>
    <t xml:space="preserve"> Valor Cupo Mensual EV</t>
  </si>
  <si>
    <t xml:space="preserve"> Valor Unitario EV</t>
  </si>
  <si>
    <t>(5) : Registre el Numero de Encuentros a realizar</t>
  </si>
  <si>
    <t>(11) : Registre el número de encuentros vivenciales de acuerdo al servicio</t>
  </si>
  <si>
    <r>
      <rPr>
        <b/>
        <sz val="12"/>
        <rFont val="Tempus Sans ITC"/>
        <family val="5"/>
      </rPr>
      <t>Antes de imprimir este documento… piense en el medio ambiente!</t>
    </r>
    <r>
      <rPr>
        <b/>
        <sz val="8"/>
        <rFont val="Calibri"/>
        <family val="2"/>
        <scheme val="minor"/>
      </rPr>
      <t xml:space="preserve">
Cualquier copia impresa de este documento se considera como COPIA NO CONTROLADA.
LOS DATOS PROPORCIONADOS SERÁN TRATADOS DE ACUERDO A LA POLÌTICA DE TRATAMIENTO DE DATOS PERSONALES DEL ICBF Y A LA LEY 1581 DE 2012</t>
    </r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</si>
  <si>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</t>
    </r>
    <r>
      <rPr>
        <sz val="7"/>
        <rFont val="Calibri"/>
        <family val="2"/>
        <scheme val="minor"/>
      </rPr>
      <t>LOS DATOS PROPORCIONADOS SERÁN TRATADOS DE ACUERDO A LA POLÍTICA DE TRATAMIENTO DE DATOS PERSONALES DEL ICBF Y A LA LEY 1581 DE 2012</t>
    </r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</si>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</sst>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\ * #,##0_);_(&quot;$&quot;\ * \(#,##0\);_(&quot;$&quot;\ * &quot;-&quot;??_);_(@_)"/>
    <numFmt numFmtId="168" formatCode="_-&quot;$&quot;* #,##0_-;\-&quot;$&quot;* #,##0_-;_-&quot;$&quot;* &quot;-&quot;??_-;_-@_-"/>
    <numFmt numFmtId="169" formatCode="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indexed="8"/>
      <name val="MS Sans Serif"/>
      <family val="2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</font>
    <font>
      <b/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Tempus Sans ITC"/>
      <family val="5"/>
    </font>
    <font>
      <b/>
      <sz val="12"/>
      <name val="Tempus Sans ITC"/>
      <family val="5"/>
    </font>
    <font>
      <b/>
      <sz val="8"/>
      <name val="Calibri"/>
      <family val="5"/>
      <scheme val="minor"/>
    </font>
    <font>
      <sz val="8"/>
      <name val="Calibri"/>
      <family val="5"/>
      <scheme val="minor"/>
    </font>
    <font>
      <sz val="7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314">
    <xf numFmtId="0" fontId="0" fillId="0" borderId="0" xfId="0"/>
    <xf numFmtId="0" fontId="0" fillId="0" borderId="0" xfId="0" applyFill="1"/>
    <xf numFmtId="0" fontId="0" fillId="0" borderId="0" xfId="0" applyFill="1" applyAlignment="1"/>
    <xf numFmtId="6" fontId="0" fillId="0" borderId="0" xfId="0" applyNumberFormat="1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168" fontId="4" fillId="0" borderId="0" xfId="2" applyNumberFormat="1" applyFont="1" applyFill="1" applyBorder="1"/>
    <xf numFmtId="0" fontId="0" fillId="0" borderId="0" xfId="0" applyAlignment="1">
      <alignment wrapText="1"/>
    </xf>
    <xf numFmtId="0" fontId="0" fillId="0" borderId="2" xfId="0" applyBorder="1"/>
    <xf numFmtId="0" fontId="0" fillId="0" borderId="9" xfId="0" applyBorder="1"/>
    <xf numFmtId="0" fontId="0" fillId="0" borderId="13" xfId="0" applyBorder="1"/>
    <xf numFmtId="8" fontId="0" fillId="0" borderId="0" xfId="0" applyNumberFormat="1"/>
    <xf numFmtId="169" fontId="7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0" borderId="0" xfId="0" applyFont="1"/>
    <xf numFmtId="169" fontId="4" fillId="8" borderId="6" xfId="0" applyNumberFormat="1" applyFont="1" applyFill="1" applyBorder="1"/>
    <xf numFmtId="0" fontId="4" fillId="8" borderId="6" xfId="0" applyFont="1" applyFill="1" applyBorder="1"/>
    <xf numFmtId="166" fontId="4" fillId="8" borderId="0" xfId="0" applyNumberFormat="1" applyFont="1" applyFill="1" applyBorder="1" applyAlignment="1">
      <alignment wrapText="1"/>
    </xf>
    <xf numFmtId="166" fontId="4" fillId="4" borderId="0" xfId="6" applyNumberFormat="1" applyFont="1" applyFill="1" applyBorder="1"/>
    <xf numFmtId="166" fontId="4" fillId="6" borderId="0" xfId="6" applyNumberFormat="1" applyFont="1" applyFill="1" applyBorder="1"/>
    <xf numFmtId="166" fontId="4" fillId="7" borderId="0" xfId="6" applyNumberFormat="1" applyFont="1" applyFill="1" applyBorder="1"/>
    <xf numFmtId="166" fontId="0" fillId="0" borderId="0" xfId="0" applyNumberFormat="1"/>
    <xf numFmtId="169" fontId="8" fillId="0" borderId="14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166" fontId="7" fillId="0" borderId="5" xfId="6" applyNumberFormat="1" applyFont="1" applyFill="1" applyBorder="1" applyAlignment="1" applyProtection="1">
      <alignment horizontal="right" vertical="center" wrapText="1"/>
    </xf>
    <xf numFmtId="166" fontId="7" fillId="0" borderId="0" xfId="6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6" fontId="7" fillId="0" borderId="1" xfId="6" applyNumberFormat="1" applyFont="1" applyFill="1" applyBorder="1" applyAlignment="1" applyProtection="1">
      <alignment horizontal="right" vertical="center" wrapText="1"/>
    </xf>
    <xf numFmtId="166" fontId="7" fillId="0" borderId="2" xfId="6" applyNumberFormat="1" applyFont="1" applyFill="1" applyBorder="1" applyAlignment="1" applyProtection="1">
      <alignment horizontal="right" vertical="center" wrapText="1"/>
    </xf>
    <xf numFmtId="166" fontId="7" fillId="0" borderId="9" xfId="6" applyNumberFormat="1" applyFont="1" applyFill="1" applyBorder="1" applyAlignment="1" applyProtection="1">
      <alignment horizontal="right" vertical="center" wrapText="1"/>
    </xf>
    <xf numFmtId="0" fontId="0" fillId="0" borderId="15" xfId="0" applyBorder="1" applyAlignment="1">
      <alignment wrapText="1"/>
    </xf>
    <xf numFmtId="166" fontId="0" fillId="0" borderId="7" xfId="0" applyNumberFormat="1" applyBorder="1"/>
    <xf numFmtId="0" fontId="0" fillId="0" borderId="7" xfId="0" applyBorder="1"/>
    <xf numFmtId="6" fontId="0" fillId="0" borderId="7" xfId="0" applyNumberFormat="1" applyBorder="1"/>
    <xf numFmtId="6" fontId="0" fillId="0" borderId="16" xfId="0" applyNumberFormat="1" applyBorder="1"/>
    <xf numFmtId="166" fontId="0" fillId="0" borderId="8" xfId="0" applyNumberFormat="1" applyBorder="1" applyAlignment="1">
      <alignment wrapText="1"/>
    </xf>
    <xf numFmtId="166" fontId="0" fillId="0" borderId="13" xfId="0" applyNumberFormat="1" applyBorder="1"/>
    <xf numFmtId="6" fontId="0" fillId="0" borderId="11" xfId="0" applyNumberFormat="1" applyBorder="1"/>
    <xf numFmtId="0" fontId="0" fillId="0" borderId="1" xfId="0" applyBorder="1" applyAlignment="1">
      <alignment wrapText="1"/>
    </xf>
    <xf numFmtId="8" fontId="0" fillId="0" borderId="3" xfId="0" applyNumberFormat="1" applyBorder="1" applyAlignment="1">
      <alignment wrapText="1"/>
    </xf>
    <xf numFmtId="166" fontId="0" fillId="0" borderId="0" xfId="0" applyNumberFormat="1" applyBorder="1"/>
    <xf numFmtId="166" fontId="0" fillId="0" borderId="10" xfId="0" applyNumberFormat="1" applyBorder="1"/>
    <xf numFmtId="8" fontId="0" fillId="0" borderId="8" xfId="0" applyNumberFormat="1" applyBorder="1" applyAlignment="1">
      <alignment wrapText="1"/>
    </xf>
    <xf numFmtId="166" fontId="0" fillId="0" borderId="11" xfId="0" applyNumberFormat="1" applyBorder="1"/>
    <xf numFmtId="8" fontId="0" fillId="0" borderId="0" xfId="0" applyNumberFormat="1" applyAlignment="1">
      <alignment wrapText="1"/>
    </xf>
    <xf numFmtId="8" fontId="0" fillId="0" borderId="4" xfId="0" applyNumberFormat="1" applyBorder="1" applyAlignment="1">
      <alignment wrapText="1"/>
    </xf>
    <xf numFmtId="166" fontId="0" fillId="0" borderId="5" xfId="0" applyNumberFormat="1" applyBorder="1"/>
    <xf numFmtId="8" fontId="0" fillId="0" borderId="12" xfId="0" applyNumberFormat="1" applyBorder="1"/>
    <xf numFmtId="0" fontId="7" fillId="0" borderId="5" xfId="0" applyFont="1" applyFill="1" applyBorder="1" applyAlignment="1">
      <alignment horizontal="center" vertical="center" wrapText="1"/>
    </xf>
    <xf numFmtId="166" fontId="4" fillId="0" borderId="0" xfId="6" applyNumberFormat="1" applyFont="1" applyFill="1" applyBorder="1"/>
    <xf numFmtId="0" fontId="10" fillId="0" borderId="0" xfId="0" applyFont="1" applyFill="1" applyProtection="1"/>
    <xf numFmtId="0" fontId="10" fillId="0" borderId="0" xfId="0" applyFo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center" vertical="center"/>
    </xf>
    <xf numFmtId="166" fontId="12" fillId="3" borderId="0" xfId="0" applyNumberFormat="1" applyFont="1" applyFill="1" applyBorder="1" applyAlignment="1">
      <alignment wrapText="1"/>
    </xf>
    <xf numFmtId="0" fontId="10" fillId="0" borderId="0" xfId="0" applyFont="1" applyBorder="1" applyProtection="1"/>
    <xf numFmtId="4" fontId="10" fillId="0" borderId="0" xfId="0" applyNumberFormat="1" applyFont="1" applyBorder="1" applyProtection="1"/>
    <xf numFmtId="0" fontId="10" fillId="0" borderId="7" xfId="0" applyFont="1" applyFill="1" applyBorder="1" applyProtection="1"/>
    <xf numFmtId="0" fontId="10" fillId="0" borderId="7" xfId="0" applyFont="1" applyBorder="1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 vertical="top" wrapText="1"/>
    </xf>
    <xf numFmtId="167" fontId="10" fillId="0" borderId="0" xfId="0" applyNumberFormat="1" applyFont="1" applyFill="1" applyProtection="1"/>
    <xf numFmtId="0" fontId="2" fillId="0" borderId="0" xfId="0" applyFont="1" applyAlignment="1">
      <alignment horizontal="left" vertical="top" wrapText="1"/>
    </xf>
    <xf numFmtId="0" fontId="13" fillId="0" borderId="0" xfId="0" applyFont="1" applyProtection="1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0" fillId="0" borderId="2" xfId="0" applyFont="1" applyFill="1" applyBorder="1" applyProtection="1"/>
    <xf numFmtId="0" fontId="10" fillId="0" borderId="2" xfId="0" applyFont="1" applyBorder="1" applyProtection="1"/>
    <xf numFmtId="0" fontId="10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Border="1"/>
    <xf numFmtId="0" fontId="10" fillId="0" borderId="13" xfId="0" applyFont="1" applyBorder="1" applyProtection="1"/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/>
    </xf>
    <xf numFmtId="166" fontId="10" fillId="0" borderId="7" xfId="0" applyNumberFormat="1" applyFont="1" applyFill="1" applyBorder="1" applyAlignment="1" applyProtection="1"/>
    <xf numFmtId="0" fontId="10" fillId="0" borderId="19" xfId="0" applyFont="1" applyFill="1" applyBorder="1" applyProtection="1"/>
    <xf numFmtId="166" fontId="10" fillId="0" borderId="19" xfId="0" applyNumberFormat="1" applyFont="1" applyFill="1" applyBorder="1" applyAlignment="1" applyProtection="1"/>
    <xf numFmtId="0" fontId="3" fillId="0" borderId="10" xfId="0" applyFont="1" applyFill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vertical="center"/>
    </xf>
    <xf numFmtId="0" fontId="3" fillId="0" borderId="34" xfId="0" applyFont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7" fontId="14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center" vertical="center" wrapText="1"/>
      <protection locked="0"/>
    </xf>
    <xf numFmtId="167" fontId="3" fillId="10" borderId="9" xfId="2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67" fontId="14" fillId="10" borderId="13" xfId="2" applyNumberFormat="1" applyFont="1" applyFill="1" applyBorder="1" applyAlignment="1" applyProtection="1">
      <alignment horizontal="center" wrapText="1"/>
      <protection locked="0"/>
    </xf>
    <xf numFmtId="0" fontId="3" fillId="0" borderId="13" xfId="0" applyFont="1" applyFill="1" applyBorder="1" applyAlignment="1" applyProtection="1">
      <alignment horizontal="center" wrapText="1"/>
      <protection locked="0"/>
    </xf>
    <xf numFmtId="0" fontId="3" fillId="0" borderId="11" xfId="0" applyFont="1" applyFill="1" applyBorder="1" applyAlignment="1" applyProtection="1">
      <alignment horizontal="center" wrapText="1"/>
      <protection locked="0"/>
    </xf>
    <xf numFmtId="0" fontId="12" fillId="0" borderId="7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0" fillId="0" borderId="3" xfId="0" applyFont="1" applyBorder="1" applyProtection="1"/>
    <xf numFmtId="0" fontId="10" fillId="0" borderId="10" xfId="0" applyFont="1" applyBorder="1" applyProtection="1"/>
    <xf numFmtId="0" fontId="10" fillId="0" borderId="15" xfId="0" applyFont="1" applyBorder="1" applyProtection="1"/>
    <xf numFmtId="0" fontId="10" fillId="10" borderId="16" xfId="0" applyFont="1" applyFill="1" applyBorder="1" applyProtection="1"/>
    <xf numFmtId="0" fontId="10" fillId="0" borderId="33" xfId="0" applyFont="1" applyBorder="1" applyProtection="1"/>
    <xf numFmtId="0" fontId="3" fillId="0" borderId="8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5" fillId="0" borderId="19" xfId="0" applyFont="1" applyBorder="1"/>
    <xf numFmtId="0" fontId="10" fillId="0" borderId="19" xfId="0" applyFont="1" applyBorder="1" applyProtection="1"/>
    <xf numFmtId="166" fontId="10" fillId="0" borderId="0" xfId="0" applyNumberFormat="1" applyFont="1" applyFill="1" applyBorder="1" applyAlignment="1" applyProtection="1"/>
    <xf numFmtId="0" fontId="22" fillId="0" borderId="14" xfId="0" applyFont="1" applyBorder="1" applyAlignment="1" applyProtection="1">
      <alignment horizontal="center" vertical="center"/>
    </xf>
    <xf numFmtId="14" fontId="22" fillId="0" borderId="14" xfId="0" applyNumberFormat="1" applyFont="1" applyBorder="1" applyAlignment="1" applyProtection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166" fontId="10" fillId="10" borderId="35" xfId="1" applyNumberFormat="1" applyFont="1" applyFill="1" applyBorder="1" applyAlignment="1" applyProtection="1">
      <protection locked="0"/>
    </xf>
    <xf numFmtId="166" fontId="10" fillId="10" borderId="37" xfId="1" applyNumberFormat="1" applyFont="1" applyFill="1" applyBorder="1" applyAlignment="1" applyProtection="1">
      <protection locked="0"/>
    </xf>
    <xf numFmtId="166" fontId="10" fillId="10" borderId="24" xfId="1" applyNumberFormat="1" applyFont="1" applyFill="1" applyBorder="1" applyAlignment="1" applyProtection="1">
      <protection locked="0"/>
    </xf>
    <xf numFmtId="166" fontId="10" fillId="10" borderId="32" xfId="1" applyNumberFormat="1" applyFont="1" applyFill="1" applyBorder="1" applyAlignment="1" applyProtection="1">
      <protection locked="0"/>
    </xf>
    <xf numFmtId="166" fontId="10" fillId="10" borderId="15" xfId="1" applyNumberFormat="1" applyFont="1" applyFill="1" applyBorder="1" applyAlignment="1" applyProtection="1">
      <protection locked="0"/>
    </xf>
    <xf numFmtId="166" fontId="10" fillId="10" borderId="16" xfId="1" applyNumberFormat="1" applyFont="1" applyFill="1" applyBorder="1" applyAlignment="1" applyProtection="1"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43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/>
    </xf>
    <xf numFmtId="165" fontId="3" fillId="0" borderId="4" xfId="0" applyNumberFormat="1" applyFont="1" applyFill="1" applyBorder="1" applyAlignment="1" applyProtection="1">
      <alignment horizontal="center"/>
      <protection locked="0"/>
    </xf>
    <xf numFmtId="165" fontId="3" fillId="0" borderId="5" xfId="0" applyNumberFormat="1" applyFont="1" applyFill="1" applyBorder="1" applyAlignment="1" applyProtection="1">
      <alignment horizontal="center"/>
      <protection locked="0"/>
    </xf>
    <xf numFmtId="165" fontId="3" fillId="0" borderId="12" xfId="0" applyNumberFormat="1" applyFont="1" applyFill="1" applyBorder="1" applyAlignment="1" applyProtection="1">
      <alignment horizontal="center"/>
      <protection locked="0"/>
    </xf>
    <xf numFmtId="166" fontId="10" fillId="0" borderId="15" xfId="0" applyNumberFormat="1" applyFont="1" applyFill="1" applyBorder="1" applyAlignment="1" applyProtection="1"/>
    <xf numFmtId="166" fontId="10" fillId="0" borderId="16" xfId="0" applyNumberFormat="1" applyFont="1" applyFill="1" applyBorder="1" applyAlignment="1" applyProtection="1"/>
    <xf numFmtId="166" fontId="3" fillId="0" borderId="8" xfId="1" applyNumberFormat="1" applyFont="1" applyFill="1" applyBorder="1" applyAlignment="1" applyProtection="1">
      <alignment horizontal="center"/>
    </xf>
    <xf numFmtId="166" fontId="3" fillId="0" borderId="11" xfId="1" applyNumberFormat="1" applyFont="1" applyFill="1" applyBorder="1" applyAlignment="1" applyProtection="1">
      <alignment horizontal="center"/>
    </xf>
    <xf numFmtId="166" fontId="3" fillId="0" borderId="1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</xf>
    <xf numFmtId="166" fontId="10" fillId="10" borderId="43" xfId="1" applyNumberFormat="1" applyFont="1" applyFill="1" applyBorder="1" applyAlignment="1" applyProtection="1">
      <protection locked="0"/>
    </xf>
    <xf numFmtId="166" fontId="10" fillId="10" borderId="44" xfId="1" applyNumberFormat="1" applyFont="1" applyFill="1" applyBorder="1" applyAlignment="1" applyProtection="1">
      <protection locked="0"/>
    </xf>
    <xf numFmtId="0" fontId="3" fillId="0" borderId="0" xfId="0" applyFont="1" applyAlignment="1" applyProtection="1">
      <alignment horizontal="center"/>
    </xf>
    <xf numFmtId="0" fontId="3" fillId="9" borderId="13" xfId="0" applyFont="1" applyFill="1" applyBorder="1" applyAlignment="1" applyProtection="1">
      <alignment horizontal="center" wrapText="1"/>
      <protection locked="0"/>
    </xf>
    <xf numFmtId="0" fontId="3" fillId="9" borderId="11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/>
    </xf>
    <xf numFmtId="0" fontId="3" fillId="10" borderId="1" xfId="0" applyFont="1" applyFill="1" applyBorder="1" applyAlignment="1" applyProtection="1">
      <alignment horizontal="center" wrapText="1"/>
      <protection locked="0"/>
    </xf>
    <xf numFmtId="0" fontId="3" fillId="10" borderId="2" xfId="0" applyFont="1" applyFill="1" applyBorder="1" applyAlignment="1" applyProtection="1">
      <alignment horizontal="center" wrapText="1"/>
      <protection locked="0"/>
    </xf>
    <xf numFmtId="0" fontId="3" fillId="10" borderId="9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10" borderId="13" xfId="0" applyFont="1" applyFill="1" applyBorder="1" applyAlignment="1" applyProtection="1">
      <alignment horizontal="center" wrapText="1"/>
      <protection locked="0"/>
    </xf>
    <xf numFmtId="0" fontId="3" fillId="10" borderId="24" xfId="0" applyFont="1" applyFill="1" applyBorder="1" applyAlignment="1" applyProtection="1">
      <alignment horizontal="center"/>
    </xf>
    <xf numFmtId="0" fontId="3" fillId="10" borderId="18" xfId="0" applyFont="1" applyFill="1" applyBorder="1" applyAlignment="1" applyProtection="1">
      <alignment horizontal="center"/>
    </xf>
    <xf numFmtId="0" fontId="3" fillId="10" borderId="32" xfId="0" applyFont="1" applyFill="1" applyBorder="1" applyAlignment="1" applyProtection="1">
      <alignment horizontal="center"/>
    </xf>
    <xf numFmtId="8" fontId="3" fillId="0" borderId="4" xfId="2" applyNumberFormat="1" applyFont="1" applyFill="1" applyBorder="1" applyAlignment="1" applyProtection="1">
      <alignment horizontal="center"/>
    </xf>
    <xf numFmtId="8" fontId="3" fillId="0" borderId="5" xfId="2" applyNumberFormat="1" applyFont="1" applyFill="1" applyBorder="1" applyAlignment="1" applyProtection="1">
      <alignment horizontal="center"/>
    </xf>
    <xf numFmtId="8" fontId="3" fillId="0" borderId="12" xfId="2" applyNumberFormat="1" applyFont="1" applyFill="1" applyBorder="1" applyAlignment="1" applyProtection="1">
      <alignment horizontal="center"/>
    </xf>
    <xf numFmtId="0" fontId="3" fillId="10" borderId="8" xfId="0" applyFont="1" applyFill="1" applyBorder="1" applyAlignment="1" applyProtection="1">
      <alignment horizontal="center"/>
    </xf>
    <xf numFmtId="0" fontId="3" fillId="10" borderId="13" xfId="0" applyFont="1" applyFill="1" applyBorder="1" applyAlignment="1" applyProtection="1">
      <alignment horizontal="center"/>
    </xf>
    <xf numFmtId="0" fontId="3" fillId="10" borderId="11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center"/>
    </xf>
    <xf numFmtId="0" fontId="3" fillId="0" borderId="12" xfId="0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 wrapText="1"/>
    </xf>
    <xf numFmtId="0" fontId="10" fillId="0" borderId="26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10" fillId="0" borderId="27" xfId="0" applyFont="1" applyBorder="1" applyAlignment="1" applyProtection="1">
      <alignment horizontal="center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8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34" xfId="0" applyFont="1" applyBorder="1" applyAlignment="1" applyProtection="1">
      <alignment horizontal="center"/>
    </xf>
    <xf numFmtId="0" fontId="3" fillId="9" borderId="2" xfId="0" applyFont="1" applyFill="1" applyBorder="1" applyAlignment="1" applyProtection="1">
      <alignment horizontal="center" wrapText="1"/>
      <protection locked="0"/>
    </xf>
    <xf numFmtId="0" fontId="3" fillId="9" borderId="9" xfId="0" applyFont="1" applyFill="1" applyBorder="1" applyAlignment="1" applyProtection="1">
      <alignment horizontal="center" wrapText="1"/>
      <protection locked="0"/>
    </xf>
    <xf numFmtId="0" fontId="3" fillId="0" borderId="41" xfId="0" applyFont="1" applyBorder="1" applyAlignment="1" applyProtection="1">
      <alignment horizontal="center"/>
    </xf>
    <xf numFmtId="0" fontId="3" fillId="0" borderId="42" xfId="0" applyFont="1" applyBorder="1" applyAlignment="1" applyProtection="1">
      <alignment horizontal="center"/>
    </xf>
    <xf numFmtId="0" fontId="2" fillId="0" borderId="0" xfId="0" applyFont="1" applyAlignment="1">
      <alignment horizontal="left" vertical="top" wrapText="1"/>
    </xf>
    <xf numFmtId="0" fontId="12" fillId="0" borderId="2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3" fontId="3" fillId="0" borderId="38" xfId="1" applyNumberFormat="1" applyFont="1" applyFill="1" applyBorder="1" applyAlignment="1" applyProtection="1">
      <alignment horizontal="center" vertical="center" wrapText="1"/>
    </xf>
    <xf numFmtId="3" fontId="3" fillId="0" borderId="32" xfId="1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3" fontId="10" fillId="10" borderId="39" xfId="1" applyNumberFormat="1" applyFont="1" applyFill="1" applyBorder="1" applyAlignment="1" applyProtection="1">
      <alignment horizontal="center" vertical="center" wrapText="1"/>
      <protection locked="0"/>
    </xf>
    <xf numFmtId="3" fontId="10" fillId="10" borderId="4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49" fontId="2" fillId="9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3" fontId="3" fillId="0" borderId="24" xfId="1" applyNumberFormat="1" applyFont="1" applyFill="1" applyBorder="1" applyAlignment="1" applyProtection="1">
      <alignment horizontal="center" vertical="center" wrapText="1"/>
    </xf>
    <xf numFmtId="3" fontId="3" fillId="0" borderId="18" xfId="1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8" fontId="3" fillId="0" borderId="24" xfId="1" applyNumberFormat="1" applyFont="1" applyFill="1" applyBorder="1" applyAlignment="1" applyProtection="1">
      <alignment horizontal="center" vertical="center" wrapText="1"/>
    </xf>
    <xf numFmtId="8" fontId="3" fillId="0" borderId="18" xfId="1" applyNumberFormat="1" applyFont="1" applyFill="1" applyBorder="1" applyAlignment="1" applyProtection="1">
      <alignment horizontal="center" vertical="center" wrapText="1"/>
    </xf>
    <xf numFmtId="8" fontId="3" fillId="0" borderId="32" xfId="1" applyNumberFormat="1" applyFont="1" applyFill="1" applyBorder="1" applyAlignment="1" applyProtection="1">
      <alignment horizontal="center" vertical="center" wrapText="1"/>
    </xf>
    <xf numFmtId="3" fontId="10" fillId="10" borderId="24" xfId="1" applyNumberFormat="1" applyFont="1" applyFill="1" applyBorder="1" applyAlignment="1" applyProtection="1">
      <alignment horizontal="center" vertical="center" wrapText="1"/>
      <protection locked="0"/>
    </xf>
    <xf numFmtId="3" fontId="10" fillId="10" borderId="18" xfId="1" applyNumberFormat="1" applyFont="1" applyFill="1" applyBorder="1" applyAlignment="1" applyProtection="1">
      <alignment horizontal="center" vertical="center" wrapText="1"/>
      <protection locked="0"/>
    </xf>
    <xf numFmtId="3" fontId="10" fillId="10" borderId="32" xfId="1" applyNumberFormat="1" applyFont="1" applyFill="1" applyBorder="1" applyAlignment="1" applyProtection="1">
      <alignment horizontal="center" vertical="center" wrapText="1"/>
      <protection locked="0"/>
    </xf>
    <xf numFmtId="166" fontId="10" fillId="10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center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10" borderId="9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164" fontId="3" fillId="0" borderId="4" xfId="2" applyFont="1" applyFill="1" applyBorder="1" applyAlignment="1" applyProtection="1">
      <alignment horizontal="center"/>
    </xf>
    <xf numFmtId="164" fontId="3" fillId="0" borderId="5" xfId="2" applyFont="1" applyFill="1" applyBorder="1" applyAlignment="1" applyProtection="1">
      <alignment horizontal="center"/>
    </xf>
    <xf numFmtId="164" fontId="3" fillId="0" borderId="12" xfId="2" applyFont="1" applyFill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/>
    </xf>
    <xf numFmtId="166" fontId="3" fillId="0" borderId="12" xfId="1" applyNumberFormat="1" applyFont="1" applyBorder="1" applyAlignment="1" applyProtection="1">
      <alignment horizontal="center"/>
    </xf>
    <xf numFmtId="0" fontId="3" fillId="9" borderId="11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</xf>
    <xf numFmtId="166" fontId="10" fillId="0" borderId="7" xfId="0" applyNumberFormat="1" applyFont="1" applyFill="1" applyBorder="1" applyAlignment="1" applyProtection="1">
      <alignment horizontal="center"/>
    </xf>
    <xf numFmtId="166" fontId="10" fillId="0" borderId="16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1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49" fontId="13" fillId="9" borderId="35" xfId="0" applyNumberFormat="1" applyFont="1" applyFill="1" applyBorder="1" applyAlignment="1" applyProtection="1">
      <alignment horizontal="center" vertical="center" wrapText="1"/>
      <protection locked="0"/>
    </xf>
    <xf numFmtId="49" fontId="13" fillId="9" borderId="36" xfId="0" applyNumberFormat="1" applyFont="1" applyFill="1" applyBorder="1" applyAlignment="1" applyProtection="1">
      <alignment horizontal="center" vertical="center" wrapText="1"/>
      <protection locked="0"/>
    </xf>
    <xf numFmtId="49" fontId="13" fillId="9" borderId="37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24" xfId="1" applyNumberFormat="1" applyFont="1" applyFill="1" applyBorder="1" applyAlignment="1" applyProtection="1">
      <alignment horizontal="center" vertical="center" wrapText="1"/>
    </xf>
    <xf numFmtId="166" fontId="3" fillId="0" borderId="18" xfId="1" applyNumberFormat="1" applyFont="1" applyFill="1" applyBorder="1" applyAlignment="1" applyProtection="1">
      <alignment horizontal="center" vertical="center" wrapText="1"/>
    </xf>
    <xf numFmtId="166" fontId="3" fillId="0" borderId="32" xfId="1" applyNumberFormat="1" applyFont="1" applyFill="1" applyBorder="1" applyAlignment="1" applyProtection="1">
      <alignment horizontal="center" vertical="center" wrapText="1"/>
    </xf>
    <xf numFmtId="166" fontId="10" fillId="10" borderId="24" xfId="1" applyNumberFormat="1" applyFont="1" applyFill="1" applyBorder="1" applyAlignment="1" applyProtection="1">
      <alignment horizontal="center" vertical="center" wrapText="1"/>
      <protection locked="0"/>
    </xf>
    <xf numFmtId="166" fontId="10" fillId="10" borderId="18" xfId="1" applyNumberFormat="1" applyFont="1" applyFill="1" applyBorder="1" applyAlignment="1" applyProtection="1">
      <alignment horizontal="center" vertical="center" wrapText="1"/>
      <protection locked="0"/>
    </xf>
    <xf numFmtId="166" fontId="10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3" fillId="10" borderId="4" xfId="0" applyFont="1" applyFill="1" applyBorder="1" applyAlignment="1" applyProtection="1">
      <alignment horizontal="center" wrapText="1"/>
      <protection locked="0"/>
    </xf>
    <xf numFmtId="0" fontId="3" fillId="10" borderId="5" xfId="0" applyFont="1" applyFill="1" applyBorder="1" applyAlignment="1" applyProtection="1">
      <alignment horizontal="center" wrapText="1"/>
      <protection locked="0"/>
    </xf>
    <xf numFmtId="0" fontId="3" fillId="10" borderId="12" xfId="0" applyFont="1" applyFill="1" applyBorder="1" applyAlignment="1" applyProtection="1">
      <alignment horizontal="center" wrapText="1"/>
      <protection locked="0"/>
    </xf>
    <xf numFmtId="166" fontId="10" fillId="10" borderId="22" xfId="1" applyNumberFormat="1" applyFont="1" applyFill="1" applyBorder="1" applyAlignment="1" applyProtection="1">
      <alignment horizontal="center" vertical="center"/>
      <protection locked="0"/>
    </xf>
    <xf numFmtId="166" fontId="3" fillId="0" borderId="4" xfId="1" applyNumberFormat="1" applyFont="1" applyBorder="1" applyAlignment="1" applyProtection="1">
      <alignment horizontal="center" vertical="center"/>
    </xf>
    <xf numFmtId="166" fontId="3" fillId="0" borderId="5" xfId="1" applyNumberFormat="1" applyFont="1" applyBorder="1" applyAlignment="1" applyProtection="1">
      <alignment horizontal="center" vertical="center"/>
    </xf>
    <xf numFmtId="166" fontId="3" fillId="0" borderId="12" xfId="1" applyNumberFormat="1" applyFont="1" applyBorder="1" applyAlignment="1" applyProtection="1">
      <alignment horizontal="center" vertical="center"/>
    </xf>
    <xf numFmtId="166" fontId="10" fillId="0" borderId="38" xfId="1" applyNumberFormat="1" applyFont="1" applyFill="1" applyBorder="1" applyAlignment="1" applyProtection="1">
      <alignment horizontal="center" vertical="center" wrapText="1"/>
    </xf>
    <xf numFmtId="166" fontId="10" fillId="0" borderId="32" xfId="1" applyNumberFormat="1" applyFont="1" applyFill="1" applyBorder="1" applyAlignment="1" applyProtection="1">
      <alignment horizontal="center" vertical="center" wrapText="1"/>
    </xf>
    <xf numFmtId="166" fontId="10" fillId="10" borderId="39" xfId="1" applyNumberFormat="1" applyFont="1" applyFill="1" applyBorder="1" applyAlignment="1" applyProtection="1">
      <alignment horizontal="center" vertical="center" wrapText="1"/>
      <protection locked="0"/>
    </xf>
    <xf numFmtId="166" fontId="10" fillId="10" borderId="40" xfId="1" applyNumberFormat="1" applyFont="1" applyFill="1" applyBorder="1" applyAlignment="1" applyProtection="1">
      <alignment horizontal="center" vertical="center" wrapText="1"/>
      <protection locked="0"/>
    </xf>
    <xf numFmtId="167" fontId="3" fillId="0" borderId="13" xfId="2" applyNumberFormat="1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0" borderId="9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21" fillId="0" borderId="13" xfId="0" applyFont="1" applyBorder="1" applyAlignment="1" applyProtection="1">
      <alignment horizontal="center" vertical="center" wrapText="1"/>
    </xf>
    <xf numFmtId="0" fontId="21" fillId="0" borderId="11" xfId="0" applyFont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8" fillId="10" borderId="0" xfId="0" applyFont="1" applyFill="1" applyBorder="1" applyAlignment="1" applyProtection="1">
      <alignment horizontal="center" vertical="center" wrapText="1"/>
    </xf>
    <xf numFmtId="0" fontId="3" fillId="10" borderId="0" xfId="0" applyFont="1" applyFill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0" fillId="10" borderId="28" xfId="0" applyFont="1" applyFill="1" applyBorder="1" applyAlignment="1">
      <alignment horizontal="left" vertical="center" wrapText="1"/>
    </xf>
    <xf numFmtId="0" fontId="10" fillId="10" borderId="18" xfId="0" applyFont="1" applyFill="1" applyBorder="1" applyAlignment="1">
      <alignment horizontal="left" vertical="center" wrapText="1"/>
    </xf>
    <xf numFmtId="0" fontId="10" fillId="10" borderId="32" xfId="0" applyFont="1" applyFill="1" applyBorder="1" applyAlignment="1">
      <alignment horizontal="left" vertical="center" wrapText="1"/>
    </xf>
    <xf numFmtId="0" fontId="10" fillId="10" borderId="28" xfId="0" applyFont="1" applyFill="1" applyBorder="1" applyAlignment="1" applyProtection="1">
      <alignment horizontal="left" vertical="center"/>
    </xf>
    <xf numFmtId="0" fontId="10" fillId="10" borderId="18" xfId="0" applyFont="1" applyFill="1" applyBorder="1" applyAlignment="1" applyProtection="1">
      <alignment horizontal="left" vertical="center"/>
    </xf>
    <xf numFmtId="0" fontId="10" fillId="10" borderId="32" xfId="0" applyFont="1" applyFill="1" applyBorder="1" applyAlignment="1" applyProtection="1">
      <alignment horizontal="left" vertical="center"/>
    </xf>
    <xf numFmtId="0" fontId="10" fillId="10" borderId="24" xfId="0" applyFont="1" applyFill="1" applyBorder="1" applyAlignment="1" applyProtection="1">
      <alignment horizontal="center"/>
    </xf>
    <xf numFmtId="0" fontId="10" fillId="10" borderId="18" xfId="0" applyFont="1" applyFill="1" applyBorder="1" applyAlignment="1" applyProtection="1">
      <alignment horizontal="center"/>
    </xf>
    <xf numFmtId="0" fontId="10" fillId="10" borderId="32" xfId="0" applyFont="1" applyFill="1" applyBorder="1" applyAlignment="1" applyProtection="1">
      <alignment horizontal="center"/>
    </xf>
  </cellXfs>
  <cellStyles count="9">
    <cellStyle name="Millares" xfId="1" builtinId="3"/>
    <cellStyle name="Millares 2" xfId="6"/>
    <cellStyle name="Millares 8" xfId="3"/>
    <cellStyle name="Moneda" xfId="2" builtinId="4"/>
    <cellStyle name="Moneda 2" xfId="7"/>
    <cellStyle name="Moneda 4" xfId="4"/>
    <cellStyle name="Normal" xfId="0" builtinId="0"/>
    <cellStyle name="Normal 2" xfId="8"/>
    <cellStyle name="Normal 28" xfId="5"/>
  </cellStyles>
  <dxfs count="2">
    <dxf>
      <font>
        <b/>
        <i val="0"/>
        <color rgb="FFFFFF00"/>
      </font>
      <fill>
        <gradientFill type="path" left="0.5" right="0.5" top="0.5" bottom="0.5">
          <stop position="0">
            <color rgb="FFFF0000"/>
          </stop>
          <stop position="1">
            <color theme="1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FF00"/>
      </font>
      <fill>
        <gradientFill type="path" left="0.5" right="0.5" top="0.5" bottom="0.5">
          <stop position="0">
            <color rgb="FFFF0000"/>
          </stop>
          <stop position="1">
            <color theme="1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38100</xdr:rowOff>
    </xdr:from>
    <xdr:to>
      <xdr:col>0</xdr:col>
      <xdr:colOff>981352</xdr:colOff>
      <xdr:row>3</xdr:row>
      <xdr:rowOff>306917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86267"/>
          <a:ext cx="743227" cy="924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147205</xdr:colOff>
      <xdr:row>0</xdr:row>
      <xdr:rowOff>38100</xdr:rowOff>
    </xdr:from>
    <xdr:to>
      <xdr:col>0</xdr:col>
      <xdr:colOff>883226</xdr:colOff>
      <xdr:row>2</xdr:row>
      <xdr:rowOff>307786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205" y="38100"/>
          <a:ext cx="736021" cy="910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  <pageSetUpPr fitToPage="1"/>
  </sheetPr>
  <dimension ref="A2:U58"/>
  <sheetViews>
    <sheetView showGridLines="0" zoomScaleNormal="100" zoomScaleSheetLayoutView="100" workbookViewId="0">
      <pane xSplit="2" ySplit="3" topLeftCell="C4" activePane="bottomRight" state="frozen"/>
      <selection activeCell="W8" sqref="W8"/>
      <selection pane="topRight" activeCell="W8" sqref="W8"/>
      <selection pane="bottomLeft" activeCell="W8" sqref="W8"/>
      <selection pane="bottomRight" activeCell="W8" sqref="W8"/>
    </sheetView>
  </sheetViews>
  <sheetFormatPr baseColWidth="10" defaultRowHeight="15" x14ac:dyDescent="0.25"/>
  <cols>
    <col min="2" max="2" width="22.140625" customWidth="1"/>
    <col min="3" max="3" width="22.140625" style="7" customWidth="1"/>
    <col min="4" max="5" width="17.42578125" customWidth="1"/>
    <col min="6" max="8" width="12.85546875" customWidth="1"/>
    <col min="9" max="9" width="13.85546875" customWidth="1"/>
    <col min="10" max="10" width="11" customWidth="1"/>
    <col min="11" max="15" width="11.140625" customWidth="1"/>
    <col min="17" max="17" width="11.85546875" bestFit="1" customWidth="1"/>
  </cols>
  <sheetData>
    <row r="2" spans="1:21" ht="23.25" customHeight="1" thickBot="1" x14ac:dyDescent="0.3">
      <c r="J2" s="123" t="s">
        <v>103</v>
      </c>
      <c r="K2" s="124"/>
      <c r="L2" s="124"/>
      <c r="M2" s="124"/>
      <c r="N2" s="124"/>
      <c r="O2" s="124"/>
    </row>
    <row r="3" spans="1:21" s="18" customFormat="1" ht="90.75" thickBot="1" x14ac:dyDescent="0.3">
      <c r="A3" s="12" t="s">
        <v>68</v>
      </c>
      <c r="B3" s="13" t="s">
        <v>69</v>
      </c>
      <c r="C3" s="14" t="s">
        <v>70</v>
      </c>
      <c r="D3" s="15" t="s">
        <v>71</v>
      </c>
      <c r="E3" s="16" t="s">
        <v>72</v>
      </c>
      <c r="F3" s="17" t="s">
        <v>73</v>
      </c>
      <c r="G3" s="15" t="s">
        <v>74</v>
      </c>
      <c r="H3" s="16" t="s">
        <v>75</v>
      </c>
      <c r="I3" s="17" t="s">
        <v>76</v>
      </c>
      <c r="J3" s="15" t="s">
        <v>77</v>
      </c>
      <c r="K3" s="16" t="s">
        <v>78</v>
      </c>
      <c r="L3" s="17" t="s">
        <v>79</v>
      </c>
      <c r="M3" s="15" t="s">
        <v>80</v>
      </c>
      <c r="N3" s="16" t="s">
        <v>81</v>
      </c>
      <c r="O3" s="17" t="s">
        <v>82</v>
      </c>
    </row>
    <row r="4" spans="1:21" ht="11.25" customHeight="1" x14ac:dyDescent="0.25">
      <c r="A4" s="19">
        <v>91</v>
      </c>
      <c r="B4" s="20" t="s">
        <v>44</v>
      </c>
      <c r="C4" s="21">
        <f>SUM(D4:I4)</f>
        <v>1800</v>
      </c>
      <c r="D4" s="22">
        <v>500</v>
      </c>
      <c r="E4" s="23">
        <v>0</v>
      </c>
      <c r="F4" s="24">
        <v>1300</v>
      </c>
      <c r="G4" s="22">
        <v>0</v>
      </c>
      <c r="H4" s="23">
        <v>0</v>
      </c>
      <c r="I4" s="24">
        <v>0</v>
      </c>
      <c r="J4" s="22">
        <v>40400</v>
      </c>
      <c r="K4" s="23">
        <v>0</v>
      </c>
      <c r="L4" s="24">
        <v>67316</v>
      </c>
      <c r="M4" s="22">
        <v>0</v>
      </c>
      <c r="N4" s="23">
        <v>0</v>
      </c>
      <c r="O4" s="24">
        <v>0</v>
      </c>
      <c r="Q4" s="25"/>
      <c r="R4" s="25"/>
      <c r="S4" s="25"/>
      <c r="T4" s="25"/>
      <c r="U4" s="25"/>
    </row>
    <row r="5" spans="1:21" ht="11.25" customHeight="1" x14ac:dyDescent="0.25">
      <c r="A5" s="19">
        <v>5</v>
      </c>
      <c r="B5" s="20" t="s">
        <v>23</v>
      </c>
      <c r="C5" s="21">
        <f t="shared" ref="C5:C36" si="0">SUM(D5:I5)</f>
        <v>13400</v>
      </c>
      <c r="D5" s="22">
        <v>6550</v>
      </c>
      <c r="E5" s="23">
        <v>2100</v>
      </c>
      <c r="F5" s="24">
        <v>575</v>
      </c>
      <c r="G5" s="22">
        <v>350</v>
      </c>
      <c r="H5" s="23">
        <v>100</v>
      </c>
      <c r="I5" s="24">
        <v>3725</v>
      </c>
      <c r="J5" s="22">
        <v>40051</v>
      </c>
      <c r="K5" s="23">
        <v>57922</v>
      </c>
      <c r="L5" s="24">
        <v>61906</v>
      </c>
      <c r="M5" s="22">
        <v>40051</v>
      </c>
      <c r="N5" s="23">
        <v>57922</v>
      </c>
      <c r="O5" s="24">
        <v>61906</v>
      </c>
      <c r="Q5" s="25"/>
      <c r="R5" s="25"/>
      <c r="S5" s="25"/>
      <c r="T5" s="25"/>
      <c r="U5" s="25"/>
    </row>
    <row r="6" spans="1:21" ht="11.25" customHeight="1" x14ac:dyDescent="0.25">
      <c r="A6" s="19">
        <v>81</v>
      </c>
      <c r="B6" s="20" t="s">
        <v>41</v>
      </c>
      <c r="C6" s="21">
        <f t="shared" si="0"/>
        <v>4400</v>
      </c>
      <c r="D6" s="22">
        <v>2120</v>
      </c>
      <c r="E6" s="23">
        <v>930</v>
      </c>
      <c r="F6" s="24">
        <v>800</v>
      </c>
      <c r="G6" s="22">
        <v>80</v>
      </c>
      <c r="H6" s="23">
        <v>70</v>
      </c>
      <c r="I6" s="24">
        <v>400</v>
      </c>
      <c r="J6" s="22">
        <v>41271</v>
      </c>
      <c r="K6" s="23">
        <v>61901</v>
      </c>
      <c r="L6" s="24">
        <v>84187</v>
      </c>
      <c r="M6" s="22">
        <v>41271</v>
      </c>
      <c r="N6" s="23">
        <v>61901</v>
      </c>
      <c r="O6" s="24">
        <v>84187</v>
      </c>
      <c r="Q6" s="25"/>
      <c r="R6" s="25"/>
      <c r="S6" s="25"/>
      <c r="T6" s="25"/>
      <c r="U6" s="25"/>
    </row>
    <row r="7" spans="1:21" ht="11.25" customHeight="1" x14ac:dyDescent="0.25">
      <c r="A7" s="19">
        <v>8</v>
      </c>
      <c r="B7" s="20" t="s">
        <v>24</v>
      </c>
      <c r="C7" s="21">
        <f t="shared" si="0"/>
        <v>4100</v>
      </c>
      <c r="D7" s="22">
        <v>2910</v>
      </c>
      <c r="E7" s="23">
        <v>200</v>
      </c>
      <c r="F7" s="24">
        <v>750</v>
      </c>
      <c r="G7" s="22">
        <v>190</v>
      </c>
      <c r="H7" s="23">
        <v>0</v>
      </c>
      <c r="I7" s="24">
        <v>50</v>
      </c>
      <c r="J7" s="22">
        <v>38403</v>
      </c>
      <c r="K7" s="23">
        <v>47091</v>
      </c>
      <c r="L7" s="24">
        <v>47091</v>
      </c>
      <c r="M7" s="22">
        <v>38403</v>
      </c>
      <c r="N7" s="23">
        <v>0</v>
      </c>
      <c r="O7" s="24">
        <v>47091</v>
      </c>
      <c r="Q7" s="25"/>
      <c r="R7" s="25"/>
      <c r="S7" s="25"/>
      <c r="T7" s="25"/>
      <c r="U7" s="25"/>
    </row>
    <row r="8" spans="1:21" ht="11.25" customHeight="1" x14ac:dyDescent="0.25">
      <c r="A8" s="19">
        <v>11</v>
      </c>
      <c r="B8" s="20" t="s">
        <v>49</v>
      </c>
      <c r="C8" s="21">
        <f t="shared" si="0"/>
        <v>4500</v>
      </c>
      <c r="D8" s="22">
        <v>3800</v>
      </c>
      <c r="E8" s="23">
        <v>200</v>
      </c>
      <c r="F8" s="24">
        <v>500</v>
      </c>
      <c r="G8" s="22">
        <v>0</v>
      </c>
      <c r="H8" s="23">
        <v>0</v>
      </c>
      <c r="I8" s="24">
        <v>0</v>
      </c>
      <c r="J8" s="22">
        <v>37356</v>
      </c>
      <c r="K8" s="23">
        <v>47349</v>
      </c>
      <c r="L8" s="24">
        <v>47349</v>
      </c>
      <c r="M8" s="22">
        <v>0</v>
      </c>
      <c r="N8" s="23">
        <v>0</v>
      </c>
      <c r="O8" s="24">
        <v>0</v>
      </c>
      <c r="Q8" s="25"/>
      <c r="R8" s="25"/>
      <c r="S8" s="25"/>
      <c r="T8" s="25"/>
      <c r="U8" s="25"/>
    </row>
    <row r="9" spans="1:21" ht="11.25" customHeight="1" x14ac:dyDescent="0.25">
      <c r="A9" s="19">
        <v>13</v>
      </c>
      <c r="B9" s="20" t="s">
        <v>25</v>
      </c>
      <c r="C9" s="21">
        <f t="shared" si="0"/>
        <v>6800</v>
      </c>
      <c r="D9" s="22">
        <v>3150</v>
      </c>
      <c r="E9" s="23">
        <v>2500</v>
      </c>
      <c r="F9" s="24">
        <v>550</v>
      </c>
      <c r="G9" s="22">
        <v>250</v>
      </c>
      <c r="H9" s="23">
        <v>100</v>
      </c>
      <c r="I9" s="24">
        <v>250</v>
      </c>
      <c r="J9" s="22">
        <v>39709</v>
      </c>
      <c r="K9" s="23">
        <v>54169</v>
      </c>
      <c r="L9" s="24">
        <v>51430</v>
      </c>
      <c r="M9" s="22">
        <v>39709</v>
      </c>
      <c r="N9" s="23">
        <v>54169</v>
      </c>
      <c r="O9" s="24">
        <v>51430</v>
      </c>
      <c r="Q9" s="25"/>
      <c r="R9" s="25"/>
      <c r="S9" s="25"/>
      <c r="T9" s="25"/>
      <c r="U9" s="25"/>
    </row>
    <row r="10" spans="1:21" ht="11.25" customHeight="1" x14ac:dyDescent="0.25">
      <c r="A10" s="19">
        <v>15</v>
      </c>
      <c r="B10" s="20" t="s">
        <v>26</v>
      </c>
      <c r="C10" s="21">
        <f t="shared" si="0"/>
        <v>5200</v>
      </c>
      <c r="D10" s="22">
        <v>3460</v>
      </c>
      <c r="E10" s="23">
        <v>1350</v>
      </c>
      <c r="F10" s="24">
        <v>100</v>
      </c>
      <c r="G10" s="22">
        <v>240</v>
      </c>
      <c r="H10" s="23">
        <v>50</v>
      </c>
      <c r="I10" s="24">
        <v>0</v>
      </c>
      <c r="J10" s="22">
        <v>38065</v>
      </c>
      <c r="K10" s="23">
        <v>50459</v>
      </c>
      <c r="L10" s="24">
        <v>55914</v>
      </c>
      <c r="M10" s="22">
        <v>38065</v>
      </c>
      <c r="N10" s="23">
        <v>50459</v>
      </c>
      <c r="O10" s="24">
        <v>0</v>
      </c>
      <c r="Q10" s="25"/>
      <c r="R10" s="25"/>
      <c r="S10" s="25"/>
      <c r="T10" s="25"/>
      <c r="U10" s="25"/>
    </row>
    <row r="11" spans="1:21" ht="11.25" customHeight="1" x14ac:dyDescent="0.25">
      <c r="A11" s="19">
        <v>17</v>
      </c>
      <c r="B11" s="20" t="s">
        <v>27</v>
      </c>
      <c r="C11" s="21">
        <f t="shared" si="0"/>
        <v>5900</v>
      </c>
      <c r="D11" s="22">
        <v>2620</v>
      </c>
      <c r="E11" s="23">
        <v>390</v>
      </c>
      <c r="F11" s="24">
        <v>1450</v>
      </c>
      <c r="G11" s="22">
        <v>180</v>
      </c>
      <c r="H11" s="23">
        <v>10</v>
      </c>
      <c r="I11" s="24">
        <v>1250</v>
      </c>
      <c r="J11" s="22">
        <v>37318</v>
      </c>
      <c r="K11" s="23">
        <v>46025</v>
      </c>
      <c r="L11" s="24">
        <v>47690</v>
      </c>
      <c r="M11" s="22">
        <v>37318</v>
      </c>
      <c r="N11" s="23">
        <v>46025</v>
      </c>
      <c r="O11" s="24">
        <v>47690</v>
      </c>
      <c r="Q11" s="25"/>
      <c r="R11" s="25"/>
      <c r="S11" s="25"/>
      <c r="T11" s="25"/>
      <c r="U11" s="25"/>
    </row>
    <row r="12" spans="1:21" ht="11.25" customHeight="1" x14ac:dyDescent="0.25">
      <c r="A12" s="19">
        <v>18</v>
      </c>
      <c r="B12" s="20" t="s">
        <v>50</v>
      </c>
      <c r="C12" s="21">
        <f t="shared" si="0"/>
        <v>4200</v>
      </c>
      <c r="D12" s="22">
        <v>2750</v>
      </c>
      <c r="E12" s="23">
        <v>840</v>
      </c>
      <c r="F12" s="24">
        <v>400</v>
      </c>
      <c r="G12" s="22">
        <v>150</v>
      </c>
      <c r="H12" s="23">
        <v>60</v>
      </c>
      <c r="I12" s="24">
        <v>0</v>
      </c>
      <c r="J12" s="22">
        <v>38227</v>
      </c>
      <c r="K12" s="23">
        <v>52339</v>
      </c>
      <c r="L12" s="24">
        <v>51905</v>
      </c>
      <c r="M12" s="22">
        <v>38227</v>
      </c>
      <c r="N12" s="23">
        <v>52339</v>
      </c>
      <c r="O12" s="24">
        <v>0</v>
      </c>
      <c r="Q12" s="25"/>
      <c r="R12" s="25"/>
      <c r="S12" s="25"/>
      <c r="T12" s="25"/>
      <c r="U12" s="25"/>
    </row>
    <row r="13" spans="1:21" ht="11.25" customHeight="1" x14ac:dyDescent="0.25">
      <c r="A13" s="19">
        <v>85</v>
      </c>
      <c r="B13" s="20" t="s">
        <v>51</v>
      </c>
      <c r="C13" s="21">
        <f t="shared" si="0"/>
        <v>2500</v>
      </c>
      <c r="D13" s="22">
        <v>1490</v>
      </c>
      <c r="E13" s="23">
        <v>380</v>
      </c>
      <c r="F13" s="24">
        <v>300</v>
      </c>
      <c r="G13" s="22">
        <v>110</v>
      </c>
      <c r="H13" s="23">
        <v>20</v>
      </c>
      <c r="I13" s="24">
        <v>200</v>
      </c>
      <c r="J13" s="22">
        <v>38435</v>
      </c>
      <c r="K13" s="23">
        <v>49523</v>
      </c>
      <c r="L13" s="24">
        <v>69784</v>
      </c>
      <c r="M13" s="22">
        <v>38435</v>
      </c>
      <c r="N13" s="23">
        <v>49523</v>
      </c>
      <c r="O13" s="24">
        <v>69784</v>
      </c>
      <c r="Q13" s="25"/>
      <c r="R13" s="25"/>
      <c r="S13" s="25"/>
      <c r="T13" s="25"/>
      <c r="U13" s="25"/>
    </row>
    <row r="14" spans="1:21" ht="11.25" customHeight="1" x14ac:dyDescent="0.25">
      <c r="A14" s="19">
        <v>19</v>
      </c>
      <c r="B14" s="20" t="s">
        <v>28</v>
      </c>
      <c r="C14" s="21">
        <f t="shared" si="0"/>
        <v>11550</v>
      </c>
      <c r="D14" s="22">
        <v>6600</v>
      </c>
      <c r="E14" s="23">
        <v>300</v>
      </c>
      <c r="F14" s="24">
        <v>2625</v>
      </c>
      <c r="G14" s="22">
        <v>400</v>
      </c>
      <c r="H14" s="23">
        <v>0</v>
      </c>
      <c r="I14" s="24">
        <v>1625</v>
      </c>
      <c r="J14" s="22">
        <v>40253</v>
      </c>
      <c r="K14" s="23">
        <v>66731</v>
      </c>
      <c r="L14" s="24">
        <v>66731</v>
      </c>
      <c r="M14" s="22">
        <v>40253</v>
      </c>
      <c r="N14" s="23">
        <v>0</v>
      </c>
      <c r="O14" s="24">
        <v>66731</v>
      </c>
      <c r="Q14" s="25"/>
      <c r="R14" s="25"/>
      <c r="S14" s="25"/>
      <c r="T14" s="25"/>
      <c r="U14" s="25"/>
    </row>
    <row r="15" spans="1:21" ht="11.25" customHeight="1" x14ac:dyDescent="0.25">
      <c r="A15" s="19">
        <v>20</v>
      </c>
      <c r="B15" s="20" t="s">
        <v>29</v>
      </c>
      <c r="C15" s="21">
        <f t="shared" si="0"/>
        <v>7100</v>
      </c>
      <c r="D15" s="22">
        <v>4140</v>
      </c>
      <c r="E15" s="23">
        <v>760</v>
      </c>
      <c r="F15" s="24">
        <v>1275</v>
      </c>
      <c r="G15" s="22">
        <v>260</v>
      </c>
      <c r="H15" s="23">
        <v>40</v>
      </c>
      <c r="I15" s="24">
        <v>625</v>
      </c>
      <c r="J15" s="22">
        <v>39260</v>
      </c>
      <c r="K15" s="23">
        <v>54097</v>
      </c>
      <c r="L15" s="24">
        <v>51026</v>
      </c>
      <c r="M15" s="22">
        <v>39260</v>
      </c>
      <c r="N15" s="23">
        <v>54097</v>
      </c>
      <c r="O15" s="24">
        <v>51026</v>
      </c>
      <c r="Q15" s="25"/>
      <c r="R15" s="25"/>
      <c r="S15" s="25"/>
      <c r="T15" s="25"/>
      <c r="U15" s="25"/>
    </row>
    <row r="16" spans="1:21" ht="11.25" customHeight="1" x14ac:dyDescent="0.25">
      <c r="A16" s="19">
        <v>27</v>
      </c>
      <c r="B16" s="20" t="s">
        <v>31</v>
      </c>
      <c r="C16" s="21">
        <f t="shared" si="0"/>
        <v>12500</v>
      </c>
      <c r="D16" s="22">
        <v>4600</v>
      </c>
      <c r="E16" s="23">
        <v>1500</v>
      </c>
      <c r="F16" s="24">
        <v>4000</v>
      </c>
      <c r="G16" s="22">
        <v>0</v>
      </c>
      <c r="H16" s="23">
        <v>0</v>
      </c>
      <c r="I16" s="24">
        <v>2400</v>
      </c>
      <c r="J16" s="22">
        <v>40366</v>
      </c>
      <c r="K16" s="23">
        <v>53766</v>
      </c>
      <c r="L16" s="24">
        <v>63296</v>
      </c>
      <c r="M16" s="22">
        <v>0</v>
      </c>
      <c r="N16" s="23">
        <v>0</v>
      </c>
      <c r="O16" s="24">
        <v>63296</v>
      </c>
      <c r="Q16" s="25"/>
      <c r="R16" s="25"/>
      <c r="S16" s="25"/>
      <c r="T16" s="25"/>
      <c r="U16" s="25"/>
    </row>
    <row r="17" spans="1:21" ht="11.25" customHeight="1" x14ac:dyDescent="0.25">
      <c r="A17" s="19">
        <v>23</v>
      </c>
      <c r="B17" s="20" t="s">
        <v>30</v>
      </c>
      <c r="C17" s="21">
        <f t="shared" si="0"/>
        <v>6800</v>
      </c>
      <c r="D17" s="22">
        <v>4350</v>
      </c>
      <c r="E17" s="23">
        <v>1000</v>
      </c>
      <c r="F17" s="24">
        <v>550</v>
      </c>
      <c r="G17" s="22">
        <v>250</v>
      </c>
      <c r="H17" s="23">
        <v>100</v>
      </c>
      <c r="I17" s="24">
        <v>550</v>
      </c>
      <c r="J17" s="22">
        <v>38957</v>
      </c>
      <c r="K17" s="23">
        <v>53801</v>
      </c>
      <c r="L17" s="24">
        <v>68955</v>
      </c>
      <c r="M17" s="22">
        <v>38957</v>
      </c>
      <c r="N17" s="23">
        <v>53801</v>
      </c>
      <c r="O17" s="24">
        <v>68955</v>
      </c>
      <c r="Q17" s="25"/>
      <c r="R17" s="25"/>
      <c r="S17" s="25"/>
      <c r="T17" s="25"/>
      <c r="U17" s="25"/>
    </row>
    <row r="18" spans="1:21" ht="11.25" customHeight="1" x14ac:dyDescent="0.25">
      <c r="A18" s="19">
        <v>25</v>
      </c>
      <c r="B18" s="20" t="s">
        <v>52</v>
      </c>
      <c r="C18" s="21">
        <f t="shared" si="0"/>
        <v>3400</v>
      </c>
      <c r="D18" s="22">
        <v>3125</v>
      </c>
      <c r="E18" s="23">
        <v>0</v>
      </c>
      <c r="F18" s="24">
        <v>0</v>
      </c>
      <c r="G18" s="22">
        <v>275</v>
      </c>
      <c r="H18" s="23">
        <v>0</v>
      </c>
      <c r="I18" s="24">
        <v>0</v>
      </c>
      <c r="J18" s="22">
        <v>39496</v>
      </c>
      <c r="K18" s="23">
        <v>0</v>
      </c>
      <c r="L18" s="24">
        <v>0</v>
      </c>
      <c r="M18" s="22">
        <v>39496</v>
      </c>
      <c r="N18" s="23">
        <v>0</v>
      </c>
      <c r="O18" s="24">
        <v>0</v>
      </c>
      <c r="Q18" s="25"/>
      <c r="R18" s="25"/>
      <c r="S18" s="25"/>
      <c r="T18" s="25"/>
      <c r="U18" s="25"/>
    </row>
    <row r="19" spans="1:21" ht="11.25" customHeight="1" x14ac:dyDescent="0.25">
      <c r="A19" s="19">
        <v>94</v>
      </c>
      <c r="B19" s="20" t="s">
        <v>45</v>
      </c>
      <c r="C19" s="21">
        <f t="shared" si="0"/>
        <v>1600</v>
      </c>
      <c r="D19" s="22">
        <v>380</v>
      </c>
      <c r="E19" s="23">
        <v>300</v>
      </c>
      <c r="F19" s="24">
        <v>900</v>
      </c>
      <c r="G19" s="22">
        <v>20</v>
      </c>
      <c r="H19" s="23">
        <v>0</v>
      </c>
      <c r="I19" s="24">
        <v>0</v>
      </c>
      <c r="J19" s="22">
        <v>38138</v>
      </c>
      <c r="K19" s="23">
        <v>77598</v>
      </c>
      <c r="L19" s="24">
        <v>77598</v>
      </c>
      <c r="M19" s="22">
        <v>38138</v>
      </c>
      <c r="N19" s="23">
        <v>0</v>
      </c>
      <c r="O19" s="24">
        <v>0</v>
      </c>
      <c r="Q19" s="25"/>
      <c r="R19" s="25"/>
      <c r="S19" s="25"/>
      <c r="T19" s="25"/>
      <c r="U19" s="25"/>
    </row>
    <row r="20" spans="1:21" ht="11.25" customHeight="1" x14ac:dyDescent="0.25">
      <c r="A20" s="19">
        <v>95</v>
      </c>
      <c r="B20" s="20" t="s">
        <v>46</v>
      </c>
      <c r="C20" s="21">
        <f t="shared" si="0"/>
        <v>2500</v>
      </c>
      <c r="D20" s="22">
        <v>500</v>
      </c>
      <c r="E20" s="23">
        <v>500</v>
      </c>
      <c r="F20" s="24">
        <v>650</v>
      </c>
      <c r="G20" s="22">
        <v>300</v>
      </c>
      <c r="H20" s="23">
        <v>400</v>
      </c>
      <c r="I20" s="24">
        <v>150</v>
      </c>
      <c r="J20" s="22">
        <v>42150</v>
      </c>
      <c r="K20" s="23">
        <v>61773</v>
      </c>
      <c r="L20" s="24">
        <v>74304</v>
      </c>
      <c r="M20" s="22">
        <v>42150</v>
      </c>
      <c r="N20" s="23">
        <v>61773</v>
      </c>
      <c r="O20" s="24">
        <v>74304</v>
      </c>
      <c r="Q20" s="25"/>
      <c r="R20" s="25"/>
      <c r="S20" s="25"/>
      <c r="T20" s="25"/>
      <c r="U20" s="25"/>
    </row>
    <row r="21" spans="1:21" ht="11.25" customHeight="1" x14ac:dyDescent="0.25">
      <c r="A21" s="19">
        <v>41</v>
      </c>
      <c r="B21" s="20" t="s">
        <v>32</v>
      </c>
      <c r="C21" s="21">
        <f t="shared" si="0"/>
        <v>4400</v>
      </c>
      <c r="D21" s="22">
        <v>2920</v>
      </c>
      <c r="E21" s="23">
        <v>960</v>
      </c>
      <c r="F21" s="24">
        <v>300</v>
      </c>
      <c r="G21" s="22">
        <v>180</v>
      </c>
      <c r="H21" s="23">
        <v>40</v>
      </c>
      <c r="I21" s="24">
        <v>0</v>
      </c>
      <c r="J21" s="22">
        <v>38124</v>
      </c>
      <c r="K21" s="23">
        <v>47897</v>
      </c>
      <c r="L21" s="24">
        <v>54309</v>
      </c>
      <c r="M21" s="22">
        <v>38124</v>
      </c>
      <c r="N21" s="23">
        <v>47897</v>
      </c>
      <c r="O21" s="24">
        <v>0</v>
      </c>
      <c r="Q21" s="25"/>
      <c r="R21" s="25"/>
      <c r="S21" s="25"/>
      <c r="T21" s="25"/>
      <c r="U21" s="25"/>
    </row>
    <row r="22" spans="1:21" ht="11.25" customHeight="1" x14ac:dyDescent="0.25">
      <c r="A22" s="19">
        <v>44</v>
      </c>
      <c r="B22" s="20" t="s">
        <v>33</v>
      </c>
      <c r="C22" s="21">
        <f t="shared" si="0"/>
        <v>5900</v>
      </c>
      <c r="D22" s="22">
        <v>2900</v>
      </c>
      <c r="E22" s="23">
        <v>0</v>
      </c>
      <c r="F22" s="24">
        <v>3000</v>
      </c>
      <c r="G22" s="22">
        <v>0</v>
      </c>
      <c r="H22" s="23">
        <v>0</v>
      </c>
      <c r="I22" s="24">
        <v>0</v>
      </c>
      <c r="J22" s="22">
        <v>37641</v>
      </c>
      <c r="K22" s="23">
        <v>0</v>
      </c>
      <c r="L22" s="24">
        <v>50352</v>
      </c>
      <c r="M22" s="22">
        <v>0</v>
      </c>
      <c r="N22" s="23">
        <v>0</v>
      </c>
      <c r="O22" s="24">
        <v>0</v>
      </c>
      <c r="Q22" s="25"/>
      <c r="R22" s="25"/>
      <c r="S22" s="25"/>
      <c r="T22" s="25"/>
      <c r="U22" s="25"/>
    </row>
    <row r="23" spans="1:21" ht="11.25" customHeight="1" x14ac:dyDescent="0.25">
      <c r="A23" s="19">
        <v>47</v>
      </c>
      <c r="B23" s="20" t="s">
        <v>34</v>
      </c>
      <c r="C23" s="21">
        <f t="shared" si="0"/>
        <v>9700</v>
      </c>
      <c r="D23" s="22">
        <v>7440</v>
      </c>
      <c r="E23" s="23">
        <v>675</v>
      </c>
      <c r="F23" s="24">
        <v>1175</v>
      </c>
      <c r="G23" s="22">
        <v>360</v>
      </c>
      <c r="H23" s="23">
        <v>25</v>
      </c>
      <c r="I23" s="24">
        <v>25</v>
      </c>
      <c r="J23" s="22">
        <v>39120</v>
      </c>
      <c r="K23" s="23">
        <v>57103</v>
      </c>
      <c r="L23" s="24">
        <v>49628</v>
      </c>
      <c r="M23" s="22">
        <v>39120</v>
      </c>
      <c r="N23" s="23">
        <v>57103</v>
      </c>
      <c r="O23" s="24">
        <v>49628</v>
      </c>
      <c r="Q23" s="25"/>
      <c r="R23" s="25"/>
      <c r="S23" s="25"/>
      <c r="T23" s="25"/>
      <c r="U23" s="25"/>
    </row>
    <row r="24" spans="1:21" ht="11.25" customHeight="1" x14ac:dyDescent="0.25">
      <c r="A24" s="19">
        <v>50</v>
      </c>
      <c r="B24" s="20" t="s">
        <v>35</v>
      </c>
      <c r="C24" s="21">
        <f t="shared" si="0"/>
        <v>4400</v>
      </c>
      <c r="D24" s="22">
        <v>2275</v>
      </c>
      <c r="E24" s="23">
        <v>1030</v>
      </c>
      <c r="F24" s="24">
        <v>325</v>
      </c>
      <c r="G24" s="22">
        <v>125</v>
      </c>
      <c r="H24" s="23">
        <v>70</v>
      </c>
      <c r="I24" s="24">
        <v>575</v>
      </c>
      <c r="J24" s="22">
        <v>37526</v>
      </c>
      <c r="K24" s="23">
        <v>45292</v>
      </c>
      <c r="L24" s="24">
        <v>57658</v>
      </c>
      <c r="M24" s="22">
        <v>37526</v>
      </c>
      <c r="N24" s="23">
        <v>45292</v>
      </c>
      <c r="O24" s="24">
        <v>57658</v>
      </c>
      <c r="Q24" s="25"/>
      <c r="R24" s="25"/>
      <c r="S24" s="25"/>
      <c r="T24" s="25"/>
      <c r="U24" s="25"/>
    </row>
    <row r="25" spans="1:21" ht="11.25" customHeight="1" x14ac:dyDescent="0.25">
      <c r="A25" s="19">
        <v>52</v>
      </c>
      <c r="B25" s="20" t="s">
        <v>88</v>
      </c>
      <c r="C25" s="21">
        <f t="shared" si="0"/>
        <v>12100</v>
      </c>
      <c r="D25" s="22">
        <v>6740</v>
      </c>
      <c r="E25" s="23">
        <v>1130</v>
      </c>
      <c r="F25" s="24">
        <v>2900</v>
      </c>
      <c r="G25" s="22">
        <v>360</v>
      </c>
      <c r="H25" s="23">
        <v>70</v>
      </c>
      <c r="I25" s="24">
        <v>900</v>
      </c>
      <c r="J25" s="22">
        <v>39465</v>
      </c>
      <c r="K25" s="23">
        <v>55872</v>
      </c>
      <c r="L25" s="24">
        <v>60549</v>
      </c>
      <c r="M25" s="22">
        <v>39465</v>
      </c>
      <c r="N25" s="23">
        <v>55872</v>
      </c>
      <c r="O25" s="24">
        <v>60549</v>
      </c>
      <c r="Q25" s="25"/>
      <c r="R25" s="25"/>
      <c r="S25" s="25"/>
      <c r="T25" s="25"/>
      <c r="U25" s="25"/>
    </row>
    <row r="26" spans="1:21" ht="11.25" customHeight="1" x14ac:dyDescent="0.25">
      <c r="A26" s="19">
        <v>54</v>
      </c>
      <c r="B26" s="20" t="s">
        <v>36</v>
      </c>
      <c r="C26" s="21">
        <f t="shared" si="0"/>
        <v>6700</v>
      </c>
      <c r="D26" s="22">
        <v>3500</v>
      </c>
      <c r="E26" s="23">
        <v>1800</v>
      </c>
      <c r="F26" s="24">
        <v>700</v>
      </c>
      <c r="G26" s="22">
        <v>300</v>
      </c>
      <c r="H26" s="23">
        <v>100</v>
      </c>
      <c r="I26" s="24">
        <v>300</v>
      </c>
      <c r="J26" s="22">
        <v>38796</v>
      </c>
      <c r="K26" s="23">
        <v>53382</v>
      </c>
      <c r="L26" s="24">
        <v>56675</v>
      </c>
      <c r="M26" s="22">
        <v>38796</v>
      </c>
      <c r="N26" s="23">
        <v>53382</v>
      </c>
      <c r="O26" s="24">
        <v>56675</v>
      </c>
      <c r="Q26" s="25"/>
      <c r="R26" s="25"/>
      <c r="S26" s="25"/>
      <c r="T26" s="25"/>
      <c r="U26" s="25"/>
    </row>
    <row r="27" spans="1:21" ht="11.25" customHeight="1" x14ac:dyDescent="0.25">
      <c r="A27" s="19">
        <v>86</v>
      </c>
      <c r="B27" s="20" t="s">
        <v>42</v>
      </c>
      <c r="C27" s="21">
        <f t="shared" si="0"/>
        <v>5700</v>
      </c>
      <c r="D27" s="22">
        <v>2300</v>
      </c>
      <c r="E27" s="23">
        <v>830</v>
      </c>
      <c r="F27" s="24">
        <v>825</v>
      </c>
      <c r="G27" s="22">
        <v>200</v>
      </c>
      <c r="H27" s="23">
        <v>70</v>
      </c>
      <c r="I27" s="24">
        <v>1475</v>
      </c>
      <c r="J27" s="22">
        <v>41860</v>
      </c>
      <c r="K27" s="23">
        <v>62683</v>
      </c>
      <c r="L27" s="24">
        <v>68059</v>
      </c>
      <c r="M27" s="22">
        <v>41860</v>
      </c>
      <c r="N27" s="23">
        <v>62683</v>
      </c>
      <c r="O27" s="24">
        <v>68059</v>
      </c>
      <c r="Q27" s="25"/>
      <c r="R27" s="25"/>
      <c r="S27" s="25"/>
      <c r="T27" s="25"/>
      <c r="U27" s="25"/>
    </row>
    <row r="28" spans="1:21" ht="11.25" customHeight="1" x14ac:dyDescent="0.25">
      <c r="A28" s="19">
        <v>63</v>
      </c>
      <c r="B28" s="20" t="s">
        <v>53</v>
      </c>
      <c r="C28" s="21">
        <f t="shared" si="0"/>
        <v>4000</v>
      </c>
      <c r="D28" s="22">
        <v>2750</v>
      </c>
      <c r="E28" s="23">
        <v>600</v>
      </c>
      <c r="F28" s="24">
        <v>200</v>
      </c>
      <c r="G28" s="22">
        <v>150</v>
      </c>
      <c r="H28" s="23">
        <v>0</v>
      </c>
      <c r="I28" s="24">
        <v>300</v>
      </c>
      <c r="J28" s="22">
        <v>38852</v>
      </c>
      <c r="K28" s="23">
        <v>55676</v>
      </c>
      <c r="L28" s="24">
        <v>55676</v>
      </c>
      <c r="M28" s="22">
        <v>38852</v>
      </c>
      <c r="N28" s="23">
        <v>0</v>
      </c>
      <c r="O28" s="24">
        <v>55676</v>
      </c>
      <c r="Q28" s="25"/>
      <c r="R28" s="25"/>
      <c r="S28" s="25"/>
      <c r="T28" s="25"/>
      <c r="U28" s="25"/>
    </row>
    <row r="29" spans="1:21" ht="11.25" customHeight="1" x14ac:dyDescent="0.25">
      <c r="A29" s="19">
        <v>66</v>
      </c>
      <c r="B29" s="20" t="s">
        <v>37</v>
      </c>
      <c r="C29" s="21">
        <f t="shared" si="0"/>
        <v>4100</v>
      </c>
      <c r="D29" s="22">
        <v>2180</v>
      </c>
      <c r="E29" s="23">
        <v>500</v>
      </c>
      <c r="F29" s="24">
        <v>0</v>
      </c>
      <c r="G29" s="22">
        <v>120</v>
      </c>
      <c r="H29" s="23">
        <v>0</v>
      </c>
      <c r="I29" s="24">
        <v>1300</v>
      </c>
      <c r="J29" s="22">
        <v>37491</v>
      </c>
      <c r="K29" s="23">
        <v>50743</v>
      </c>
      <c r="L29" s="24">
        <v>0</v>
      </c>
      <c r="M29" s="22">
        <v>37491</v>
      </c>
      <c r="N29" s="23">
        <v>0</v>
      </c>
      <c r="O29" s="24">
        <v>50743</v>
      </c>
      <c r="Q29" s="25"/>
      <c r="R29" s="25"/>
      <c r="S29" s="25"/>
      <c r="T29" s="25"/>
      <c r="U29" s="25"/>
    </row>
    <row r="30" spans="1:21" ht="11.25" customHeight="1" x14ac:dyDescent="0.25">
      <c r="A30" s="19">
        <v>88</v>
      </c>
      <c r="B30" s="20" t="s">
        <v>43</v>
      </c>
      <c r="C30" s="21">
        <f t="shared" si="0"/>
        <v>1800</v>
      </c>
      <c r="D30" s="22">
        <v>900</v>
      </c>
      <c r="E30" s="23">
        <v>0</v>
      </c>
      <c r="F30" s="24">
        <v>900</v>
      </c>
      <c r="G30" s="22">
        <v>0</v>
      </c>
      <c r="H30" s="23">
        <v>0</v>
      </c>
      <c r="I30" s="24">
        <v>0</v>
      </c>
      <c r="J30" s="22">
        <v>40637</v>
      </c>
      <c r="K30" s="23">
        <v>0</v>
      </c>
      <c r="L30" s="24">
        <v>55088</v>
      </c>
      <c r="M30" s="22">
        <v>0</v>
      </c>
      <c r="N30" s="23">
        <v>0</v>
      </c>
      <c r="O30" s="24">
        <v>0</v>
      </c>
      <c r="Q30" s="25"/>
      <c r="R30" s="25"/>
      <c r="S30" s="25"/>
      <c r="T30" s="25"/>
      <c r="U30" s="25"/>
    </row>
    <row r="31" spans="1:21" ht="11.25" customHeight="1" x14ac:dyDescent="0.25">
      <c r="A31" s="19">
        <v>68</v>
      </c>
      <c r="B31" s="20" t="s">
        <v>54</v>
      </c>
      <c r="C31" s="21">
        <f t="shared" si="0"/>
        <v>4800</v>
      </c>
      <c r="D31" s="22">
        <v>4160</v>
      </c>
      <c r="E31" s="23">
        <v>300</v>
      </c>
      <c r="F31" s="24">
        <v>0</v>
      </c>
      <c r="G31" s="22">
        <v>240</v>
      </c>
      <c r="H31" s="23">
        <v>0</v>
      </c>
      <c r="I31" s="24">
        <v>100</v>
      </c>
      <c r="J31" s="22">
        <v>39390</v>
      </c>
      <c r="K31" s="23">
        <v>57428</v>
      </c>
      <c r="L31" s="24">
        <v>0</v>
      </c>
      <c r="M31" s="22">
        <v>39390</v>
      </c>
      <c r="N31" s="23">
        <v>0</v>
      </c>
      <c r="O31" s="24">
        <v>62674</v>
      </c>
      <c r="Q31" s="25"/>
      <c r="R31" s="25"/>
      <c r="S31" s="25"/>
      <c r="T31" s="25"/>
      <c r="U31" s="25"/>
    </row>
    <row r="32" spans="1:21" ht="11.25" customHeight="1" x14ac:dyDescent="0.25">
      <c r="A32" s="19">
        <v>70</v>
      </c>
      <c r="B32" s="20" t="s">
        <v>38</v>
      </c>
      <c r="C32" s="21">
        <f t="shared" si="0"/>
        <v>4800</v>
      </c>
      <c r="D32" s="22">
        <v>3090</v>
      </c>
      <c r="E32" s="23">
        <v>560</v>
      </c>
      <c r="F32" s="24">
        <v>400</v>
      </c>
      <c r="G32" s="22">
        <v>210</v>
      </c>
      <c r="H32" s="23">
        <v>40</v>
      </c>
      <c r="I32" s="24">
        <v>500</v>
      </c>
      <c r="J32" s="22">
        <v>39067</v>
      </c>
      <c r="K32" s="23">
        <v>49283</v>
      </c>
      <c r="L32" s="24">
        <v>49847</v>
      </c>
      <c r="M32" s="22">
        <v>39067</v>
      </c>
      <c r="N32" s="23">
        <v>49283</v>
      </c>
      <c r="O32" s="24">
        <v>49847</v>
      </c>
      <c r="Q32" s="25"/>
      <c r="R32" s="25"/>
      <c r="S32" s="25"/>
      <c r="T32" s="25"/>
      <c r="U32" s="25"/>
    </row>
    <row r="33" spans="1:21" ht="11.25" customHeight="1" x14ac:dyDescent="0.25">
      <c r="A33" s="19">
        <v>73</v>
      </c>
      <c r="B33" s="20" t="s">
        <v>39</v>
      </c>
      <c r="C33" s="21">
        <f t="shared" si="0"/>
        <v>5800</v>
      </c>
      <c r="D33" s="22">
        <v>3580</v>
      </c>
      <c r="E33" s="23">
        <v>925</v>
      </c>
      <c r="F33" s="24">
        <v>550</v>
      </c>
      <c r="G33" s="22">
        <v>220</v>
      </c>
      <c r="H33" s="23">
        <v>75</v>
      </c>
      <c r="I33" s="24">
        <v>450</v>
      </c>
      <c r="J33" s="22">
        <v>37143</v>
      </c>
      <c r="K33" s="23">
        <v>45975</v>
      </c>
      <c r="L33" s="24">
        <v>51724</v>
      </c>
      <c r="M33" s="22">
        <v>37143</v>
      </c>
      <c r="N33" s="23">
        <v>45975</v>
      </c>
      <c r="O33" s="24">
        <v>51724</v>
      </c>
      <c r="Q33" s="25"/>
      <c r="R33" s="25"/>
      <c r="S33" s="25"/>
      <c r="T33" s="25"/>
      <c r="U33" s="25"/>
    </row>
    <row r="34" spans="1:21" ht="11.25" customHeight="1" x14ac:dyDescent="0.25">
      <c r="A34" s="19">
        <v>76</v>
      </c>
      <c r="B34" s="20" t="s">
        <v>40</v>
      </c>
      <c r="C34" s="21">
        <f t="shared" si="0"/>
        <v>9800</v>
      </c>
      <c r="D34" s="22">
        <v>5000</v>
      </c>
      <c r="E34" s="23">
        <v>1050</v>
      </c>
      <c r="F34" s="24">
        <v>475</v>
      </c>
      <c r="G34" s="22">
        <v>300</v>
      </c>
      <c r="H34" s="23">
        <v>50</v>
      </c>
      <c r="I34" s="24">
        <v>2925</v>
      </c>
      <c r="J34" s="22">
        <v>37862</v>
      </c>
      <c r="K34" s="23">
        <v>45061</v>
      </c>
      <c r="L34" s="24">
        <v>51466</v>
      </c>
      <c r="M34" s="22">
        <v>37862</v>
      </c>
      <c r="N34" s="23">
        <v>45061</v>
      </c>
      <c r="O34" s="24">
        <v>51466</v>
      </c>
      <c r="Q34" s="25"/>
      <c r="R34" s="25"/>
      <c r="S34" s="25"/>
      <c r="T34" s="25"/>
      <c r="U34" s="25"/>
    </row>
    <row r="35" spans="1:21" ht="11.25" customHeight="1" x14ac:dyDescent="0.25">
      <c r="A35" s="19">
        <v>97</v>
      </c>
      <c r="B35" s="20" t="s">
        <v>47</v>
      </c>
      <c r="C35" s="21">
        <f t="shared" si="0"/>
        <v>1500</v>
      </c>
      <c r="D35" s="22">
        <v>400</v>
      </c>
      <c r="E35" s="23">
        <v>300</v>
      </c>
      <c r="F35" s="24">
        <v>600</v>
      </c>
      <c r="G35" s="22">
        <v>0</v>
      </c>
      <c r="H35" s="23">
        <v>0</v>
      </c>
      <c r="I35" s="24">
        <v>200</v>
      </c>
      <c r="J35" s="22">
        <v>39865</v>
      </c>
      <c r="K35" s="23">
        <v>52294</v>
      </c>
      <c r="L35" s="24">
        <v>75438</v>
      </c>
      <c r="M35" s="22">
        <v>0</v>
      </c>
      <c r="N35" s="23">
        <v>0</v>
      </c>
      <c r="O35" s="24">
        <v>75438</v>
      </c>
      <c r="Q35" s="25"/>
      <c r="R35" s="25"/>
      <c r="S35" s="25"/>
      <c r="T35" s="25"/>
      <c r="U35" s="25"/>
    </row>
    <row r="36" spans="1:21" ht="11.25" customHeight="1" thickBot="1" x14ac:dyDescent="0.3">
      <c r="A36" s="19">
        <v>99</v>
      </c>
      <c r="B36" s="20" t="s">
        <v>48</v>
      </c>
      <c r="C36" s="21">
        <f t="shared" si="0"/>
        <v>1400</v>
      </c>
      <c r="D36" s="22">
        <v>470</v>
      </c>
      <c r="E36" s="23">
        <v>370</v>
      </c>
      <c r="F36" s="24">
        <v>500</v>
      </c>
      <c r="G36" s="22">
        <v>30</v>
      </c>
      <c r="H36" s="23">
        <v>30</v>
      </c>
      <c r="I36" s="24">
        <v>0</v>
      </c>
      <c r="J36" s="22">
        <v>40943</v>
      </c>
      <c r="K36" s="23">
        <v>65680</v>
      </c>
      <c r="L36" s="24">
        <v>71187</v>
      </c>
      <c r="M36" s="22">
        <v>40943</v>
      </c>
      <c r="N36" s="23">
        <v>65680</v>
      </c>
      <c r="O36" s="24">
        <v>0</v>
      </c>
      <c r="Q36" s="25"/>
      <c r="R36" s="25"/>
      <c r="S36" s="25"/>
      <c r="T36" s="25"/>
      <c r="U36" s="25"/>
    </row>
    <row r="37" spans="1:21" s="30" customFormat="1" ht="15.75" thickBot="1" x14ac:dyDescent="0.3">
      <c r="A37" s="26"/>
      <c r="B37" s="27" t="s">
        <v>67</v>
      </c>
      <c r="C37" s="28">
        <f t="shared" ref="C37:I37" si="1">SUM(C4:C36)</f>
        <v>185150</v>
      </c>
      <c r="D37" s="28">
        <f t="shared" si="1"/>
        <v>103650</v>
      </c>
      <c r="E37" s="28">
        <f t="shared" si="1"/>
        <v>24280</v>
      </c>
      <c r="F37" s="28">
        <f t="shared" si="1"/>
        <v>29575</v>
      </c>
      <c r="G37" s="28">
        <f t="shared" si="1"/>
        <v>5850</v>
      </c>
      <c r="H37" s="28">
        <f t="shared" si="1"/>
        <v>1520</v>
      </c>
      <c r="I37" s="28">
        <f t="shared" si="1"/>
        <v>20275</v>
      </c>
      <c r="J37" s="28">
        <f>+AVERAGE(J4:J36)</f>
        <v>39140.515151515152</v>
      </c>
      <c r="K37" s="28">
        <f t="shared" ref="K37:O37" si="2">+AVERAGE(K4:K36)</f>
        <v>47845.848484848488</v>
      </c>
      <c r="L37" s="28">
        <f t="shared" si="2"/>
        <v>54367.818181818184</v>
      </c>
      <c r="M37" s="28">
        <f t="shared" si="2"/>
        <v>31980.969696969696</v>
      </c>
      <c r="N37" s="28">
        <f t="shared" si="2"/>
        <v>32431.424242424244</v>
      </c>
      <c r="O37" s="28">
        <f t="shared" si="2"/>
        <v>41713.242424242424</v>
      </c>
    </row>
    <row r="38" spans="1:21" s="30" customFormat="1" x14ac:dyDescent="0.25">
      <c r="A38" s="31"/>
      <c r="B38" s="3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21" s="30" customFormat="1" ht="23.25" thickBot="1" x14ac:dyDescent="0.3">
      <c r="B39" s="32"/>
      <c r="C39" s="29" t="s">
        <v>89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21" ht="22.5" x14ac:dyDescent="0.25">
      <c r="C40" s="33" t="s">
        <v>90</v>
      </c>
      <c r="D40" s="34" t="s">
        <v>91</v>
      </c>
      <c r="E40" s="34" t="s">
        <v>92</v>
      </c>
      <c r="F40" s="34" t="s">
        <v>93</v>
      </c>
      <c r="G40" s="34" t="s">
        <v>94</v>
      </c>
      <c r="H40" s="34" t="s">
        <v>95</v>
      </c>
      <c r="I40" s="35" t="s">
        <v>87</v>
      </c>
    </row>
    <row r="41" spans="1:21" x14ac:dyDescent="0.25">
      <c r="C41" s="36" t="s">
        <v>96</v>
      </c>
      <c r="D41" s="37">
        <v>10000</v>
      </c>
      <c r="E41" s="38">
        <v>7</v>
      </c>
      <c r="F41" s="38">
        <v>3576</v>
      </c>
      <c r="G41" s="39">
        <v>43605</v>
      </c>
      <c r="H41" s="37">
        <v>7268</v>
      </c>
      <c r="I41" s="40">
        <f>+(D41*F41)+(D41*E41*G41)+(D41*H41)</f>
        <v>3160790000</v>
      </c>
    </row>
    <row r="42" spans="1:21" x14ac:dyDescent="0.25">
      <c r="C42" s="36" t="s">
        <v>97</v>
      </c>
      <c r="D42" s="37">
        <v>5000</v>
      </c>
      <c r="E42" s="38">
        <v>7</v>
      </c>
      <c r="F42" s="38">
        <v>3576</v>
      </c>
      <c r="G42" s="39">
        <v>33075</v>
      </c>
      <c r="H42" s="37">
        <v>8269</v>
      </c>
      <c r="I42" s="40">
        <f>+(D42*F42)+(D42*E42*G42)+(D42*H42)</f>
        <v>1216850000</v>
      </c>
    </row>
    <row r="43" spans="1:21" x14ac:dyDescent="0.25">
      <c r="C43" s="36" t="s">
        <v>98</v>
      </c>
      <c r="D43" s="37">
        <v>6375</v>
      </c>
      <c r="E43" s="38">
        <v>7</v>
      </c>
      <c r="F43" s="38">
        <v>3576</v>
      </c>
      <c r="G43" s="39">
        <v>43605</v>
      </c>
      <c r="H43" s="37">
        <v>7268</v>
      </c>
      <c r="I43" s="40">
        <f>+(D43*F43)+(D43*E43*G43)+(D43*H43)</f>
        <v>2015003625</v>
      </c>
    </row>
    <row r="44" spans="1:21" ht="15.75" thickBot="1" x14ac:dyDescent="0.3">
      <c r="C44" s="41" t="s">
        <v>87</v>
      </c>
      <c r="D44" s="42">
        <f>SUM(D41:D43)</f>
        <v>21375</v>
      </c>
      <c r="E44" s="10"/>
      <c r="F44" s="10"/>
      <c r="G44" s="10"/>
      <c r="H44" s="10"/>
      <c r="I44" s="43">
        <f>SUM(I41:I43)</f>
        <v>6392643625</v>
      </c>
    </row>
    <row r="45" spans="1:21" x14ac:dyDescent="0.25">
      <c r="D45" s="25"/>
    </row>
    <row r="46" spans="1:21" ht="15.75" thickBot="1" x14ac:dyDescent="0.3"/>
    <row r="47" spans="1:21" x14ac:dyDescent="0.25">
      <c r="C47" s="44"/>
      <c r="D47" s="8" t="s">
        <v>99</v>
      </c>
      <c r="E47" s="9" t="s">
        <v>100</v>
      </c>
    </row>
    <row r="48" spans="1:21" ht="30" x14ac:dyDescent="0.25">
      <c r="C48" s="45" t="s">
        <v>85</v>
      </c>
      <c r="D48" s="46" t="e">
        <f>+#REF!</f>
        <v>#REF!</v>
      </c>
      <c r="E48" s="47" t="e">
        <f>+#REF!</f>
        <v>#REF!</v>
      </c>
    </row>
    <row r="49" spans="3:5" ht="30.75" thickBot="1" x14ac:dyDescent="0.3">
      <c r="C49" s="48" t="s">
        <v>86</v>
      </c>
      <c r="D49" s="42" t="e">
        <f>+#REF!</f>
        <v>#REF!</v>
      </c>
      <c r="E49" s="49" t="e">
        <f>+#REF!</f>
        <v>#REF!</v>
      </c>
    </row>
    <row r="50" spans="3:5" x14ac:dyDescent="0.25">
      <c r="C50" s="50" t="s">
        <v>101</v>
      </c>
      <c r="D50" s="25" t="e">
        <f>SUM(D48:D49)</f>
        <v>#REF!</v>
      </c>
      <c r="E50" s="11"/>
    </row>
    <row r="51" spans="3:5" x14ac:dyDescent="0.25">
      <c r="C51" s="50"/>
      <c r="D51" s="11"/>
      <c r="E51" s="11"/>
    </row>
    <row r="52" spans="3:5" ht="15.75" thickBot="1" x14ac:dyDescent="0.3">
      <c r="C52" s="50"/>
      <c r="D52" s="11"/>
      <c r="E52" s="11"/>
    </row>
    <row r="53" spans="3:5" x14ac:dyDescent="0.25">
      <c r="C53" s="44"/>
      <c r="D53" s="8" t="s">
        <v>99</v>
      </c>
      <c r="E53" s="9" t="s">
        <v>100</v>
      </c>
    </row>
    <row r="54" spans="3:5" ht="30" x14ac:dyDescent="0.25">
      <c r="C54" s="45" t="s">
        <v>83</v>
      </c>
      <c r="D54" s="46" t="e">
        <f>+#REF!</f>
        <v>#REF!</v>
      </c>
      <c r="E54" s="47" t="e">
        <f>+#REF!</f>
        <v>#REF!</v>
      </c>
    </row>
    <row r="55" spans="3:5" ht="30.75" thickBot="1" x14ac:dyDescent="0.3">
      <c r="C55" s="48" t="s">
        <v>84</v>
      </c>
      <c r="D55" s="42" t="e">
        <f>+#REF!</f>
        <v>#REF!</v>
      </c>
      <c r="E55" s="49" t="e">
        <f>+#REF!</f>
        <v>#REF!</v>
      </c>
    </row>
    <row r="56" spans="3:5" ht="30.75" thickBot="1" x14ac:dyDescent="0.3">
      <c r="C56" s="51" t="s">
        <v>102</v>
      </c>
      <c r="D56" s="52" t="e">
        <f>SUM(D54:D55)</f>
        <v>#REF!</v>
      </c>
      <c r="E56" s="53"/>
    </row>
    <row r="58" spans="3:5" x14ac:dyDescent="0.25">
      <c r="C58" s="7" t="s">
        <v>87</v>
      </c>
      <c r="D58" s="25" t="e">
        <f>+D50+D56</f>
        <v>#REF!</v>
      </c>
    </row>
  </sheetData>
  <mergeCells count="1">
    <mergeCell ref="J2:O2"/>
  </mergeCells>
  <pageMargins left="0.70866141732283472" right="0.70866141732283472" top="0.74803149606299213" bottom="0.74803149606299213" header="0.31496062992125984" footer="0.31496062992125984"/>
  <pageSetup scale="21" orientation="portrait" horizontalDpi="4294967295" verticalDpi="4294967295" r:id="rId1"/>
  <ignoredErrors>
    <ignoredError sqref="C4:C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3:AD75"/>
  <sheetViews>
    <sheetView topLeftCell="M1" workbookViewId="0">
      <selection activeCell="W8" sqref="W8"/>
    </sheetView>
  </sheetViews>
  <sheetFormatPr baseColWidth="10" defaultColWidth="11.42578125" defaultRowHeight="15" x14ac:dyDescent="0.25"/>
  <cols>
    <col min="1" max="2" width="11.42578125" style="1"/>
    <col min="3" max="3" width="22.7109375" style="1" customWidth="1"/>
    <col min="4" max="4" width="18.140625" style="1" bestFit="1" customWidth="1"/>
    <col min="5" max="18" width="22.7109375" style="1" customWidth="1"/>
    <col min="19" max="19" width="18.140625" style="1" customWidth="1"/>
    <col min="20" max="22" width="11.42578125" style="1"/>
    <col min="23" max="23" width="15.7109375" style="1" customWidth="1"/>
    <col min="24" max="16384" width="11.42578125" style="1"/>
  </cols>
  <sheetData>
    <row r="3" spans="2:30" ht="15.75" thickBot="1" x14ac:dyDescent="0.3">
      <c r="E3" s="125" t="s">
        <v>6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5"/>
      <c r="R3" s="5"/>
    </row>
    <row r="4" spans="2:30" ht="34.5" thickBot="1" x14ac:dyDescent="0.3">
      <c r="C4" s="13" t="s">
        <v>69</v>
      </c>
      <c r="D4" s="14" t="s">
        <v>6</v>
      </c>
      <c r="E4" s="15" t="s">
        <v>71</v>
      </c>
      <c r="F4" s="15" t="s">
        <v>77</v>
      </c>
      <c r="G4" s="54"/>
      <c r="H4" s="13" t="s">
        <v>69</v>
      </c>
      <c r="I4" s="14" t="s">
        <v>6</v>
      </c>
      <c r="J4" s="16" t="s">
        <v>72</v>
      </c>
      <c r="K4" s="16" t="s">
        <v>78</v>
      </c>
      <c r="L4" s="54"/>
      <c r="M4" s="13" t="s">
        <v>69</v>
      </c>
      <c r="N4" s="14" t="s">
        <v>6</v>
      </c>
      <c r="O4" s="17" t="s">
        <v>73</v>
      </c>
      <c r="P4" s="17" t="s">
        <v>79</v>
      </c>
      <c r="Q4" s="5"/>
      <c r="R4" s="5"/>
      <c r="S4" s="2" t="s">
        <v>5</v>
      </c>
      <c r="W4" s="1" t="s">
        <v>7</v>
      </c>
    </row>
    <row r="5" spans="2:30" x14ac:dyDescent="0.25">
      <c r="B5" s="1" t="str">
        <f>C5&amp;D5</f>
        <v>AMAZONASTradicional No Victimas</v>
      </c>
      <c r="C5" s="20" t="s">
        <v>44</v>
      </c>
      <c r="D5" t="s">
        <v>108</v>
      </c>
      <c r="E5" s="22">
        <v>500</v>
      </c>
      <c r="F5" s="22">
        <v>40400</v>
      </c>
      <c r="G5" s="55" t="str">
        <f>H5&amp;I5</f>
        <v>AMAZONASRural No Victimas</v>
      </c>
      <c r="H5" s="20" t="s">
        <v>44</v>
      </c>
      <c r="I5" t="s">
        <v>109</v>
      </c>
      <c r="J5" s="23">
        <v>0</v>
      </c>
      <c r="K5" s="23">
        <v>0</v>
      </c>
      <c r="L5" s="55" t="str">
        <f>M5&amp;N5</f>
        <v>AMAZONASEtnico No Victimas</v>
      </c>
      <c r="M5" s="20" t="s">
        <v>44</v>
      </c>
      <c r="N5" t="s">
        <v>110</v>
      </c>
      <c r="O5" s="24">
        <v>1300</v>
      </c>
      <c r="P5" s="24">
        <v>67316</v>
      </c>
      <c r="Q5" s="6"/>
      <c r="R5" s="4"/>
      <c r="S5" s="1">
        <v>1</v>
      </c>
      <c r="W5" t="s">
        <v>105</v>
      </c>
      <c r="X5">
        <v>8</v>
      </c>
      <c r="AC5" s="1">
        <f>+P5/7</f>
        <v>9616.5714285714294</v>
      </c>
      <c r="AD5" s="1">
        <f>+AC5*6.5</f>
        <v>62507.71428571429</v>
      </c>
    </row>
    <row r="6" spans="2:30" x14ac:dyDescent="0.25">
      <c r="B6" s="1" t="str">
        <f t="shared" ref="B6:B37" si="0">C6&amp;D6</f>
        <v>ANTIOQUIATradicional No Victimas</v>
      </c>
      <c r="C6" s="20" t="s">
        <v>23</v>
      </c>
      <c r="D6" t="s">
        <v>108</v>
      </c>
      <c r="E6" s="22">
        <v>6550</v>
      </c>
      <c r="F6" s="22">
        <v>40051</v>
      </c>
      <c r="G6" s="55" t="str">
        <f t="shared" ref="G6:G37" si="1">H6&amp;I6</f>
        <v>ANTIOQUIARural No Victimas</v>
      </c>
      <c r="H6" s="20" t="s">
        <v>23</v>
      </c>
      <c r="I6" t="s">
        <v>109</v>
      </c>
      <c r="J6" s="23">
        <v>2100</v>
      </c>
      <c r="K6" s="23">
        <v>57922</v>
      </c>
      <c r="L6" s="55" t="str">
        <f t="shared" ref="L6:L37" si="2">M6&amp;N6</f>
        <v>ANTIOQUIAEtnico No Victimas</v>
      </c>
      <c r="M6" s="20" t="s">
        <v>23</v>
      </c>
      <c r="N6" t="s">
        <v>110</v>
      </c>
      <c r="O6" s="24">
        <v>575</v>
      </c>
      <c r="P6" s="24">
        <v>61906</v>
      </c>
      <c r="Q6" s="6"/>
      <c r="R6" s="4"/>
      <c r="S6" s="1">
        <v>2</v>
      </c>
      <c r="W6" t="s">
        <v>106</v>
      </c>
      <c r="X6">
        <v>12</v>
      </c>
    </row>
    <row r="7" spans="2:30" x14ac:dyDescent="0.25">
      <c r="B7" s="1" t="str">
        <f t="shared" si="0"/>
        <v>ARAUCATradicional No Victimas</v>
      </c>
      <c r="C7" s="20" t="s">
        <v>41</v>
      </c>
      <c r="D7" t="s">
        <v>108</v>
      </c>
      <c r="E7" s="22">
        <v>2120</v>
      </c>
      <c r="F7" s="22">
        <v>41271</v>
      </c>
      <c r="G7" s="55" t="str">
        <f t="shared" si="1"/>
        <v>ARAUCARural No Victimas</v>
      </c>
      <c r="H7" s="20" t="s">
        <v>41</v>
      </c>
      <c r="I7" t="s">
        <v>109</v>
      </c>
      <c r="J7" s="23">
        <v>930</v>
      </c>
      <c r="K7" s="23">
        <v>61901</v>
      </c>
      <c r="L7" s="55" t="str">
        <f t="shared" si="2"/>
        <v>ARAUCAEtnico No Victimas</v>
      </c>
      <c r="M7" s="20" t="s">
        <v>41</v>
      </c>
      <c r="N7" t="s">
        <v>110</v>
      </c>
      <c r="O7" s="24">
        <v>800</v>
      </c>
      <c r="P7" s="24">
        <v>84187</v>
      </c>
      <c r="Q7" s="6"/>
      <c r="R7" s="4"/>
      <c r="S7" s="1">
        <v>3</v>
      </c>
      <c r="W7" t="s">
        <v>107</v>
      </c>
      <c r="X7">
        <v>12</v>
      </c>
    </row>
    <row r="8" spans="2:30" x14ac:dyDescent="0.25">
      <c r="B8" s="1" t="str">
        <f t="shared" si="0"/>
        <v>ATLÁNTICOTradicional No Victimas</v>
      </c>
      <c r="C8" s="20" t="s">
        <v>24</v>
      </c>
      <c r="D8" t="s">
        <v>108</v>
      </c>
      <c r="E8" s="22">
        <v>2910</v>
      </c>
      <c r="F8" s="22">
        <v>38403</v>
      </c>
      <c r="G8" s="55" t="str">
        <f t="shared" si="1"/>
        <v>ATLÁNTICORural No Victimas</v>
      </c>
      <c r="H8" s="20" t="s">
        <v>24</v>
      </c>
      <c r="I8" t="s">
        <v>109</v>
      </c>
      <c r="J8" s="23">
        <v>200</v>
      </c>
      <c r="K8" s="23">
        <v>47091</v>
      </c>
      <c r="L8" s="55" t="str">
        <f t="shared" si="2"/>
        <v>ATLÁNTICOEtnico No Victimas</v>
      </c>
      <c r="M8" s="20" t="s">
        <v>24</v>
      </c>
      <c r="N8" t="s">
        <v>110</v>
      </c>
      <c r="O8" s="24">
        <v>750</v>
      </c>
      <c r="P8" s="24">
        <v>47091</v>
      </c>
      <c r="Q8" s="6"/>
      <c r="R8" s="4"/>
      <c r="S8" s="1">
        <v>4</v>
      </c>
      <c r="W8" t="s">
        <v>108</v>
      </c>
      <c r="X8">
        <v>8</v>
      </c>
    </row>
    <row r="9" spans="2:30" x14ac:dyDescent="0.25">
      <c r="B9" s="1" t="str">
        <f t="shared" si="0"/>
        <v>BOGOTÁTradicional No Victimas</v>
      </c>
      <c r="C9" s="20" t="s">
        <v>49</v>
      </c>
      <c r="D9" t="s">
        <v>108</v>
      </c>
      <c r="E9" s="22">
        <v>3800</v>
      </c>
      <c r="F9" s="22">
        <v>37356</v>
      </c>
      <c r="G9" s="55" t="str">
        <f t="shared" si="1"/>
        <v>BOGOTÁRural No Victimas</v>
      </c>
      <c r="H9" s="20" t="s">
        <v>49</v>
      </c>
      <c r="I9" t="s">
        <v>109</v>
      </c>
      <c r="J9" s="23">
        <v>200</v>
      </c>
      <c r="K9" s="23">
        <v>47349</v>
      </c>
      <c r="L9" s="55" t="str">
        <f t="shared" si="2"/>
        <v>BOGOTÁEtnico No Victimas</v>
      </c>
      <c r="M9" s="20" t="s">
        <v>49</v>
      </c>
      <c r="N9" t="s">
        <v>110</v>
      </c>
      <c r="O9" s="24">
        <v>500</v>
      </c>
      <c r="P9" s="24">
        <v>47349</v>
      </c>
      <c r="Q9" s="6"/>
      <c r="R9" s="4"/>
      <c r="S9" s="1">
        <v>5</v>
      </c>
      <c r="W9" t="s">
        <v>109</v>
      </c>
      <c r="X9">
        <v>12</v>
      </c>
    </row>
    <row r="10" spans="2:30" x14ac:dyDescent="0.25">
      <c r="B10" s="1" t="str">
        <f t="shared" si="0"/>
        <v>BOLÍVARTradicional No Victimas</v>
      </c>
      <c r="C10" s="20" t="s">
        <v>25</v>
      </c>
      <c r="D10" t="s">
        <v>108</v>
      </c>
      <c r="E10" s="22">
        <v>3150</v>
      </c>
      <c r="F10" s="22">
        <v>39709</v>
      </c>
      <c r="G10" s="55" t="str">
        <f t="shared" si="1"/>
        <v>BOLÍVARRural No Victimas</v>
      </c>
      <c r="H10" s="20" t="s">
        <v>25</v>
      </c>
      <c r="I10" t="s">
        <v>109</v>
      </c>
      <c r="J10" s="23">
        <v>2500</v>
      </c>
      <c r="K10" s="23">
        <v>54169</v>
      </c>
      <c r="L10" s="55" t="str">
        <f t="shared" si="2"/>
        <v>BOLÍVAREtnico No Victimas</v>
      </c>
      <c r="M10" s="20" t="s">
        <v>25</v>
      </c>
      <c r="N10" t="s">
        <v>110</v>
      </c>
      <c r="O10" s="24">
        <v>550</v>
      </c>
      <c r="P10" s="24">
        <v>51430</v>
      </c>
      <c r="Q10" s="6"/>
      <c r="R10" s="4"/>
      <c r="S10" s="1">
        <v>6</v>
      </c>
      <c r="W10" t="s">
        <v>110</v>
      </c>
      <c r="X10">
        <v>12</v>
      </c>
    </row>
    <row r="11" spans="2:30" x14ac:dyDescent="0.25">
      <c r="B11" s="1" t="str">
        <f t="shared" si="0"/>
        <v>BOYACÁTradicional No Victimas</v>
      </c>
      <c r="C11" s="20" t="s">
        <v>26</v>
      </c>
      <c r="D11" t="s">
        <v>108</v>
      </c>
      <c r="E11" s="22">
        <v>3460</v>
      </c>
      <c r="F11" s="22">
        <v>38065</v>
      </c>
      <c r="G11" s="55" t="str">
        <f t="shared" si="1"/>
        <v>BOYACÁRural No Victimas</v>
      </c>
      <c r="H11" s="20" t="s">
        <v>26</v>
      </c>
      <c r="I11" t="s">
        <v>109</v>
      </c>
      <c r="J11" s="23">
        <v>1350</v>
      </c>
      <c r="K11" s="23">
        <v>50459</v>
      </c>
      <c r="L11" s="55" t="str">
        <f t="shared" si="2"/>
        <v>BOYACÁEtnico No Victimas</v>
      </c>
      <c r="M11" s="20" t="s">
        <v>26</v>
      </c>
      <c r="N11" t="s">
        <v>110</v>
      </c>
      <c r="O11" s="24">
        <v>100</v>
      </c>
      <c r="P11" s="24">
        <v>55914</v>
      </c>
      <c r="Q11" s="6"/>
      <c r="R11" s="4"/>
      <c r="S11" s="1">
        <v>7</v>
      </c>
    </row>
    <row r="12" spans="2:30" x14ac:dyDescent="0.25">
      <c r="B12" s="1" t="str">
        <f t="shared" si="0"/>
        <v>CALDASTradicional No Victimas</v>
      </c>
      <c r="C12" s="20" t="s">
        <v>27</v>
      </c>
      <c r="D12" t="s">
        <v>108</v>
      </c>
      <c r="E12" s="22">
        <v>2620</v>
      </c>
      <c r="F12" s="22">
        <v>37318</v>
      </c>
      <c r="G12" s="55" t="str">
        <f t="shared" si="1"/>
        <v>CALDASRural No Victimas</v>
      </c>
      <c r="H12" s="20" t="s">
        <v>27</v>
      </c>
      <c r="I12" t="s">
        <v>109</v>
      </c>
      <c r="J12" s="23">
        <v>390</v>
      </c>
      <c r="K12" s="23">
        <v>46025</v>
      </c>
      <c r="L12" s="55" t="str">
        <f t="shared" si="2"/>
        <v>CALDASEtnico No Victimas</v>
      </c>
      <c r="M12" s="20" t="s">
        <v>27</v>
      </c>
      <c r="N12" t="s">
        <v>110</v>
      </c>
      <c r="O12" s="24">
        <v>1450</v>
      </c>
      <c r="P12" s="24">
        <v>47690</v>
      </c>
      <c r="Q12" s="6"/>
      <c r="R12" s="4"/>
      <c r="S12" s="1">
        <v>8</v>
      </c>
    </row>
    <row r="13" spans="2:30" x14ac:dyDescent="0.25">
      <c r="B13" s="1" t="str">
        <f t="shared" si="0"/>
        <v>CAQUETÁTradicional No Victimas</v>
      </c>
      <c r="C13" s="20" t="s">
        <v>50</v>
      </c>
      <c r="D13" t="s">
        <v>108</v>
      </c>
      <c r="E13" s="22">
        <v>2750</v>
      </c>
      <c r="F13" s="22">
        <v>38227</v>
      </c>
      <c r="G13" s="55" t="str">
        <f t="shared" si="1"/>
        <v>CAQUETÁRural No Victimas</v>
      </c>
      <c r="H13" s="20" t="s">
        <v>50</v>
      </c>
      <c r="I13" t="s">
        <v>109</v>
      </c>
      <c r="J13" s="23">
        <v>840</v>
      </c>
      <c r="K13" s="23">
        <v>52339</v>
      </c>
      <c r="L13" s="55" t="str">
        <f t="shared" si="2"/>
        <v>CAQUETÁEtnico No Victimas</v>
      </c>
      <c r="M13" s="20" t="s">
        <v>50</v>
      </c>
      <c r="N13" t="s">
        <v>110</v>
      </c>
      <c r="O13" s="24">
        <v>400</v>
      </c>
      <c r="P13" s="24">
        <v>51905</v>
      </c>
      <c r="Q13" s="6"/>
      <c r="R13" s="4"/>
      <c r="S13" s="1">
        <v>9</v>
      </c>
      <c r="W13" t="s">
        <v>105</v>
      </c>
    </row>
    <row r="14" spans="2:30" x14ac:dyDescent="0.25">
      <c r="B14" s="1" t="str">
        <f t="shared" si="0"/>
        <v>CASANARETradicional No Victimas</v>
      </c>
      <c r="C14" s="20" t="s">
        <v>51</v>
      </c>
      <c r="D14" t="s">
        <v>108</v>
      </c>
      <c r="E14" s="22">
        <v>1490</v>
      </c>
      <c r="F14" s="22">
        <v>38435</v>
      </c>
      <c r="G14" s="55" t="str">
        <f t="shared" si="1"/>
        <v>CASANARERural No Victimas</v>
      </c>
      <c r="H14" s="20" t="s">
        <v>51</v>
      </c>
      <c r="I14" t="s">
        <v>109</v>
      </c>
      <c r="J14" s="23">
        <v>380</v>
      </c>
      <c r="K14" s="23">
        <v>49523</v>
      </c>
      <c r="L14" s="55" t="str">
        <f t="shared" si="2"/>
        <v>CASANAREEtnico No Victimas</v>
      </c>
      <c r="M14" s="20" t="s">
        <v>51</v>
      </c>
      <c r="N14" t="s">
        <v>110</v>
      </c>
      <c r="O14" s="24">
        <v>300</v>
      </c>
      <c r="P14" s="24">
        <v>69784</v>
      </c>
      <c r="Q14" s="6"/>
      <c r="R14" s="4"/>
      <c r="S14" s="1">
        <v>10</v>
      </c>
      <c r="W14" t="s">
        <v>106</v>
      </c>
    </row>
    <row r="15" spans="2:30" x14ac:dyDescent="0.25">
      <c r="B15" s="1" t="str">
        <f t="shared" si="0"/>
        <v>CAUCATradicional No Victimas</v>
      </c>
      <c r="C15" s="20" t="s">
        <v>28</v>
      </c>
      <c r="D15" t="s">
        <v>108</v>
      </c>
      <c r="E15" s="22">
        <v>6600</v>
      </c>
      <c r="F15" s="22">
        <v>40253</v>
      </c>
      <c r="G15" s="55" t="str">
        <f t="shared" si="1"/>
        <v>CAUCARural No Victimas</v>
      </c>
      <c r="H15" s="20" t="s">
        <v>28</v>
      </c>
      <c r="I15" t="s">
        <v>109</v>
      </c>
      <c r="J15" s="23">
        <v>300</v>
      </c>
      <c r="K15" s="23">
        <v>66731</v>
      </c>
      <c r="L15" s="55" t="str">
        <f t="shared" si="2"/>
        <v>CAUCAEtnico No Victimas</v>
      </c>
      <c r="M15" s="20" t="s">
        <v>28</v>
      </c>
      <c r="N15" t="s">
        <v>110</v>
      </c>
      <c r="O15" s="24">
        <v>2625</v>
      </c>
      <c r="P15" s="24">
        <v>66731</v>
      </c>
      <c r="Q15" s="6"/>
      <c r="R15" s="4"/>
      <c r="S15" s="1">
        <v>11</v>
      </c>
      <c r="W15" t="s">
        <v>107</v>
      </c>
    </row>
    <row r="16" spans="2:30" x14ac:dyDescent="0.25">
      <c r="B16" s="1" t="str">
        <f t="shared" si="0"/>
        <v>CESARTradicional No Victimas</v>
      </c>
      <c r="C16" s="20" t="s">
        <v>29</v>
      </c>
      <c r="D16" t="s">
        <v>108</v>
      </c>
      <c r="E16" s="22">
        <v>4140</v>
      </c>
      <c r="F16" s="22">
        <v>39260</v>
      </c>
      <c r="G16" s="55" t="str">
        <f t="shared" si="1"/>
        <v>CESARRural No Victimas</v>
      </c>
      <c r="H16" s="20" t="s">
        <v>29</v>
      </c>
      <c r="I16" t="s">
        <v>109</v>
      </c>
      <c r="J16" s="23">
        <v>760</v>
      </c>
      <c r="K16" s="23">
        <v>54097</v>
      </c>
      <c r="L16" s="55" t="str">
        <f t="shared" si="2"/>
        <v>CESAREtnico No Victimas</v>
      </c>
      <c r="M16" s="20" t="s">
        <v>29</v>
      </c>
      <c r="N16" t="s">
        <v>110</v>
      </c>
      <c r="O16" s="24">
        <v>1275</v>
      </c>
      <c r="P16" s="24">
        <v>51026</v>
      </c>
      <c r="Q16" s="6"/>
      <c r="R16" s="4"/>
      <c r="S16" s="1">
        <v>12</v>
      </c>
      <c r="W16" t="s">
        <v>108</v>
      </c>
    </row>
    <row r="17" spans="2:23" x14ac:dyDescent="0.25">
      <c r="B17" s="1" t="str">
        <f t="shared" si="0"/>
        <v>CHOCÓTradicional No Victimas</v>
      </c>
      <c r="C17" s="20" t="s">
        <v>31</v>
      </c>
      <c r="D17" t="s">
        <v>108</v>
      </c>
      <c r="E17" s="22">
        <v>4600</v>
      </c>
      <c r="F17" s="22">
        <v>40366</v>
      </c>
      <c r="G17" s="55" t="str">
        <f t="shared" si="1"/>
        <v>CHOCÓRural No Victimas</v>
      </c>
      <c r="H17" s="20" t="s">
        <v>31</v>
      </c>
      <c r="I17" t="s">
        <v>109</v>
      </c>
      <c r="J17" s="23">
        <v>1500</v>
      </c>
      <c r="K17" s="23">
        <v>53766</v>
      </c>
      <c r="L17" s="55" t="str">
        <f t="shared" si="2"/>
        <v>CHOCÓEtnico No Victimas</v>
      </c>
      <c r="M17" s="20" t="s">
        <v>31</v>
      </c>
      <c r="N17" t="s">
        <v>110</v>
      </c>
      <c r="O17" s="24">
        <v>4000</v>
      </c>
      <c r="P17" s="24">
        <v>63296</v>
      </c>
      <c r="Q17" s="6"/>
      <c r="R17" s="4"/>
      <c r="W17" t="s">
        <v>109</v>
      </c>
    </row>
    <row r="18" spans="2:23" x14ac:dyDescent="0.25">
      <c r="B18" s="1" t="str">
        <f t="shared" si="0"/>
        <v>CÓRDOBATradicional No Victimas</v>
      </c>
      <c r="C18" s="20" t="s">
        <v>30</v>
      </c>
      <c r="D18" t="s">
        <v>108</v>
      </c>
      <c r="E18" s="22">
        <v>4350</v>
      </c>
      <c r="F18" s="22">
        <v>38957</v>
      </c>
      <c r="G18" s="55" t="str">
        <f t="shared" si="1"/>
        <v>CÓRDOBARural No Victimas</v>
      </c>
      <c r="H18" s="20" t="s">
        <v>30</v>
      </c>
      <c r="I18" t="s">
        <v>109</v>
      </c>
      <c r="J18" s="23">
        <v>1000</v>
      </c>
      <c r="K18" s="23">
        <v>53801</v>
      </c>
      <c r="L18" s="55" t="str">
        <f t="shared" si="2"/>
        <v>CÓRDOBAEtnico No Victimas</v>
      </c>
      <c r="M18" s="20" t="s">
        <v>30</v>
      </c>
      <c r="N18" t="s">
        <v>110</v>
      </c>
      <c r="O18" s="24">
        <v>550</v>
      </c>
      <c r="P18" s="24">
        <v>68955</v>
      </c>
      <c r="Q18" s="6"/>
      <c r="R18" s="4"/>
      <c r="S18" s="1" t="s">
        <v>8</v>
      </c>
      <c r="W18" t="s">
        <v>110</v>
      </c>
    </row>
    <row r="19" spans="2:23" x14ac:dyDescent="0.25">
      <c r="B19" s="1" t="str">
        <f t="shared" si="0"/>
        <v>CUNDINAMARCATradicional No Victimas</v>
      </c>
      <c r="C19" s="20" t="s">
        <v>52</v>
      </c>
      <c r="D19" t="s">
        <v>108</v>
      </c>
      <c r="E19" s="22">
        <v>3125</v>
      </c>
      <c r="F19" s="22">
        <v>39496</v>
      </c>
      <c r="G19" s="55" t="str">
        <f t="shared" si="1"/>
        <v>CUNDINAMARCARural No Victimas</v>
      </c>
      <c r="H19" s="20" t="s">
        <v>52</v>
      </c>
      <c r="I19" t="s">
        <v>109</v>
      </c>
      <c r="J19" s="23">
        <v>0</v>
      </c>
      <c r="K19" s="23">
        <v>0</v>
      </c>
      <c r="L19" s="55" t="str">
        <f t="shared" si="2"/>
        <v>CUNDINAMARCAEtnico No Victimas</v>
      </c>
      <c r="M19" s="20" t="s">
        <v>52</v>
      </c>
      <c r="N19" t="s">
        <v>110</v>
      </c>
      <c r="O19" s="24">
        <v>0</v>
      </c>
      <c r="P19" s="24">
        <v>0</v>
      </c>
      <c r="Q19" s="6"/>
      <c r="R19" s="4"/>
      <c r="S19" s="1" t="s">
        <v>9</v>
      </c>
    </row>
    <row r="20" spans="2:23" x14ac:dyDescent="0.25">
      <c r="B20" s="1" t="str">
        <f t="shared" si="0"/>
        <v>GUAINÍATradicional No Victimas</v>
      </c>
      <c r="C20" s="20" t="s">
        <v>45</v>
      </c>
      <c r="D20" t="s">
        <v>108</v>
      </c>
      <c r="E20" s="22">
        <v>380</v>
      </c>
      <c r="F20" s="22">
        <v>38138</v>
      </c>
      <c r="G20" s="55" t="str">
        <f t="shared" si="1"/>
        <v>GUAINÍARural No Victimas</v>
      </c>
      <c r="H20" s="20" t="s">
        <v>45</v>
      </c>
      <c r="I20" t="s">
        <v>109</v>
      </c>
      <c r="J20" s="23">
        <v>300</v>
      </c>
      <c r="K20" s="23">
        <v>77598</v>
      </c>
      <c r="L20" s="55" t="str">
        <f t="shared" si="2"/>
        <v>GUAINÍAEtnico No Victimas</v>
      </c>
      <c r="M20" s="20" t="s">
        <v>45</v>
      </c>
      <c r="N20" t="s">
        <v>110</v>
      </c>
      <c r="O20" s="24">
        <v>900</v>
      </c>
      <c r="P20" s="24">
        <v>77598</v>
      </c>
      <c r="Q20" s="6"/>
      <c r="R20" s="4"/>
      <c r="S20" s="1" t="s">
        <v>10</v>
      </c>
    </row>
    <row r="21" spans="2:23" x14ac:dyDescent="0.25">
      <c r="B21" s="1" t="str">
        <f t="shared" si="0"/>
        <v>GUAVIARETradicional No Victimas</v>
      </c>
      <c r="C21" s="20" t="s">
        <v>46</v>
      </c>
      <c r="D21" t="s">
        <v>108</v>
      </c>
      <c r="E21" s="22">
        <v>500</v>
      </c>
      <c r="F21" s="22">
        <v>42150</v>
      </c>
      <c r="G21" s="55" t="str">
        <f t="shared" si="1"/>
        <v>GUAVIARERural No Victimas</v>
      </c>
      <c r="H21" s="20" t="s">
        <v>46</v>
      </c>
      <c r="I21" t="s">
        <v>109</v>
      </c>
      <c r="J21" s="23">
        <v>500</v>
      </c>
      <c r="K21" s="23">
        <v>61773</v>
      </c>
      <c r="L21" s="55" t="str">
        <f t="shared" si="2"/>
        <v>GUAVIAREEtnico No Victimas</v>
      </c>
      <c r="M21" s="20" t="s">
        <v>46</v>
      </c>
      <c r="N21" t="s">
        <v>110</v>
      </c>
      <c r="O21" s="24">
        <v>650</v>
      </c>
      <c r="P21" s="24">
        <v>74304</v>
      </c>
      <c r="Q21" s="6"/>
      <c r="R21" s="4"/>
      <c r="S21" s="1" t="s">
        <v>11</v>
      </c>
    </row>
    <row r="22" spans="2:23" x14ac:dyDescent="0.25">
      <c r="B22" s="1" t="str">
        <f t="shared" si="0"/>
        <v>HUILATradicional No Victimas</v>
      </c>
      <c r="C22" s="20" t="s">
        <v>32</v>
      </c>
      <c r="D22" t="s">
        <v>108</v>
      </c>
      <c r="E22" s="22">
        <v>2920</v>
      </c>
      <c r="F22" s="22">
        <v>38124</v>
      </c>
      <c r="G22" s="55" t="str">
        <f t="shared" si="1"/>
        <v>HUILARural No Victimas</v>
      </c>
      <c r="H22" s="20" t="s">
        <v>32</v>
      </c>
      <c r="I22" t="s">
        <v>109</v>
      </c>
      <c r="J22" s="23">
        <v>960</v>
      </c>
      <c r="K22" s="23">
        <v>47897</v>
      </c>
      <c r="L22" s="55" t="str">
        <f t="shared" si="2"/>
        <v>HUILAEtnico No Victimas</v>
      </c>
      <c r="M22" s="20" t="s">
        <v>32</v>
      </c>
      <c r="N22" t="s">
        <v>110</v>
      </c>
      <c r="O22" s="24">
        <v>300</v>
      </c>
      <c r="P22" s="24">
        <v>54309</v>
      </c>
      <c r="Q22" s="6"/>
      <c r="R22" s="4"/>
      <c r="S22" s="1" t="s">
        <v>12</v>
      </c>
    </row>
    <row r="23" spans="2:23" x14ac:dyDescent="0.25">
      <c r="B23" s="1" t="str">
        <f t="shared" si="0"/>
        <v>LA GUAJIRATradicional No Victimas</v>
      </c>
      <c r="C23" s="20" t="s">
        <v>33</v>
      </c>
      <c r="D23" t="s">
        <v>108</v>
      </c>
      <c r="E23" s="22">
        <v>2900</v>
      </c>
      <c r="F23" s="22">
        <v>37641</v>
      </c>
      <c r="G23" s="55" t="str">
        <f t="shared" si="1"/>
        <v>LA GUAJIRARural No Victimas</v>
      </c>
      <c r="H23" s="20" t="s">
        <v>33</v>
      </c>
      <c r="I23" t="s">
        <v>109</v>
      </c>
      <c r="J23" s="23">
        <v>0</v>
      </c>
      <c r="K23" s="23">
        <v>0</v>
      </c>
      <c r="L23" s="55" t="str">
        <f t="shared" si="2"/>
        <v>LA GUAJIRAEtnico No Victimas</v>
      </c>
      <c r="M23" s="20" t="s">
        <v>33</v>
      </c>
      <c r="N23" t="s">
        <v>110</v>
      </c>
      <c r="O23" s="24">
        <v>3000</v>
      </c>
      <c r="P23" s="24">
        <v>50352</v>
      </c>
      <c r="Q23" s="6"/>
      <c r="R23" s="4"/>
      <c r="S23" s="1" t="s">
        <v>13</v>
      </c>
    </row>
    <row r="24" spans="2:23" x14ac:dyDescent="0.25">
      <c r="B24" s="1" t="str">
        <f t="shared" si="0"/>
        <v>MAGDALENATradicional No Victimas</v>
      </c>
      <c r="C24" s="20" t="s">
        <v>34</v>
      </c>
      <c r="D24" t="s">
        <v>108</v>
      </c>
      <c r="E24" s="22">
        <v>7440</v>
      </c>
      <c r="F24" s="22">
        <v>39120</v>
      </c>
      <c r="G24" s="55" t="str">
        <f t="shared" si="1"/>
        <v>MAGDALENARural No Victimas</v>
      </c>
      <c r="H24" s="20" t="s">
        <v>34</v>
      </c>
      <c r="I24" t="s">
        <v>109</v>
      </c>
      <c r="J24" s="23">
        <v>675</v>
      </c>
      <c r="K24" s="23">
        <v>57103</v>
      </c>
      <c r="L24" s="55" t="str">
        <f t="shared" si="2"/>
        <v>MAGDALENAEtnico No Victimas</v>
      </c>
      <c r="M24" s="20" t="s">
        <v>34</v>
      </c>
      <c r="N24" t="s">
        <v>110</v>
      </c>
      <c r="O24" s="24">
        <v>1175</v>
      </c>
      <c r="P24" s="24">
        <v>49628</v>
      </c>
      <c r="Q24" s="6"/>
      <c r="R24" s="4"/>
      <c r="S24" s="1" t="s">
        <v>14</v>
      </c>
    </row>
    <row r="25" spans="2:23" x14ac:dyDescent="0.25">
      <c r="B25" s="1" t="str">
        <f t="shared" si="0"/>
        <v>METATradicional No Victimas</v>
      </c>
      <c r="C25" s="20" t="s">
        <v>35</v>
      </c>
      <c r="D25" t="s">
        <v>108</v>
      </c>
      <c r="E25" s="22">
        <v>2275</v>
      </c>
      <c r="F25" s="22">
        <v>37526</v>
      </c>
      <c r="G25" s="55" t="str">
        <f t="shared" si="1"/>
        <v>METARural No Victimas</v>
      </c>
      <c r="H25" s="20" t="s">
        <v>35</v>
      </c>
      <c r="I25" t="s">
        <v>109</v>
      </c>
      <c r="J25" s="23">
        <v>1030</v>
      </c>
      <c r="K25" s="23">
        <v>45292</v>
      </c>
      <c r="L25" s="55" t="str">
        <f t="shared" si="2"/>
        <v>METAEtnico No Victimas</v>
      </c>
      <c r="M25" s="20" t="s">
        <v>35</v>
      </c>
      <c r="N25" t="s">
        <v>110</v>
      </c>
      <c r="O25" s="24">
        <v>325</v>
      </c>
      <c r="P25" s="24">
        <v>57658</v>
      </c>
      <c r="Q25" s="6"/>
      <c r="R25" s="4"/>
      <c r="S25" s="1" t="s">
        <v>15</v>
      </c>
    </row>
    <row r="26" spans="2:23" x14ac:dyDescent="0.25">
      <c r="B26" s="1" t="str">
        <f t="shared" si="0"/>
        <v>NARIÑOTradicional No Victimas</v>
      </c>
      <c r="C26" s="20" t="s">
        <v>88</v>
      </c>
      <c r="D26" t="s">
        <v>108</v>
      </c>
      <c r="E26" s="22">
        <v>6740</v>
      </c>
      <c r="F26" s="22">
        <v>39465</v>
      </c>
      <c r="G26" s="55" t="str">
        <f t="shared" si="1"/>
        <v>NARIÑORural No Victimas</v>
      </c>
      <c r="H26" s="20" t="s">
        <v>88</v>
      </c>
      <c r="I26" t="s">
        <v>109</v>
      </c>
      <c r="J26" s="23">
        <v>1130</v>
      </c>
      <c r="K26" s="23">
        <v>55872</v>
      </c>
      <c r="L26" s="55" t="str">
        <f t="shared" si="2"/>
        <v>NARIÑOEtnico No Victimas</v>
      </c>
      <c r="M26" s="20" t="s">
        <v>88</v>
      </c>
      <c r="N26" t="s">
        <v>110</v>
      </c>
      <c r="O26" s="24">
        <v>2900</v>
      </c>
      <c r="P26" s="24">
        <v>60549</v>
      </c>
      <c r="Q26" s="6"/>
      <c r="R26" s="4"/>
      <c r="S26" s="1" t="s">
        <v>16</v>
      </c>
    </row>
    <row r="27" spans="2:23" x14ac:dyDescent="0.25">
      <c r="B27" s="1" t="str">
        <f t="shared" si="0"/>
        <v>NORTE DE SANTANDERTradicional No Victimas</v>
      </c>
      <c r="C27" s="20" t="s">
        <v>36</v>
      </c>
      <c r="D27" t="s">
        <v>108</v>
      </c>
      <c r="E27" s="22">
        <v>3500</v>
      </c>
      <c r="F27" s="22">
        <v>38796</v>
      </c>
      <c r="G27" s="55" t="str">
        <f t="shared" si="1"/>
        <v>NORTE DE SANTANDERRural No Victimas</v>
      </c>
      <c r="H27" s="20" t="s">
        <v>36</v>
      </c>
      <c r="I27" t="s">
        <v>109</v>
      </c>
      <c r="J27" s="23">
        <v>1800</v>
      </c>
      <c r="K27" s="23">
        <v>53382</v>
      </c>
      <c r="L27" s="55" t="str">
        <f t="shared" si="2"/>
        <v>NORTE DE SANTANDEREtnico No Victimas</v>
      </c>
      <c r="M27" s="20" t="s">
        <v>36</v>
      </c>
      <c r="N27" t="s">
        <v>110</v>
      </c>
      <c r="O27" s="24">
        <v>700</v>
      </c>
      <c r="P27" s="24">
        <v>56675</v>
      </c>
      <c r="Q27" s="4"/>
      <c r="R27" s="4"/>
      <c r="S27" s="1" t="s">
        <v>17</v>
      </c>
    </row>
    <row r="28" spans="2:23" x14ac:dyDescent="0.25">
      <c r="B28" s="1" t="str">
        <f t="shared" si="0"/>
        <v>PUTUMAYOTradicional No Victimas</v>
      </c>
      <c r="C28" s="20" t="s">
        <v>42</v>
      </c>
      <c r="D28" t="s">
        <v>108</v>
      </c>
      <c r="E28" s="22">
        <v>2300</v>
      </c>
      <c r="F28" s="22">
        <v>41860</v>
      </c>
      <c r="G28" s="55" t="str">
        <f t="shared" si="1"/>
        <v>PUTUMAYORural No Victimas</v>
      </c>
      <c r="H28" s="20" t="s">
        <v>42</v>
      </c>
      <c r="I28" t="s">
        <v>109</v>
      </c>
      <c r="J28" s="23">
        <v>830</v>
      </c>
      <c r="K28" s="23">
        <v>62683</v>
      </c>
      <c r="L28" s="55" t="str">
        <f t="shared" si="2"/>
        <v>PUTUMAYOEtnico No Victimas</v>
      </c>
      <c r="M28" s="20" t="s">
        <v>42</v>
      </c>
      <c r="N28" t="s">
        <v>110</v>
      </c>
      <c r="O28" s="24">
        <v>825</v>
      </c>
      <c r="P28" s="24">
        <v>68059</v>
      </c>
      <c r="Q28" s="4"/>
      <c r="R28" s="4"/>
      <c r="S28" s="1" t="s">
        <v>18</v>
      </c>
    </row>
    <row r="29" spans="2:23" x14ac:dyDescent="0.25">
      <c r="B29" s="1" t="str">
        <f t="shared" si="0"/>
        <v>QUINDÍOTradicional No Victimas</v>
      </c>
      <c r="C29" s="20" t="s">
        <v>53</v>
      </c>
      <c r="D29" t="s">
        <v>108</v>
      </c>
      <c r="E29" s="22">
        <v>2750</v>
      </c>
      <c r="F29" s="22">
        <v>38852</v>
      </c>
      <c r="G29" s="55" t="str">
        <f t="shared" si="1"/>
        <v>QUINDÍORural No Victimas</v>
      </c>
      <c r="H29" s="20" t="s">
        <v>53</v>
      </c>
      <c r="I29" t="s">
        <v>109</v>
      </c>
      <c r="J29" s="23">
        <v>600</v>
      </c>
      <c r="K29" s="23">
        <v>55676</v>
      </c>
      <c r="L29" s="55" t="str">
        <f t="shared" si="2"/>
        <v>QUINDÍOEtnico No Victimas</v>
      </c>
      <c r="M29" s="20" t="s">
        <v>53</v>
      </c>
      <c r="N29" t="s">
        <v>110</v>
      </c>
      <c r="O29" s="24">
        <v>200</v>
      </c>
      <c r="P29" s="24">
        <v>55676</v>
      </c>
      <c r="Q29" s="4"/>
      <c r="R29" s="4"/>
      <c r="S29" s="1" t="s">
        <v>19</v>
      </c>
    </row>
    <row r="30" spans="2:23" x14ac:dyDescent="0.25">
      <c r="B30" s="1" t="str">
        <f t="shared" si="0"/>
        <v>RISARALDATradicional No Victimas</v>
      </c>
      <c r="C30" s="20" t="s">
        <v>37</v>
      </c>
      <c r="D30" t="s">
        <v>108</v>
      </c>
      <c r="E30" s="22">
        <v>2180</v>
      </c>
      <c r="F30" s="22">
        <v>37491</v>
      </c>
      <c r="G30" s="55" t="str">
        <f t="shared" si="1"/>
        <v>RISARALDARural No Victimas</v>
      </c>
      <c r="H30" s="20" t="s">
        <v>37</v>
      </c>
      <c r="I30" t="s">
        <v>109</v>
      </c>
      <c r="J30" s="23">
        <v>500</v>
      </c>
      <c r="K30" s="23">
        <v>50743</v>
      </c>
      <c r="L30" s="55" t="str">
        <f t="shared" si="2"/>
        <v>RISARALDAEtnico No Victimas</v>
      </c>
      <c r="M30" s="20" t="s">
        <v>37</v>
      </c>
      <c r="N30" t="s">
        <v>110</v>
      </c>
      <c r="O30" s="24">
        <v>0</v>
      </c>
      <c r="P30" s="24">
        <v>0</v>
      </c>
      <c r="Q30" s="4"/>
      <c r="R30" s="4"/>
      <c r="S30" s="1" t="s">
        <v>20</v>
      </c>
    </row>
    <row r="31" spans="2:23" x14ac:dyDescent="0.25">
      <c r="B31" s="1" t="str">
        <f t="shared" si="0"/>
        <v>SAN ANDRÉSTradicional No Victimas</v>
      </c>
      <c r="C31" s="20" t="s">
        <v>43</v>
      </c>
      <c r="D31" t="s">
        <v>108</v>
      </c>
      <c r="E31" s="22">
        <v>900</v>
      </c>
      <c r="F31" s="22">
        <v>40637</v>
      </c>
      <c r="G31" s="55" t="str">
        <f t="shared" si="1"/>
        <v>SAN ANDRÉSRural No Victimas</v>
      </c>
      <c r="H31" s="20" t="s">
        <v>43</v>
      </c>
      <c r="I31" t="s">
        <v>109</v>
      </c>
      <c r="J31" s="23">
        <v>0</v>
      </c>
      <c r="K31" s="23">
        <v>0</v>
      </c>
      <c r="L31" s="55" t="str">
        <f t="shared" si="2"/>
        <v>SAN ANDRÉSEtnico No Victimas</v>
      </c>
      <c r="M31" s="20" t="s">
        <v>43</v>
      </c>
      <c r="N31" t="s">
        <v>110</v>
      </c>
      <c r="O31" s="24">
        <v>900</v>
      </c>
      <c r="P31" s="24">
        <v>55088</v>
      </c>
      <c r="Q31" s="4"/>
      <c r="R31" s="4"/>
    </row>
    <row r="32" spans="2:23" x14ac:dyDescent="0.25">
      <c r="B32" s="1" t="str">
        <f t="shared" si="0"/>
        <v>SANTANDERTradicional No Victimas</v>
      </c>
      <c r="C32" s="20" t="s">
        <v>54</v>
      </c>
      <c r="D32" t="s">
        <v>108</v>
      </c>
      <c r="E32" s="22">
        <v>4160</v>
      </c>
      <c r="F32" s="22">
        <v>39390</v>
      </c>
      <c r="G32" s="55" t="str">
        <f t="shared" si="1"/>
        <v>SANTANDERRural No Victimas</v>
      </c>
      <c r="H32" s="20" t="s">
        <v>54</v>
      </c>
      <c r="I32" t="s">
        <v>109</v>
      </c>
      <c r="J32" s="23">
        <v>300</v>
      </c>
      <c r="K32" s="23">
        <v>57428</v>
      </c>
      <c r="L32" s="55" t="str">
        <f t="shared" si="2"/>
        <v>SANTANDEREtnico No Victimas</v>
      </c>
      <c r="M32" s="20" t="s">
        <v>54</v>
      </c>
      <c r="N32" t="s">
        <v>110</v>
      </c>
      <c r="O32" s="24">
        <v>0</v>
      </c>
      <c r="P32" s="24">
        <v>0</v>
      </c>
      <c r="Q32" s="4"/>
      <c r="R32" s="4"/>
    </row>
    <row r="33" spans="2:18" x14ac:dyDescent="0.25">
      <c r="B33" s="1" t="str">
        <f t="shared" si="0"/>
        <v>SUCRETradicional No Victimas</v>
      </c>
      <c r="C33" s="20" t="s">
        <v>38</v>
      </c>
      <c r="D33" t="s">
        <v>108</v>
      </c>
      <c r="E33" s="22">
        <v>3090</v>
      </c>
      <c r="F33" s="22">
        <v>39067</v>
      </c>
      <c r="G33" s="55" t="str">
        <f t="shared" si="1"/>
        <v>SUCRERural No Victimas</v>
      </c>
      <c r="H33" s="20" t="s">
        <v>38</v>
      </c>
      <c r="I33" t="s">
        <v>109</v>
      </c>
      <c r="J33" s="23">
        <v>560</v>
      </c>
      <c r="K33" s="23">
        <v>49283</v>
      </c>
      <c r="L33" s="55" t="str">
        <f t="shared" si="2"/>
        <v>SUCREEtnico No Victimas</v>
      </c>
      <c r="M33" s="20" t="s">
        <v>38</v>
      </c>
      <c r="N33" t="s">
        <v>110</v>
      </c>
      <c r="O33" s="24">
        <v>400</v>
      </c>
      <c r="P33" s="24">
        <v>49847</v>
      </c>
      <c r="Q33" s="4"/>
      <c r="R33" s="4"/>
    </row>
    <row r="34" spans="2:18" x14ac:dyDescent="0.25">
      <c r="B34" s="1" t="str">
        <f t="shared" si="0"/>
        <v>TOLIMATradicional No Victimas</v>
      </c>
      <c r="C34" s="20" t="s">
        <v>39</v>
      </c>
      <c r="D34" t="s">
        <v>108</v>
      </c>
      <c r="E34" s="22">
        <v>3580</v>
      </c>
      <c r="F34" s="22">
        <v>37143</v>
      </c>
      <c r="G34" s="55" t="str">
        <f t="shared" si="1"/>
        <v>TOLIMARural No Victimas</v>
      </c>
      <c r="H34" s="20" t="s">
        <v>39</v>
      </c>
      <c r="I34" t="s">
        <v>109</v>
      </c>
      <c r="J34" s="23">
        <v>925</v>
      </c>
      <c r="K34" s="23">
        <v>45975</v>
      </c>
      <c r="L34" s="55" t="str">
        <f t="shared" si="2"/>
        <v>TOLIMAEtnico No Victimas</v>
      </c>
      <c r="M34" s="20" t="s">
        <v>39</v>
      </c>
      <c r="N34" t="s">
        <v>110</v>
      </c>
      <c r="O34" s="24">
        <v>550</v>
      </c>
      <c r="P34" s="24">
        <v>51724</v>
      </c>
      <c r="Q34" s="4"/>
      <c r="R34" s="4"/>
    </row>
    <row r="35" spans="2:18" x14ac:dyDescent="0.25">
      <c r="B35" s="1" t="str">
        <f t="shared" si="0"/>
        <v>VALLE DEL CAUCATradicional No Victimas</v>
      </c>
      <c r="C35" s="20" t="s">
        <v>40</v>
      </c>
      <c r="D35" t="s">
        <v>108</v>
      </c>
      <c r="E35" s="22">
        <v>5000</v>
      </c>
      <c r="F35" s="22">
        <v>37862</v>
      </c>
      <c r="G35" s="55" t="str">
        <f t="shared" si="1"/>
        <v>VALLE DEL CAUCARural No Victimas</v>
      </c>
      <c r="H35" s="20" t="s">
        <v>40</v>
      </c>
      <c r="I35" t="s">
        <v>109</v>
      </c>
      <c r="J35" s="23">
        <v>1050</v>
      </c>
      <c r="K35" s="23">
        <v>45061</v>
      </c>
      <c r="L35" s="55" t="str">
        <f t="shared" si="2"/>
        <v>VALLE DEL CAUCAEtnico No Victimas</v>
      </c>
      <c r="M35" s="20" t="s">
        <v>40</v>
      </c>
      <c r="N35" t="s">
        <v>110</v>
      </c>
      <c r="O35" s="24">
        <v>475</v>
      </c>
      <c r="P35" s="24">
        <v>51466</v>
      </c>
      <c r="Q35" s="4"/>
      <c r="R35" s="4"/>
    </row>
    <row r="36" spans="2:18" x14ac:dyDescent="0.25">
      <c r="B36" s="1" t="str">
        <f t="shared" si="0"/>
        <v>VAUPÉSTradicional No Victimas</v>
      </c>
      <c r="C36" s="20" t="s">
        <v>47</v>
      </c>
      <c r="D36" t="s">
        <v>108</v>
      </c>
      <c r="E36" s="22">
        <v>400</v>
      </c>
      <c r="F36" s="22">
        <v>39865</v>
      </c>
      <c r="G36" s="55" t="str">
        <f t="shared" si="1"/>
        <v>VAUPÉSRural No Victimas</v>
      </c>
      <c r="H36" s="20" t="s">
        <v>47</v>
      </c>
      <c r="I36" t="s">
        <v>109</v>
      </c>
      <c r="J36" s="23">
        <v>300</v>
      </c>
      <c r="K36" s="23">
        <v>52294</v>
      </c>
      <c r="L36" s="55" t="str">
        <f t="shared" si="2"/>
        <v>VAUPÉSEtnico No Victimas</v>
      </c>
      <c r="M36" s="20" t="s">
        <v>47</v>
      </c>
      <c r="N36" t="s">
        <v>110</v>
      </c>
      <c r="O36" s="24">
        <v>600</v>
      </c>
      <c r="P36" s="24">
        <v>75438</v>
      </c>
      <c r="Q36" s="4"/>
      <c r="R36" s="4"/>
    </row>
    <row r="37" spans="2:18" ht="15.75" thickBot="1" x14ac:dyDescent="0.3">
      <c r="B37" s="1" t="str">
        <f t="shared" si="0"/>
        <v>VICHADATradicional No Victimas</v>
      </c>
      <c r="C37" s="20" t="s">
        <v>48</v>
      </c>
      <c r="D37" t="s">
        <v>108</v>
      </c>
      <c r="E37" s="22">
        <v>470</v>
      </c>
      <c r="F37" s="22">
        <v>40943</v>
      </c>
      <c r="G37" s="55" t="str">
        <f t="shared" si="1"/>
        <v>VICHADARural No Victimas</v>
      </c>
      <c r="H37" s="20" t="s">
        <v>48</v>
      </c>
      <c r="I37" t="s">
        <v>109</v>
      </c>
      <c r="J37" s="23">
        <v>370</v>
      </c>
      <c r="K37" s="23">
        <v>65680</v>
      </c>
      <c r="L37" s="55" t="str">
        <f t="shared" si="2"/>
        <v>VICHADAEtnico No Victimas</v>
      </c>
      <c r="M37" s="20" t="s">
        <v>48</v>
      </c>
      <c r="N37" t="s">
        <v>110</v>
      </c>
      <c r="O37" s="24">
        <v>500</v>
      </c>
      <c r="P37" s="24">
        <v>71187</v>
      </c>
      <c r="Q37" s="4"/>
      <c r="R37" s="4"/>
    </row>
    <row r="38" spans="2:18" ht="15.75" thickBot="1" x14ac:dyDescent="0.3">
      <c r="C38" s="3"/>
      <c r="D38" s="3"/>
      <c r="E38" s="28">
        <f t="shared" ref="E38" si="3">SUM(E5:E37)</f>
        <v>103650</v>
      </c>
      <c r="F38" s="28">
        <f>+AVERAGE(F5:F37)</f>
        <v>39140.515151515152</v>
      </c>
      <c r="G38" s="29"/>
      <c r="H38" s="3">
        <v>33472843625</v>
      </c>
      <c r="I38" s="3"/>
      <c r="J38" s="28">
        <f t="shared" ref="J38" si="4">SUM(J5:J37)</f>
        <v>24280</v>
      </c>
      <c r="K38" s="28">
        <f>+AVERAGE(K5:K37)</f>
        <v>47845.848484848488</v>
      </c>
      <c r="L38" s="29"/>
      <c r="M38" s="3"/>
      <c r="N38" s="3"/>
      <c r="O38" s="28">
        <f t="shared" ref="O38" si="5">SUM(O5:O37)</f>
        <v>29575</v>
      </c>
      <c r="P38" s="28">
        <f>+AVERAGE(P5:P37)</f>
        <v>54367.818181818184</v>
      </c>
      <c r="Q38" s="3"/>
      <c r="R38" s="3"/>
    </row>
    <row r="39" spans="2:18" ht="15.75" thickBot="1" x14ac:dyDescent="0.3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2:18" ht="34.5" thickBot="1" x14ac:dyDescent="0.3">
      <c r="C40" s="13" t="s">
        <v>69</v>
      </c>
      <c r="D40" s="14" t="s">
        <v>6</v>
      </c>
      <c r="E40" s="15" t="s">
        <v>74</v>
      </c>
      <c r="F40" s="15" t="s">
        <v>80</v>
      </c>
      <c r="G40" s="54"/>
      <c r="H40" s="13" t="s">
        <v>69</v>
      </c>
      <c r="I40" s="14" t="s">
        <v>6</v>
      </c>
      <c r="J40" s="16" t="s">
        <v>75</v>
      </c>
      <c r="K40" s="16" t="s">
        <v>81</v>
      </c>
      <c r="L40" s="54"/>
      <c r="M40" s="13" t="s">
        <v>69</v>
      </c>
      <c r="N40" s="14" t="s">
        <v>6</v>
      </c>
      <c r="O40" s="17" t="s">
        <v>76</v>
      </c>
      <c r="P40" s="17" t="s">
        <v>82</v>
      </c>
      <c r="Q40" s="3"/>
      <c r="R40" s="3"/>
    </row>
    <row r="41" spans="2:18" x14ac:dyDescent="0.25">
      <c r="B41" s="1" t="str">
        <f>C41&amp;D41</f>
        <v>AMAZONASTradicional Victimas</v>
      </c>
      <c r="C41" s="20" t="s">
        <v>44</v>
      </c>
      <c r="D41" t="s">
        <v>105</v>
      </c>
      <c r="E41" s="22">
        <v>0</v>
      </c>
      <c r="F41" s="22">
        <v>0</v>
      </c>
      <c r="G41" s="55" t="str">
        <f>H41&amp;I41</f>
        <v>AMAZONASRural Victimas</v>
      </c>
      <c r="H41" s="20" t="s">
        <v>44</v>
      </c>
      <c r="I41" t="s">
        <v>106</v>
      </c>
      <c r="J41" s="23">
        <v>0</v>
      </c>
      <c r="K41" s="23">
        <v>0</v>
      </c>
      <c r="L41" s="55" t="str">
        <f>M41&amp;N41</f>
        <v>AMAZONASEtnico Victimas</v>
      </c>
      <c r="M41" s="20" t="s">
        <v>44</v>
      </c>
      <c r="N41" t="s">
        <v>107</v>
      </c>
      <c r="O41" s="24">
        <v>0</v>
      </c>
      <c r="P41" s="24">
        <v>0</v>
      </c>
      <c r="Q41" s="3"/>
      <c r="R41" s="3"/>
    </row>
    <row r="42" spans="2:18" x14ac:dyDescent="0.25">
      <c r="B42" s="1" t="str">
        <f t="shared" ref="B42:B74" si="6">C42&amp;D42</f>
        <v>ANTIOQUIATradicional Victimas</v>
      </c>
      <c r="C42" s="20" t="s">
        <v>23</v>
      </c>
      <c r="D42" t="s">
        <v>105</v>
      </c>
      <c r="E42" s="22">
        <v>350</v>
      </c>
      <c r="F42" s="22">
        <v>40051</v>
      </c>
      <c r="G42" s="55" t="str">
        <f t="shared" ref="G42:G74" si="7">H42&amp;I42</f>
        <v>ANTIOQUIARural Victimas</v>
      </c>
      <c r="H42" s="20" t="s">
        <v>23</v>
      </c>
      <c r="I42" t="s">
        <v>106</v>
      </c>
      <c r="J42" s="23">
        <v>100</v>
      </c>
      <c r="K42" s="23">
        <v>57922</v>
      </c>
      <c r="L42" s="55" t="str">
        <f t="shared" ref="L42:L74" si="8">M42&amp;N42</f>
        <v>ANTIOQUIAEtnico Victimas</v>
      </c>
      <c r="M42" s="20" t="s">
        <v>23</v>
      </c>
      <c r="N42" t="s">
        <v>107</v>
      </c>
      <c r="O42" s="24">
        <v>3725</v>
      </c>
      <c r="P42" s="24">
        <v>61906</v>
      </c>
      <c r="Q42" s="3"/>
      <c r="R42" s="3"/>
    </row>
    <row r="43" spans="2:18" x14ac:dyDescent="0.25">
      <c r="B43" s="1" t="str">
        <f t="shared" si="6"/>
        <v>ARAUCATradicional Victimas</v>
      </c>
      <c r="C43" s="20" t="s">
        <v>41</v>
      </c>
      <c r="D43" t="s">
        <v>105</v>
      </c>
      <c r="E43" s="22">
        <v>80</v>
      </c>
      <c r="F43" s="22">
        <v>41271</v>
      </c>
      <c r="G43" s="55" t="str">
        <f t="shared" si="7"/>
        <v>ARAUCARural Victimas</v>
      </c>
      <c r="H43" s="20" t="s">
        <v>41</v>
      </c>
      <c r="I43" t="s">
        <v>106</v>
      </c>
      <c r="J43" s="23">
        <v>70</v>
      </c>
      <c r="K43" s="23">
        <v>61901</v>
      </c>
      <c r="L43" s="55" t="str">
        <f t="shared" si="8"/>
        <v>ARAUCAEtnico Victimas</v>
      </c>
      <c r="M43" s="20" t="s">
        <v>41</v>
      </c>
      <c r="N43" t="s">
        <v>107</v>
      </c>
      <c r="O43" s="24">
        <v>400</v>
      </c>
      <c r="P43" s="24">
        <v>84187</v>
      </c>
      <c r="Q43" s="3"/>
      <c r="R43" s="3"/>
    </row>
    <row r="44" spans="2:18" x14ac:dyDescent="0.25">
      <c r="B44" s="1" t="str">
        <f t="shared" si="6"/>
        <v>ATLÁNTICOTradicional Victimas</v>
      </c>
      <c r="C44" s="20" t="s">
        <v>24</v>
      </c>
      <c r="D44" t="s">
        <v>105</v>
      </c>
      <c r="E44" s="22">
        <v>190</v>
      </c>
      <c r="F44" s="22">
        <v>38403</v>
      </c>
      <c r="G44" s="55" t="str">
        <f t="shared" si="7"/>
        <v>ATLÁNTICORural Victimas</v>
      </c>
      <c r="H44" s="20" t="s">
        <v>24</v>
      </c>
      <c r="I44" t="s">
        <v>106</v>
      </c>
      <c r="J44" s="23">
        <v>0</v>
      </c>
      <c r="K44" s="23">
        <v>0</v>
      </c>
      <c r="L44" s="55" t="str">
        <f t="shared" si="8"/>
        <v>ATLÁNTICOEtnico Victimas</v>
      </c>
      <c r="M44" s="20" t="s">
        <v>24</v>
      </c>
      <c r="N44" t="s">
        <v>107</v>
      </c>
      <c r="O44" s="24">
        <v>50</v>
      </c>
      <c r="P44" s="24">
        <v>47091</v>
      </c>
      <c r="Q44" s="3"/>
      <c r="R44" s="3"/>
    </row>
    <row r="45" spans="2:18" x14ac:dyDescent="0.25">
      <c r="B45" s="1" t="str">
        <f t="shared" si="6"/>
        <v>BOGOTÁTradicional Victimas</v>
      </c>
      <c r="C45" s="20" t="s">
        <v>49</v>
      </c>
      <c r="D45" t="s">
        <v>105</v>
      </c>
      <c r="E45" s="22">
        <v>0</v>
      </c>
      <c r="F45" s="22">
        <v>0</v>
      </c>
      <c r="G45" s="55" t="str">
        <f t="shared" si="7"/>
        <v>BOGOTÁRural Victimas</v>
      </c>
      <c r="H45" s="20" t="s">
        <v>49</v>
      </c>
      <c r="I45" t="s">
        <v>106</v>
      </c>
      <c r="J45" s="23">
        <v>0</v>
      </c>
      <c r="K45" s="23">
        <v>0</v>
      </c>
      <c r="L45" s="55" t="str">
        <f t="shared" si="8"/>
        <v>BOGOTÁEtnico Victimas</v>
      </c>
      <c r="M45" s="20" t="s">
        <v>49</v>
      </c>
      <c r="N45" t="s">
        <v>107</v>
      </c>
      <c r="O45" s="24">
        <v>0</v>
      </c>
      <c r="P45" s="24">
        <v>0</v>
      </c>
      <c r="Q45" s="3"/>
      <c r="R45" s="3"/>
    </row>
    <row r="46" spans="2:18" x14ac:dyDescent="0.25">
      <c r="B46" s="1" t="str">
        <f t="shared" si="6"/>
        <v>BOLÍVARTradicional Victimas</v>
      </c>
      <c r="C46" s="20" t="s">
        <v>25</v>
      </c>
      <c r="D46" t="s">
        <v>105</v>
      </c>
      <c r="E46" s="22">
        <v>250</v>
      </c>
      <c r="F46" s="22">
        <v>39709</v>
      </c>
      <c r="G46" s="55" t="str">
        <f t="shared" si="7"/>
        <v>BOLÍVARRural Victimas</v>
      </c>
      <c r="H46" s="20" t="s">
        <v>25</v>
      </c>
      <c r="I46" t="s">
        <v>106</v>
      </c>
      <c r="J46" s="23">
        <v>100</v>
      </c>
      <c r="K46" s="23">
        <v>54169</v>
      </c>
      <c r="L46" s="55" t="str">
        <f t="shared" si="8"/>
        <v>BOLÍVAREtnico Victimas</v>
      </c>
      <c r="M46" s="20" t="s">
        <v>25</v>
      </c>
      <c r="N46" t="s">
        <v>107</v>
      </c>
      <c r="O46" s="24">
        <v>250</v>
      </c>
      <c r="P46" s="24">
        <v>51430</v>
      </c>
      <c r="Q46" s="3"/>
      <c r="R46" s="3"/>
    </row>
    <row r="47" spans="2:18" x14ac:dyDescent="0.25">
      <c r="B47" s="1" t="str">
        <f t="shared" si="6"/>
        <v>BOYACÁTradicional Victimas</v>
      </c>
      <c r="C47" s="20" t="s">
        <v>26</v>
      </c>
      <c r="D47" t="s">
        <v>105</v>
      </c>
      <c r="E47" s="22">
        <v>240</v>
      </c>
      <c r="F47" s="22">
        <v>38065</v>
      </c>
      <c r="G47" s="55" t="str">
        <f t="shared" si="7"/>
        <v>BOYACÁRural Victimas</v>
      </c>
      <c r="H47" s="20" t="s">
        <v>26</v>
      </c>
      <c r="I47" t="s">
        <v>106</v>
      </c>
      <c r="J47" s="23">
        <v>50</v>
      </c>
      <c r="K47" s="23">
        <v>50459</v>
      </c>
      <c r="L47" s="55" t="str">
        <f t="shared" si="8"/>
        <v>BOYACÁEtnico Victimas</v>
      </c>
      <c r="M47" s="20" t="s">
        <v>26</v>
      </c>
      <c r="N47" t="s">
        <v>107</v>
      </c>
      <c r="O47" s="24">
        <v>0</v>
      </c>
      <c r="P47" s="24">
        <v>0</v>
      </c>
      <c r="Q47" s="3"/>
      <c r="R47" s="3"/>
    </row>
    <row r="48" spans="2:18" x14ac:dyDescent="0.25">
      <c r="B48" s="1" t="str">
        <f t="shared" si="6"/>
        <v>CALDASTradicional Victimas</v>
      </c>
      <c r="C48" s="20" t="s">
        <v>27</v>
      </c>
      <c r="D48" t="s">
        <v>105</v>
      </c>
      <c r="E48" s="22">
        <v>180</v>
      </c>
      <c r="F48" s="22">
        <v>37318</v>
      </c>
      <c r="G48" s="55" t="str">
        <f t="shared" si="7"/>
        <v>CALDASRural Victimas</v>
      </c>
      <c r="H48" s="20" t="s">
        <v>27</v>
      </c>
      <c r="I48" t="s">
        <v>106</v>
      </c>
      <c r="J48" s="23">
        <v>10</v>
      </c>
      <c r="K48" s="23">
        <v>46025</v>
      </c>
      <c r="L48" s="55" t="str">
        <f t="shared" si="8"/>
        <v>CALDASEtnico Victimas</v>
      </c>
      <c r="M48" s="20" t="s">
        <v>27</v>
      </c>
      <c r="N48" t="s">
        <v>107</v>
      </c>
      <c r="O48" s="24">
        <v>1250</v>
      </c>
      <c r="P48" s="24">
        <v>47690</v>
      </c>
      <c r="Q48" s="3"/>
      <c r="R48" s="3"/>
    </row>
    <row r="49" spans="2:18" x14ac:dyDescent="0.25">
      <c r="B49" s="1" t="str">
        <f t="shared" si="6"/>
        <v>CAQUETÁTradicional Victimas</v>
      </c>
      <c r="C49" s="20" t="s">
        <v>50</v>
      </c>
      <c r="D49" t="s">
        <v>105</v>
      </c>
      <c r="E49" s="22">
        <v>150</v>
      </c>
      <c r="F49" s="22">
        <v>38227</v>
      </c>
      <c r="G49" s="55" t="str">
        <f t="shared" si="7"/>
        <v>CAQUETÁRural Victimas</v>
      </c>
      <c r="H49" s="20" t="s">
        <v>50</v>
      </c>
      <c r="I49" t="s">
        <v>106</v>
      </c>
      <c r="J49" s="23">
        <v>60</v>
      </c>
      <c r="K49" s="23">
        <v>52339</v>
      </c>
      <c r="L49" s="55" t="str">
        <f t="shared" si="8"/>
        <v>CAQUETÁEtnico Victimas</v>
      </c>
      <c r="M49" s="20" t="s">
        <v>50</v>
      </c>
      <c r="N49" t="s">
        <v>107</v>
      </c>
      <c r="O49" s="24">
        <v>0</v>
      </c>
      <c r="P49" s="24">
        <v>51905</v>
      </c>
      <c r="Q49" s="3"/>
      <c r="R49" s="3"/>
    </row>
    <row r="50" spans="2:18" x14ac:dyDescent="0.25">
      <c r="B50" s="1" t="str">
        <f t="shared" si="6"/>
        <v>CASANARETradicional Victimas</v>
      </c>
      <c r="C50" s="20" t="s">
        <v>51</v>
      </c>
      <c r="D50" t="s">
        <v>105</v>
      </c>
      <c r="E50" s="22">
        <v>110</v>
      </c>
      <c r="F50" s="22">
        <v>38435</v>
      </c>
      <c r="G50" s="55" t="str">
        <f t="shared" si="7"/>
        <v>CASANARERural Victimas</v>
      </c>
      <c r="H50" s="20" t="s">
        <v>51</v>
      </c>
      <c r="I50" t="s">
        <v>106</v>
      </c>
      <c r="J50" s="23">
        <v>20</v>
      </c>
      <c r="K50" s="23">
        <v>49523</v>
      </c>
      <c r="L50" s="55" t="str">
        <f t="shared" si="8"/>
        <v>CASANAREEtnico Victimas</v>
      </c>
      <c r="M50" s="20" t="s">
        <v>51</v>
      </c>
      <c r="N50" t="s">
        <v>107</v>
      </c>
      <c r="O50" s="24">
        <v>200</v>
      </c>
      <c r="P50" s="24">
        <v>69784</v>
      </c>
      <c r="Q50" s="3"/>
      <c r="R50" s="3"/>
    </row>
    <row r="51" spans="2:18" x14ac:dyDescent="0.25">
      <c r="B51" s="1" t="str">
        <f t="shared" si="6"/>
        <v>CAUCATradicional Victimas</v>
      </c>
      <c r="C51" s="20" t="s">
        <v>28</v>
      </c>
      <c r="D51" t="s">
        <v>105</v>
      </c>
      <c r="E51" s="22">
        <v>400</v>
      </c>
      <c r="F51" s="22">
        <v>40253</v>
      </c>
      <c r="G51" s="55" t="str">
        <f t="shared" si="7"/>
        <v>CAUCARural Victimas</v>
      </c>
      <c r="H51" s="20" t="s">
        <v>28</v>
      </c>
      <c r="I51" t="s">
        <v>106</v>
      </c>
      <c r="J51" s="23">
        <v>0</v>
      </c>
      <c r="K51" s="23">
        <v>0</v>
      </c>
      <c r="L51" s="55" t="str">
        <f t="shared" si="8"/>
        <v>CAUCAEtnico Victimas</v>
      </c>
      <c r="M51" s="20" t="s">
        <v>28</v>
      </c>
      <c r="N51" t="s">
        <v>107</v>
      </c>
      <c r="O51" s="24">
        <v>1625</v>
      </c>
      <c r="P51" s="24">
        <v>66731</v>
      </c>
      <c r="Q51" s="3"/>
      <c r="R51" s="3"/>
    </row>
    <row r="52" spans="2:18" x14ac:dyDescent="0.25">
      <c r="B52" s="1" t="str">
        <f t="shared" si="6"/>
        <v>CESARTradicional Victimas</v>
      </c>
      <c r="C52" s="20" t="s">
        <v>29</v>
      </c>
      <c r="D52" t="s">
        <v>105</v>
      </c>
      <c r="E52" s="22">
        <v>260</v>
      </c>
      <c r="F52" s="22">
        <v>39260</v>
      </c>
      <c r="G52" s="55" t="str">
        <f t="shared" si="7"/>
        <v>CESARRural Victimas</v>
      </c>
      <c r="H52" s="20" t="s">
        <v>29</v>
      </c>
      <c r="I52" t="s">
        <v>106</v>
      </c>
      <c r="J52" s="23">
        <v>40</v>
      </c>
      <c r="K52" s="23">
        <v>54097</v>
      </c>
      <c r="L52" s="55" t="str">
        <f t="shared" si="8"/>
        <v>CESAREtnico Victimas</v>
      </c>
      <c r="M52" s="20" t="s">
        <v>29</v>
      </c>
      <c r="N52" t="s">
        <v>107</v>
      </c>
      <c r="O52" s="24">
        <v>625</v>
      </c>
      <c r="P52" s="24">
        <v>51026</v>
      </c>
      <c r="Q52" s="3"/>
      <c r="R52" s="3"/>
    </row>
    <row r="53" spans="2:18" x14ac:dyDescent="0.25">
      <c r="B53" s="1" t="str">
        <f t="shared" si="6"/>
        <v>CHOCÓTradicional Victimas</v>
      </c>
      <c r="C53" s="20" t="s">
        <v>31</v>
      </c>
      <c r="D53" t="s">
        <v>105</v>
      </c>
      <c r="E53" s="22">
        <v>0</v>
      </c>
      <c r="F53" s="22">
        <v>0</v>
      </c>
      <c r="G53" s="55" t="str">
        <f t="shared" si="7"/>
        <v>CHOCÓRural Victimas</v>
      </c>
      <c r="H53" s="20" t="s">
        <v>31</v>
      </c>
      <c r="I53" t="s">
        <v>106</v>
      </c>
      <c r="J53" s="23">
        <v>0</v>
      </c>
      <c r="K53" s="23">
        <v>0</v>
      </c>
      <c r="L53" s="55" t="str">
        <f t="shared" si="8"/>
        <v>CHOCÓEtnico Victimas</v>
      </c>
      <c r="M53" s="20" t="s">
        <v>31</v>
      </c>
      <c r="N53" t="s">
        <v>107</v>
      </c>
      <c r="O53" s="24">
        <v>2400</v>
      </c>
      <c r="P53" s="24">
        <v>63296</v>
      </c>
      <c r="Q53" s="3"/>
      <c r="R53" s="3"/>
    </row>
    <row r="54" spans="2:18" x14ac:dyDescent="0.25">
      <c r="B54" s="1" t="str">
        <f t="shared" si="6"/>
        <v>CÓRDOBATradicional Victimas</v>
      </c>
      <c r="C54" s="20" t="s">
        <v>30</v>
      </c>
      <c r="D54" t="s">
        <v>105</v>
      </c>
      <c r="E54" s="22">
        <v>250</v>
      </c>
      <c r="F54" s="22">
        <v>38957</v>
      </c>
      <c r="G54" s="55" t="str">
        <f t="shared" si="7"/>
        <v>CÓRDOBARural Victimas</v>
      </c>
      <c r="H54" s="20" t="s">
        <v>30</v>
      </c>
      <c r="I54" t="s">
        <v>106</v>
      </c>
      <c r="J54" s="23">
        <v>100</v>
      </c>
      <c r="K54" s="23">
        <v>53801</v>
      </c>
      <c r="L54" s="55" t="str">
        <f t="shared" si="8"/>
        <v>CÓRDOBAEtnico Victimas</v>
      </c>
      <c r="M54" s="20" t="s">
        <v>30</v>
      </c>
      <c r="N54" t="s">
        <v>107</v>
      </c>
      <c r="O54" s="24">
        <v>550</v>
      </c>
      <c r="P54" s="24">
        <v>68955</v>
      </c>
      <c r="Q54" s="3"/>
      <c r="R54" s="3"/>
    </row>
    <row r="55" spans="2:18" x14ac:dyDescent="0.25">
      <c r="B55" s="1" t="str">
        <f t="shared" si="6"/>
        <v>CUNDINAMARCATradicional Victimas</v>
      </c>
      <c r="C55" s="20" t="s">
        <v>52</v>
      </c>
      <c r="D55" t="s">
        <v>105</v>
      </c>
      <c r="E55" s="22">
        <v>275</v>
      </c>
      <c r="F55" s="22">
        <v>39496</v>
      </c>
      <c r="G55" s="55" t="str">
        <f t="shared" si="7"/>
        <v>CUNDINAMARCARural Victimas</v>
      </c>
      <c r="H55" s="20" t="s">
        <v>52</v>
      </c>
      <c r="I55" t="s">
        <v>106</v>
      </c>
      <c r="J55" s="23">
        <v>0</v>
      </c>
      <c r="K55" s="23">
        <v>0</v>
      </c>
      <c r="L55" s="55" t="str">
        <f t="shared" si="8"/>
        <v>CUNDINAMARCAEtnico Victimas</v>
      </c>
      <c r="M55" s="20" t="s">
        <v>52</v>
      </c>
      <c r="N55" t="s">
        <v>107</v>
      </c>
      <c r="O55" s="24">
        <v>0</v>
      </c>
      <c r="P55" s="24">
        <v>0</v>
      </c>
      <c r="Q55" s="3"/>
      <c r="R55" s="3"/>
    </row>
    <row r="56" spans="2:18" x14ac:dyDescent="0.25">
      <c r="B56" s="1" t="str">
        <f t="shared" si="6"/>
        <v>GUAINÍATradicional Victimas</v>
      </c>
      <c r="C56" s="20" t="s">
        <v>45</v>
      </c>
      <c r="D56" t="s">
        <v>105</v>
      </c>
      <c r="E56" s="22">
        <v>20</v>
      </c>
      <c r="F56" s="22">
        <v>38138</v>
      </c>
      <c r="G56" s="55" t="str">
        <f t="shared" si="7"/>
        <v>GUAINÍARural Victimas</v>
      </c>
      <c r="H56" s="20" t="s">
        <v>45</v>
      </c>
      <c r="I56" t="s">
        <v>106</v>
      </c>
      <c r="J56" s="23">
        <v>0</v>
      </c>
      <c r="K56" s="23">
        <v>0</v>
      </c>
      <c r="L56" s="55" t="str">
        <f t="shared" si="8"/>
        <v>GUAINÍAEtnico Victimas</v>
      </c>
      <c r="M56" s="20" t="s">
        <v>45</v>
      </c>
      <c r="N56" t="s">
        <v>107</v>
      </c>
      <c r="O56" s="24">
        <v>0</v>
      </c>
      <c r="P56" s="24">
        <v>0</v>
      </c>
      <c r="Q56" s="3"/>
      <c r="R56" s="3"/>
    </row>
    <row r="57" spans="2:18" x14ac:dyDescent="0.25">
      <c r="B57" s="1" t="str">
        <f t="shared" si="6"/>
        <v>GUAVIARETradicional Victimas</v>
      </c>
      <c r="C57" s="20" t="s">
        <v>46</v>
      </c>
      <c r="D57" t="s">
        <v>105</v>
      </c>
      <c r="E57" s="22">
        <v>300</v>
      </c>
      <c r="F57" s="22">
        <v>42150</v>
      </c>
      <c r="G57" s="55" t="str">
        <f t="shared" si="7"/>
        <v>GUAVIARERural Victimas</v>
      </c>
      <c r="H57" s="20" t="s">
        <v>46</v>
      </c>
      <c r="I57" t="s">
        <v>106</v>
      </c>
      <c r="J57" s="23">
        <v>400</v>
      </c>
      <c r="K57" s="23">
        <v>61773</v>
      </c>
      <c r="L57" s="55" t="str">
        <f t="shared" si="8"/>
        <v>GUAVIAREEtnico Victimas</v>
      </c>
      <c r="M57" s="20" t="s">
        <v>46</v>
      </c>
      <c r="N57" t="s">
        <v>107</v>
      </c>
      <c r="O57" s="24">
        <v>150</v>
      </c>
      <c r="P57" s="24">
        <v>74304</v>
      </c>
      <c r="Q57" s="3"/>
      <c r="R57" s="3"/>
    </row>
    <row r="58" spans="2:18" x14ac:dyDescent="0.25">
      <c r="B58" s="1" t="str">
        <f t="shared" si="6"/>
        <v>HUILATradicional Victimas</v>
      </c>
      <c r="C58" s="20" t="s">
        <v>32</v>
      </c>
      <c r="D58" t="s">
        <v>105</v>
      </c>
      <c r="E58" s="22">
        <v>180</v>
      </c>
      <c r="F58" s="22">
        <v>38124</v>
      </c>
      <c r="G58" s="55" t="str">
        <f t="shared" si="7"/>
        <v>HUILARural Victimas</v>
      </c>
      <c r="H58" s="20" t="s">
        <v>32</v>
      </c>
      <c r="I58" t="s">
        <v>106</v>
      </c>
      <c r="J58" s="23">
        <v>40</v>
      </c>
      <c r="K58" s="23">
        <v>47897</v>
      </c>
      <c r="L58" s="55" t="str">
        <f t="shared" si="8"/>
        <v>HUILAEtnico Victimas</v>
      </c>
      <c r="M58" s="20" t="s">
        <v>32</v>
      </c>
      <c r="N58" t="s">
        <v>107</v>
      </c>
      <c r="O58" s="24">
        <v>0</v>
      </c>
      <c r="P58" s="24">
        <v>0</v>
      </c>
      <c r="Q58" s="3"/>
      <c r="R58" s="3"/>
    </row>
    <row r="59" spans="2:18" x14ac:dyDescent="0.25">
      <c r="B59" s="1" t="str">
        <f t="shared" si="6"/>
        <v>LA GUAJIRATradicional Victimas</v>
      </c>
      <c r="C59" s="20" t="s">
        <v>33</v>
      </c>
      <c r="D59" t="s">
        <v>105</v>
      </c>
      <c r="E59" s="22">
        <v>0</v>
      </c>
      <c r="F59" s="22">
        <v>0</v>
      </c>
      <c r="G59" s="55" t="str">
        <f t="shared" si="7"/>
        <v>LA GUAJIRARural Victimas</v>
      </c>
      <c r="H59" s="20" t="s">
        <v>33</v>
      </c>
      <c r="I59" t="s">
        <v>106</v>
      </c>
      <c r="J59" s="23">
        <v>0</v>
      </c>
      <c r="K59" s="23">
        <v>0</v>
      </c>
      <c r="L59" s="55" t="str">
        <f t="shared" si="8"/>
        <v>LA GUAJIRAEtnico Victimas</v>
      </c>
      <c r="M59" s="20" t="s">
        <v>33</v>
      </c>
      <c r="N59" t="s">
        <v>107</v>
      </c>
      <c r="O59" s="24">
        <v>0</v>
      </c>
      <c r="P59" s="24">
        <v>0</v>
      </c>
      <c r="Q59" s="3"/>
      <c r="R59" s="3"/>
    </row>
    <row r="60" spans="2:18" x14ac:dyDescent="0.25">
      <c r="B60" s="1" t="str">
        <f t="shared" si="6"/>
        <v>MAGDALENATradicional Victimas</v>
      </c>
      <c r="C60" s="20" t="s">
        <v>34</v>
      </c>
      <c r="D60" t="s">
        <v>105</v>
      </c>
      <c r="E60" s="22">
        <v>360</v>
      </c>
      <c r="F60" s="22">
        <v>39120</v>
      </c>
      <c r="G60" s="55" t="str">
        <f t="shared" si="7"/>
        <v>MAGDALENARural Victimas</v>
      </c>
      <c r="H60" s="20" t="s">
        <v>34</v>
      </c>
      <c r="I60" t="s">
        <v>106</v>
      </c>
      <c r="J60" s="23">
        <v>25</v>
      </c>
      <c r="K60" s="23">
        <v>57103</v>
      </c>
      <c r="L60" s="55" t="str">
        <f t="shared" si="8"/>
        <v>MAGDALENAEtnico Victimas</v>
      </c>
      <c r="M60" s="20" t="s">
        <v>34</v>
      </c>
      <c r="N60" t="s">
        <v>107</v>
      </c>
      <c r="O60" s="24">
        <v>25</v>
      </c>
      <c r="P60" s="24">
        <v>49628</v>
      </c>
      <c r="Q60" s="3"/>
      <c r="R60" s="3"/>
    </row>
    <row r="61" spans="2:18" x14ac:dyDescent="0.25">
      <c r="B61" s="1" t="str">
        <f t="shared" si="6"/>
        <v>METATradicional Victimas</v>
      </c>
      <c r="C61" s="20" t="s">
        <v>35</v>
      </c>
      <c r="D61" t="s">
        <v>105</v>
      </c>
      <c r="E61" s="22">
        <v>125</v>
      </c>
      <c r="F61" s="22">
        <v>37526</v>
      </c>
      <c r="G61" s="55" t="str">
        <f t="shared" si="7"/>
        <v>METARural Victimas</v>
      </c>
      <c r="H61" s="20" t="s">
        <v>35</v>
      </c>
      <c r="I61" t="s">
        <v>106</v>
      </c>
      <c r="J61" s="23">
        <v>70</v>
      </c>
      <c r="K61" s="23">
        <v>45292</v>
      </c>
      <c r="L61" s="55" t="str">
        <f t="shared" si="8"/>
        <v>METAEtnico Victimas</v>
      </c>
      <c r="M61" s="20" t="s">
        <v>35</v>
      </c>
      <c r="N61" t="s">
        <v>107</v>
      </c>
      <c r="O61" s="24">
        <v>575</v>
      </c>
      <c r="P61" s="24">
        <v>57658</v>
      </c>
      <c r="Q61" s="3"/>
      <c r="R61" s="3"/>
    </row>
    <row r="62" spans="2:18" x14ac:dyDescent="0.25">
      <c r="B62" s="1" t="str">
        <f t="shared" si="6"/>
        <v>NARIÑOTradicional Victimas</v>
      </c>
      <c r="C62" s="20" t="s">
        <v>88</v>
      </c>
      <c r="D62" t="s">
        <v>105</v>
      </c>
      <c r="E62" s="22">
        <v>360</v>
      </c>
      <c r="F62" s="22">
        <v>39465</v>
      </c>
      <c r="G62" s="55" t="str">
        <f t="shared" si="7"/>
        <v>NARIÑORural Victimas</v>
      </c>
      <c r="H62" s="20" t="s">
        <v>88</v>
      </c>
      <c r="I62" t="s">
        <v>106</v>
      </c>
      <c r="J62" s="23">
        <v>70</v>
      </c>
      <c r="K62" s="23">
        <v>55872</v>
      </c>
      <c r="L62" s="55" t="str">
        <f t="shared" si="8"/>
        <v>NARIÑOEtnico Victimas</v>
      </c>
      <c r="M62" s="20" t="s">
        <v>88</v>
      </c>
      <c r="N62" t="s">
        <v>107</v>
      </c>
      <c r="O62" s="24">
        <v>900</v>
      </c>
      <c r="P62" s="24">
        <v>60549</v>
      </c>
      <c r="Q62" s="3"/>
      <c r="R62" s="3"/>
    </row>
    <row r="63" spans="2:18" x14ac:dyDescent="0.25">
      <c r="B63" s="1" t="str">
        <f t="shared" si="6"/>
        <v>NORTE DE SANTANDERTradicional Victimas</v>
      </c>
      <c r="C63" s="20" t="s">
        <v>36</v>
      </c>
      <c r="D63" t="s">
        <v>105</v>
      </c>
      <c r="E63" s="22">
        <v>300</v>
      </c>
      <c r="F63" s="22">
        <v>38796</v>
      </c>
      <c r="G63" s="55" t="str">
        <f t="shared" si="7"/>
        <v>NORTE DE SANTANDERRural Victimas</v>
      </c>
      <c r="H63" s="20" t="s">
        <v>36</v>
      </c>
      <c r="I63" t="s">
        <v>106</v>
      </c>
      <c r="J63" s="23">
        <v>100</v>
      </c>
      <c r="K63" s="23">
        <v>53382</v>
      </c>
      <c r="L63" s="55" t="str">
        <f t="shared" si="8"/>
        <v>NORTE DE SANTANDEREtnico Victimas</v>
      </c>
      <c r="M63" s="20" t="s">
        <v>36</v>
      </c>
      <c r="N63" t="s">
        <v>107</v>
      </c>
      <c r="O63" s="24">
        <v>300</v>
      </c>
      <c r="P63" s="24">
        <v>56675</v>
      </c>
      <c r="Q63" s="3"/>
      <c r="R63" s="3"/>
    </row>
    <row r="64" spans="2:18" x14ac:dyDescent="0.25">
      <c r="B64" s="1" t="str">
        <f t="shared" si="6"/>
        <v>PUTUMAYOTradicional Victimas</v>
      </c>
      <c r="C64" s="20" t="s">
        <v>42</v>
      </c>
      <c r="D64" t="s">
        <v>105</v>
      </c>
      <c r="E64" s="22">
        <v>200</v>
      </c>
      <c r="F64" s="22">
        <v>41860</v>
      </c>
      <c r="G64" s="55" t="str">
        <f t="shared" si="7"/>
        <v>PUTUMAYORural Victimas</v>
      </c>
      <c r="H64" s="20" t="s">
        <v>42</v>
      </c>
      <c r="I64" t="s">
        <v>106</v>
      </c>
      <c r="J64" s="23">
        <v>70</v>
      </c>
      <c r="K64" s="23">
        <v>62683</v>
      </c>
      <c r="L64" s="55" t="str">
        <f t="shared" si="8"/>
        <v>PUTUMAYOEtnico Victimas</v>
      </c>
      <c r="M64" s="20" t="s">
        <v>42</v>
      </c>
      <c r="N64" t="s">
        <v>107</v>
      </c>
      <c r="O64" s="24">
        <v>1475</v>
      </c>
      <c r="P64" s="24">
        <v>68059</v>
      </c>
      <c r="Q64" s="3"/>
      <c r="R64" s="3"/>
    </row>
    <row r="65" spans="2:18" x14ac:dyDescent="0.25">
      <c r="B65" s="1" t="str">
        <f t="shared" si="6"/>
        <v>QUINDÍOTradicional Victimas</v>
      </c>
      <c r="C65" s="20" t="s">
        <v>53</v>
      </c>
      <c r="D65" t="s">
        <v>105</v>
      </c>
      <c r="E65" s="22">
        <v>150</v>
      </c>
      <c r="F65" s="22">
        <v>38852</v>
      </c>
      <c r="G65" s="55" t="str">
        <f t="shared" si="7"/>
        <v>QUINDÍORural Victimas</v>
      </c>
      <c r="H65" s="20" t="s">
        <v>53</v>
      </c>
      <c r="I65" t="s">
        <v>106</v>
      </c>
      <c r="J65" s="23">
        <v>0</v>
      </c>
      <c r="K65" s="23">
        <v>0</v>
      </c>
      <c r="L65" s="55" t="str">
        <f t="shared" si="8"/>
        <v>QUINDÍOEtnico Victimas</v>
      </c>
      <c r="M65" s="20" t="s">
        <v>53</v>
      </c>
      <c r="N65" t="s">
        <v>107</v>
      </c>
      <c r="O65" s="24">
        <v>300</v>
      </c>
      <c r="P65" s="24">
        <v>55676</v>
      </c>
      <c r="Q65" s="3"/>
      <c r="R65" s="3"/>
    </row>
    <row r="66" spans="2:18" x14ac:dyDescent="0.25">
      <c r="B66" s="1" t="str">
        <f t="shared" si="6"/>
        <v>RISARALDATradicional Victimas</v>
      </c>
      <c r="C66" s="20" t="s">
        <v>37</v>
      </c>
      <c r="D66" t="s">
        <v>105</v>
      </c>
      <c r="E66" s="22">
        <v>120</v>
      </c>
      <c r="F66" s="22">
        <v>37491</v>
      </c>
      <c r="G66" s="55" t="str">
        <f t="shared" si="7"/>
        <v>RISARALDARural Victimas</v>
      </c>
      <c r="H66" s="20" t="s">
        <v>37</v>
      </c>
      <c r="I66" t="s">
        <v>106</v>
      </c>
      <c r="J66" s="23">
        <v>0</v>
      </c>
      <c r="K66" s="23">
        <v>0</v>
      </c>
      <c r="L66" s="55" t="str">
        <f t="shared" si="8"/>
        <v>RISARALDAEtnico Victimas</v>
      </c>
      <c r="M66" s="20" t="s">
        <v>37</v>
      </c>
      <c r="N66" t="s">
        <v>107</v>
      </c>
      <c r="O66" s="24">
        <v>1300</v>
      </c>
      <c r="P66" s="24">
        <v>50743</v>
      </c>
      <c r="Q66" s="3"/>
      <c r="R66" s="3"/>
    </row>
    <row r="67" spans="2:18" x14ac:dyDescent="0.25">
      <c r="B67" s="1" t="str">
        <f t="shared" si="6"/>
        <v>SAN ANDRÉSTradicional Victimas</v>
      </c>
      <c r="C67" s="20" t="s">
        <v>43</v>
      </c>
      <c r="D67" t="s">
        <v>105</v>
      </c>
      <c r="E67" s="22">
        <v>0</v>
      </c>
      <c r="F67" s="22">
        <v>0</v>
      </c>
      <c r="G67" s="55" t="str">
        <f t="shared" si="7"/>
        <v>SAN ANDRÉSRural Victimas</v>
      </c>
      <c r="H67" s="20" t="s">
        <v>43</v>
      </c>
      <c r="I67" t="s">
        <v>106</v>
      </c>
      <c r="J67" s="23">
        <v>0</v>
      </c>
      <c r="K67" s="23">
        <v>0</v>
      </c>
      <c r="L67" s="55" t="str">
        <f t="shared" si="8"/>
        <v>SAN ANDRÉSEtnico Victimas</v>
      </c>
      <c r="M67" s="20" t="s">
        <v>43</v>
      </c>
      <c r="N67" t="s">
        <v>107</v>
      </c>
      <c r="O67" s="24">
        <v>0</v>
      </c>
      <c r="P67" s="24">
        <v>0</v>
      </c>
      <c r="Q67" s="3"/>
      <c r="R67" s="3"/>
    </row>
    <row r="68" spans="2:18" x14ac:dyDescent="0.25">
      <c r="B68" s="1" t="str">
        <f t="shared" si="6"/>
        <v>SANTANDERTradicional Victimas</v>
      </c>
      <c r="C68" s="20" t="s">
        <v>54</v>
      </c>
      <c r="D68" t="s">
        <v>105</v>
      </c>
      <c r="E68" s="22">
        <v>240</v>
      </c>
      <c r="F68" s="22">
        <v>39390</v>
      </c>
      <c r="G68" s="55" t="str">
        <f t="shared" si="7"/>
        <v>SANTANDERRural Victimas</v>
      </c>
      <c r="H68" s="20" t="s">
        <v>54</v>
      </c>
      <c r="I68" t="s">
        <v>106</v>
      </c>
      <c r="J68" s="23">
        <v>0</v>
      </c>
      <c r="K68" s="23">
        <v>0</v>
      </c>
      <c r="L68" s="55" t="str">
        <f t="shared" si="8"/>
        <v>SANTANDEREtnico Victimas</v>
      </c>
      <c r="M68" s="20" t="s">
        <v>54</v>
      </c>
      <c r="N68" t="s">
        <v>107</v>
      </c>
      <c r="O68" s="24">
        <v>100</v>
      </c>
      <c r="P68" s="24">
        <v>62674</v>
      </c>
      <c r="Q68" s="3"/>
      <c r="R68" s="3"/>
    </row>
    <row r="69" spans="2:18" x14ac:dyDescent="0.25">
      <c r="B69" s="1" t="str">
        <f t="shared" si="6"/>
        <v>SUCRETradicional Victimas</v>
      </c>
      <c r="C69" s="20" t="s">
        <v>38</v>
      </c>
      <c r="D69" t="s">
        <v>105</v>
      </c>
      <c r="E69" s="22">
        <v>210</v>
      </c>
      <c r="F69" s="22">
        <v>39067</v>
      </c>
      <c r="G69" s="55" t="str">
        <f t="shared" si="7"/>
        <v>SUCRERural Victimas</v>
      </c>
      <c r="H69" s="20" t="s">
        <v>38</v>
      </c>
      <c r="I69" t="s">
        <v>106</v>
      </c>
      <c r="J69" s="23">
        <v>40</v>
      </c>
      <c r="K69" s="23">
        <v>49283</v>
      </c>
      <c r="L69" s="55" t="str">
        <f t="shared" si="8"/>
        <v>SUCREEtnico Victimas</v>
      </c>
      <c r="M69" s="20" t="s">
        <v>38</v>
      </c>
      <c r="N69" t="s">
        <v>107</v>
      </c>
      <c r="O69" s="24">
        <v>500</v>
      </c>
      <c r="P69" s="24">
        <v>49847</v>
      </c>
      <c r="Q69" s="3"/>
      <c r="R69" s="3"/>
    </row>
    <row r="70" spans="2:18" x14ac:dyDescent="0.25">
      <c r="B70" s="1" t="str">
        <f t="shared" si="6"/>
        <v>TOLIMATradicional Victimas</v>
      </c>
      <c r="C70" s="20" t="s">
        <v>39</v>
      </c>
      <c r="D70" t="s">
        <v>105</v>
      </c>
      <c r="E70" s="22">
        <v>220</v>
      </c>
      <c r="F70" s="22">
        <v>37143</v>
      </c>
      <c r="G70" s="55" t="str">
        <f t="shared" si="7"/>
        <v>TOLIMARural Victimas</v>
      </c>
      <c r="H70" s="20" t="s">
        <v>39</v>
      </c>
      <c r="I70" t="s">
        <v>106</v>
      </c>
      <c r="J70" s="23">
        <v>75</v>
      </c>
      <c r="K70" s="23">
        <v>45975</v>
      </c>
      <c r="L70" s="55" t="str">
        <f t="shared" si="8"/>
        <v>TOLIMAEtnico Victimas</v>
      </c>
      <c r="M70" s="20" t="s">
        <v>39</v>
      </c>
      <c r="N70" t="s">
        <v>107</v>
      </c>
      <c r="O70" s="24">
        <v>450</v>
      </c>
      <c r="P70" s="24">
        <v>51724</v>
      </c>
      <c r="Q70" s="3"/>
      <c r="R70" s="3"/>
    </row>
    <row r="71" spans="2:18" x14ac:dyDescent="0.25">
      <c r="B71" s="1" t="str">
        <f t="shared" si="6"/>
        <v>VALLE DEL CAUCATradicional Victimas</v>
      </c>
      <c r="C71" s="20" t="s">
        <v>40</v>
      </c>
      <c r="D71" t="s">
        <v>105</v>
      </c>
      <c r="E71" s="22">
        <v>300</v>
      </c>
      <c r="F71" s="22">
        <v>37862</v>
      </c>
      <c r="G71" s="55" t="str">
        <f t="shared" si="7"/>
        <v>VALLE DEL CAUCARural Victimas</v>
      </c>
      <c r="H71" s="20" t="s">
        <v>40</v>
      </c>
      <c r="I71" t="s">
        <v>106</v>
      </c>
      <c r="J71" s="23">
        <v>50</v>
      </c>
      <c r="K71" s="23">
        <v>45061</v>
      </c>
      <c r="L71" s="55" t="str">
        <f t="shared" si="8"/>
        <v>VALLE DEL CAUCAEtnico Victimas</v>
      </c>
      <c r="M71" s="20" t="s">
        <v>40</v>
      </c>
      <c r="N71" t="s">
        <v>107</v>
      </c>
      <c r="O71" s="24">
        <v>2925</v>
      </c>
      <c r="P71" s="24">
        <v>51466</v>
      </c>
      <c r="Q71" s="3"/>
      <c r="R71" s="3"/>
    </row>
    <row r="72" spans="2:18" x14ac:dyDescent="0.25">
      <c r="B72" s="1" t="str">
        <f t="shared" si="6"/>
        <v>VAUPÉSTradicional Victimas</v>
      </c>
      <c r="C72" s="20" t="s">
        <v>47</v>
      </c>
      <c r="D72" t="s">
        <v>105</v>
      </c>
      <c r="E72" s="22">
        <v>0</v>
      </c>
      <c r="F72" s="22">
        <v>0</v>
      </c>
      <c r="G72" s="55" t="str">
        <f t="shared" si="7"/>
        <v>VAUPÉSRural Victimas</v>
      </c>
      <c r="H72" s="20" t="s">
        <v>47</v>
      </c>
      <c r="I72" t="s">
        <v>106</v>
      </c>
      <c r="J72" s="23">
        <v>0</v>
      </c>
      <c r="K72" s="23">
        <v>0</v>
      </c>
      <c r="L72" s="55" t="str">
        <f t="shared" si="8"/>
        <v>VAUPÉSEtnico Victimas</v>
      </c>
      <c r="M72" s="20" t="s">
        <v>47</v>
      </c>
      <c r="N72" t="s">
        <v>107</v>
      </c>
      <c r="O72" s="24">
        <v>200</v>
      </c>
      <c r="P72" s="24">
        <v>75438</v>
      </c>
      <c r="Q72" s="3"/>
      <c r="R72" s="3"/>
    </row>
    <row r="73" spans="2:18" ht="15.75" thickBot="1" x14ac:dyDescent="0.3">
      <c r="B73" s="1" t="str">
        <f t="shared" si="6"/>
        <v>VICHADATradicional Victimas</v>
      </c>
      <c r="C73" s="20" t="s">
        <v>48</v>
      </c>
      <c r="D73" t="s">
        <v>105</v>
      </c>
      <c r="E73" s="22">
        <v>30</v>
      </c>
      <c r="F73" s="22">
        <v>40943</v>
      </c>
      <c r="G73" s="55" t="str">
        <f t="shared" si="7"/>
        <v>VICHADARural Victimas</v>
      </c>
      <c r="H73" s="20" t="s">
        <v>48</v>
      </c>
      <c r="I73" t="s">
        <v>106</v>
      </c>
      <c r="J73" s="23">
        <v>30</v>
      </c>
      <c r="K73" s="23">
        <v>65680</v>
      </c>
      <c r="L73" s="55" t="str">
        <f t="shared" si="8"/>
        <v>VICHADAEtnico Victimas</v>
      </c>
      <c r="M73" s="20" t="s">
        <v>48</v>
      </c>
      <c r="N73" t="s">
        <v>107</v>
      </c>
      <c r="O73" s="24">
        <v>0</v>
      </c>
      <c r="P73" s="24">
        <v>0</v>
      </c>
      <c r="Q73" s="3"/>
      <c r="R73" s="3"/>
    </row>
    <row r="74" spans="2:18" ht="15.75" thickBot="1" x14ac:dyDescent="0.3">
      <c r="B74" s="1" t="str">
        <f t="shared" si="6"/>
        <v/>
      </c>
      <c r="C74" s="3"/>
      <c r="D74" s="3"/>
      <c r="E74" s="28">
        <f t="shared" ref="E74" si="9">SUM(E41:E73)</f>
        <v>5850</v>
      </c>
      <c r="F74" s="28">
        <f>+AVERAGE(F41:F73)</f>
        <v>31980.969696969696</v>
      </c>
      <c r="G74" s="55" t="str">
        <f t="shared" si="7"/>
        <v/>
      </c>
      <c r="H74" s="3"/>
      <c r="I74" s="3"/>
      <c r="J74" s="28">
        <f t="shared" ref="J74" si="10">SUM(J41:J73)</f>
        <v>1520</v>
      </c>
      <c r="K74" s="28">
        <f>+AVERAGE(K41:K73)</f>
        <v>32431.424242424244</v>
      </c>
      <c r="L74" s="55" t="str">
        <f t="shared" si="8"/>
        <v/>
      </c>
      <c r="M74" s="3"/>
      <c r="N74" s="3"/>
      <c r="O74" s="28">
        <f t="shared" ref="O74" si="11">SUM(O41:O73)</f>
        <v>20275</v>
      </c>
      <c r="P74" s="28">
        <f>+AVERAGE(P41:P73)</f>
        <v>43286.121212121216</v>
      </c>
      <c r="Q74" s="3"/>
      <c r="R74" s="3"/>
    </row>
    <row r="75" spans="2:18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</sheetData>
  <mergeCells count="1">
    <mergeCell ref="E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P80"/>
  <sheetViews>
    <sheetView tabSelected="1" view="pageBreakPreview" topLeftCell="A2" zoomScale="90" zoomScaleNormal="90" zoomScaleSheetLayoutView="90" workbookViewId="0">
      <pane ySplit="3" topLeftCell="A5" activePane="bottomLeft" state="frozen"/>
      <selection activeCell="A2" sqref="A2"/>
      <selection pane="bottomLeft" activeCell="E3" sqref="E3"/>
    </sheetView>
  </sheetViews>
  <sheetFormatPr baseColWidth="10" defaultColWidth="0" defaultRowHeight="11.25" zeroHeight="1" x14ac:dyDescent="0.2"/>
  <cols>
    <col min="1" max="1" width="19" style="57" customWidth="1"/>
    <col min="2" max="2" width="13.28515625" style="57" customWidth="1"/>
    <col min="3" max="3" width="27.28515625" style="57" customWidth="1"/>
    <col min="4" max="4" width="9" style="57" customWidth="1"/>
    <col min="5" max="5" width="20" style="57" customWidth="1"/>
    <col min="6" max="6" width="25.28515625" style="57" customWidth="1"/>
    <col min="7" max="7" width="1.28515625" style="57" customWidth="1"/>
    <col min="8" max="8" width="18.85546875" style="56" hidden="1" customWidth="1"/>
    <col min="9" max="9" width="11.42578125" style="56" hidden="1" customWidth="1"/>
    <col min="10" max="10" width="11.42578125" style="57" hidden="1" customWidth="1"/>
    <col min="11" max="15" width="20.7109375" style="57" hidden="1" customWidth="1"/>
    <col min="16" max="16384" width="11.42578125" style="57" hidden="1"/>
  </cols>
  <sheetData>
    <row r="1" spans="1:16" ht="12" thickBot="1" x14ac:dyDescent="0.25"/>
    <row r="2" spans="1:16" ht="25.5" customHeight="1" thickBot="1" x14ac:dyDescent="0.3">
      <c r="A2" s="179"/>
      <c r="B2" s="182" t="s">
        <v>178</v>
      </c>
      <c r="C2" s="183"/>
      <c r="D2" s="183"/>
      <c r="E2" s="121" t="s">
        <v>180</v>
      </c>
      <c r="F2" s="122">
        <v>43362</v>
      </c>
      <c r="G2"/>
    </row>
    <row r="3" spans="1:16" ht="25.5" customHeight="1" thickBot="1" x14ac:dyDescent="0.3">
      <c r="A3" s="180"/>
      <c r="B3" s="184"/>
      <c r="C3" s="185"/>
      <c r="D3" s="185"/>
      <c r="E3" s="121" t="s">
        <v>205</v>
      </c>
      <c r="F3" s="121" t="s">
        <v>176</v>
      </c>
      <c r="G3"/>
    </row>
    <row r="4" spans="1:16" ht="31.5" customHeight="1" thickBot="1" x14ac:dyDescent="0.3">
      <c r="A4" s="181"/>
      <c r="B4" s="186"/>
      <c r="C4" s="187"/>
      <c r="D4" s="187"/>
      <c r="E4" s="188" t="s">
        <v>177</v>
      </c>
      <c r="F4" s="189"/>
      <c r="G4"/>
      <c r="J4" s="74" t="str">
        <f>C11&amp;C12</f>
        <v>ARAUCATradicional Victimas</v>
      </c>
    </row>
    <row r="5" spans="1:16" ht="15" x14ac:dyDescent="0.25">
      <c r="A5" s="102"/>
      <c r="B5" s="63"/>
      <c r="C5" s="63"/>
      <c r="D5" s="63"/>
      <c r="E5" s="63"/>
      <c r="F5" s="103"/>
      <c r="G5"/>
    </row>
    <row r="6" spans="1:16" ht="12.75" customHeight="1" x14ac:dyDescent="0.25">
      <c r="A6" s="201" t="s">
        <v>170</v>
      </c>
      <c r="B6" s="202"/>
      <c r="C6" s="202"/>
      <c r="D6" s="202"/>
      <c r="E6" s="202"/>
      <c r="F6" s="203"/>
      <c r="G6"/>
      <c r="H6" s="101"/>
      <c r="I6" s="100"/>
    </row>
    <row r="7" spans="1:16" ht="18.75" customHeight="1" x14ac:dyDescent="0.25">
      <c r="A7" s="104"/>
      <c r="B7" s="193"/>
      <c r="C7" s="193"/>
      <c r="D7" s="193"/>
      <c r="E7" s="193"/>
      <c r="F7" s="105" t="s">
        <v>172</v>
      </c>
      <c r="G7"/>
      <c r="H7" s="84"/>
      <c r="I7" s="65"/>
    </row>
    <row r="8" spans="1:16" ht="18.75" customHeight="1" x14ac:dyDescent="0.25">
      <c r="A8" s="104"/>
      <c r="B8" s="190" t="s">
        <v>175</v>
      </c>
      <c r="C8" s="191"/>
      <c r="D8" s="191"/>
      <c r="E8" s="192"/>
      <c r="F8" s="105" t="s">
        <v>173</v>
      </c>
      <c r="G8"/>
      <c r="H8" s="84"/>
      <c r="I8" s="65"/>
    </row>
    <row r="9" spans="1:16" ht="18.75" customHeight="1" x14ac:dyDescent="0.25">
      <c r="A9" s="104"/>
      <c r="B9" s="190" t="s">
        <v>174</v>
      </c>
      <c r="C9" s="191"/>
      <c r="D9" s="191"/>
      <c r="E9" s="192"/>
      <c r="F9" s="105" t="s">
        <v>186</v>
      </c>
      <c r="G9"/>
      <c r="H9" s="84"/>
      <c r="I9" s="65"/>
    </row>
    <row r="10" spans="1:16" ht="15.75" thickBot="1" x14ac:dyDescent="0.3">
      <c r="A10" s="106"/>
      <c r="B10" s="194"/>
      <c r="C10" s="194"/>
      <c r="D10" s="194"/>
      <c r="E10" s="194"/>
      <c r="F10" s="195"/>
      <c r="G10"/>
      <c r="H10" s="84"/>
      <c r="I10" s="65"/>
    </row>
    <row r="11" spans="1:16" ht="15" x14ac:dyDescent="0.25">
      <c r="A11" s="204" t="s">
        <v>21</v>
      </c>
      <c r="B11" s="205"/>
      <c r="C11" s="196" t="s">
        <v>41</v>
      </c>
      <c r="D11" s="196"/>
      <c r="E11" s="196"/>
      <c r="F11" s="197"/>
      <c r="G11"/>
      <c r="H11" s="156"/>
      <c r="I11" s="156"/>
      <c r="J11" s="153"/>
      <c r="K11" s="153"/>
    </row>
    <row r="12" spans="1:16" ht="15.75" thickBot="1" x14ac:dyDescent="0.3">
      <c r="A12" s="206" t="s">
        <v>55</v>
      </c>
      <c r="B12" s="207"/>
      <c r="C12" s="154" t="s">
        <v>105</v>
      </c>
      <c r="D12" s="154"/>
      <c r="E12" s="154"/>
      <c r="F12" s="155"/>
      <c r="G12"/>
      <c r="H12" s="156" t="s">
        <v>60</v>
      </c>
      <c r="I12" s="156"/>
      <c r="J12" s="153"/>
      <c r="K12" s="153"/>
    </row>
    <row r="13" spans="1:16" ht="26.25" customHeight="1" x14ac:dyDescent="0.25">
      <c r="A13" s="157" t="s">
        <v>117</v>
      </c>
      <c r="B13" s="158"/>
      <c r="C13" s="158"/>
      <c r="D13" s="158"/>
      <c r="E13" s="158"/>
      <c r="F13" s="159"/>
      <c r="G13"/>
      <c r="H13" s="156"/>
      <c r="I13" s="156"/>
      <c r="J13" s="153"/>
      <c r="K13" s="153"/>
      <c r="L13" s="57">
        <f>IF(M16&gt;0,M16,IF(L16&gt;0,L16,IF(K16&gt;0,K16,IF(N16&gt;0,N16,IF(O16&gt;0,O16,P16)))))</f>
        <v>80</v>
      </c>
      <c r="M13" s="57" t="s">
        <v>111</v>
      </c>
    </row>
    <row r="14" spans="1:16" ht="30" customHeight="1" thickBot="1" x14ac:dyDescent="0.3">
      <c r="A14" s="107"/>
      <c r="B14" s="98"/>
      <c r="C14" s="163" t="s">
        <v>118</v>
      </c>
      <c r="D14" s="163"/>
      <c r="E14" s="98"/>
      <c r="F14" s="99"/>
      <c r="G14"/>
      <c r="H14" s="58"/>
      <c r="I14" s="58"/>
      <c r="J14" s="59"/>
      <c r="K14" s="59"/>
      <c r="L14" s="57">
        <f>IF(M18&gt;0,M18,IF(L18&gt;0,L18,IF(K18&gt;0,K18,IF(N18&gt;0,N18,IF(O18&gt;0,O18,P18)))))</f>
        <v>8</v>
      </c>
    </row>
    <row r="15" spans="1:16" ht="15" x14ac:dyDescent="0.25">
      <c r="A15" s="160" t="s">
        <v>0</v>
      </c>
      <c r="B15" s="161"/>
      <c r="C15" s="161"/>
      <c r="D15" s="161"/>
      <c r="E15" s="161"/>
      <c r="F15" s="162"/>
      <c r="G15"/>
      <c r="H15" s="156" t="s">
        <v>65</v>
      </c>
      <c r="I15" s="156"/>
      <c r="J15" s="153"/>
      <c r="K15" s="153"/>
      <c r="L15" s="57">
        <f>IF(M17&gt;0,M17,IF(L17&gt;0,L17,IF(K17&gt;0,K17,IF(N17&gt;0,N17,IF(O17&gt;0,O17,P17)))))</f>
        <v>41271</v>
      </c>
      <c r="M15" s="57" t="s">
        <v>4</v>
      </c>
    </row>
    <row r="16" spans="1:16" ht="15.75" thickBot="1" x14ac:dyDescent="0.3">
      <c r="A16" s="208" t="s">
        <v>57</v>
      </c>
      <c r="B16" s="216"/>
      <c r="C16" s="216"/>
      <c r="D16" s="216"/>
      <c r="E16" s="216"/>
      <c r="F16" s="209"/>
      <c r="G16"/>
      <c r="H16" s="60" t="s">
        <v>111</v>
      </c>
      <c r="I16" s="58"/>
      <c r="J16" s="59"/>
      <c r="K16" s="59">
        <f>IFERROR(VLOOKUP(J4,LISTAS!$B$5:$F$37,4,0),)</f>
        <v>0</v>
      </c>
      <c r="L16" s="59">
        <f>IFERROR(VLOOKUP(J4,LISTAS!$G$5:$K$37,4,0),)</f>
        <v>0</v>
      </c>
      <c r="M16" s="59">
        <f>IFERROR(VLOOKUP(J4,LISTAS!$L$5:$P$37,4,0),)</f>
        <v>0</v>
      </c>
      <c r="N16" s="59">
        <f>IFERROR(VLOOKUP(J4,LISTAS!$B$41:$F$73,4,0),)</f>
        <v>80</v>
      </c>
      <c r="O16" s="59">
        <f>IFERROR(VLOOKUP(J4,LISTAS!$G$41:$K$73,4,0),)</f>
        <v>0</v>
      </c>
      <c r="P16" s="59">
        <f>IFERROR(VLOOKUP(J4,LISTAS!$L$41:$P$73,4,0),)</f>
        <v>0</v>
      </c>
    </row>
    <row r="17" spans="1:16" ht="15" x14ac:dyDescent="0.25">
      <c r="A17" s="217" t="s">
        <v>119</v>
      </c>
      <c r="B17" s="218"/>
      <c r="C17" s="219" t="s">
        <v>11</v>
      </c>
      <c r="D17" s="220"/>
      <c r="E17" s="220"/>
      <c r="F17" s="221"/>
      <c r="G17"/>
      <c r="H17" s="60" t="s">
        <v>187</v>
      </c>
      <c r="I17" s="58"/>
      <c r="K17" s="59">
        <f>IFERROR(VLOOKUP(J4,LISTAS!$B$5:$F$37,5,0),)</f>
        <v>0</v>
      </c>
      <c r="L17" s="59">
        <f>IFERROR(VLOOKUP(J4,LISTAS!$G$5:$K$37,5,0),)</f>
        <v>0</v>
      </c>
      <c r="M17" s="59">
        <f>IFERROR(VLOOKUP(J4,LISTAS!$L$5:$P$37,5,0),)</f>
        <v>0</v>
      </c>
      <c r="N17" s="59">
        <f>IFERROR(VLOOKUP(J4,LISTAS!$B$41:$F$73,5,0),)</f>
        <v>41271</v>
      </c>
      <c r="O17" s="59">
        <f>IFERROR(VLOOKUP(J4,LISTAS!$G$41:$K$73,5,0),)</f>
        <v>0</v>
      </c>
      <c r="P17" s="59">
        <f>IFERROR(VLOOKUP(J4,LISTAS!$L$41:$P$73,5,0),)</f>
        <v>0</v>
      </c>
    </row>
    <row r="18" spans="1:16" ht="10.5" customHeight="1" x14ac:dyDescent="0.25">
      <c r="A18" s="222" t="s">
        <v>195</v>
      </c>
      <c r="B18" s="223"/>
      <c r="C18" s="224">
        <v>0</v>
      </c>
      <c r="D18" s="225"/>
      <c r="E18" s="225"/>
      <c r="F18" s="211"/>
      <c r="G18"/>
      <c r="H18" s="60" t="s">
        <v>196</v>
      </c>
      <c r="I18" s="60"/>
      <c r="K18" s="109">
        <f>IFERROR(VLOOKUP(C12,LISTAS!W8:X8,2,0),)</f>
        <v>0</v>
      </c>
      <c r="L18" s="109">
        <f>IFERROR(VLOOKUP(C12,LISTAS!W9:X9,2,0),)</f>
        <v>0</v>
      </c>
      <c r="M18" s="109">
        <f>IFERROR(VLOOKUP(C12,LISTAS!W10:X10,2,0),)</f>
        <v>0</v>
      </c>
      <c r="N18" s="109">
        <f>IFERROR(VLOOKUP(C12,LISTAS!W5:X5,2,0),)</f>
        <v>8</v>
      </c>
      <c r="O18" s="109">
        <f>IFERROR(VLOOKUP(C12,LISTAS!W6:X6,2,0),)</f>
        <v>0</v>
      </c>
      <c r="P18" s="109">
        <f>IFERROR(VLOOKUP(C12,LISTAS!W7:X7,2,0),)</f>
        <v>0</v>
      </c>
    </row>
    <row r="19" spans="1:16" ht="11.25" customHeight="1" x14ac:dyDescent="0.25">
      <c r="A19" s="228" t="s">
        <v>199</v>
      </c>
      <c r="B19" s="229"/>
      <c r="C19" s="230">
        <f>L15</f>
        <v>41271</v>
      </c>
      <c r="D19" s="231"/>
      <c r="E19" s="231"/>
      <c r="F19" s="232"/>
      <c r="G19"/>
      <c r="H19" s="61"/>
      <c r="I19" s="61" t="s">
        <v>61</v>
      </c>
      <c r="J19" s="57" t="s">
        <v>62</v>
      </c>
      <c r="K19" s="116" t="s">
        <v>188</v>
      </c>
      <c r="L19" s="116" t="s">
        <v>189</v>
      </c>
      <c r="M19" s="116" t="s">
        <v>190</v>
      </c>
      <c r="N19" s="57" t="s">
        <v>191</v>
      </c>
      <c r="O19" s="57" t="s">
        <v>192</v>
      </c>
      <c r="P19" s="57" t="s">
        <v>193</v>
      </c>
    </row>
    <row r="20" spans="1:16" ht="15" x14ac:dyDescent="0.25">
      <c r="A20" s="228" t="s">
        <v>200</v>
      </c>
      <c r="B20" s="229"/>
      <c r="C20" s="230">
        <f>+L15/L14</f>
        <v>5158.875</v>
      </c>
      <c r="D20" s="231"/>
      <c r="E20" s="231"/>
      <c r="F20" s="232"/>
      <c r="G20"/>
      <c r="H20" s="108"/>
      <c r="I20" s="108"/>
    </row>
    <row r="21" spans="1:16" ht="15" x14ac:dyDescent="0.25">
      <c r="A21" s="208" t="s">
        <v>120</v>
      </c>
      <c r="B21" s="209"/>
      <c r="C21" s="233">
        <v>1500</v>
      </c>
      <c r="D21" s="234"/>
      <c r="E21" s="234"/>
      <c r="F21" s="235"/>
      <c r="G21"/>
      <c r="H21" s="61" t="s">
        <v>104</v>
      </c>
      <c r="I21" s="61" t="s">
        <v>63</v>
      </c>
      <c r="J21" s="57" t="s">
        <v>64</v>
      </c>
    </row>
    <row r="22" spans="1:16" ht="15" x14ac:dyDescent="0.25">
      <c r="A22" s="208" t="s">
        <v>168</v>
      </c>
      <c r="B22" s="209"/>
      <c r="C22" s="210">
        <f>C21/25</f>
        <v>60</v>
      </c>
      <c r="D22" s="211"/>
      <c r="E22" s="211"/>
      <c r="F22" s="211"/>
      <c r="G22"/>
      <c r="H22" s="61"/>
      <c r="I22" s="61" t="e">
        <f>C19/C18</f>
        <v>#DIV/0!</v>
      </c>
    </row>
    <row r="23" spans="1:16" ht="12.75" customHeight="1" thickBot="1" x14ac:dyDescent="0.3">
      <c r="A23" s="212" t="s">
        <v>121</v>
      </c>
      <c r="B23" s="213"/>
      <c r="C23" s="214"/>
      <c r="D23" s="215"/>
      <c r="E23" s="215"/>
      <c r="F23" s="215"/>
      <c r="G23"/>
      <c r="I23" s="62"/>
      <c r="J23" s="63"/>
      <c r="K23" s="64"/>
    </row>
    <row r="24" spans="1:16" ht="15.75" customHeight="1" x14ac:dyDescent="0.25">
      <c r="A24" s="126" t="s">
        <v>2</v>
      </c>
      <c r="B24" s="127"/>
      <c r="C24" s="126" t="s">
        <v>122</v>
      </c>
      <c r="D24" s="127"/>
      <c r="E24" s="126" t="s">
        <v>112</v>
      </c>
      <c r="F24" s="127"/>
      <c r="G24"/>
    </row>
    <row r="25" spans="1:16" ht="15.75" thickBot="1" x14ac:dyDescent="0.3">
      <c r="A25" s="128"/>
      <c r="B25" s="129"/>
      <c r="C25" s="128"/>
      <c r="D25" s="129"/>
      <c r="E25" s="226"/>
      <c r="F25" s="227"/>
      <c r="G25"/>
      <c r="I25" s="18"/>
      <c r="J25" s="18"/>
    </row>
    <row r="26" spans="1:16" ht="15" x14ac:dyDescent="0.25">
      <c r="A26" s="198" t="str">
        <f>IF($C$18&lt;1," ",1)</f>
        <v xml:space="preserve"> </v>
      </c>
      <c r="B26" s="199"/>
      <c r="C26" s="130"/>
      <c r="D26" s="131"/>
      <c r="E26" s="145" t="str">
        <f t="shared" ref="E26:E37" si="0">+IF(A26&lt;($C$18+1),$C$20*C26," ")</f>
        <v xml:space="preserve"> </v>
      </c>
      <c r="F26" s="146"/>
      <c r="G26"/>
      <c r="I26" s="18">
        <f>25*8</f>
        <v>200</v>
      </c>
      <c r="J26" s="18"/>
    </row>
    <row r="27" spans="1:16" ht="15" x14ac:dyDescent="0.25">
      <c r="A27" s="138" t="str">
        <f>IF($C$18&lt;2," ",2)</f>
        <v xml:space="preserve"> </v>
      </c>
      <c r="B27" s="139"/>
      <c r="C27" s="132"/>
      <c r="D27" s="133"/>
      <c r="E27" s="145" t="str">
        <f t="shared" si="0"/>
        <v xml:space="preserve"> </v>
      </c>
      <c r="F27" s="146"/>
      <c r="G27"/>
      <c r="I27" s="18"/>
      <c r="J27" s="18"/>
    </row>
    <row r="28" spans="1:16" ht="15" x14ac:dyDescent="0.25">
      <c r="A28" s="138" t="str">
        <f>IF($C$18&lt;3," ",3)</f>
        <v xml:space="preserve"> </v>
      </c>
      <c r="B28" s="139"/>
      <c r="C28" s="132"/>
      <c r="D28" s="133"/>
      <c r="E28" s="145" t="str">
        <f t="shared" si="0"/>
        <v xml:space="preserve"> </v>
      </c>
      <c r="F28" s="146"/>
      <c r="G28"/>
      <c r="I28" s="18"/>
      <c r="J28" s="18"/>
    </row>
    <row r="29" spans="1:16" ht="15" x14ac:dyDescent="0.25">
      <c r="A29" s="138" t="str">
        <f>IF($C$18&lt;4," ",4)</f>
        <v xml:space="preserve"> </v>
      </c>
      <c r="B29" s="139"/>
      <c r="C29" s="134"/>
      <c r="D29" s="135"/>
      <c r="E29" s="145" t="str">
        <f t="shared" si="0"/>
        <v xml:space="preserve"> </v>
      </c>
      <c r="F29" s="146"/>
      <c r="G29"/>
      <c r="I29" s="18"/>
      <c r="J29" s="18"/>
    </row>
    <row r="30" spans="1:16" ht="15" x14ac:dyDescent="0.25">
      <c r="A30" s="138" t="str">
        <f>IF($C$18&lt;5," ",5)</f>
        <v xml:space="preserve"> </v>
      </c>
      <c r="B30" s="139"/>
      <c r="C30" s="134"/>
      <c r="D30" s="135"/>
      <c r="E30" s="145" t="str">
        <f t="shared" si="0"/>
        <v xml:space="preserve"> </v>
      </c>
      <c r="F30" s="146"/>
      <c r="G30"/>
      <c r="I30" s="18"/>
      <c r="J30" s="18"/>
    </row>
    <row r="31" spans="1:16" ht="15" x14ac:dyDescent="0.25">
      <c r="A31" s="138" t="str">
        <f>IF($C$18&lt;6," ",6)</f>
        <v xml:space="preserve"> </v>
      </c>
      <c r="B31" s="139"/>
      <c r="C31" s="134"/>
      <c r="D31" s="135"/>
      <c r="E31" s="145" t="str">
        <f t="shared" si="0"/>
        <v xml:space="preserve"> </v>
      </c>
      <c r="F31" s="146"/>
      <c r="G31"/>
      <c r="I31" s="18"/>
      <c r="J31" s="18"/>
    </row>
    <row r="32" spans="1:16" ht="15" x14ac:dyDescent="0.25">
      <c r="A32" s="138" t="str">
        <f>IF($C$18&lt;7," ",7)</f>
        <v xml:space="preserve"> </v>
      </c>
      <c r="B32" s="139"/>
      <c r="C32" s="134"/>
      <c r="D32" s="135"/>
      <c r="E32" s="145" t="str">
        <f t="shared" si="0"/>
        <v xml:space="preserve"> </v>
      </c>
      <c r="F32" s="146"/>
      <c r="G32"/>
      <c r="I32" s="18"/>
      <c r="J32" s="18"/>
    </row>
    <row r="33" spans="1:10" ht="15" x14ac:dyDescent="0.25">
      <c r="A33" s="138" t="str">
        <f>IF($C$18&lt;8," ",8)</f>
        <v xml:space="preserve"> </v>
      </c>
      <c r="B33" s="139"/>
      <c r="C33" s="134"/>
      <c r="D33" s="135"/>
      <c r="E33" s="145" t="str">
        <f t="shared" si="0"/>
        <v xml:space="preserve"> </v>
      </c>
      <c r="F33" s="146"/>
      <c r="G33"/>
      <c r="I33" s="18"/>
      <c r="J33" s="18"/>
    </row>
    <row r="34" spans="1:10" ht="15" x14ac:dyDescent="0.25">
      <c r="A34" s="138" t="str">
        <f>IF($C$18&lt;9," ",9)</f>
        <v xml:space="preserve"> </v>
      </c>
      <c r="B34" s="139"/>
      <c r="C34" s="134"/>
      <c r="D34" s="135"/>
      <c r="E34" s="145" t="str">
        <f t="shared" si="0"/>
        <v xml:space="preserve"> </v>
      </c>
      <c r="F34" s="146"/>
      <c r="G34"/>
      <c r="I34" s="18"/>
      <c r="J34" s="18"/>
    </row>
    <row r="35" spans="1:10" ht="18" customHeight="1" x14ac:dyDescent="0.25">
      <c r="A35" s="138" t="str">
        <f>IF($C$18&lt;10," ",10)</f>
        <v xml:space="preserve"> </v>
      </c>
      <c r="B35" s="139"/>
      <c r="C35" s="134"/>
      <c r="D35" s="135"/>
      <c r="E35" s="145" t="str">
        <f t="shared" si="0"/>
        <v xml:space="preserve"> </v>
      </c>
      <c r="F35" s="146"/>
      <c r="G35"/>
      <c r="I35" s="18"/>
      <c r="J35" s="18"/>
    </row>
    <row r="36" spans="1:10" ht="18" customHeight="1" x14ac:dyDescent="0.25">
      <c r="A36" s="138" t="str">
        <f>IF($C$18&lt;11," ",11)</f>
        <v xml:space="preserve"> </v>
      </c>
      <c r="B36" s="139"/>
      <c r="C36" s="134"/>
      <c r="D36" s="135"/>
      <c r="E36" s="145" t="str">
        <f t="shared" si="0"/>
        <v xml:space="preserve"> </v>
      </c>
      <c r="F36" s="146"/>
      <c r="G36"/>
      <c r="I36" s="18"/>
      <c r="J36" s="18"/>
    </row>
    <row r="37" spans="1:10" ht="18" customHeight="1" thickBot="1" x14ac:dyDescent="0.3">
      <c r="A37" s="140" t="str">
        <f>IF($C$18&lt;12," ",12)</f>
        <v xml:space="preserve"> </v>
      </c>
      <c r="B37" s="141"/>
      <c r="C37" s="151"/>
      <c r="D37" s="152"/>
      <c r="E37" s="145" t="str">
        <f t="shared" si="0"/>
        <v xml:space="preserve"> </v>
      </c>
      <c r="F37" s="146"/>
      <c r="G37"/>
      <c r="I37" s="57"/>
    </row>
    <row r="38" spans="1:10" ht="15" customHeight="1" thickBot="1" x14ac:dyDescent="0.3">
      <c r="A38" s="136" t="s">
        <v>123</v>
      </c>
      <c r="B38" s="137"/>
      <c r="C38" s="149">
        <f>+IF(C18=0,0,IF(C18&lt;9,SUM(C26:C33),IF(C18=12,SUM(C26:C37))))</f>
        <v>0</v>
      </c>
      <c r="D38" s="150"/>
      <c r="E38" s="147"/>
      <c r="F38" s="148"/>
      <c r="G38"/>
      <c r="I38" s="57"/>
    </row>
    <row r="39" spans="1:10" ht="15.75" thickBot="1" x14ac:dyDescent="0.3">
      <c r="A39" s="136" t="s">
        <v>59</v>
      </c>
      <c r="B39" s="137"/>
      <c r="C39" s="142"/>
      <c r="D39" s="143"/>
      <c r="E39" s="143"/>
      <c r="F39" s="144"/>
      <c r="G39"/>
      <c r="H39" s="56" t="s">
        <v>104</v>
      </c>
      <c r="I39" s="57"/>
    </row>
    <row r="40" spans="1:10" ht="15.75" thickBot="1" x14ac:dyDescent="0.3">
      <c r="A40" s="136" t="s">
        <v>154</v>
      </c>
      <c r="B40" s="137"/>
      <c r="C40" s="142"/>
      <c r="D40" s="143"/>
      <c r="E40" s="143"/>
      <c r="F40" s="144"/>
      <c r="G40"/>
      <c r="H40" s="56" t="s">
        <v>104</v>
      </c>
      <c r="I40" s="57"/>
    </row>
    <row r="41" spans="1:10" ht="15.75" thickBot="1" x14ac:dyDescent="0.3">
      <c r="A41" s="175" t="s">
        <v>155</v>
      </c>
      <c r="B41" s="176"/>
      <c r="C41" s="167">
        <f>ROUND((SUM(E26:F37)-C39),0)</f>
        <v>0</v>
      </c>
      <c r="D41" s="168"/>
      <c r="E41" s="168"/>
      <c r="F41" s="169"/>
      <c r="G41"/>
      <c r="H41" s="57"/>
      <c r="I41" s="57"/>
    </row>
    <row r="42" spans="1:10" ht="37.5" customHeight="1" x14ac:dyDescent="0.25">
      <c r="A42" s="157" t="s">
        <v>156</v>
      </c>
      <c r="B42" s="158"/>
      <c r="C42" s="158"/>
      <c r="D42" s="158"/>
      <c r="E42" s="158"/>
      <c r="F42" s="159"/>
      <c r="G42"/>
      <c r="I42" s="57"/>
    </row>
    <row r="43" spans="1:10" ht="39" customHeight="1" x14ac:dyDescent="0.25">
      <c r="A43" s="164"/>
      <c r="B43" s="165"/>
      <c r="C43" s="165"/>
      <c r="D43" s="165"/>
      <c r="E43" s="165"/>
      <c r="F43" s="166"/>
      <c r="G43"/>
      <c r="I43" s="57"/>
    </row>
    <row r="44" spans="1:10" ht="15.75" customHeight="1" thickBot="1" x14ac:dyDescent="0.3">
      <c r="A44" s="170" t="s">
        <v>157</v>
      </c>
      <c r="B44" s="171"/>
      <c r="C44" s="171"/>
      <c r="D44" s="171"/>
      <c r="E44" s="171"/>
      <c r="F44" s="172"/>
      <c r="G44"/>
      <c r="I44" s="57"/>
    </row>
    <row r="45" spans="1:10" ht="21.75" customHeight="1" x14ac:dyDescent="0.2">
      <c r="A45" s="177" t="s">
        <v>204</v>
      </c>
      <c r="B45" s="178"/>
      <c r="C45" s="178"/>
      <c r="D45" s="178"/>
      <c r="E45" s="178"/>
      <c r="F45" s="178"/>
      <c r="G45" s="112"/>
    </row>
    <row r="46" spans="1:10" ht="21.75" customHeight="1" x14ac:dyDescent="0.2">
      <c r="A46" s="178"/>
      <c r="B46" s="178"/>
      <c r="C46" s="178"/>
      <c r="D46" s="178"/>
      <c r="E46" s="178"/>
      <c r="F46" s="178"/>
      <c r="G46" s="112"/>
    </row>
    <row r="47" spans="1:10" x14ac:dyDescent="0.2">
      <c r="A47" s="173" t="s">
        <v>1</v>
      </c>
      <c r="B47" s="173"/>
      <c r="C47" s="173"/>
      <c r="D47" s="67"/>
      <c r="E47" s="67"/>
      <c r="F47" s="67"/>
      <c r="G47" s="111"/>
      <c r="I47" s="57"/>
    </row>
    <row r="48" spans="1:10" x14ac:dyDescent="0.2">
      <c r="A48" s="174" t="s">
        <v>22</v>
      </c>
      <c r="B48" s="174"/>
      <c r="C48" s="174"/>
      <c r="D48" s="68"/>
      <c r="E48" s="68"/>
      <c r="F48" s="68"/>
      <c r="G48" s="110"/>
      <c r="I48" s="57"/>
    </row>
    <row r="49" spans="1:9" x14ac:dyDescent="0.2">
      <c r="A49" s="174" t="s">
        <v>56</v>
      </c>
      <c r="B49" s="174"/>
      <c r="C49" s="174"/>
      <c r="D49" s="68"/>
      <c r="E49" s="68"/>
      <c r="F49" s="68"/>
      <c r="G49" s="110"/>
      <c r="I49" s="57"/>
    </row>
    <row r="50" spans="1:9" x14ac:dyDescent="0.2">
      <c r="A50" s="174" t="s">
        <v>124</v>
      </c>
      <c r="B50" s="174"/>
      <c r="C50" s="174"/>
      <c r="D50" s="68"/>
      <c r="E50" s="68"/>
      <c r="F50" s="68"/>
      <c r="G50" s="110"/>
      <c r="I50" s="57"/>
    </row>
    <row r="51" spans="1:9" x14ac:dyDescent="0.2">
      <c r="A51" s="174" t="s">
        <v>125</v>
      </c>
      <c r="B51" s="174"/>
      <c r="C51" s="174"/>
      <c r="D51" s="68"/>
      <c r="E51" s="68"/>
      <c r="F51" s="68"/>
      <c r="G51" s="110"/>
      <c r="I51" s="57"/>
    </row>
    <row r="52" spans="1:9" x14ac:dyDescent="0.2">
      <c r="A52" s="174" t="s">
        <v>201</v>
      </c>
      <c r="B52" s="174"/>
      <c r="C52" s="174"/>
      <c r="D52" s="174"/>
      <c r="E52" s="174"/>
      <c r="F52" s="174"/>
      <c r="G52" s="110"/>
      <c r="I52" s="57"/>
    </row>
    <row r="53" spans="1:9" s="56" customFormat="1" x14ac:dyDescent="0.2">
      <c r="A53" s="174" t="s">
        <v>126</v>
      </c>
      <c r="B53" s="174"/>
      <c r="C53" s="174"/>
      <c r="D53" s="68"/>
      <c r="E53" s="68"/>
      <c r="F53" s="68"/>
      <c r="G53" s="110"/>
      <c r="H53" s="69"/>
    </row>
    <row r="54" spans="1:9" s="56" customFormat="1" x14ac:dyDescent="0.2">
      <c r="A54" s="174" t="s">
        <v>127</v>
      </c>
      <c r="B54" s="174"/>
      <c r="C54" s="174"/>
      <c r="D54" s="68"/>
      <c r="E54" s="68"/>
      <c r="F54" s="68"/>
      <c r="G54" s="110"/>
      <c r="H54" s="69"/>
    </row>
    <row r="55" spans="1:9" ht="27" customHeight="1" x14ac:dyDescent="0.2">
      <c r="A55" s="174" t="s">
        <v>128</v>
      </c>
      <c r="B55" s="174"/>
      <c r="C55" s="174"/>
      <c r="D55" s="174"/>
      <c r="E55" s="174"/>
      <c r="F55" s="174"/>
      <c r="G55" s="110"/>
      <c r="I55" s="57"/>
    </row>
    <row r="56" spans="1:9" x14ac:dyDescent="0.2">
      <c r="A56" s="200" t="s">
        <v>129</v>
      </c>
      <c r="B56" s="200"/>
      <c r="C56" s="200"/>
      <c r="D56" s="70"/>
      <c r="E56" s="70"/>
      <c r="F56" s="70"/>
      <c r="G56" s="113"/>
      <c r="I56" s="57"/>
    </row>
    <row r="57" spans="1:9" x14ac:dyDescent="0.2">
      <c r="A57" s="174" t="s">
        <v>58</v>
      </c>
      <c r="B57" s="174"/>
      <c r="C57" s="174"/>
      <c r="D57" s="68"/>
      <c r="E57" s="68"/>
      <c r="F57" s="68"/>
      <c r="G57" s="110"/>
      <c r="I57" s="57"/>
    </row>
    <row r="58" spans="1:9" x14ac:dyDescent="0.2">
      <c r="A58" s="174" t="s">
        <v>161</v>
      </c>
      <c r="B58" s="174"/>
      <c r="C58" s="174"/>
      <c r="D58" s="68"/>
      <c r="E58" s="68"/>
      <c r="F58" s="68"/>
      <c r="G58" s="110"/>
      <c r="I58" s="57"/>
    </row>
    <row r="59" spans="1:9" x14ac:dyDescent="0.2">
      <c r="A59" s="174" t="s">
        <v>158</v>
      </c>
      <c r="B59" s="174"/>
      <c r="C59" s="174"/>
      <c r="D59" s="68"/>
      <c r="E59" s="68"/>
      <c r="F59" s="68"/>
      <c r="G59" s="110"/>
      <c r="I59" s="57"/>
    </row>
    <row r="60" spans="1:9" x14ac:dyDescent="0.2">
      <c r="A60" s="174" t="s">
        <v>159</v>
      </c>
      <c r="B60" s="174"/>
      <c r="C60" s="174"/>
      <c r="D60" s="68"/>
      <c r="E60" s="68"/>
      <c r="F60" s="68"/>
      <c r="G60" s="110"/>
      <c r="I60" s="57"/>
    </row>
    <row r="61" spans="1:9" x14ac:dyDescent="0.2">
      <c r="A61" s="174" t="s">
        <v>160</v>
      </c>
      <c r="B61" s="174"/>
      <c r="C61" s="174"/>
      <c r="D61" s="68"/>
      <c r="E61" s="68"/>
      <c r="F61" s="68"/>
      <c r="G61" s="110"/>
      <c r="I61" s="57"/>
    </row>
    <row r="62" spans="1:9" ht="12.75" customHeight="1" x14ac:dyDescent="0.2">
      <c r="A62" s="71" t="s">
        <v>3</v>
      </c>
      <c r="B62" s="71"/>
      <c r="C62" s="68"/>
      <c r="D62" s="68"/>
      <c r="E62" s="68"/>
      <c r="F62" s="68"/>
      <c r="G62" s="110"/>
      <c r="I62" s="57"/>
    </row>
    <row r="63" spans="1:9" hidden="1" x14ac:dyDescent="0.2">
      <c r="A63" s="174"/>
      <c r="B63" s="174"/>
      <c r="C63" s="174"/>
      <c r="D63" s="68"/>
      <c r="E63" s="68"/>
      <c r="F63" s="68"/>
      <c r="G63" s="110"/>
      <c r="I63" s="57"/>
    </row>
    <row r="64" spans="1:9" hidden="1" x14ac:dyDescent="0.2">
      <c r="A64" s="71"/>
      <c r="B64" s="71"/>
      <c r="I64" s="57"/>
    </row>
    <row r="65" spans="8:10" ht="11.25" hidden="1" customHeight="1" x14ac:dyDescent="0.2">
      <c r="I65" s="57"/>
    </row>
    <row r="66" spans="8:10" ht="11.25" hidden="1" customHeight="1" x14ac:dyDescent="0.2">
      <c r="I66" s="57"/>
    </row>
    <row r="67" spans="8:10" hidden="1" x14ac:dyDescent="0.2">
      <c r="H67" s="72"/>
      <c r="I67" s="72"/>
      <c r="J67" s="73"/>
    </row>
    <row r="68" spans="8:10" ht="11.25" hidden="1" customHeight="1" x14ac:dyDescent="0.2"/>
    <row r="69" spans="8:10" ht="11.25" hidden="1" customHeight="1" x14ac:dyDescent="0.2"/>
    <row r="70" spans="8:10" ht="11.25" hidden="1" customHeight="1" x14ac:dyDescent="0.2"/>
    <row r="71" spans="8:10" ht="11.25" hidden="1" customHeight="1" x14ac:dyDescent="0.2"/>
    <row r="72" spans="8:10" ht="11.25" hidden="1" customHeight="1" x14ac:dyDescent="0.2"/>
    <row r="73" spans="8:10" ht="11.25" hidden="1" customHeight="1" x14ac:dyDescent="0.2"/>
    <row r="74" spans="8:10" x14ac:dyDescent="0.2"/>
    <row r="75" spans="8:10" x14ac:dyDescent="0.2"/>
    <row r="76" spans="8:10" x14ac:dyDescent="0.2"/>
    <row r="77" spans="8:10" x14ac:dyDescent="0.2"/>
    <row r="78" spans="8:10" x14ac:dyDescent="0.2"/>
    <row r="79" spans="8:10" x14ac:dyDescent="0.2"/>
    <row r="80" spans="8:10" x14ac:dyDescent="0.2"/>
  </sheetData>
  <mergeCells count="106">
    <mergeCell ref="E28:F28"/>
    <mergeCell ref="E29:F29"/>
    <mergeCell ref="E30:F30"/>
    <mergeCell ref="A6:F6"/>
    <mergeCell ref="A11:B11"/>
    <mergeCell ref="A12:B12"/>
    <mergeCell ref="A22:B22"/>
    <mergeCell ref="C22:F22"/>
    <mergeCell ref="A23:B23"/>
    <mergeCell ref="C23:F23"/>
    <mergeCell ref="A16:F16"/>
    <mergeCell ref="A17:B17"/>
    <mergeCell ref="C17:F17"/>
    <mergeCell ref="A18:B18"/>
    <mergeCell ref="C18:F18"/>
    <mergeCell ref="E24:F25"/>
    <mergeCell ref="E26:F26"/>
    <mergeCell ref="E27:F27"/>
    <mergeCell ref="A19:B19"/>
    <mergeCell ref="C19:F19"/>
    <mergeCell ref="A20:B20"/>
    <mergeCell ref="C20:F20"/>
    <mergeCell ref="A21:B21"/>
    <mergeCell ref="C21:F21"/>
    <mergeCell ref="A2:A4"/>
    <mergeCell ref="B2:D4"/>
    <mergeCell ref="E4:F4"/>
    <mergeCell ref="B9:E9"/>
    <mergeCell ref="B7:E7"/>
    <mergeCell ref="B10:F10"/>
    <mergeCell ref="B8:E8"/>
    <mergeCell ref="A58:C58"/>
    <mergeCell ref="C11:F11"/>
    <mergeCell ref="A24:B25"/>
    <mergeCell ref="A26:B26"/>
    <mergeCell ref="A27:B27"/>
    <mergeCell ref="A28:B28"/>
    <mergeCell ref="A29:B29"/>
    <mergeCell ref="A30:B30"/>
    <mergeCell ref="A31:B31"/>
    <mergeCell ref="A32:B32"/>
    <mergeCell ref="A54:C54"/>
    <mergeCell ref="A55:F55"/>
    <mergeCell ref="A56:C56"/>
    <mergeCell ref="A57:C57"/>
    <mergeCell ref="E32:F32"/>
    <mergeCell ref="E33:F33"/>
    <mergeCell ref="E34:F34"/>
    <mergeCell ref="A48:C48"/>
    <mergeCell ref="A49:C49"/>
    <mergeCell ref="A51:C51"/>
    <mergeCell ref="A41:B41"/>
    <mergeCell ref="A40:B40"/>
    <mergeCell ref="A50:C50"/>
    <mergeCell ref="A45:F46"/>
    <mergeCell ref="A61:C61"/>
    <mergeCell ref="A63:C63"/>
    <mergeCell ref="A59:C59"/>
    <mergeCell ref="A60:C60"/>
    <mergeCell ref="A53:C53"/>
    <mergeCell ref="A52:F52"/>
    <mergeCell ref="C32:D32"/>
    <mergeCell ref="A42:F42"/>
    <mergeCell ref="A43:F43"/>
    <mergeCell ref="E35:F35"/>
    <mergeCell ref="E36:F36"/>
    <mergeCell ref="C40:F40"/>
    <mergeCell ref="C41:F41"/>
    <mergeCell ref="A44:F44"/>
    <mergeCell ref="A47:C47"/>
    <mergeCell ref="J11:K11"/>
    <mergeCell ref="C12:F12"/>
    <mergeCell ref="H12:I12"/>
    <mergeCell ref="J12:K12"/>
    <mergeCell ref="A13:F13"/>
    <mergeCell ref="H13:I13"/>
    <mergeCell ref="J13:K13"/>
    <mergeCell ref="A15:F15"/>
    <mergeCell ref="H15:I15"/>
    <mergeCell ref="J15:K15"/>
    <mergeCell ref="C14:D14"/>
    <mergeCell ref="H11:I11"/>
    <mergeCell ref="C24:D25"/>
    <mergeCell ref="C26:D26"/>
    <mergeCell ref="C27:D27"/>
    <mergeCell ref="C28:D28"/>
    <mergeCell ref="C29:D29"/>
    <mergeCell ref="C30:D30"/>
    <mergeCell ref="A39:B39"/>
    <mergeCell ref="C33:D33"/>
    <mergeCell ref="C34:D34"/>
    <mergeCell ref="A33:B33"/>
    <mergeCell ref="A34:B34"/>
    <mergeCell ref="A35:B35"/>
    <mergeCell ref="A36:B36"/>
    <mergeCell ref="A37:B37"/>
    <mergeCell ref="C39:F39"/>
    <mergeCell ref="A38:B38"/>
    <mergeCell ref="E37:F37"/>
    <mergeCell ref="E38:F38"/>
    <mergeCell ref="E31:F31"/>
    <mergeCell ref="C38:D38"/>
    <mergeCell ref="C35:D35"/>
    <mergeCell ref="C36:D36"/>
    <mergeCell ref="C37:D37"/>
    <mergeCell ref="C31:D31"/>
  </mergeCells>
  <conditionalFormatting sqref="C26:C37">
    <cfRule type="cellIs" dxfId="1" priority="1" operator="greaterThan">
      <formula>$C$21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custom" allowBlank="1" showDropDown="1" showInputMessage="1" showErrorMessage="1">
          <x14:formula1>
            <xm:f>IF(OR($C$12=LISTAS!$W$5,$C$12=LISTAS!$W$8),8,12)</xm:f>
          </x14:formula1>
          <xm:sqref>C18:F18</xm:sqref>
        </x14:dataValidation>
        <x14:dataValidation type="list" allowBlank="1" showInputMessage="1" showErrorMessage="1">
          <x14:formula1>
            <xm:f>LISTAS!$C$5:$C$37</xm:f>
          </x14:formula1>
          <xm:sqref>C11:E11</xm:sqref>
        </x14:dataValidation>
        <x14:dataValidation type="list" allowBlank="1" showInputMessage="1" showErrorMessage="1">
          <x14:formula1>
            <xm:f>LISTAS!$S$19:$S$30</xm:f>
          </x14:formula1>
          <xm:sqref>C17:E17</xm:sqref>
        </x14:dataValidation>
        <x14:dataValidation type="list" allowBlank="1" showInputMessage="1" showErrorMessage="1">
          <x14:formula1>
            <xm:f>LISTAS!$W$13:$W$18</xm:f>
          </x14:formula1>
          <xm:sqref>C12:E12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84"/>
  <sheetViews>
    <sheetView view="pageBreakPreview" zoomScaleNormal="90" zoomScaleSheetLayoutView="100" workbookViewId="0">
      <pane ySplit="3" topLeftCell="A4" activePane="bottomLeft" state="frozen"/>
      <selection pane="bottomLeft" activeCell="H1" sqref="H1"/>
    </sheetView>
  </sheetViews>
  <sheetFormatPr baseColWidth="10" defaultColWidth="0" defaultRowHeight="11.25" zeroHeight="1" x14ac:dyDescent="0.2"/>
  <cols>
    <col min="1" max="1" width="15.42578125" style="57" customWidth="1"/>
    <col min="2" max="2" width="18.7109375" style="57" customWidth="1"/>
    <col min="3" max="3" width="10.7109375" style="57" customWidth="1"/>
    <col min="4" max="4" width="9" style="57" customWidth="1"/>
    <col min="5" max="5" width="13.85546875" style="57" customWidth="1"/>
    <col min="6" max="6" width="5" style="57" customWidth="1"/>
    <col min="7" max="7" width="15" style="57" customWidth="1"/>
    <col min="8" max="8" width="19.85546875" style="57" customWidth="1"/>
    <col min="9" max="9" width="3.42578125" style="57" customWidth="1"/>
    <col min="10" max="10" width="4.42578125" style="56" hidden="1" customWidth="1"/>
    <col min="11" max="11" width="10.5703125" style="56" hidden="1" customWidth="1"/>
    <col min="12" max="19" width="10.5703125" style="57" hidden="1" customWidth="1"/>
    <col min="20" max="16384" width="11.42578125" style="57" hidden="1"/>
  </cols>
  <sheetData>
    <row r="1" spans="1:18" s="75" customFormat="1" ht="25.5" customHeight="1" thickBot="1" x14ac:dyDescent="0.3">
      <c r="A1" s="179"/>
      <c r="B1" s="182" t="s">
        <v>178</v>
      </c>
      <c r="C1" s="286"/>
      <c r="D1" s="286"/>
      <c r="E1" s="286"/>
      <c r="F1" s="287"/>
      <c r="G1" s="121" t="s">
        <v>180</v>
      </c>
      <c r="H1" s="122">
        <v>43362</v>
      </c>
      <c r="I1"/>
      <c r="J1" s="63"/>
      <c r="K1" s="63"/>
    </row>
    <row r="2" spans="1:18" s="63" customFormat="1" ht="25.5" customHeight="1" thickBot="1" x14ac:dyDescent="0.3">
      <c r="A2" s="180"/>
      <c r="B2" s="288"/>
      <c r="C2" s="289"/>
      <c r="D2" s="289"/>
      <c r="E2" s="289"/>
      <c r="F2" s="290"/>
      <c r="G2" s="121" t="s">
        <v>205</v>
      </c>
      <c r="H2" s="121" t="s">
        <v>176</v>
      </c>
      <c r="I2"/>
    </row>
    <row r="3" spans="1:18" s="63" customFormat="1" ht="31.5" customHeight="1" thickBot="1" x14ac:dyDescent="0.3">
      <c r="A3" s="181"/>
      <c r="B3" s="291"/>
      <c r="C3" s="292"/>
      <c r="D3" s="292"/>
      <c r="E3" s="292"/>
      <c r="F3" s="293"/>
      <c r="G3" s="188" t="s">
        <v>177</v>
      </c>
      <c r="H3" s="189"/>
      <c r="I3"/>
    </row>
    <row r="4" spans="1:18" s="75" customFormat="1" ht="12" customHeight="1" x14ac:dyDescent="0.25">
      <c r="A4" s="282" t="s">
        <v>170</v>
      </c>
      <c r="B4" s="283"/>
      <c r="C4" s="283"/>
      <c r="D4" s="283"/>
      <c r="E4" s="283"/>
      <c r="F4" s="283"/>
      <c r="G4" s="284"/>
      <c r="H4" s="285"/>
      <c r="I4"/>
      <c r="J4" s="76" t="str">
        <f>C9&amp;C10</f>
        <v>CAQUETÁTradicional Victimas</v>
      </c>
      <c r="K4" s="76"/>
    </row>
    <row r="5" spans="1:18" s="63" customFormat="1" ht="23.25" customHeight="1" x14ac:dyDescent="0.25">
      <c r="A5" s="299" t="s">
        <v>182</v>
      </c>
      <c r="B5" s="300"/>
      <c r="C5" s="300"/>
      <c r="D5" s="300"/>
      <c r="E5" s="301"/>
      <c r="F5" s="305" t="s">
        <v>172</v>
      </c>
      <c r="G5" s="306"/>
      <c r="H5" s="307"/>
      <c r="I5"/>
      <c r="J5" s="76"/>
      <c r="K5" s="76"/>
    </row>
    <row r="6" spans="1:18" s="63" customFormat="1" ht="23.25" customHeight="1" x14ac:dyDescent="0.25">
      <c r="A6" s="302"/>
      <c r="B6" s="303"/>
      <c r="C6" s="303"/>
      <c r="D6" s="303"/>
      <c r="E6" s="304"/>
      <c r="F6" s="305" t="s">
        <v>171</v>
      </c>
      <c r="G6" s="306"/>
      <c r="H6" s="307"/>
      <c r="I6"/>
      <c r="J6" s="252" t="s">
        <v>65</v>
      </c>
      <c r="K6" s="252"/>
      <c r="L6" s="173" t="s">
        <v>66</v>
      </c>
      <c r="M6" s="173"/>
    </row>
    <row r="7" spans="1:18" s="63" customFormat="1" ht="23.25" customHeight="1" x14ac:dyDescent="0.25">
      <c r="A7" s="297" t="s">
        <v>181</v>
      </c>
      <c r="B7" s="298"/>
      <c r="C7" s="298"/>
      <c r="D7" s="298"/>
      <c r="E7" s="298"/>
      <c r="F7" s="308" t="s">
        <v>186</v>
      </c>
      <c r="G7" s="309"/>
      <c r="H7" s="310"/>
      <c r="I7"/>
      <c r="J7" s="114"/>
      <c r="K7" s="114"/>
      <c r="L7" s="82"/>
      <c r="M7" s="82"/>
    </row>
    <row r="8" spans="1:18" s="63" customFormat="1" ht="10.5" customHeight="1" thickBot="1" x14ac:dyDescent="0.3">
      <c r="A8" s="87"/>
      <c r="B8" s="281"/>
      <c r="C8" s="281"/>
      <c r="D8" s="281"/>
      <c r="E8" s="281"/>
      <c r="F8" s="281"/>
      <c r="G8" s="281"/>
      <c r="H8" s="88"/>
      <c r="I8"/>
      <c r="J8" s="114"/>
      <c r="K8" s="114"/>
      <c r="L8" s="82"/>
      <c r="M8" s="82"/>
    </row>
    <row r="9" spans="1:18" s="63" customFormat="1" ht="15" x14ac:dyDescent="0.25">
      <c r="A9" s="204" t="s">
        <v>21</v>
      </c>
      <c r="B9" s="205"/>
      <c r="C9" s="196" t="s">
        <v>50</v>
      </c>
      <c r="D9" s="196"/>
      <c r="E9" s="196"/>
      <c r="F9" s="196"/>
      <c r="G9" s="196"/>
      <c r="H9" s="197"/>
      <c r="I9"/>
      <c r="J9" s="252"/>
      <c r="K9" s="252"/>
      <c r="L9" s="173"/>
      <c r="M9" s="173"/>
    </row>
    <row r="10" spans="1:18" s="63" customFormat="1" ht="15.75" thickBot="1" x14ac:dyDescent="0.3">
      <c r="A10" s="206" t="s">
        <v>55</v>
      </c>
      <c r="B10" s="207"/>
      <c r="C10" s="251" t="s">
        <v>105</v>
      </c>
      <c r="D10" s="251"/>
      <c r="E10" s="251"/>
      <c r="F10" s="251"/>
      <c r="G10" s="251"/>
      <c r="H10" s="251"/>
      <c r="I10"/>
      <c r="J10" s="252" t="s">
        <v>60</v>
      </c>
      <c r="K10" s="252"/>
      <c r="L10" s="173"/>
      <c r="M10" s="173"/>
    </row>
    <row r="11" spans="1:18" s="63" customFormat="1" ht="57.75" customHeight="1" thickBot="1" x14ac:dyDescent="0.3">
      <c r="A11" s="269" t="s">
        <v>185</v>
      </c>
      <c r="B11" s="270"/>
      <c r="C11" s="270"/>
      <c r="D11" s="270"/>
      <c r="E11" s="270"/>
      <c r="F11" s="270"/>
      <c r="G11" s="270"/>
      <c r="H11" s="271"/>
      <c r="I11"/>
      <c r="J11" s="252"/>
      <c r="K11" s="252"/>
      <c r="L11" s="173"/>
      <c r="M11" s="173"/>
      <c r="N11" s="63">
        <f>IF(O16&gt;0,O16,IF(N16&gt;0,N16,IF(M16&gt;0,M16,IF(P16&gt;0,P16,IF(Q16&gt;0,Q16,R16)))))</f>
        <v>150</v>
      </c>
      <c r="O11" s="63" t="s">
        <v>111</v>
      </c>
    </row>
    <row r="12" spans="1:18" s="63" customFormat="1" ht="24.75" customHeight="1" thickBot="1" x14ac:dyDescent="0.3">
      <c r="A12" s="80"/>
      <c r="B12" s="81"/>
      <c r="C12" s="258" t="s">
        <v>183</v>
      </c>
      <c r="D12" s="258"/>
      <c r="E12" s="258"/>
      <c r="F12" s="258"/>
      <c r="G12" s="81"/>
      <c r="H12" s="86"/>
      <c r="I12"/>
      <c r="J12" s="114"/>
      <c r="K12" s="114"/>
      <c r="L12" s="82"/>
      <c r="M12" s="82"/>
    </row>
    <row r="13" spans="1:18" s="63" customFormat="1" ht="33.75" x14ac:dyDescent="0.25">
      <c r="A13" s="89" t="s">
        <v>113</v>
      </c>
      <c r="B13" s="90"/>
      <c r="C13" s="91" t="s">
        <v>114</v>
      </c>
      <c r="D13" s="92" t="s">
        <v>164</v>
      </c>
      <c r="E13" s="93" t="s">
        <v>116</v>
      </c>
      <c r="F13" s="94"/>
      <c r="G13" s="93" t="s">
        <v>115</v>
      </c>
      <c r="H13" s="95"/>
      <c r="I13"/>
      <c r="J13" s="114"/>
      <c r="K13" s="114"/>
      <c r="L13" s="82"/>
      <c r="M13" s="82"/>
    </row>
    <row r="14" spans="1:18" s="63" customFormat="1" ht="45.75" thickBot="1" x14ac:dyDescent="0.3">
      <c r="A14" s="96" t="s">
        <v>152</v>
      </c>
      <c r="B14" s="97"/>
      <c r="C14" s="294" t="s">
        <v>134</v>
      </c>
      <c r="D14" s="294"/>
      <c r="E14" s="280">
        <f>IF(D13="N/A",(B13+B14),IF(D13="Reducción",(B13-H13+B14),(B13+H13+B14)))</f>
        <v>0</v>
      </c>
      <c r="F14" s="280"/>
      <c r="G14" s="98"/>
      <c r="H14" s="99"/>
      <c r="I14"/>
      <c r="J14" s="114"/>
      <c r="K14" s="114"/>
      <c r="L14" s="82"/>
      <c r="M14" s="82"/>
      <c r="N14" s="63">
        <f>IF(O18&gt;0,O18,IF(N18&gt;0,N18,IF(M18&gt;0,M18,IF(P18&gt;0,P18,IF(Q18&gt;0,Q18,R18)))))</f>
        <v>8</v>
      </c>
    </row>
    <row r="15" spans="1:18" s="63" customFormat="1" ht="15" x14ac:dyDescent="0.25">
      <c r="A15" s="256" t="s">
        <v>0</v>
      </c>
      <c r="B15" s="173"/>
      <c r="C15" s="173"/>
      <c r="D15" s="173"/>
      <c r="E15" s="173"/>
      <c r="F15" s="173"/>
      <c r="G15" s="173"/>
      <c r="H15" s="257"/>
      <c r="I15"/>
      <c r="J15" s="252" t="s">
        <v>187</v>
      </c>
      <c r="K15" s="252"/>
      <c r="L15" s="173"/>
      <c r="M15" s="173"/>
      <c r="N15" s="63">
        <f>IF(O17&gt;0,O17,IF(N17&gt;0,N17,IF(M17&gt;0,M17,IF(P17&gt;0,P17,IF(Q17&gt;0,Q17,R17)))))</f>
        <v>38227</v>
      </c>
      <c r="O15" s="63" t="s">
        <v>4</v>
      </c>
    </row>
    <row r="16" spans="1:18" s="63" customFormat="1" ht="15.75" thickBot="1" x14ac:dyDescent="0.3">
      <c r="A16" s="208" t="s">
        <v>57</v>
      </c>
      <c r="B16" s="216"/>
      <c r="C16" s="216"/>
      <c r="D16" s="216"/>
      <c r="E16" s="216"/>
      <c r="F16" s="216"/>
      <c r="G16" s="216"/>
      <c r="H16" s="209"/>
      <c r="I16"/>
      <c r="J16" s="77" t="s">
        <v>111</v>
      </c>
      <c r="K16" s="114"/>
      <c r="L16" s="82"/>
      <c r="M16" s="82">
        <f>IFERROR(VLOOKUP(J4,LISTAS!$B$5:$F$37,4,0),)</f>
        <v>0</v>
      </c>
      <c r="N16" s="82">
        <f>IFERROR(VLOOKUP(J4,LISTAS!$G$5:$K$37,4,0),)</f>
        <v>0</v>
      </c>
      <c r="O16" s="82">
        <f>IFERROR(VLOOKUP(J4,LISTAS!$L$5:$P$37,4,0),)</f>
        <v>0</v>
      </c>
      <c r="P16" s="82">
        <f>IFERROR(VLOOKUP(J4,LISTAS!$B$41:$F$73,4,0),)</f>
        <v>150</v>
      </c>
      <c r="Q16" s="82">
        <f>IFERROR(VLOOKUP(J4,LISTAS!$G$41:$K$73,4,0),)</f>
        <v>0</v>
      </c>
      <c r="R16" s="82">
        <f>IFERROR(VLOOKUP(J4,LISTAS!$L$41:$P$73,4,0),)</f>
        <v>0</v>
      </c>
    </row>
    <row r="17" spans="1:18" s="63" customFormat="1" ht="15" x14ac:dyDescent="0.25">
      <c r="A17" s="217" t="s">
        <v>144</v>
      </c>
      <c r="B17" s="218"/>
      <c r="C17" s="260" t="s">
        <v>12</v>
      </c>
      <c r="D17" s="261"/>
      <c r="E17" s="261"/>
      <c r="F17" s="261"/>
      <c r="G17" s="261"/>
      <c r="H17" s="262"/>
      <c r="I17"/>
      <c r="J17" s="77" t="s">
        <v>187</v>
      </c>
      <c r="K17" s="114"/>
      <c r="M17" s="82">
        <f>IFERROR(VLOOKUP(J4,LISTAS!$B$5:$F$37,5,0),)</f>
        <v>0</v>
      </c>
      <c r="N17" s="82">
        <f>IFERROR(VLOOKUP(J4,LISTAS!$G$5:$K$37,5,0),)</f>
        <v>0</v>
      </c>
      <c r="O17" s="82">
        <f>IFERROR(VLOOKUP(J4,LISTAS!$L$5:$P$37,5,0),)</f>
        <v>0</v>
      </c>
      <c r="P17" s="82">
        <f>IFERROR(VLOOKUP(J4,LISTAS!$B$41:$F$73,5,0),)</f>
        <v>38227</v>
      </c>
      <c r="Q17" s="82">
        <f>IFERROR(VLOOKUP(J4,LISTAS!$G$41:$K$73,5,0),)</f>
        <v>0</v>
      </c>
      <c r="R17" s="82">
        <f>IFERROR(VLOOKUP(J4,LISTAS!$L$41:$P$73,5,0),)</f>
        <v>0</v>
      </c>
    </row>
    <row r="18" spans="1:18" s="63" customFormat="1" ht="22.5" customHeight="1" x14ac:dyDescent="0.25">
      <c r="A18" s="222" t="s">
        <v>197</v>
      </c>
      <c r="B18" s="223"/>
      <c r="C18" s="263">
        <v>0</v>
      </c>
      <c r="D18" s="264"/>
      <c r="E18" s="264"/>
      <c r="F18" s="264"/>
      <c r="G18" s="264"/>
      <c r="H18" s="265"/>
      <c r="I18"/>
      <c r="J18" s="255" t="s">
        <v>196</v>
      </c>
      <c r="K18" s="255"/>
      <c r="M18" s="111">
        <f>IFERROR(VLOOKUP(C10,LISTAS!W8:X8,2,0),)</f>
        <v>0</v>
      </c>
      <c r="N18" s="111">
        <f>IFERROR(VLOOKUP(C10,LISTAS!W9:X9,2,0),)</f>
        <v>0</v>
      </c>
      <c r="O18" s="111">
        <f>IFERROR(VLOOKUP(C10,LISTAS!W10:X10,2,0),)</f>
        <v>0</v>
      </c>
      <c r="P18" s="111">
        <f>IFERROR(VLOOKUP(C10,LISTAS!W5:X5,2,0),)</f>
        <v>8</v>
      </c>
      <c r="Q18" s="111">
        <f>IFERROR(VLOOKUP(C10,LISTAS!W6:X6,2,0),)</f>
        <v>0</v>
      </c>
      <c r="R18" s="111">
        <f>IFERROR(VLOOKUP(C10,LISTAS!W7:X7,2,0),)</f>
        <v>0</v>
      </c>
    </row>
    <row r="19" spans="1:18" s="63" customFormat="1" ht="23.25" x14ac:dyDescent="0.25">
      <c r="A19" s="208" t="s">
        <v>194</v>
      </c>
      <c r="B19" s="209"/>
      <c r="C19" s="263">
        <f>N15</f>
        <v>38227</v>
      </c>
      <c r="D19" s="264"/>
      <c r="E19" s="264"/>
      <c r="F19" s="264"/>
      <c r="G19" s="264"/>
      <c r="H19" s="265"/>
      <c r="I19"/>
      <c r="J19" s="115"/>
      <c r="K19" s="115" t="s">
        <v>61</v>
      </c>
      <c r="L19" s="63" t="s">
        <v>62</v>
      </c>
      <c r="M19" s="117" t="s">
        <v>188</v>
      </c>
      <c r="N19" s="117" t="s">
        <v>189</v>
      </c>
      <c r="O19" s="117" t="s">
        <v>190</v>
      </c>
      <c r="P19" s="117" t="s">
        <v>191</v>
      </c>
      <c r="Q19" s="117" t="s">
        <v>192</v>
      </c>
      <c r="R19" s="117" t="s">
        <v>193</v>
      </c>
    </row>
    <row r="20" spans="1:18" s="63" customFormat="1" ht="15" x14ac:dyDescent="0.25">
      <c r="A20" s="208" t="s">
        <v>198</v>
      </c>
      <c r="B20" s="209"/>
      <c r="C20" s="263">
        <f>+N15/N14</f>
        <v>4778.375</v>
      </c>
      <c r="D20" s="264"/>
      <c r="E20" s="264"/>
      <c r="F20" s="264"/>
      <c r="G20" s="264"/>
      <c r="H20" s="265"/>
      <c r="I20"/>
      <c r="J20" s="115"/>
      <c r="K20" s="115"/>
    </row>
    <row r="21" spans="1:18" s="63" customFormat="1" ht="15" x14ac:dyDescent="0.25">
      <c r="A21" s="208" t="s">
        <v>145</v>
      </c>
      <c r="B21" s="209"/>
      <c r="C21" s="266">
        <v>400</v>
      </c>
      <c r="D21" s="267"/>
      <c r="E21" s="267"/>
      <c r="F21" s="267"/>
      <c r="G21" s="267"/>
      <c r="H21" s="268"/>
      <c r="I21"/>
      <c r="J21" s="115" t="s">
        <v>104</v>
      </c>
      <c r="K21" s="115" t="s">
        <v>63</v>
      </c>
      <c r="L21" s="63" t="s">
        <v>64</v>
      </c>
    </row>
    <row r="22" spans="1:18" s="63" customFormat="1" ht="15" x14ac:dyDescent="0.25">
      <c r="A22" s="208" t="s">
        <v>168</v>
      </c>
      <c r="B22" s="209"/>
      <c r="C22" s="276">
        <f>C21/25</f>
        <v>16</v>
      </c>
      <c r="D22" s="277"/>
      <c r="E22" s="277"/>
      <c r="F22" s="277"/>
      <c r="G22" s="277"/>
      <c r="H22" s="277"/>
      <c r="I22"/>
      <c r="J22" s="115"/>
      <c r="K22" s="115" t="e">
        <f>C19/C18</f>
        <v>#DIV/0!</v>
      </c>
    </row>
    <row r="23" spans="1:18" s="63" customFormat="1" ht="12.75" customHeight="1" thickBot="1" x14ac:dyDescent="0.3">
      <c r="A23" s="212" t="s">
        <v>163</v>
      </c>
      <c r="B23" s="213"/>
      <c r="C23" s="278"/>
      <c r="D23" s="279"/>
      <c r="E23" s="279"/>
      <c r="F23" s="279"/>
      <c r="G23" s="279"/>
      <c r="H23" s="279"/>
      <c r="I23"/>
      <c r="J23" s="76"/>
      <c r="K23" s="62"/>
      <c r="M23" s="64"/>
    </row>
    <row r="24" spans="1:18" s="63" customFormat="1" ht="15.75" customHeight="1" x14ac:dyDescent="0.25">
      <c r="A24" s="226" t="s">
        <v>2</v>
      </c>
      <c r="B24" s="259"/>
      <c r="C24" s="227"/>
      <c r="D24" s="226" t="s">
        <v>146</v>
      </c>
      <c r="E24" s="259"/>
      <c r="F24" s="227"/>
      <c r="G24" s="226" t="s">
        <v>112</v>
      </c>
      <c r="H24" s="227"/>
      <c r="I24"/>
      <c r="J24" s="76"/>
      <c r="K24" s="76"/>
    </row>
    <row r="25" spans="1:18" s="63" customFormat="1" ht="30.75" customHeight="1" x14ac:dyDescent="0.25">
      <c r="A25" s="226"/>
      <c r="B25" s="259"/>
      <c r="C25" s="227"/>
      <c r="D25" s="226"/>
      <c r="E25" s="259"/>
      <c r="F25" s="227"/>
      <c r="G25" s="226"/>
      <c r="H25" s="227"/>
      <c r="I25"/>
      <c r="J25" s="76"/>
      <c r="K25" s="78"/>
      <c r="L25" s="78"/>
    </row>
    <row r="26" spans="1:18" s="66" customFormat="1" ht="15" x14ac:dyDescent="0.25">
      <c r="A26" s="240" t="str">
        <f>IF($C$18&lt;1," ",1)</f>
        <v xml:space="preserve"> </v>
      </c>
      <c r="B26" s="191"/>
      <c r="C26" s="192"/>
      <c r="D26" s="236"/>
      <c r="E26" s="236"/>
      <c r="F26" s="236"/>
      <c r="G26" s="253" t="str">
        <f t="shared" ref="G26:G37" si="0">IF(A26&lt;($C$18+1),$C$20*D26," ")</f>
        <v xml:space="preserve"> </v>
      </c>
      <c r="H26" s="254"/>
      <c r="I26"/>
      <c r="J26" s="76"/>
      <c r="K26" s="78">
        <f>25*8</f>
        <v>200</v>
      </c>
      <c r="L26" s="118"/>
    </row>
    <row r="27" spans="1:18" s="66" customFormat="1" ht="15" x14ac:dyDescent="0.25">
      <c r="A27" s="240" t="str">
        <f>IF($C$18&lt;2," ",2)</f>
        <v xml:space="preserve"> </v>
      </c>
      <c r="B27" s="191"/>
      <c r="C27" s="192"/>
      <c r="D27" s="236"/>
      <c r="E27" s="236"/>
      <c r="F27" s="236"/>
      <c r="G27" s="253" t="str">
        <f t="shared" si="0"/>
        <v xml:space="preserve"> </v>
      </c>
      <c r="H27" s="254"/>
      <c r="I27"/>
      <c r="J27" s="76"/>
      <c r="K27" s="78"/>
      <c r="L27" s="118"/>
    </row>
    <row r="28" spans="1:18" s="66" customFormat="1" ht="15" x14ac:dyDescent="0.25">
      <c r="A28" s="240" t="str">
        <f>IF($C$18&lt;3," ",3)</f>
        <v xml:space="preserve"> </v>
      </c>
      <c r="B28" s="191"/>
      <c r="C28" s="192"/>
      <c r="D28" s="236"/>
      <c r="E28" s="236"/>
      <c r="F28" s="236"/>
      <c r="G28" s="253" t="str">
        <f t="shared" si="0"/>
        <v xml:space="preserve"> </v>
      </c>
      <c r="H28" s="254"/>
      <c r="I28"/>
      <c r="J28" s="76"/>
      <c r="K28" s="78"/>
      <c r="L28" s="118"/>
    </row>
    <row r="29" spans="1:18" s="66" customFormat="1" ht="15" x14ac:dyDescent="0.25">
      <c r="A29" s="240" t="str">
        <f>IF($C$18&lt;4," ",4)</f>
        <v xml:space="preserve"> </v>
      </c>
      <c r="B29" s="191"/>
      <c r="C29" s="192"/>
      <c r="D29" s="236"/>
      <c r="E29" s="236"/>
      <c r="F29" s="236"/>
      <c r="G29" s="253" t="str">
        <f t="shared" si="0"/>
        <v xml:space="preserve"> </v>
      </c>
      <c r="H29" s="254"/>
      <c r="I29"/>
      <c r="J29" s="76"/>
      <c r="K29" s="78"/>
      <c r="L29" s="118"/>
    </row>
    <row r="30" spans="1:18" s="66" customFormat="1" ht="15" x14ac:dyDescent="0.25">
      <c r="A30" s="240" t="str">
        <f>IF($C$18&lt;5," ",5)</f>
        <v xml:space="preserve"> </v>
      </c>
      <c r="B30" s="191"/>
      <c r="C30" s="192"/>
      <c r="D30" s="236"/>
      <c r="E30" s="236"/>
      <c r="F30" s="236"/>
      <c r="G30" s="253" t="str">
        <f t="shared" si="0"/>
        <v xml:space="preserve"> </v>
      </c>
      <c r="H30" s="254"/>
      <c r="I30"/>
      <c r="J30" s="76"/>
      <c r="K30" s="78"/>
      <c r="L30" s="118"/>
    </row>
    <row r="31" spans="1:18" s="83" customFormat="1" ht="15.75" customHeight="1" x14ac:dyDescent="0.25">
      <c r="A31" s="240" t="str">
        <f>IF($C$18&lt;6," ",6)</f>
        <v xml:space="preserve"> </v>
      </c>
      <c r="B31" s="191"/>
      <c r="C31" s="192"/>
      <c r="D31" s="236"/>
      <c r="E31" s="236"/>
      <c r="F31" s="236"/>
      <c r="G31" s="253" t="str">
        <f t="shared" si="0"/>
        <v xml:space="preserve"> </v>
      </c>
      <c r="H31" s="254"/>
      <c r="I31"/>
      <c r="J31" s="120"/>
      <c r="K31" s="120"/>
      <c r="L31" s="85"/>
    </row>
    <row r="32" spans="1:18" s="66" customFormat="1" ht="15" x14ac:dyDescent="0.25">
      <c r="A32" s="240" t="str">
        <f>IF($C$18&lt;7," ",7)</f>
        <v xml:space="preserve"> </v>
      </c>
      <c r="B32" s="191"/>
      <c r="C32" s="192"/>
      <c r="D32" s="236"/>
      <c r="E32" s="236"/>
      <c r="F32" s="236"/>
      <c r="G32" s="253" t="str">
        <f t="shared" si="0"/>
        <v xml:space="preserve"> </v>
      </c>
      <c r="H32" s="254"/>
      <c r="I32"/>
      <c r="J32" s="76"/>
      <c r="K32" s="78"/>
      <c r="L32" s="118"/>
    </row>
    <row r="33" spans="1:12" s="66" customFormat="1" ht="15" x14ac:dyDescent="0.25">
      <c r="A33" s="240" t="str">
        <f>IF($C$18&lt;8," ",8)</f>
        <v xml:space="preserve"> </v>
      </c>
      <c r="B33" s="191"/>
      <c r="C33" s="192"/>
      <c r="D33" s="236"/>
      <c r="E33" s="236"/>
      <c r="F33" s="236"/>
      <c r="G33" s="253" t="str">
        <f t="shared" si="0"/>
        <v xml:space="preserve"> </v>
      </c>
      <c r="H33" s="254"/>
      <c r="I33"/>
      <c r="J33" s="76"/>
      <c r="K33" s="78"/>
      <c r="L33" s="118"/>
    </row>
    <row r="34" spans="1:12" s="66" customFormat="1" ht="15" x14ac:dyDescent="0.25">
      <c r="A34" s="240" t="str">
        <f>IF($C$18&lt;9," ",9)</f>
        <v xml:space="preserve"> </v>
      </c>
      <c r="B34" s="191"/>
      <c r="C34" s="192"/>
      <c r="D34" s="236"/>
      <c r="E34" s="236"/>
      <c r="F34" s="236"/>
      <c r="G34" s="253" t="str">
        <f t="shared" si="0"/>
        <v xml:space="preserve"> </v>
      </c>
      <c r="H34" s="254"/>
      <c r="I34"/>
      <c r="J34" s="76"/>
      <c r="K34" s="78"/>
      <c r="L34" s="118"/>
    </row>
    <row r="35" spans="1:12" s="66" customFormat="1" ht="15" x14ac:dyDescent="0.25">
      <c r="A35" s="240" t="str">
        <f>IF($C$18&lt;10," ",10)</f>
        <v xml:space="preserve"> </v>
      </c>
      <c r="B35" s="191"/>
      <c r="C35" s="192"/>
      <c r="D35" s="236"/>
      <c r="E35" s="236"/>
      <c r="F35" s="236"/>
      <c r="G35" s="253" t="str">
        <f t="shared" si="0"/>
        <v xml:space="preserve"> </v>
      </c>
      <c r="H35" s="254"/>
      <c r="I35"/>
      <c r="J35" s="76"/>
      <c r="K35" s="78"/>
      <c r="L35" s="118"/>
    </row>
    <row r="36" spans="1:12" s="66" customFormat="1" ht="15" x14ac:dyDescent="0.25">
      <c r="A36" s="240" t="str">
        <f>IF($C$18&lt;11," ",11)</f>
        <v xml:space="preserve"> </v>
      </c>
      <c r="B36" s="191"/>
      <c r="C36" s="192"/>
      <c r="D36" s="236"/>
      <c r="E36" s="236"/>
      <c r="F36" s="236"/>
      <c r="G36" s="253" t="str">
        <f t="shared" si="0"/>
        <v xml:space="preserve"> </v>
      </c>
      <c r="H36" s="254"/>
      <c r="I36"/>
      <c r="J36" s="76"/>
      <c r="K36" s="78"/>
      <c r="L36" s="118"/>
    </row>
    <row r="37" spans="1:12" s="66" customFormat="1" ht="15.75" customHeight="1" thickBot="1" x14ac:dyDescent="0.3">
      <c r="A37" s="237" t="str">
        <f>IF($C$18&lt;12," ",12)</f>
        <v xml:space="preserve"> </v>
      </c>
      <c r="B37" s="238"/>
      <c r="C37" s="239"/>
      <c r="D37" s="272"/>
      <c r="E37" s="272"/>
      <c r="F37" s="272"/>
      <c r="G37" s="253" t="str">
        <f t="shared" si="0"/>
        <v xml:space="preserve"> </v>
      </c>
      <c r="H37" s="254"/>
      <c r="I37"/>
      <c r="J37" s="76"/>
      <c r="K37" s="63"/>
      <c r="L37" s="119"/>
    </row>
    <row r="38" spans="1:12" s="63" customFormat="1" ht="15.75" thickBot="1" x14ac:dyDescent="0.3">
      <c r="A38" s="136" t="s">
        <v>147</v>
      </c>
      <c r="B38" s="244"/>
      <c r="C38" s="137"/>
      <c r="D38" s="273">
        <f>+IF(C18=0,0,IF(C18&lt;9,SUM(D26:D33),IF(C18=12,SUM(D26:D37))))</f>
        <v>0</v>
      </c>
      <c r="E38" s="274"/>
      <c r="F38" s="275"/>
      <c r="G38" s="249"/>
      <c r="H38" s="250"/>
      <c r="I38"/>
      <c r="J38" s="76"/>
    </row>
    <row r="39" spans="1:12" s="63" customFormat="1" ht="15.75" thickBot="1" x14ac:dyDescent="0.3">
      <c r="A39" s="136" t="s">
        <v>148</v>
      </c>
      <c r="B39" s="244"/>
      <c r="C39" s="137"/>
      <c r="D39" s="142"/>
      <c r="E39" s="143"/>
      <c r="F39" s="143"/>
      <c r="G39" s="143"/>
      <c r="H39" s="144"/>
      <c r="I39"/>
      <c r="J39" s="76" t="s">
        <v>104</v>
      </c>
    </row>
    <row r="40" spans="1:12" s="63" customFormat="1" ht="15.75" thickBot="1" x14ac:dyDescent="0.3">
      <c r="A40" s="136" t="s">
        <v>149</v>
      </c>
      <c r="B40" s="244"/>
      <c r="C40" s="137"/>
      <c r="D40" s="142"/>
      <c r="E40" s="143"/>
      <c r="F40" s="143"/>
      <c r="G40" s="143"/>
      <c r="H40" s="144"/>
      <c r="I40"/>
      <c r="J40" s="76" t="s">
        <v>104</v>
      </c>
    </row>
    <row r="41" spans="1:12" s="63" customFormat="1" ht="15.75" thickBot="1" x14ac:dyDescent="0.3">
      <c r="A41" s="175" t="s">
        <v>150</v>
      </c>
      <c r="B41" s="245"/>
      <c r="C41" s="176"/>
      <c r="D41" s="246">
        <f>ROUND(SUM(G26:H37)-D39,0)</f>
        <v>0</v>
      </c>
      <c r="E41" s="247"/>
      <c r="F41" s="247"/>
      <c r="G41" s="247"/>
      <c r="H41" s="248"/>
      <c r="I41"/>
    </row>
    <row r="42" spans="1:12" s="63" customFormat="1" ht="39.75" customHeight="1" x14ac:dyDescent="0.25">
      <c r="A42" s="241" t="s">
        <v>169</v>
      </c>
      <c r="B42" s="242"/>
      <c r="C42" s="242"/>
      <c r="D42" s="242"/>
      <c r="E42" s="242"/>
      <c r="F42" s="242"/>
      <c r="G42" s="242"/>
      <c r="H42" s="243"/>
      <c r="I42"/>
      <c r="J42" s="76"/>
    </row>
    <row r="43" spans="1:12" s="63" customFormat="1" ht="27.75" customHeight="1" x14ac:dyDescent="0.25">
      <c r="A43" s="311" t="s">
        <v>184</v>
      </c>
      <c r="B43" s="312"/>
      <c r="C43" s="312"/>
      <c r="D43" s="312"/>
      <c r="E43" s="312"/>
      <c r="F43" s="312"/>
      <c r="G43" s="312"/>
      <c r="H43" s="313"/>
      <c r="I43"/>
      <c r="J43" s="76"/>
    </row>
    <row r="44" spans="1:12" s="79" customFormat="1" ht="13.5" customHeight="1" thickBot="1" x14ac:dyDescent="0.3">
      <c r="A44" s="170" t="s">
        <v>165</v>
      </c>
      <c r="B44" s="171"/>
      <c r="C44" s="171"/>
      <c r="D44" s="171"/>
      <c r="E44" s="171"/>
      <c r="F44" s="171"/>
      <c r="G44" s="171"/>
      <c r="H44" s="172"/>
      <c r="I44"/>
      <c r="J44" s="76"/>
      <c r="K44" s="63"/>
    </row>
    <row r="45" spans="1:12" s="63" customFormat="1" ht="18" customHeight="1" x14ac:dyDescent="0.2">
      <c r="A45" s="295" t="s">
        <v>203</v>
      </c>
      <c r="B45" s="296"/>
      <c r="C45" s="296"/>
      <c r="D45" s="296"/>
      <c r="E45" s="296"/>
      <c r="F45" s="296"/>
      <c r="G45" s="296"/>
      <c r="H45" s="296"/>
      <c r="I45" s="296"/>
      <c r="J45" s="76"/>
    </row>
    <row r="46" spans="1:12" s="63" customFormat="1" ht="26.25" customHeight="1" x14ac:dyDescent="0.2">
      <c r="A46" s="296"/>
      <c r="B46" s="296"/>
      <c r="C46" s="296"/>
      <c r="D46" s="296"/>
      <c r="E46" s="296"/>
      <c r="F46" s="296"/>
      <c r="G46" s="296"/>
      <c r="H46" s="296"/>
      <c r="I46" s="296"/>
      <c r="J46" s="76"/>
    </row>
    <row r="47" spans="1:12" x14ac:dyDescent="0.2">
      <c r="A47" s="173" t="s">
        <v>1</v>
      </c>
      <c r="B47" s="173"/>
      <c r="C47" s="173"/>
      <c r="D47" s="67"/>
      <c r="E47" s="67"/>
      <c r="F47" s="67"/>
      <c r="G47" s="67"/>
      <c r="H47" s="67"/>
      <c r="I47" s="111"/>
      <c r="K47" s="57"/>
    </row>
    <row r="48" spans="1:12" x14ac:dyDescent="0.2">
      <c r="A48" s="174" t="s">
        <v>22</v>
      </c>
      <c r="B48" s="174"/>
      <c r="C48" s="174"/>
      <c r="D48" s="68"/>
      <c r="E48" s="68"/>
      <c r="F48" s="68"/>
      <c r="G48" s="68"/>
      <c r="H48" s="68"/>
      <c r="I48" s="110"/>
      <c r="K48" s="57"/>
    </row>
    <row r="49" spans="1:11" x14ac:dyDescent="0.2">
      <c r="A49" s="174" t="s">
        <v>167</v>
      </c>
      <c r="B49" s="174"/>
      <c r="C49" s="174"/>
      <c r="D49" s="68"/>
      <c r="E49" s="68"/>
      <c r="F49" s="68"/>
      <c r="G49" s="68"/>
      <c r="H49" s="68"/>
      <c r="I49" s="110"/>
      <c r="K49" s="57"/>
    </row>
    <row r="50" spans="1:11" x14ac:dyDescent="0.2">
      <c r="A50" s="174" t="s">
        <v>130</v>
      </c>
      <c r="B50" s="174"/>
      <c r="C50" s="174"/>
      <c r="D50" s="68"/>
      <c r="E50" s="68"/>
      <c r="F50" s="68"/>
      <c r="G50" s="68"/>
      <c r="H50" s="68"/>
      <c r="I50" s="110"/>
      <c r="K50" s="57"/>
    </row>
    <row r="51" spans="1:11" x14ac:dyDescent="0.2">
      <c r="A51" s="174" t="s">
        <v>131</v>
      </c>
      <c r="B51" s="174"/>
      <c r="C51" s="174"/>
      <c r="D51" s="174"/>
      <c r="E51" s="174"/>
      <c r="F51" s="174"/>
      <c r="G51" s="174"/>
      <c r="H51" s="174"/>
      <c r="I51" s="110"/>
      <c r="K51" s="57"/>
    </row>
    <row r="52" spans="1:11" x14ac:dyDescent="0.2">
      <c r="A52" s="174" t="s">
        <v>132</v>
      </c>
      <c r="B52" s="174"/>
      <c r="C52" s="174"/>
      <c r="D52" s="174"/>
      <c r="E52" s="174"/>
      <c r="F52" s="174"/>
      <c r="G52" s="174"/>
      <c r="H52" s="174"/>
      <c r="I52" s="110"/>
      <c r="K52" s="57"/>
    </row>
    <row r="53" spans="1:11" x14ac:dyDescent="0.2">
      <c r="A53" s="174" t="s">
        <v>133</v>
      </c>
      <c r="B53" s="174"/>
      <c r="C53" s="174"/>
      <c r="D53" s="174"/>
      <c r="E53" s="174"/>
      <c r="F53" s="174"/>
      <c r="G53" s="174"/>
      <c r="H53" s="174"/>
      <c r="I53" s="110"/>
      <c r="K53" s="57"/>
    </row>
    <row r="54" spans="1:11" x14ac:dyDescent="0.2">
      <c r="A54" s="174" t="s">
        <v>162</v>
      </c>
      <c r="B54" s="174"/>
      <c r="C54" s="174"/>
      <c r="D54" s="174"/>
      <c r="E54" s="174"/>
      <c r="F54" s="174"/>
      <c r="G54" s="174"/>
      <c r="H54" s="174"/>
      <c r="I54" s="110"/>
      <c r="K54" s="57"/>
    </row>
    <row r="55" spans="1:11" x14ac:dyDescent="0.2">
      <c r="A55" s="174" t="s">
        <v>151</v>
      </c>
      <c r="B55" s="174"/>
      <c r="C55" s="174"/>
      <c r="D55" s="174"/>
      <c r="E55" s="174"/>
      <c r="F55" s="174"/>
      <c r="G55" s="174"/>
      <c r="H55" s="174"/>
      <c r="I55" s="110"/>
      <c r="K55" s="57"/>
    </row>
    <row r="56" spans="1:11" x14ac:dyDescent="0.2">
      <c r="A56" s="174" t="s">
        <v>135</v>
      </c>
      <c r="B56" s="174"/>
      <c r="C56" s="174"/>
      <c r="D56" s="174"/>
      <c r="E56" s="174"/>
      <c r="F56" s="174"/>
      <c r="G56" s="174"/>
      <c r="H56" s="174"/>
      <c r="I56" s="110"/>
      <c r="K56" s="57"/>
    </row>
    <row r="57" spans="1:11" x14ac:dyDescent="0.2">
      <c r="A57" s="174" t="s">
        <v>136</v>
      </c>
      <c r="B57" s="174"/>
      <c r="C57" s="174"/>
      <c r="D57" s="68"/>
      <c r="E57" s="68"/>
      <c r="F57" s="68"/>
      <c r="G57" s="68"/>
      <c r="H57" s="68"/>
      <c r="I57" s="110"/>
      <c r="K57" s="57"/>
    </row>
    <row r="58" spans="1:11" x14ac:dyDescent="0.2">
      <c r="A58" s="174" t="s">
        <v>202</v>
      </c>
      <c r="B58" s="174"/>
      <c r="C58" s="174"/>
      <c r="D58" s="174"/>
      <c r="E58" s="174"/>
      <c r="F58" s="174"/>
      <c r="G58" s="174"/>
      <c r="H58" s="174"/>
      <c r="I58" s="110"/>
      <c r="K58" s="57"/>
    </row>
    <row r="59" spans="1:11" s="56" customFormat="1" x14ac:dyDescent="0.2">
      <c r="A59" s="174" t="s">
        <v>137</v>
      </c>
      <c r="B59" s="174"/>
      <c r="C59" s="174"/>
      <c r="D59" s="68"/>
      <c r="E59" s="68"/>
      <c r="F59" s="68"/>
      <c r="G59" s="68"/>
      <c r="H59" s="68"/>
      <c r="I59" s="110"/>
      <c r="J59" s="69"/>
    </row>
    <row r="60" spans="1:11" s="56" customFormat="1" x14ac:dyDescent="0.2">
      <c r="A60" s="174" t="s">
        <v>138</v>
      </c>
      <c r="B60" s="174"/>
      <c r="C60" s="174"/>
      <c r="D60" s="68"/>
      <c r="E60" s="68"/>
      <c r="F60" s="68"/>
      <c r="G60" s="68"/>
      <c r="H60" s="68"/>
      <c r="I60" s="110"/>
      <c r="J60" s="69"/>
    </row>
    <row r="61" spans="1:11" ht="27" customHeight="1" x14ac:dyDescent="0.2">
      <c r="A61" s="174" t="s">
        <v>139</v>
      </c>
      <c r="B61" s="174"/>
      <c r="C61" s="174"/>
      <c r="D61" s="174"/>
      <c r="E61" s="174"/>
      <c r="F61" s="174"/>
      <c r="G61" s="174"/>
      <c r="H61" s="174"/>
      <c r="I61" s="110"/>
      <c r="K61" s="57"/>
    </row>
    <row r="62" spans="1:11" x14ac:dyDescent="0.2">
      <c r="A62" s="200" t="s">
        <v>140</v>
      </c>
      <c r="B62" s="200"/>
      <c r="C62" s="200"/>
      <c r="D62" s="70"/>
      <c r="E62" s="70"/>
      <c r="F62" s="70"/>
      <c r="G62" s="70"/>
      <c r="H62" s="70"/>
      <c r="I62" s="113"/>
      <c r="K62" s="57"/>
    </row>
    <row r="63" spans="1:11" ht="11.25" customHeight="1" x14ac:dyDescent="0.2">
      <c r="A63" s="174" t="s">
        <v>141</v>
      </c>
      <c r="B63" s="174"/>
      <c r="C63" s="174"/>
      <c r="D63" s="174"/>
      <c r="E63" s="174"/>
      <c r="F63" s="68"/>
      <c r="G63" s="68"/>
      <c r="H63" s="68"/>
      <c r="I63" s="110"/>
      <c r="K63" s="57"/>
    </row>
    <row r="64" spans="1:11" ht="11.25" customHeight="1" x14ac:dyDescent="0.2">
      <c r="A64" s="174" t="s">
        <v>153</v>
      </c>
      <c r="B64" s="174"/>
      <c r="C64" s="174"/>
      <c r="D64" s="174"/>
      <c r="E64" s="174"/>
      <c r="F64" s="174"/>
      <c r="G64" s="174"/>
      <c r="H64" s="68"/>
      <c r="I64" s="110"/>
      <c r="K64" s="57"/>
    </row>
    <row r="65" spans="1:12" ht="11.25" customHeight="1" x14ac:dyDescent="0.2">
      <c r="A65" s="174" t="s">
        <v>142</v>
      </c>
      <c r="B65" s="174"/>
      <c r="C65" s="174"/>
      <c r="D65" s="174"/>
      <c r="E65" s="174"/>
      <c r="F65" s="174"/>
      <c r="G65" s="174"/>
      <c r="H65" s="174"/>
      <c r="I65" s="110"/>
      <c r="K65" s="57"/>
    </row>
    <row r="66" spans="1:12" x14ac:dyDescent="0.2">
      <c r="A66" s="174" t="s">
        <v>143</v>
      </c>
      <c r="B66" s="174"/>
      <c r="C66" s="174"/>
      <c r="D66" s="68"/>
      <c r="E66" s="68"/>
      <c r="F66" s="68"/>
      <c r="G66" s="68"/>
      <c r="H66" s="68"/>
      <c r="I66" s="110"/>
      <c r="K66" s="57"/>
    </row>
    <row r="67" spans="1:12" ht="11.25" customHeight="1" x14ac:dyDescent="0.2">
      <c r="A67" s="174" t="s">
        <v>166</v>
      </c>
      <c r="B67" s="174"/>
      <c r="C67" s="174"/>
      <c r="D67" s="174"/>
      <c r="E67" s="174"/>
      <c r="F67" s="174"/>
      <c r="G67" s="174"/>
      <c r="H67" s="174"/>
      <c r="I67" s="110"/>
      <c r="K67" s="57"/>
    </row>
    <row r="68" spans="1:12" ht="12.75" customHeight="1" x14ac:dyDescent="0.2">
      <c r="A68" s="71" t="s">
        <v>3</v>
      </c>
      <c r="B68" s="71"/>
      <c r="C68" s="68"/>
      <c r="D68" s="68"/>
      <c r="E68" s="68"/>
      <c r="F68" s="68"/>
      <c r="G68" s="68"/>
      <c r="H68" s="68"/>
      <c r="I68" s="110"/>
      <c r="K68" s="57"/>
    </row>
    <row r="69" spans="1:12" hidden="1" x14ac:dyDescent="0.2">
      <c r="A69" s="174"/>
      <c r="B69" s="174"/>
      <c r="C69" s="174"/>
      <c r="D69" s="68"/>
      <c r="E69" s="68"/>
      <c r="F69" s="68"/>
      <c r="G69" s="68"/>
      <c r="H69" s="68"/>
      <c r="I69" s="110"/>
      <c r="K69" s="57"/>
    </row>
    <row r="70" spans="1:12" hidden="1" x14ac:dyDescent="0.2">
      <c r="A70" s="71"/>
      <c r="B70" s="71"/>
      <c r="K70" s="57"/>
    </row>
    <row r="71" spans="1:12" ht="11.25" hidden="1" customHeight="1" x14ac:dyDescent="0.2">
      <c r="K71" s="57"/>
    </row>
    <row r="72" spans="1:12" ht="27" hidden="1" customHeight="1" x14ac:dyDescent="0.2">
      <c r="K72" s="57"/>
    </row>
    <row r="73" spans="1:12" hidden="1" x14ac:dyDescent="0.2">
      <c r="J73" s="72"/>
      <c r="K73" s="72"/>
      <c r="L73" s="73"/>
    </row>
    <row r="74" spans="1:12" ht="11.25" hidden="1" customHeight="1" x14ac:dyDescent="0.2"/>
    <row r="75" spans="1:12" ht="11.25" hidden="1" customHeight="1" x14ac:dyDescent="0.2"/>
    <row r="76" spans="1:12" ht="11.25" hidden="1" customHeight="1" x14ac:dyDescent="0.2"/>
    <row r="77" spans="1:12" ht="11.25" hidden="1" customHeight="1" x14ac:dyDescent="0.2"/>
    <row r="78" spans="1:12" ht="11.25" hidden="1" customHeight="1" x14ac:dyDescent="0.2"/>
    <row r="79" spans="1:12" ht="11.25" hidden="1" customHeight="1" x14ac:dyDescent="0.2"/>
    <row r="80" spans="1:12" ht="11.25" customHeight="1" x14ac:dyDescent="0.2"/>
    <row r="81" spans="1:11" ht="11.25" customHeight="1" x14ac:dyDescent="0.2">
      <c r="A81" s="178" t="s">
        <v>179</v>
      </c>
      <c r="B81" s="178"/>
      <c r="C81" s="178"/>
      <c r="D81" s="178"/>
      <c r="E81" s="178"/>
      <c r="F81" s="178"/>
      <c r="G81" s="178"/>
      <c r="H81" s="178"/>
      <c r="I81" s="112"/>
      <c r="J81" s="57"/>
      <c r="K81" s="57"/>
    </row>
    <row r="82" spans="1:11" x14ac:dyDescent="0.2">
      <c r="A82" s="178"/>
      <c r="B82" s="178"/>
      <c r="C82" s="178"/>
      <c r="D82" s="178"/>
      <c r="E82" s="178"/>
      <c r="F82" s="178"/>
      <c r="G82" s="178"/>
      <c r="H82" s="178"/>
      <c r="I82" s="112"/>
      <c r="J82" s="57"/>
      <c r="K82" s="57"/>
    </row>
    <row r="83" spans="1:11" x14ac:dyDescent="0.2"/>
    <row r="84" spans="1:11" x14ac:dyDescent="0.2"/>
  </sheetData>
  <protectedRanges>
    <protectedRange sqref="B13:B14" name="Rango2"/>
    <protectedRange sqref="H5:I7" name="Rango1"/>
  </protectedRanges>
  <mergeCells count="120">
    <mergeCell ref="A45:I46"/>
    <mergeCell ref="A10:B10"/>
    <mergeCell ref="A7:E7"/>
    <mergeCell ref="A5:E6"/>
    <mergeCell ref="F5:H5"/>
    <mergeCell ref="F6:H6"/>
    <mergeCell ref="F7:H7"/>
    <mergeCell ref="A43:H43"/>
    <mergeCell ref="G31:H31"/>
    <mergeCell ref="G37:H37"/>
    <mergeCell ref="A1:A3"/>
    <mergeCell ref="G3:H3"/>
    <mergeCell ref="B1:F3"/>
    <mergeCell ref="A23:B23"/>
    <mergeCell ref="C14:D14"/>
    <mergeCell ref="A30:C30"/>
    <mergeCell ref="G34:H34"/>
    <mergeCell ref="G35:H35"/>
    <mergeCell ref="G36:H36"/>
    <mergeCell ref="A35:C35"/>
    <mergeCell ref="A36:C36"/>
    <mergeCell ref="A9:B9"/>
    <mergeCell ref="A20:B20"/>
    <mergeCell ref="C20:H20"/>
    <mergeCell ref="A81:H82"/>
    <mergeCell ref="A21:B21"/>
    <mergeCell ref="A22:B22"/>
    <mergeCell ref="A28:C28"/>
    <mergeCell ref="B8:G8"/>
    <mergeCell ref="A4:H4"/>
    <mergeCell ref="C9:H9"/>
    <mergeCell ref="G28:H28"/>
    <mergeCell ref="G29:H29"/>
    <mergeCell ref="A69:C69"/>
    <mergeCell ref="A47:C47"/>
    <mergeCell ref="A48:C48"/>
    <mergeCell ref="A49:C49"/>
    <mergeCell ref="A57:C57"/>
    <mergeCell ref="A59:C59"/>
    <mergeCell ref="A60:C60"/>
    <mergeCell ref="A62:C62"/>
    <mergeCell ref="A61:H61"/>
    <mergeCell ref="A58:H58"/>
    <mergeCell ref="A50:C50"/>
    <mergeCell ref="A51:H51"/>
    <mergeCell ref="A54:H54"/>
    <mergeCell ref="A56:H56"/>
    <mergeCell ref="A65:H65"/>
    <mergeCell ref="J10:K10"/>
    <mergeCell ref="A67:H67"/>
    <mergeCell ref="A63:E63"/>
    <mergeCell ref="D30:F30"/>
    <mergeCell ref="J9:K9"/>
    <mergeCell ref="G26:H26"/>
    <mergeCell ref="G27:H27"/>
    <mergeCell ref="A26:C26"/>
    <mergeCell ref="A27:C27"/>
    <mergeCell ref="A34:C34"/>
    <mergeCell ref="G32:H32"/>
    <mergeCell ref="G33:H33"/>
    <mergeCell ref="A66:C66"/>
    <mergeCell ref="D36:F36"/>
    <mergeCell ref="D37:F37"/>
    <mergeCell ref="D38:F38"/>
    <mergeCell ref="C22:H22"/>
    <mergeCell ref="C23:H23"/>
    <mergeCell ref="E14:F14"/>
    <mergeCell ref="A17:B17"/>
    <mergeCell ref="A18:B18"/>
    <mergeCell ref="A19:B19"/>
    <mergeCell ref="A52:H52"/>
    <mergeCell ref="A53:H53"/>
    <mergeCell ref="L10:M10"/>
    <mergeCell ref="C10:H10"/>
    <mergeCell ref="J11:K11"/>
    <mergeCell ref="D26:F26"/>
    <mergeCell ref="D27:F27"/>
    <mergeCell ref="L9:M9"/>
    <mergeCell ref="G30:H30"/>
    <mergeCell ref="J6:K6"/>
    <mergeCell ref="L6:M6"/>
    <mergeCell ref="J15:K15"/>
    <mergeCell ref="L15:M15"/>
    <mergeCell ref="J18:K18"/>
    <mergeCell ref="A15:H15"/>
    <mergeCell ref="C12:F12"/>
    <mergeCell ref="A24:C25"/>
    <mergeCell ref="D24:F25"/>
    <mergeCell ref="G24:H25"/>
    <mergeCell ref="A16:H16"/>
    <mergeCell ref="C17:H17"/>
    <mergeCell ref="C18:H18"/>
    <mergeCell ref="C19:H19"/>
    <mergeCell ref="C21:H21"/>
    <mergeCell ref="L11:M11"/>
    <mergeCell ref="A11:H11"/>
    <mergeCell ref="A55:H55"/>
    <mergeCell ref="A64:G64"/>
    <mergeCell ref="D28:F28"/>
    <mergeCell ref="D29:F29"/>
    <mergeCell ref="A37:C37"/>
    <mergeCell ref="D31:F31"/>
    <mergeCell ref="D32:F32"/>
    <mergeCell ref="D33:F33"/>
    <mergeCell ref="D34:F34"/>
    <mergeCell ref="D35:F35"/>
    <mergeCell ref="A31:C31"/>
    <mergeCell ref="A32:C32"/>
    <mergeCell ref="A33:C33"/>
    <mergeCell ref="A42:H42"/>
    <mergeCell ref="A44:H44"/>
    <mergeCell ref="A39:C39"/>
    <mergeCell ref="A40:C40"/>
    <mergeCell ref="A41:C41"/>
    <mergeCell ref="D41:H41"/>
    <mergeCell ref="D39:H39"/>
    <mergeCell ref="D40:H40"/>
    <mergeCell ref="G38:H38"/>
    <mergeCell ref="A38:C38"/>
    <mergeCell ref="A29:C29"/>
  </mergeCells>
  <conditionalFormatting sqref="D26:D37">
    <cfRule type="cellIs" dxfId="0" priority="3" operator="greaterThan">
      <formula>$C$21</formula>
    </cfRule>
  </conditionalFormatting>
  <dataValidations count="1">
    <dataValidation type="list" allowBlank="1" showInputMessage="1" showErrorMessage="1" sqref="D13">
      <formula1>"Reducción,Adición,N/A"</formula1>
    </dataValidation>
  </dataValidations>
  <printOptions horizontalCentered="1" verticalCentered="1"/>
  <pageMargins left="0.19685039370078741" right="0.19685039370078741" top="0" bottom="0.19685039370078741" header="0" footer="0.31496062992125984"/>
  <pageSetup scale="84" orientation="portrait" r:id="rId1"/>
  <headerFooter>
    <oddFooter>&amp;RF1.PR2.MPM2 Versión 1,0</oddFooter>
  </headerFooter>
  <rowBreaks count="1" manualBreakCount="1">
    <brk id="46" max="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LISTAS!$W$13:$W$18</xm:f>
          </x14:formula1>
          <xm:sqref>C10:G10</xm:sqref>
        </x14:dataValidation>
        <x14:dataValidation type="list" allowBlank="1" showInputMessage="1" showErrorMessage="1">
          <x14:formula1>
            <xm:f>LISTAS!$S$19:$S$30</xm:f>
          </x14:formula1>
          <xm:sqref>C17:G17</xm:sqref>
        </x14:dataValidation>
        <x14:dataValidation type="list" allowBlank="1" showInputMessage="1" showErrorMessage="1">
          <x14:formula1>
            <xm:f>LISTAS!$C$5:$C$37</xm:f>
          </x14:formula1>
          <xm:sqref>C9:G9</xm:sqref>
        </x14:dataValidation>
        <x14:dataValidation type="custom" allowBlank="1" showDropDown="1" showInputMessage="1" showErrorMessage="1">
          <x14:formula1>
            <xm:f>IF(OR($C$10=LISTAS!$W$5,$C$10=LISTAS!$W$8),8,12)</xm:f>
          </x14:formula1>
          <xm:sqref>C18:H18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CUPOS PROGRAMADOS 2018</vt:lpstr>
      <vt:lpstr>LISTAS</vt:lpstr>
      <vt:lpstr>Certificación Operador</vt:lpstr>
      <vt:lpstr>Certificación Supervisor</vt:lpstr>
      <vt:lpstr>'Certificación Operador'!Área_de_impresión</vt:lpstr>
      <vt:lpstr>'Certificación Supervisor'!Área_de_impresión</vt:lpstr>
      <vt:lpstr>'CUPOS PROGRAMADOS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wilson.barrios</dc:creator>
  <cp:lastModifiedBy>Liliana Traslaviña de Antonio</cp:lastModifiedBy>
  <cp:lastPrinted>2018-09-04T15:35:55Z</cp:lastPrinted>
  <dcterms:created xsi:type="dcterms:W3CDTF">2012-08-24T16:14:00Z</dcterms:created>
  <dcterms:modified xsi:type="dcterms:W3CDTF">2018-09-18T16:19:13Z</dcterms:modified>
</cp:coreProperties>
</file>