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45" windowWidth="10875" windowHeight="8190"/>
  </bookViews>
  <sheets>
    <sheet name="Hoja índice" sheetId="15" r:id="rId1"/>
    <sheet name="Parametros Generales" sheetId="1" r:id="rId2"/>
    <sheet name="Salarios de Ref" sheetId="4" r:id="rId3"/>
    <sheet name="Componentes T.H." sheetId="5" r:id="rId4"/>
    <sheet name="Transporte" sheetId="10" r:id="rId5"/>
    <sheet name="Codigos" sheetId="7" r:id="rId6"/>
    <sheet name="Cot. Refrig. " sheetId="11" r:id="rId7"/>
    <sheet name="Cot. Papeleria" sheetId="12" r:id="rId8"/>
    <sheet name="Cot Int y Cel" sheetId="13" r:id="rId9"/>
    <sheet name="Cot. Chalecos" sheetId="14" r:id="rId10"/>
    <sheet name="Cost x Depart" sheetId="6" r:id="rId11"/>
    <sheet name="Res de Costos X Dept" sheetId="17" r:id="rId12"/>
    <sheet name="Res de Costos Pais" sheetId="9" r:id="rId13"/>
    <sheet name="COSTOS TOTALES AJUSTADOS" sheetId="16"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INDEX_SHEET___ASAP_Utilities">'Hoja índice'!$C$6</definedName>
    <definedName name="_xlnm._FilterDatabase" localSheetId="5" hidden="1">Codigos!$A$1:$E$1124</definedName>
    <definedName name="_xlnm._FilterDatabase" localSheetId="10" hidden="1">'Cost x Depart'!$A$1:$AQ$73</definedName>
    <definedName name="_xlnm._FilterDatabase" localSheetId="13" hidden="1">'COSTOS TOTALES AJUSTADOS'!$A$3:$P$40</definedName>
    <definedName name="¿Quiénes_están_inscritos_dentro_del_sistema__incluye_desinscr___" localSheetId="12">#REF!</definedName>
    <definedName name="¿Quiénes_están_inscritos_dentro_del_sistema__incluye_desinscr___" localSheetId="11">#REF!</definedName>
    <definedName name="¿Quiénes_están_inscritos_dentro_del_sistema__incluye_desinscr___">#REF!</definedName>
    <definedName name="ActividadRE" localSheetId="12">#REF!</definedName>
    <definedName name="ActividadRE" localSheetId="11">#REF!</definedName>
    <definedName name="ActividadRE">#REF!</definedName>
    <definedName name="ALMUERZO">'[1]Resumen Preparaciones'!$C$52:$C$113</definedName>
    <definedName name="almuerzocena">'[1]Resumen Preparaciones'!$C$52:$C$141</definedName>
    <definedName name="_xlnm.Print_Area" localSheetId="3">'Componentes T.H.'!$A$1:$V$34</definedName>
    <definedName name="_xlnm.Print_Area" localSheetId="10">'Cost x Depart'!$B$1:$AK$72</definedName>
    <definedName name="_xlnm.Print_Area" localSheetId="13">'COSTOS TOTALES AJUSTADOS'!$B$2:$N$160</definedName>
    <definedName name="_xlnm.Print_Area" localSheetId="12">'Res de Costos Pais'!$A$1:$I$129</definedName>
    <definedName name="_xlnm.Print_Area" localSheetId="11">'Res de Costos X Dept'!$A$1:$I$74</definedName>
    <definedName name="_xlnm.Print_Area" localSheetId="2">'Salarios de Ref'!$A$1:$F$119</definedName>
    <definedName name="Calidad">[2]PERSONAL!$P$58</definedName>
    <definedName name="Campamento">[2]PERSONAL!$P$122</definedName>
    <definedName name="CostoDirectoObra" localSheetId="11">#REF!</definedName>
    <definedName name="CostoDirectoObra">#REF!</definedName>
    <definedName name="CuantostieneEdSuperior" localSheetId="12">#REF!</definedName>
    <definedName name="CuantostieneEdSuperior" localSheetId="11">#REF!</definedName>
    <definedName name="CuantostieneEdSuperior">#REF!</definedName>
    <definedName name="Dedicacion" localSheetId="12">'[3]Tal Humano'!#REF!</definedName>
    <definedName name="Dedicacion" localSheetId="11">'[3]Tal Humano'!#REF!</definedName>
    <definedName name="Dedicacion">'[3]Tal Humano'!#REF!</definedName>
    <definedName name="desayuno">'[1]Resumen Preparaciones'!$C$5:$C$50</definedName>
    <definedName name="DESAYUNOS">'[1]Resumen Preparaciones'!$C$5:$C$33</definedName>
    <definedName name="DeseanCapacitacionEn" localSheetId="12">#REF!</definedName>
    <definedName name="DeseanCapacitacionEn" localSheetId="11">#REF!</definedName>
    <definedName name="DeseanCapacitacionEn">#REF!</definedName>
    <definedName name="DESINSCRITOS" localSheetId="12">#REF!</definedName>
    <definedName name="DESINSCRITOS" localSheetId="11">#REF!</definedName>
    <definedName name="DESINSCRITOS">#REF!</definedName>
    <definedName name="Dias">'Componentes T.H.'!$D$31</definedName>
    <definedName name="DISTRIBUCIONPORTIPOCONTRATO" localSheetId="12">#REF!</definedName>
    <definedName name="DISTRIBUCIONPORTIPOCONTRATO" localSheetId="11">#REF!</definedName>
    <definedName name="DISTRIBUCIONPORTIPOCONTRATO">#REF!</definedName>
    <definedName name="Ed_cons_empr_CodEntidad" localSheetId="12">#REF!</definedName>
    <definedName name="Ed_cons_empr_CodEntidad" localSheetId="11">#REF!</definedName>
    <definedName name="Ed_cons_empr_CodEntidad">#REF!</definedName>
    <definedName name="Ed_emp_codemp" localSheetId="12">#REF!</definedName>
    <definedName name="Ed_emp_codemp" localSheetId="11">#REF!</definedName>
    <definedName name="Ed_emp_codemp">#REF!</definedName>
    <definedName name="EdSuperior2" localSheetId="12">#REF!</definedName>
    <definedName name="EdSuperior2" localSheetId="11">#REF!</definedName>
    <definedName name="EdSuperior2">#REF!</definedName>
    <definedName name="EdSuperior3" localSheetId="12">#REF!</definedName>
    <definedName name="EdSuperior3" localSheetId="11">#REF!</definedName>
    <definedName name="EdSuperior3">#REF!</definedName>
    <definedName name="Empresa" localSheetId="12">#REF!</definedName>
    <definedName name="Empresa" localSheetId="11">#REF!</definedName>
    <definedName name="Empresa">#REF!</definedName>
    <definedName name="Ensayos">[2]PERSONAL!$P$100</definedName>
    <definedName name="EstadoMadCabFamilia" localSheetId="12">#REF!</definedName>
    <definedName name="EstadoMadCabFamilia" localSheetId="11">#REF!</definedName>
    <definedName name="EstadoMadCabFamilia">#REF!</definedName>
    <definedName name="Estrategia">[4]Tablas!$F$2:$F$34</definedName>
    <definedName name="Fuente">[4]Tablas!$D$2:$D$10</definedName>
    <definedName name="Funcionario" localSheetId="12">[5]frmFuncionario!#REF!</definedName>
    <definedName name="Funcionario" localSheetId="11">[5]frmFuncionario!#REF!</definedName>
    <definedName name="Funcionario">[5]frmFuncionario!#REF!</definedName>
    <definedName name="GruporUPS" localSheetId="12">#REF!</definedName>
    <definedName name="GruporUPS" localSheetId="11">#REF!</definedName>
    <definedName name="GruporUPS">#REF!</definedName>
    <definedName name="HFGHGFH3" localSheetId="12">[6]Planta_Super!#REF!</definedName>
    <definedName name="HFGHGFH3" localSheetId="11">[6]Planta_Super!#REF!</definedName>
    <definedName name="HFGHGFH3">[6]Planta_Super!#REF!</definedName>
    <definedName name="Horas" localSheetId="12">'[7]Tal Humano'!#REF!</definedName>
    <definedName name="Horas" localSheetId="11">'[7]Tal Humano'!#REF!</definedName>
    <definedName name="Horas">'[7]Tal Humano'!#REF!</definedName>
    <definedName name="hrgc" localSheetId="12">#REF!</definedName>
    <definedName name="hrgc" localSheetId="11">#REF!</definedName>
    <definedName name="hrgc">#REF!</definedName>
    <definedName name="Incre" localSheetId="12">#REF!</definedName>
    <definedName name="Incre" localSheetId="11">#REF!</definedName>
    <definedName name="Incre">#REF!</definedName>
    <definedName name="INCREMENTO" localSheetId="11">#REF!</definedName>
    <definedName name="INCREMENTO">#REF!</definedName>
    <definedName name="INCREMENTOS" localSheetId="11">#REF!</definedName>
    <definedName name="INCREMENTOS">#REF!</definedName>
    <definedName name="Indemnizacion" localSheetId="12">#REF!</definedName>
    <definedName name="Indemnizacion" localSheetId="11">#REF!</definedName>
    <definedName name="Indemnizacion">#REF!</definedName>
    <definedName name="InfLaboral" localSheetId="12">#REF!</definedName>
    <definedName name="InfLaboral" localSheetId="11">#REF!</definedName>
    <definedName name="InfLaboral">#REF!</definedName>
    <definedName name="InfLabrl" localSheetId="12">#REF!</definedName>
    <definedName name="InfLabrl" localSheetId="11">#REF!</definedName>
    <definedName name="InfLabrl">#REF!</definedName>
    <definedName name="Ins" localSheetId="12">#REF!</definedName>
    <definedName name="Ins" localSheetId="11">#REF!</definedName>
    <definedName name="Ins">#REF!</definedName>
    <definedName name="InsEnt" localSheetId="12">#REF!</definedName>
    <definedName name="InsEnt" localSheetId="11">#REF!</definedName>
    <definedName name="InsEnt">#REF!</definedName>
    <definedName name="InsFisMag" localSheetId="12">#REF!</definedName>
    <definedName name="InsFisMag" localSheetId="11">#REF!</definedName>
    <definedName name="InsFisMag">#REF!</definedName>
    <definedName name="IVASobreUtilidad">[2]IMPUESTOS!$E$16</definedName>
    <definedName name="LimitacionAuditiva" localSheetId="12">#REF!</definedName>
    <definedName name="LimitacionAuditiva" localSheetId="11">#REF!</definedName>
    <definedName name="LimitacionAuditiva">#REF!</definedName>
    <definedName name="LimitacionFisicaOMental" localSheetId="12">#REF!</definedName>
    <definedName name="LimitacionFisicaOMental" localSheetId="11">#REF!</definedName>
    <definedName name="LimitacionFisicaOMental">#REF!</definedName>
    <definedName name="LimitacionVisual" localSheetId="12">#REF!</definedName>
    <definedName name="LimitacionVisual" localSheetId="11">#REF!</definedName>
    <definedName name="LimitacionVisual">#REF!</definedName>
    <definedName name="LISTA_1" localSheetId="11">#REF!</definedName>
    <definedName name="LISTA_1">#REF!</definedName>
    <definedName name="LISTA_2" localSheetId="11">#REF!</definedName>
    <definedName name="LISTA_2">#REF!</definedName>
    <definedName name="LISTA_PROM" localSheetId="11">#REF!</definedName>
    <definedName name="LISTA_PROM">#REF!</definedName>
    <definedName name="MadreCabezaFamilia" localSheetId="12">#REF!</definedName>
    <definedName name="MadreCabezaFamilia" localSheetId="11">#REF!</definedName>
    <definedName name="MadreCabezaFamilia">#REF!</definedName>
    <definedName name="Mas_Bajo_Adminstración" localSheetId="11">'[8]Costo Total'!#REF!</definedName>
    <definedName name="Mas_Bajo_Adminstración">'[8]Costo Total'!#REF!</definedName>
    <definedName name="Mas_Bajo_Imprevistos" localSheetId="11">'[8]Costo Total'!#REF!</definedName>
    <definedName name="Mas_Bajo_Imprevistos">'[8]Costo Total'!#REF!</definedName>
    <definedName name="NivelEducacionBasica" localSheetId="12">#REF!</definedName>
    <definedName name="NivelEducacionBasica" localSheetId="11">#REF!</definedName>
    <definedName name="NivelEducacionBasica">#REF!</definedName>
    <definedName name="NIVELEDUCACIONSUP" localSheetId="12">#REF!</definedName>
    <definedName name="NIVELEDUCACIONSUP" localSheetId="11">#REF!</definedName>
    <definedName name="NIVELEDUCACIONSUP">#REF!</definedName>
    <definedName name="NivelEducacionSuperior" localSheetId="12">#REF!</definedName>
    <definedName name="NivelEducacionSuperior" localSheetId="11">#REF!</definedName>
    <definedName name="NivelEducacionSuperior">#REF!</definedName>
    <definedName name="NoFacturable">[2]PERSONAL!$P$46</definedName>
    <definedName name="NoNOInscritos" localSheetId="12">#REF!</definedName>
    <definedName name="NoNOInscritos" localSheetId="11">#REF!</definedName>
    <definedName name="NoNOInscritos">#REF!</definedName>
    <definedName name="NUMERO" localSheetId="12">[6]Planta_Super!#REF!</definedName>
    <definedName name="NUMERO" localSheetId="11">[6]Planta_Super!#REF!</definedName>
    <definedName name="NUMERO">[6]Planta_Super!#REF!</definedName>
    <definedName name="Objetivos">[4]Tablas!$E$2:$E$17</definedName>
    <definedName name="Oficina">[2]PERSONAL!$P$69</definedName>
    <definedName name="PagoRE" localSheetId="12">#REF!</definedName>
    <definedName name="PagoRE" localSheetId="11">#REF!</definedName>
    <definedName name="PagoRE">#REF!</definedName>
    <definedName name="perfil" localSheetId="3">'[1]Salarios de Ref'!$E$6:$E$93</definedName>
    <definedName name="perfil">'Salarios de Ref'!$E$6:$E$93</definedName>
    <definedName name="PERFILES" localSheetId="3">'[1]Salarios de Ref'!$B$6:$B$119</definedName>
    <definedName name="PERFILES">'Salarios de Ref'!$B$6:$B$119</definedName>
    <definedName name="pilares">[4]Tablas!$G$2:$G$6</definedName>
    <definedName name="PMCL" localSheetId="12">#REF!</definedName>
    <definedName name="PMCL" localSheetId="11">#REF!</definedName>
    <definedName name="PMCL">#REF!</definedName>
    <definedName name="Producto" localSheetId="11">#REF!</definedName>
    <definedName name="Producto">#REF!</definedName>
    <definedName name="productosdef">'[1]Precios Alimentos'!$A$5031:$A$5730</definedName>
    <definedName name="Profesional">[2]PERSONAL!$P$12</definedName>
    <definedName name="Promd_Administración" localSheetId="11">'[8]Costo Total'!#REF!</definedName>
    <definedName name="Promd_Administración">'[8]Costo Total'!#REF!</definedName>
    <definedName name="Promd_Adnimistración" localSheetId="11">'[8]Costo Total'!#REF!</definedName>
    <definedName name="Promd_Adnimistración">'[8]Costo Total'!#REF!</definedName>
    <definedName name="Promd_Imprevistos" localSheetId="11">'[8]Costo Total'!#REF!</definedName>
    <definedName name="Promd_Imprevistos">'[8]Costo Total'!#REF!</definedName>
    <definedName name="Promd_Utilidad" localSheetId="11">'[8]Costo Total'!#REF!</definedName>
    <definedName name="Promd_Utilidad">'[8]Costo Total'!#REF!</definedName>
    <definedName name="promedios" localSheetId="11">'[9]Proyección valor Lacteo MADR'!#REF!</definedName>
    <definedName name="promedios">'[9]Proyección valor Lacteo MADR'!#REF!</definedName>
    <definedName name="Proporcionalidad" localSheetId="12">'[3]Tal Humano'!#REF!</definedName>
    <definedName name="Proporcionalidad" localSheetId="11">'[3]Tal Humano'!#REF!</definedName>
    <definedName name="Proporcionalidad">'[3]Tal Humano'!#REF!</definedName>
    <definedName name="ProximoPension" localSheetId="12">#REF!</definedName>
    <definedName name="ProximoPension" localSheetId="11">#REF!</definedName>
    <definedName name="ProximoPension">#REF!</definedName>
    <definedName name="RECapacitacion" localSheetId="12">#REF!</definedName>
    <definedName name="RECapacitacion" localSheetId="11">#REF!</definedName>
    <definedName name="RECapacitacion">#REF!</definedName>
    <definedName name="REContPrivada" localSheetId="12">#REF!</definedName>
    <definedName name="REContPrivada" localSheetId="11">#REF!</definedName>
    <definedName name="REContPrivada">#REF!</definedName>
    <definedName name="salariosref">'[8]Salarios de Referencia'!$B$7:$B$120</definedName>
    <definedName name="SalarioSuperora3SMLVMyProfesionalidad" localSheetId="12">#REF!</definedName>
    <definedName name="SalarioSuperora3SMLVMyProfesionalidad" localSheetId="11">#REF!</definedName>
    <definedName name="SalarioSuperora3SMLVMyProfesionalidad">#REF!</definedName>
    <definedName name="Seguimiento" localSheetId="12">#REF!</definedName>
    <definedName name="Seguimiento" localSheetId="11">#REF!</definedName>
    <definedName name="Seguimiento">#REF!</definedName>
    <definedName name="Sexo" localSheetId="12">#REF!</definedName>
    <definedName name="Sexo" localSheetId="11">#REF!</definedName>
    <definedName name="Sexo">#REF!</definedName>
    <definedName name="solver_adj" localSheetId="10" hidden="1">'Cost x Depart'!#REF!</definedName>
    <definedName name="solver_cvg" localSheetId="10" hidden="1">0.0001</definedName>
    <definedName name="solver_drv" localSheetId="10" hidden="1">1</definedName>
    <definedName name="solver_est" localSheetId="10" hidden="1">1</definedName>
    <definedName name="solver_itr" localSheetId="10" hidden="1">100</definedName>
    <definedName name="solver_lhs1" localSheetId="10" hidden="1">'Cost x Depart'!#REF!</definedName>
    <definedName name="solver_lhs2" localSheetId="10" hidden="1">'Cost x Depart'!#REF!</definedName>
    <definedName name="solver_lin" localSheetId="10" hidden="1">2</definedName>
    <definedName name="solver_neg" localSheetId="10" hidden="1">2</definedName>
    <definedName name="solver_num" localSheetId="10" hidden="1">2</definedName>
    <definedName name="solver_nwt" localSheetId="10" hidden="1">1</definedName>
    <definedName name="solver_opt" localSheetId="10" hidden="1">'Cost x Depart'!#REF!</definedName>
    <definedName name="solver_pre" localSheetId="10" hidden="1">0.000001</definedName>
    <definedName name="solver_rel1" localSheetId="10" hidden="1">2</definedName>
    <definedName name="solver_rel2" localSheetId="10" hidden="1">3</definedName>
    <definedName name="solver_rhs1" localSheetId="10" hidden="1">0</definedName>
    <definedName name="solver_rhs2" localSheetId="10" hidden="1">0</definedName>
    <definedName name="solver_scl" localSheetId="10" hidden="1">2</definedName>
    <definedName name="solver_sho" localSheetId="10" hidden="1">2</definedName>
    <definedName name="solver_tim" localSheetId="10" hidden="1">100</definedName>
    <definedName name="solver_tol" localSheetId="10" hidden="1">0.05</definedName>
    <definedName name="solver_typ" localSheetId="10" hidden="1">1</definedName>
    <definedName name="solver_val" localSheetId="10" hidden="1">0</definedName>
    <definedName name="Sueldos" localSheetId="12">#REF!</definedName>
    <definedName name="Sueldos" localSheetId="11">#REF!</definedName>
    <definedName name="Sueldos">#REF!</definedName>
    <definedName name="Tecnico">[2]PERSONAL!$P$34</definedName>
    <definedName name="Telefono" localSheetId="12">#REF!</definedName>
    <definedName name="Telefono" localSheetId="11">#REF!</definedName>
    <definedName name="Telefono">#REF!</definedName>
    <definedName name="TIPOCONT" localSheetId="12">#REF!</definedName>
    <definedName name="TIPOCONT" localSheetId="11">#REF!</definedName>
    <definedName name="TIPOCONT">#REF!</definedName>
    <definedName name="tipodeanalisis">'[1]Analisis microbiologico'!$A$110:$A$182</definedName>
    <definedName name="TipoEmpresa" localSheetId="12">#REF!</definedName>
    <definedName name="TipoEmpresa" localSheetId="11">#REF!</definedName>
    <definedName name="TipoEmpresa">#REF!</definedName>
    <definedName name="TotalContratoSinIVA" localSheetId="11">#REF!</definedName>
    <definedName name="TotalContratoSinIVA">#REF!</definedName>
    <definedName name="TotalImpuestosObra">[2]IMPUESTOS!$F$10</definedName>
    <definedName name="Tramite">[2]PERSONAL!$P$88</definedName>
    <definedName name="Viajes">[2]PERSONAL!$P$93</definedName>
    <definedName name="Z_2451D215_DDAC_41B2_ADEE_30913FFD735E_.wvu.FilterData" localSheetId="10" hidden="1">'Cost x Depart'!$B$1:$G$72</definedName>
    <definedName name="zzz">[10]Listas!$B$2:$B$34</definedName>
  </definedNames>
  <calcPr calcId="145621"/>
</workbook>
</file>

<file path=xl/calcChain.xml><?xml version="1.0" encoding="utf-8"?>
<calcChain xmlns="http://schemas.openxmlformats.org/spreadsheetml/2006/main">
  <c r="G53" i="17" l="1"/>
  <c r="G120" i="9"/>
  <c r="G57" i="17" s="1"/>
  <c r="G119" i="9"/>
  <c r="G56" i="17" s="1"/>
  <c r="G118" i="9"/>
  <c r="G55" i="17" s="1"/>
  <c r="G117" i="9"/>
  <c r="G54" i="17" s="1"/>
  <c r="K117" i="9"/>
  <c r="J116" i="9"/>
  <c r="K116" i="9"/>
  <c r="J117" i="9"/>
  <c r="J118" i="9"/>
  <c r="J119" i="9"/>
  <c r="J120" i="9"/>
  <c r="K120" i="9" s="1"/>
  <c r="K119" i="9" l="1"/>
  <c r="K118" i="9"/>
  <c r="J9" i="1"/>
  <c r="C12" i="1" l="1"/>
  <c r="TE57" i="17" l="1"/>
  <c r="TD57" i="17"/>
  <c r="TB57" i="17"/>
  <c r="TE56" i="17"/>
  <c r="TD56" i="17"/>
  <c r="TB56" i="17"/>
  <c r="TE55" i="17"/>
  <c r="TD55" i="17"/>
  <c r="TB55" i="17"/>
  <c r="TE54" i="17"/>
  <c r="TD54" i="17"/>
  <c r="TB54" i="17"/>
  <c r="TE53" i="17"/>
  <c r="TD53" i="17"/>
  <c r="TB53" i="17"/>
  <c r="SC57" i="17"/>
  <c r="SB57" i="17"/>
  <c r="RZ57" i="17"/>
  <c r="SC56" i="17"/>
  <c r="SB56" i="17"/>
  <c r="RZ56" i="17"/>
  <c r="SC55" i="17"/>
  <c r="SB55" i="17"/>
  <c r="RZ55" i="17"/>
  <c r="SC54" i="17"/>
  <c r="SB54" i="17"/>
  <c r="RZ54" i="17"/>
  <c r="SC53" i="17"/>
  <c r="SB53" i="17"/>
  <c r="RZ53" i="17"/>
  <c r="RO57" i="17"/>
  <c r="RN57" i="17"/>
  <c r="RL57" i="17"/>
  <c r="RO56" i="17"/>
  <c r="RN56" i="17"/>
  <c r="RL56" i="17"/>
  <c r="RO55" i="17"/>
  <c r="RN55" i="17"/>
  <c r="RL55" i="17"/>
  <c r="RO54" i="17"/>
  <c r="RN54" i="17"/>
  <c r="RL54" i="17"/>
  <c r="RO53" i="17"/>
  <c r="RN53" i="17"/>
  <c r="RL53" i="17"/>
  <c r="RA57" i="17"/>
  <c r="QZ57" i="17"/>
  <c r="QX57" i="17"/>
  <c r="RA56" i="17"/>
  <c r="QZ56" i="17"/>
  <c r="QX56" i="17"/>
  <c r="RA55" i="17"/>
  <c r="QZ55" i="17"/>
  <c r="QX55" i="17"/>
  <c r="RA54" i="17"/>
  <c r="QZ54" i="17"/>
  <c r="QX54" i="17"/>
  <c r="RA53" i="17"/>
  <c r="QZ53" i="17"/>
  <c r="QX53" i="17"/>
  <c r="OW57" i="17"/>
  <c r="OV57" i="17"/>
  <c r="OT57" i="17"/>
  <c r="OW56" i="17"/>
  <c r="OV56" i="17"/>
  <c r="OT56" i="17"/>
  <c r="OW55" i="17"/>
  <c r="OV55" i="17"/>
  <c r="OT55" i="17"/>
  <c r="OW54" i="17"/>
  <c r="OV54" i="17"/>
  <c r="OT54" i="17"/>
  <c r="OW53" i="17"/>
  <c r="OV53" i="17"/>
  <c r="OT53" i="17"/>
  <c r="OI57" i="17"/>
  <c r="OH57" i="17"/>
  <c r="OF57" i="17"/>
  <c r="OI56" i="17"/>
  <c r="OH56" i="17"/>
  <c r="OF56" i="17"/>
  <c r="OI55" i="17"/>
  <c r="OH55" i="17"/>
  <c r="OF55" i="17"/>
  <c r="OI54" i="17"/>
  <c r="OH54" i="17"/>
  <c r="OF54" i="17"/>
  <c r="OI53" i="17"/>
  <c r="OH53" i="17"/>
  <c r="OF53" i="17"/>
  <c r="NU57" i="17"/>
  <c r="NT57" i="17"/>
  <c r="NR57" i="17"/>
  <c r="NU56" i="17"/>
  <c r="NT56" i="17"/>
  <c r="NR56" i="17"/>
  <c r="NU55" i="17"/>
  <c r="NT55" i="17"/>
  <c r="NR55" i="17"/>
  <c r="NU54" i="17"/>
  <c r="NT54" i="17"/>
  <c r="NR54" i="17"/>
  <c r="NU53" i="17"/>
  <c r="NT53" i="17"/>
  <c r="NR53" i="17"/>
  <c r="NG57" i="17"/>
  <c r="NF57" i="17"/>
  <c r="ND57" i="17"/>
  <c r="NG56" i="17"/>
  <c r="NF56" i="17"/>
  <c r="ND56" i="17"/>
  <c r="NG55" i="17"/>
  <c r="NF55" i="17"/>
  <c r="ND55" i="17"/>
  <c r="NG54" i="17"/>
  <c r="NF54" i="17"/>
  <c r="ND54" i="17"/>
  <c r="NG53" i="17"/>
  <c r="NF53" i="17"/>
  <c r="ND53" i="17"/>
  <c r="MS57" i="17"/>
  <c r="MR57" i="17"/>
  <c r="MP57" i="17"/>
  <c r="MS56" i="17"/>
  <c r="MR56" i="17"/>
  <c r="MP56" i="17"/>
  <c r="MS55" i="17"/>
  <c r="MR55" i="17"/>
  <c r="MP55" i="17"/>
  <c r="MS54" i="17"/>
  <c r="MR54" i="17"/>
  <c r="MP54" i="17"/>
  <c r="MS53" i="17"/>
  <c r="MR53" i="17"/>
  <c r="MP53" i="17"/>
  <c r="ME57" i="17"/>
  <c r="MD57" i="17"/>
  <c r="MB57" i="17"/>
  <c r="ME56" i="17"/>
  <c r="MD56" i="17"/>
  <c r="MB56" i="17"/>
  <c r="ME55" i="17"/>
  <c r="MD55" i="17"/>
  <c r="MB55" i="17"/>
  <c r="ME54" i="17"/>
  <c r="MD54" i="17"/>
  <c r="MB54" i="17"/>
  <c r="ME53" i="17"/>
  <c r="MD53" i="17"/>
  <c r="MB53" i="17"/>
  <c r="KA57" i="17"/>
  <c r="JZ57" i="17"/>
  <c r="JX57" i="17"/>
  <c r="KA56" i="17"/>
  <c r="JZ56" i="17"/>
  <c r="JX56" i="17"/>
  <c r="KA55" i="17"/>
  <c r="JZ55" i="17"/>
  <c r="JX55" i="17"/>
  <c r="KA54" i="17"/>
  <c r="JZ54" i="17"/>
  <c r="JX54" i="17"/>
  <c r="KA53" i="17"/>
  <c r="JZ53" i="17"/>
  <c r="JX53" i="17"/>
  <c r="JM57" i="17"/>
  <c r="JL57" i="17"/>
  <c r="JJ57" i="17"/>
  <c r="JM56" i="17"/>
  <c r="JL56" i="17"/>
  <c r="JJ56" i="17"/>
  <c r="JM55" i="17"/>
  <c r="JL55" i="17"/>
  <c r="JJ55" i="17"/>
  <c r="JM54" i="17"/>
  <c r="JL54" i="17"/>
  <c r="JJ54" i="17"/>
  <c r="JM53" i="17"/>
  <c r="JL53" i="17"/>
  <c r="JJ53" i="17"/>
  <c r="HW57" i="17"/>
  <c r="HV57" i="17"/>
  <c r="HT57" i="17"/>
  <c r="HW56" i="17"/>
  <c r="HV56" i="17"/>
  <c r="HT56" i="17"/>
  <c r="HW55" i="17"/>
  <c r="HV55" i="17"/>
  <c r="HT55" i="17"/>
  <c r="HW54" i="17"/>
  <c r="HV54" i="17"/>
  <c r="HT54" i="17"/>
  <c r="HW53" i="17"/>
  <c r="HV53" i="17"/>
  <c r="HT53" i="17"/>
  <c r="HI57" i="17"/>
  <c r="HH57" i="17"/>
  <c r="HF57" i="17"/>
  <c r="HI56" i="17"/>
  <c r="HH56" i="17"/>
  <c r="HF56" i="17"/>
  <c r="HI55" i="17"/>
  <c r="HH55" i="17"/>
  <c r="HF55" i="17"/>
  <c r="HI54" i="17"/>
  <c r="HH54" i="17"/>
  <c r="HF54" i="17"/>
  <c r="HI53" i="17"/>
  <c r="HH53" i="17"/>
  <c r="HF53" i="17"/>
  <c r="GG57" i="17"/>
  <c r="GF57" i="17"/>
  <c r="GD57" i="17"/>
  <c r="GG56" i="17"/>
  <c r="GF56" i="17"/>
  <c r="GD56" i="17"/>
  <c r="GG55" i="17"/>
  <c r="GF55" i="17"/>
  <c r="GD55" i="17"/>
  <c r="GG54" i="17"/>
  <c r="GF54" i="17"/>
  <c r="GD54" i="17"/>
  <c r="GG53" i="17"/>
  <c r="GF53" i="17"/>
  <c r="GD53" i="17"/>
  <c r="FS57" i="17"/>
  <c r="FR57" i="17"/>
  <c r="FP57" i="17"/>
  <c r="FS56" i="17"/>
  <c r="FR56" i="17"/>
  <c r="FP56" i="17"/>
  <c r="FS55" i="17"/>
  <c r="FR55" i="17"/>
  <c r="FP55" i="17"/>
  <c r="FS54" i="17"/>
  <c r="FR54" i="17"/>
  <c r="FP54" i="17"/>
  <c r="FS53" i="17"/>
  <c r="FR53" i="17"/>
  <c r="FP53" i="17"/>
  <c r="EQ57" i="17"/>
  <c r="EP57" i="17"/>
  <c r="EN57" i="17"/>
  <c r="EQ56" i="17"/>
  <c r="EP56" i="17"/>
  <c r="EN56" i="17"/>
  <c r="EQ55" i="17"/>
  <c r="EP55" i="17"/>
  <c r="EN55" i="17"/>
  <c r="EQ54" i="17"/>
  <c r="EP54" i="17"/>
  <c r="EN54" i="17"/>
  <c r="EQ53" i="17"/>
  <c r="EP53" i="17"/>
  <c r="EN53" i="17"/>
  <c r="EC57" i="17"/>
  <c r="EB57" i="17"/>
  <c r="DZ57" i="17"/>
  <c r="EC56" i="17"/>
  <c r="EB56" i="17"/>
  <c r="DZ56" i="17"/>
  <c r="EC55" i="17"/>
  <c r="EB55" i="17"/>
  <c r="DZ55" i="17"/>
  <c r="EC54" i="17"/>
  <c r="EB54" i="17"/>
  <c r="DZ54" i="17"/>
  <c r="EC53" i="17"/>
  <c r="EB53" i="17"/>
  <c r="DZ53" i="17"/>
  <c r="DO57" i="17"/>
  <c r="DN57" i="17"/>
  <c r="DL57" i="17"/>
  <c r="DO56" i="17"/>
  <c r="DN56" i="17"/>
  <c r="DL56" i="17"/>
  <c r="DO55" i="17"/>
  <c r="DN55" i="17"/>
  <c r="DL55" i="17"/>
  <c r="DO54" i="17"/>
  <c r="DN54" i="17"/>
  <c r="DL54" i="17"/>
  <c r="DO53" i="17"/>
  <c r="DN53" i="17"/>
  <c r="DL53" i="17"/>
  <c r="DA57" i="17"/>
  <c r="CZ57" i="17"/>
  <c r="CX57" i="17"/>
  <c r="DA56" i="17"/>
  <c r="CZ56" i="17"/>
  <c r="CX56" i="17"/>
  <c r="DA55" i="17"/>
  <c r="CZ55" i="17"/>
  <c r="CX55" i="17"/>
  <c r="DA54" i="17"/>
  <c r="CZ54" i="17"/>
  <c r="CX54" i="17"/>
  <c r="DA53" i="17"/>
  <c r="CZ53" i="17"/>
  <c r="CX53" i="17"/>
  <c r="CM57" i="17"/>
  <c r="CL57" i="17"/>
  <c r="CJ57" i="17"/>
  <c r="CM56" i="17"/>
  <c r="CL56" i="17"/>
  <c r="CJ56" i="17"/>
  <c r="CM55" i="17"/>
  <c r="CL55" i="17"/>
  <c r="CJ55" i="17"/>
  <c r="CM54" i="17"/>
  <c r="CL54" i="17"/>
  <c r="CJ54" i="17"/>
  <c r="CM53" i="17"/>
  <c r="CL53" i="17"/>
  <c r="CJ53" i="17"/>
  <c r="BK57" i="17"/>
  <c r="BJ57" i="17"/>
  <c r="BH57" i="17"/>
  <c r="BK56" i="17"/>
  <c r="BJ56" i="17"/>
  <c r="BH56" i="17"/>
  <c r="BK55" i="17"/>
  <c r="BJ55" i="17"/>
  <c r="BH55" i="17"/>
  <c r="BK54" i="17"/>
  <c r="BJ54" i="17"/>
  <c r="BH54" i="17"/>
  <c r="BK53" i="17"/>
  <c r="BJ53" i="17"/>
  <c r="BH53" i="17"/>
  <c r="F57" i="17"/>
  <c r="F56" i="17"/>
  <c r="F55" i="17"/>
  <c r="F54" i="17"/>
  <c r="F53" i="17"/>
  <c r="D57" i="17"/>
  <c r="D56" i="17"/>
  <c r="D55" i="17"/>
  <c r="D54" i="17"/>
  <c r="D53" i="17"/>
  <c r="M41" i="6" l="1"/>
  <c r="R41" i="6" s="1"/>
  <c r="M71" i="6"/>
  <c r="R71" i="6" s="1"/>
  <c r="M61" i="6"/>
  <c r="R61" i="6" s="1"/>
  <c r="M59" i="6"/>
  <c r="R59" i="6" s="1"/>
  <c r="M45" i="6"/>
  <c r="R45" i="6" s="1"/>
  <c r="M43" i="6"/>
  <c r="R43" i="6" s="1"/>
  <c r="M35" i="6"/>
  <c r="R35" i="6" s="1"/>
  <c r="M29" i="6"/>
  <c r="R29" i="6" s="1"/>
  <c r="M23" i="6"/>
  <c r="R23" i="6" s="1"/>
  <c r="M11" i="6"/>
  <c r="R11" i="6" s="1"/>
  <c r="M7" i="6"/>
  <c r="R7" i="6" s="1"/>
  <c r="M5" i="6"/>
  <c r="R5" i="6" s="1"/>
  <c r="ES71" i="17" l="1"/>
  <c r="ES69" i="17"/>
  <c r="ES63" i="17"/>
  <c r="ES57" i="17"/>
  <c r="ES56" i="17"/>
  <c r="ES55" i="17"/>
  <c r="ES54" i="17"/>
  <c r="ES53" i="17"/>
  <c r="ES59" i="17" s="1"/>
  <c r="ES47" i="17"/>
  <c r="ES46" i="17"/>
  <c r="ES48" i="17" s="1"/>
  <c r="ES41" i="17"/>
  <c r="ES40" i="17"/>
  <c r="ES34" i="17"/>
  <c r="ES33" i="17"/>
  <c r="ES32" i="17"/>
  <c r="ES31" i="17"/>
  <c r="ES30" i="17"/>
  <c r="ES35" i="17" s="1"/>
  <c r="ES26" i="17"/>
  <c r="ES25" i="17"/>
  <c r="ES24" i="17"/>
  <c r="ES20" i="17"/>
  <c r="IU101" i="17" l="1"/>
  <c r="AR13" i="17" l="1"/>
  <c r="AJ59" i="17"/>
  <c r="AI59" i="17"/>
  <c r="MU67" i="17"/>
  <c r="HY69" i="17"/>
  <c r="HY68" i="17"/>
  <c r="HY63" i="17"/>
  <c r="HY57" i="17"/>
  <c r="HY56" i="17"/>
  <c r="HY55" i="17"/>
  <c r="HY54" i="17"/>
  <c r="HY53" i="17"/>
  <c r="HY59" i="17" s="1"/>
  <c r="HY47" i="17"/>
  <c r="HY46" i="17"/>
  <c r="HY40" i="17"/>
  <c r="HY41" i="17" s="1"/>
  <c r="HY34" i="17"/>
  <c r="HY33" i="17"/>
  <c r="HY32" i="17"/>
  <c r="HY31" i="17"/>
  <c r="HY30" i="17"/>
  <c r="HY25" i="17"/>
  <c r="HY24" i="17"/>
  <c r="TA75" i="17"/>
  <c r="SZ75" i="17"/>
  <c r="AR75" i="17"/>
  <c r="HY48" i="17" l="1"/>
  <c r="HY35" i="17"/>
  <c r="HY26" i="17"/>
  <c r="G72" i="6"/>
  <c r="C126" i="10" l="1"/>
  <c r="D126" i="10"/>
  <c r="C127" i="10"/>
  <c r="D127" i="10"/>
  <c r="C128" i="10"/>
  <c r="D128" i="10"/>
  <c r="C129" i="10"/>
  <c r="D129" i="10"/>
  <c r="C130" i="10"/>
  <c r="D130" i="10"/>
  <c r="C131" i="10"/>
  <c r="D131" i="10"/>
  <c r="C132" i="10"/>
  <c r="D132" i="10"/>
  <c r="C133" i="10"/>
  <c r="D133" i="10"/>
  <c r="C134" i="10"/>
  <c r="D134" i="10"/>
  <c r="C135" i="10"/>
  <c r="D135" i="10"/>
  <c r="C136" i="10"/>
  <c r="D136" i="10"/>
  <c r="C137" i="10"/>
  <c r="D137" i="10"/>
  <c r="C138" i="10"/>
  <c r="D138" i="10"/>
  <c r="C139" i="10"/>
  <c r="D139" i="10"/>
  <c r="C140" i="10"/>
  <c r="D140" i="10"/>
  <c r="C141" i="10"/>
  <c r="D141" i="10"/>
  <c r="C142" i="10"/>
  <c r="D142" i="10"/>
  <c r="C143" i="10"/>
  <c r="D143" i="10"/>
  <c r="C144" i="10"/>
  <c r="D144" i="10"/>
  <c r="C145" i="10"/>
  <c r="D145" i="10"/>
  <c r="C146" i="10"/>
  <c r="D146" i="10"/>
  <c r="C147" i="10"/>
  <c r="D147" i="10"/>
  <c r="C148" i="10"/>
  <c r="D148" i="10"/>
  <c r="C149" i="10"/>
  <c r="D149" i="10"/>
  <c r="C150" i="10"/>
  <c r="D150" i="10"/>
  <c r="C151" i="10"/>
  <c r="D151" i="10"/>
  <c r="C152" i="10"/>
  <c r="D152" i="10"/>
  <c r="C153" i="10"/>
  <c r="D153" i="10"/>
  <c r="C154" i="10"/>
  <c r="D154" i="10"/>
  <c r="C155" i="10"/>
  <c r="D155" i="10"/>
  <c r="C156" i="10"/>
  <c r="D156" i="10"/>
  <c r="C157" i="10"/>
  <c r="D157" i="10"/>
  <c r="C125" i="10"/>
  <c r="D125" i="10"/>
  <c r="F4" i="6" l="1"/>
  <c r="H4" i="6"/>
  <c r="AC4" i="6" l="1"/>
  <c r="H48" i="6" l="1"/>
  <c r="F48" i="6"/>
  <c r="C7" i="1"/>
  <c r="MT66" i="17" l="1"/>
  <c r="AC48" i="6"/>
  <c r="F70" i="6"/>
  <c r="F68" i="6"/>
  <c r="F66" i="6"/>
  <c r="F64" i="6"/>
  <c r="F62" i="6"/>
  <c r="F60" i="6"/>
  <c r="F58" i="6"/>
  <c r="F56" i="6"/>
  <c r="F54" i="6"/>
  <c r="F52" i="6"/>
  <c r="F50" i="6"/>
  <c r="F46" i="6"/>
  <c r="F44" i="6"/>
  <c r="F42" i="6"/>
  <c r="F40" i="6"/>
  <c r="F38" i="6"/>
  <c r="F36" i="6"/>
  <c r="F32" i="6"/>
  <c r="F30" i="6"/>
  <c r="F28" i="6"/>
  <c r="F26" i="6"/>
  <c r="F24" i="6"/>
  <c r="F22" i="6"/>
  <c r="F20" i="6"/>
  <c r="F18" i="6"/>
  <c r="F16" i="6"/>
  <c r="F14" i="6"/>
  <c r="F12" i="6"/>
  <c r="F10" i="6" l="1"/>
  <c r="F8" i="6"/>
  <c r="F6" i="6"/>
  <c r="F2" i="6"/>
  <c r="JP57" i="17" l="1"/>
  <c r="JP56" i="17"/>
  <c r="JP55" i="17"/>
  <c r="JP54" i="17"/>
  <c r="JP53" i="17"/>
  <c r="JQ53" i="17" s="1"/>
  <c r="JM47" i="17"/>
  <c r="JM40" i="17"/>
  <c r="JK20" i="17"/>
  <c r="JK19" i="17"/>
  <c r="JK18" i="17"/>
  <c r="JK17" i="17"/>
  <c r="JK16" i="17"/>
  <c r="JK11" i="17"/>
  <c r="ST57" i="17"/>
  <c r="ST56" i="17"/>
  <c r="ST55" i="17"/>
  <c r="ST54" i="17"/>
  <c r="ST53" i="17"/>
  <c r="SU53" i="17" s="1"/>
  <c r="SQ47" i="17"/>
  <c r="SQ40" i="17"/>
  <c r="SO20" i="17"/>
  <c r="SO19" i="17"/>
  <c r="SO18" i="17"/>
  <c r="SO17" i="17"/>
  <c r="SO16" i="17"/>
  <c r="SO11" i="17"/>
  <c r="SF57" i="17"/>
  <c r="RR57" i="17"/>
  <c r="RD57" i="17"/>
  <c r="QP57" i="17"/>
  <c r="QB57" i="17"/>
  <c r="PN57" i="17"/>
  <c r="OZ57" i="17"/>
  <c r="OL57" i="17"/>
  <c r="NX57" i="17"/>
  <c r="NJ57" i="17"/>
  <c r="MV57" i="17"/>
  <c r="MH57" i="17"/>
  <c r="LT57" i="17"/>
  <c r="LF57" i="17"/>
  <c r="KR57" i="17"/>
  <c r="KD57" i="17"/>
  <c r="HZ57" i="17"/>
  <c r="HL57" i="17"/>
  <c r="GX57" i="17"/>
  <c r="GJ57" i="17"/>
  <c r="FV57" i="17"/>
  <c r="FH57" i="17"/>
  <c r="ET57" i="17"/>
  <c r="EF57" i="17"/>
  <c r="DR57" i="17"/>
  <c r="DD57" i="17"/>
  <c r="CP57" i="17"/>
  <c r="CB57" i="17"/>
  <c r="SF56" i="17"/>
  <c r="RR56" i="17"/>
  <c r="RD56" i="17"/>
  <c r="QP56" i="17"/>
  <c r="QB56" i="17"/>
  <c r="PN56" i="17"/>
  <c r="OZ56" i="17"/>
  <c r="OL56" i="17"/>
  <c r="NX56" i="17"/>
  <c r="NJ56" i="17"/>
  <c r="MV56" i="17"/>
  <c r="MH56" i="17"/>
  <c r="LT56" i="17"/>
  <c r="LF56" i="17"/>
  <c r="KR56" i="17"/>
  <c r="KD56" i="17"/>
  <c r="HZ56" i="17"/>
  <c r="HL56" i="17"/>
  <c r="GX56" i="17"/>
  <c r="GJ56" i="17"/>
  <c r="FV56" i="17"/>
  <c r="FH56" i="17"/>
  <c r="ET56" i="17"/>
  <c r="EF56" i="17"/>
  <c r="DR56" i="17"/>
  <c r="DD56" i="17"/>
  <c r="CP56" i="17"/>
  <c r="CB56" i="17"/>
  <c r="SF55" i="17"/>
  <c r="RR55" i="17"/>
  <c r="RD55" i="17"/>
  <c r="QP55" i="17"/>
  <c r="QB55" i="17"/>
  <c r="PN55" i="17"/>
  <c r="OZ55" i="17"/>
  <c r="OL55" i="17"/>
  <c r="NX55" i="17"/>
  <c r="NJ55" i="17"/>
  <c r="MV55" i="17"/>
  <c r="MH55" i="17"/>
  <c r="LT55" i="17"/>
  <c r="LF55" i="17"/>
  <c r="KR55" i="17"/>
  <c r="KD55" i="17"/>
  <c r="HZ55" i="17"/>
  <c r="HL55" i="17"/>
  <c r="GX55" i="17"/>
  <c r="GJ55" i="17"/>
  <c r="FV55" i="17"/>
  <c r="FH55" i="17"/>
  <c r="ET55" i="17"/>
  <c r="EF55" i="17"/>
  <c r="DR55" i="17"/>
  <c r="DD55" i="17"/>
  <c r="CP55" i="17"/>
  <c r="CB55" i="17"/>
  <c r="SF54" i="17"/>
  <c r="RR54" i="17"/>
  <c r="RD54" i="17"/>
  <c r="QP54" i="17"/>
  <c r="QB54" i="17"/>
  <c r="PN54" i="17"/>
  <c r="OZ54" i="17"/>
  <c r="OL54" i="17"/>
  <c r="NX54" i="17"/>
  <c r="NJ54" i="17"/>
  <c r="MV54" i="17"/>
  <c r="MH54" i="17"/>
  <c r="LT54" i="17"/>
  <c r="LF54" i="17"/>
  <c r="KR54" i="17"/>
  <c r="KD54" i="17"/>
  <c r="HZ54" i="17"/>
  <c r="HL54" i="17"/>
  <c r="GX54" i="17"/>
  <c r="GJ54" i="17"/>
  <c r="FV54" i="17"/>
  <c r="FH54" i="17"/>
  <c r="ET54" i="17"/>
  <c r="EF54" i="17"/>
  <c r="DR54" i="17"/>
  <c r="DD54" i="17"/>
  <c r="CP54" i="17"/>
  <c r="CB54" i="17"/>
  <c r="SF53" i="17"/>
  <c r="SG53" i="17" s="1"/>
  <c r="RR53" i="17"/>
  <c r="RS53" i="17" s="1"/>
  <c r="RD53" i="17"/>
  <c r="RE53" i="17" s="1"/>
  <c r="QP53" i="17"/>
  <c r="QQ53" i="17" s="1"/>
  <c r="QB53" i="17"/>
  <c r="QC53" i="17" s="1"/>
  <c r="PN53" i="17"/>
  <c r="PO53" i="17" s="1"/>
  <c r="OZ53" i="17"/>
  <c r="PA53" i="17" s="1"/>
  <c r="OL53" i="17"/>
  <c r="OM53" i="17" s="1"/>
  <c r="NX53" i="17"/>
  <c r="NY53" i="17" s="1"/>
  <c r="NJ53" i="17"/>
  <c r="NK53" i="17" s="1"/>
  <c r="MV53" i="17"/>
  <c r="MW53" i="17" s="1"/>
  <c r="MH53" i="17"/>
  <c r="MI53" i="17" s="1"/>
  <c r="LT53" i="17"/>
  <c r="LU53" i="17" s="1"/>
  <c r="LF53" i="17"/>
  <c r="LG53" i="17" s="1"/>
  <c r="KR53" i="17"/>
  <c r="KS53" i="17" s="1"/>
  <c r="KD53" i="17"/>
  <c r="KE53" i="17" s="1"/>
  <c r="HZ53" i="17"/>
  <c r="IA53" i="17" s="1"/>
  <c r="HL53" i="17"/>
  <c r="HM53" i="17" s="1"/>
  <c r="GX53" i="17"/>
  <c r="GY53" i="17" s="1"/>
  <c r="GJ53" i="17"/>
  <c r="GK53" i="17" s="1"/>
  <c r="FV53" i="17"/>
  <c r="FW53" i="17" s="1"/>
  <c r="FH53" i="17"/>
  <c r="FI53" i="17" s="1"/>
  <c r="ET53" i="17"/>
  <c r="EU53" i="17" s="1"/>
  <c r="EF53" i="17"/>
  <c r="EG53" i="17" s="1"/>
  <c r="DR53" i="17"/>
  <c r="DS53" i="17" s="1"/>
  <c r="DD53" i="17"/>
  <c r="DE53" i="17" s="1"/>
  <c r="CP53" i="17"/>
  <c r="CQ53" i="17" s="1"/>
  <c r="CB53" i="17"/>
  <c r="CC53" i="17" s="1"/>
  <c r="SC47" i="17"/>
  <c r="RO47" i="17"/>
  <c r="RA47" i="17"/>
  <c r="QM47" i="17"/>
  <c r="PY47" i="17"/>
  <c r="PK47" i="17"/>
  <c r="OW47" i="17"/>
  <c r="OI47" i="17"/>
  <c r="NU47" i="17"/>
  <c r="NG47" i="17"/>
  <c r="MS47" i="17"/>
  <c r="ME47" i="17"/>
  <c r="LQ47" i="17"/>
  <c r="LC47" i="17"/>
  <c r="KO47" i="17"/>
  <c r="KA47" i="17"/>
  <c r="HW47" i="17"/>
  <c r="HI47" i="17"/>
  <c r="GU47" i="17"/>
  <c r="GG47" i="17"/>
  <c r="FS47" i="17"/>
  <c r="FE47" i="17"/>
  <c r="EQ47" i="17"/>
  <c r="EC47" i="17"/>
  <c r="DO47" i="17"/>
  <c r="DA47" i="17"/>
  <c r="CM47" i="17"/>
  <c r="BY47" i="17"/>
  <c r="SC40" i="17"/>
  <c r="RO40" i="17"/>
  <c r="RA40" i="17"/>
  <c r="QM40" i="17"/>
  <c r="PY40" i="17"/>
  <c r="PK40" i="17"/>
  <c r="OW40" i="17"/>
  <c r="OI40" i="17"/>
  <c r="NU40" i="17"/>
  <c r="NG40" i="17"/>
  <c r="MS40" i="17"/>
  <c r="ME40" i="17"/>
  <c r="LQ40" i="17"/>
  <c r="LC40" i="17"/>
  <c r="KO40" i="17"/>
  <c r="KA40" i="17"/>
  <c r="HW40" i="17"/>
  <c r="HI40" i="17"/>
  <c r="GU40" i="17"/>
  <c r="GG40" i="17"/>
  <c r="FS40" i="17"/>
  <c r="FE40" i="17"/>
  <c r="EQ40" i="17"/>
  <c r="EC40" i="17"/>
  <c r="DO40" i="17"/>
  <c r="DA40" i="17"/>
  <c r="CM40" i="17"/>
  <c r="BY40" i="17"/>
  <c r="SA20" i="17"/>
  <c r="RM20" i="17"/>
  <c r="QY20" i="17"/>
  <c r="QK20" i="17"/>
  <c r="PW20" i="17"/>
  <c r="PI20" i="17"/>
  <c r="OU20" i="17"/>
  <c r="OG20" i="17"/>
  <c r="NS20" i="17"/>
  <c r="NE20" i="17"/>
  <c r="MQ20" i="17"/>
  <c r="MC20" i="17"/>
  <c r="LO20" i="17"/>
  <c r="LA20" i="17"/>
  <c r="KM20" i="17"/>
  <c r="JY20" i="17"/>
  <c r="HU20" i="17"/>
  <c r="HG20" i="17"/>
  <c r="GS20" i="17"/>
  <c r="GE20" i="17"/>
  <c r="FQ20" i="17"/>
  <c r="FC20" i="17"/>
  <c r="EO20" i="17"/>
  <c r="EA20" i="17"/>
  <c r="DM20" i="17"/>
  <c r="CY20" i="17"/>
  <c r="CK20" i="17"/>
  <c r="BW20" i="17"/>
  <c r="SA19" i="17"/>
  <c r="RM19" i="17"/>
  <c r="QY19" i="17"/>
  <c r="QK19" i="17"/>
  <c r="PW19" i="17"/>
  <c r="PI19" i="17"/>
  <c r="OU19" i="17"/>
  <c r="OG19" i="17"/>
  <c r="NS19" i="17"/>
  <c r="NE19" i="17"/>
  <c r="MQ19" i="17"/>
  <c r="MC19" i="17"/>
  <c r="LO19" i="17"/>
  <c r="LA19" i="17"/>
  <c r="KM19" i="17"/>
  <c r="JY19" i="17"/>
  <c r="HU19" i="17"/>
  <c r="HG19" i="17"/>
  <c r="GS19" i="17"/>
  <c r="GE19" i="17"/>
  <c r="FQ19" i="17"/>
  <c r="FC19" i="17"/>
  <c r="EO19" i="17"/>
  <c r="EA19" i="17"/>
  <c r="DM19" i="17"/>
  <c r="CY19" i="17"/>
  <c r="CK19" i="17"/>
  <c r="BW19" i="17"/>
  <c r="SA18" i="17"/>
  <c r="RM18" i="17"/>
  <c r="QY18" i="17"/>
  <c r="QK18" i="17"/>
  <c r="PW18" i="17"/>
  <c r="PI18" i="17"/>
  <c r="OU18" i="17"/>
  <c r="OG18" i="17"/>
  <c r="NS18" i="17"/>
  <c r="NE18" i="17"/>
  <c r="MQ18" i="17"/>
  <c r="MC18" i="17"/>
  <c r="LO18" i="17"/>
  <c r="LA18" i="17"/>
  <c r="KM18" i="17"/>
  <c r="JY18" i="17"/>
  <c r="HU18" i="17"/>
  <c r="HG18" i="17"/>
  <c r="GS18" i="17"/>
  <c r="GE18" i="17"/>
  <c r="FQ18" i="17"/>
  <c r="FC18" i="17"/>
  <c r="EO18" i="17"/>
  <c r="EA18" i="17"/>
  <c r="DM18" i="17"/>
  <c r="CY18" i="17"/>
  <c r="CK18" i="17"/>
  <c r="BW18" i="17"/>
  <c r="SA17" i="17"/>
  <c r="RM17" i="17"/>
  <c r="QY17" i="17"/>
  <c r="QK17" i="17"/>
  <c r="PW17" i="17"/>
  <c r="PI17" i="17"/>
  <c r="OU17" i="17"/>
  <c r="OG17" i="17"/>
  <c r="NS17" i="17"/>
  <c r="NE17" i="17"/>
  <c r="MQ17" i="17"/>
  <c r="MC17" i="17"/>
  <c r="LO17" i="17"/>
  <c r="LA17" i="17"/>
  <c r="KM17" i="17"/>
  <c r="JY17" i="17"/>
  <c r="HU17" i="17"/>
  <c r="HG17" i="17"/>
  <c r="GS17" i="17"/>
  <c r="GE17" i="17"/>
  <c r="FQ17" i="17"/>
  <c r="FC17" i="17"/>
  <c r="EO17" i="17"/>
  <c r="EA17" i="17"/>
  <c r="DM17" i="17"/>
  <c r="CY17" i="17"/>
  <c r="CK17" i="17"/>
  <c r="BW17" i="17"/>
  <c r="SA16" i="17"/>
  <c r="RM16" i="17"/>
  <c r="QY16" i="17"/>
  <c r="QK16" i="17"/>
  <c r="PW16" i="17"/>
  <c r="PI16" i="17"/>
  <c r="OU16" i="17"/>
  <c r="OG16" i="17"/>
  <c r="NS16" i="17"/>
  <c r="NE16" i="17"/>
  <c r="MQ16" i="17"/>
  <c r="MC16" i="17"/>
  <c r="LO16" i="17"/>
  <c r="LA16" i="17"/>
  <c r="KM16" i="17"/>
  <c r="JY16" i="17"/>
  <c r="HU16" i="17"/>
  <c r="HG16" i="17"/>
  <c r="GS16" i="17"/>
  <c r="GE16" i="17"/>
  <c r="FQ16" i="17"/>
  <c r="FC16" i="17"/>
  <c r="EO16" i="17"/>
  <c r="EA16" i="17"/>
  <c r="DM16" i="17"/>
  <c r="CY16" i="17"/>
  <c r="CK16" i="17"/>
  <c r="BW16" i="17"/>
  <c r="SA11" i="17"/>
  <c r="RM11" i="17"/>
  <c r="QY11" i="17"/>
  <c r="QK11" i="17"/>
  <c r="PW11" i="17"/>
  <c r="PI11" i="17"/>
  <c r="OU11" i="17"/>
  <c r="OG11" i="17"/>
  <c r="NS11" i="17"/>
  <c r="NE11" i="17"/>
  <c r="MQ11" i="17"/>
  <c r="MC11" i="17"/>
  <c r="LO11" i="17"/>
  <c r="LA11" i="17"/>
  <c r="KM11" i="17"/>
  <c r="JY11" i="17"/>
  <c r="HU11" i="17"/>
  <c r="HG11" i="17"/>
  <c r="GS11" i="17"/>
  <c r="GE11" i="17"/>
  <c r="FQ11" i="17"/>
  <c r="FC11" i="17"/>
  <c r="EO11" i="17"/>
  <c r="EA11" i="17"/>
  <c r="DM11" i="17"/>
  <c r="CY11" i="17"/>
  <c r="CK11" i="17"/>
  <c r="BW11" i="17"/>
  <c r="BN57" i="17"/>
  <c r="BN56" i="17"/>
  <c r="BN55" i="17"/>
  <c r="BN54" i="17"/>
  <c r="BN53" i="17"/>
  <c r="BO53" i="17" s="1"/>
  <c r="BK47" i="17"/>
  <c r="BK40" i="17"/>
  <c r="BI20" i="17"/>
  <c r="BI19" i="17"/>
  <c r="BI18" i="17"/>
  <c r="BI17" i="17"/>
  <c r="BI16" i="17"/>
  <c r="BI11" i="17"/>
  <c r="AZ57" i="17"/>
  <c r="AZ56" i="17"/>
  <c r="AZ55" i="17"/>
  <c r="AZ54" i="17"/>
  <c r="AZ53" i="17"/>
  <c r="BA53" i="17" s="1"/>
  <c r="AW47" i="17"/>
  <c r="AW40" i="17"/>
  <c r="AU20" i="17"/>
  <c r="AU19" i="17"/>
  <c r="AU18" i="17"/>
  <c r="AU17" i="17"/>
  <c r="AU16" i="17"/>
  <c r="AU11" i="17"/>
  <c r="E11" i="17"/>
  <c r="C13" i="17"/>
  <c r="C75" i="17" s="1"/>
  <c r="C16" i="17"/>
  <c r="AS16" i="17" s="1"/>
  <c r="E16" i="17"/>
  <c r="C17" i="17"/>
  <c r="AS17" i="17" s="1"/>
  <c r="E17" i="17"/>
  <c r="C18" i="17"/>
  <c r="AS18" i="17" s="1"/>
  <c r="E18" i="17"/>
  <c r="C19" i="17"/>
  <c r="AS19" i="17" s="1"/>
  <c r="E19" i="17"/>
  <c r="C20" i="17"/>
  <c r="AS20" i="17" s="1"/>
  <c r="E20" i="17"/>
  <c r="G40" i="17"/>
  <c r="G47" i="17"/>
  <c r="J53" i="17"/>
  <c r="K53" i="17" s="1"/>
  <c r="J54" i="17"/>
  <c r="J55" i="17"/>
  <c r="J56" i="17"/>
  <c r="J57" i="17"/>
  <c r="B75" i="17"/>
  <c r="F34" i="6"/>
  <c r="BA55" i="17" l="1"/>
  <c r="K55" i="17"/>
  <c r="BO55" i="17"/>
  <c r="K56" i="17"/>
  <c r="K54" i="17"/>
  <c r="K57" i="17"/>
  <c r="BA56" i="17"/>
  <c r="SU54" i="17"/>
  <c r="JQ55" i="17"/>
  <c r="JQ57" i="17"/>
  <c r="JQ54" i="17"/>
  <c r="JQ56" i="17"/>
  <c r="SU55" i="17"/>
  <c r="SU56" i="17"/>
  <c r="SU57" i="17"/>
  <c r="BO54" i="17"/>
  <c r="BA54" i="17"/>
  <c r="BO56" i="17"/>
  <c r="BO57" i="17"/>
  <c r="KE56" i="17"/>
  <c r="KE55" i="17"/>
  <c r="KE57" i="17"/>
  <c r="KE54" i="17"/>
  <c r="FW55" i="17"/>
  <c r="FW57" i="17"/>
  <c r="FW56" i="17"/>
  <c r="KS57" i="17"/>
  <c r="KS56" i="17"/>
  <c r="KS55" i="17"/>
  <c r="CC57" i="17"/>
  <c r="CC56" i="17"/>
  <c r="CC54" i="17"/>
  <c r="CC55" i="17"/>
  <c r="GK56" i="17"/>
  <c r="GK54" i="17"/>
  <c r="GK55" i="17"/>
  <c r="OM56" i="17"/>
  <c r="OM57" i="17"/>
  <c r="OM55" i="17"/>
  <c r="OM54" i="17"/>
  <c r="FI56" i="17"/>
  <c r="FI54" i="17"/>
  <c r="CQ57" i="17"/>
  <c r="CQ56" i="17"/>
  <c r="CQ54" i="17"/>
  <c r="GY57" i="17"/>
  <c r="GY54" i="17"/>
  <c r="LU57" i="17"/>
  <c r="LU54" i="17"/>
  <c r="QC57" i="17"/>
  <c r="QC54" i="17"/>
  <c r="DE57" i="17"/>
  <c r="DE54" i="17"/>
  <c r="DE55" i="17"/>
  <c r="HM57" i="17"/>
  <c r="HM54" i="17"/>
  <c r="MI57" i="17"/>
  <c r="MI54" i="17"/>
  <c r="QQ57" i="17"/>
  <c r="QQ54" i="17"/>
  <c r="IA57" i="17"/>
  <c r="DS55" i="17"/>
  <c r="MW55" i="17"/>
  <c r="MW57" i="17"/>
  <c r="EG56" i="17"/>
  <c r="EG55" i="17"/>
  <c r="EU54" i="17"/>
  <c r="EU56" i="17"/>
  <c r="NY55" i="17"/>
  <c r="NY54" i="17"/>
  <c r="NY56" i="17"/>
  <c r="SG54" i="17"/>
  <c r="SG56" i="17"/>
  <c r="SG55" i="17"/>
  <c r="NK56" i="17"/>
  <c r="RS56" i="17"/>
  <c r="RS55" i="17"/>
  <c r="PA55" i="17"/>
  <c r="PA57" i="17"/>
  <c r="PA56" i="17"/>
  <c r="LG56" i="17"/>
  <c r="LG54" i="17"/>
  <c r="PO56" i="17"/>
  <c r="PO54" i="17"/>
  <c r="RE57" i="17"/>
  <c r="FW54" i="17"/>
  <c r="KS54" i="17"/>
  <c r="PA54" i="17"/>
  <c r="CQ55" i="17"/>
  <c r="GY55" i="17"/>
  <c r="LU55" i="17"/>
  <c r="QC55" i="17"/>
  <c r="HM55" i="17"/>
  <c r="MI55" i="17"/>
  <c r="QQ55" i="17"/>
  <c r="FI57" i="17"/>
  <c r="IA55" i="17"/>
  <c r="RE55" i="17"/>
  <c r="NK55" i="17"/>
  <c r="GK57" i="17"/>
  <c r="DS54" i="17"/>
  <c r="IA54" i="17"/>
  <c r="MW54" i="17"/>
  <c r="RE54" i="17"/>
  <c r="EU55" i="17"/>
  <c r="EG54" i="17"/>
  <c r="NK54" i="17"/>
  <c r="RS54" i="17"/>
  <c r="FI55" i="17"/>
  <c r="GY56" i="17"/>
  <c r="LU56" i="17"/>
  <c r="QC56" i="17"/>
  <c r="DS57" i="17"/>
  <c r="LG57" i="17"/>
  <c r="PO57" i="17"/>
  <c r="PO55" i="17"/>
  <c r="DS56" i="17"/>
  <c r="IA56" i="17"/>
  <c r="MW56" i="17"/>
  <c r="RE56" i="17"/>
  <c r="EU57" i="17"/>
  <c r="NK57" i="17"/>
  <c r="RS57" i="17"/>
  <c r="LG55" i="17"/>
  <c r="DE56" i="17"/>
  <c r="HM56" i="17"/>
  <c r="MI56" i="17"/>
  <c r="QQ56" i="17"/>
  <c r="EG57" i="17"/>
  <c r="NY57" i="17"/>
  <c r="SG57" i="17"/>
  <c r="BA57" i="17"/>
  <c r="H70" i="6" l="1"/>
  <c r="SR66" i="17" l="1"/>
  <c r="SR70" i="17" s="1"/>
  <c r="SR71" i="17" s="1"/>
  <c r="AC70" i="6"/>
  <c r="H62" i="6"/>
  <c r="H58" i="6"/>
  <c r="M39" i="6"/>
  <c r="M51" i="6"/>
  <c r="M25" i="6"/>
  <c r="M63" i="6"/>
  <c r="SR67" i="17" l="1"/>
  <c r="SR68" i="17" s="1"/>
  <c r="SR69" i="17" s="1"/>
  <c r="SW69" i="17" s="1"/>
  <c r="PL66" i="17"/>
  <c r="PL67" i="17" s="1"/>
  <c r="PL68" i="17" s="1"/>
  <c r="PL69" i="17" s="1"/>
  <c r="QN66" i="17"/>
  <c r="SW71" i="17"/>
  <c r="SL86" i="17"/>
  <c r="AC62" i="6"/>
  <c r="AC58" i="6"/>
  <c r="R25" i="6"/>
  <c r="M62" i="6"/>
  <c r="M58" i="6"/>
  <c r="SL85" i="17" l="1"/>
  <c r="PL70" i="17"/>
  <c r="PL71" i="17" s="1"/>
  <c r="PQ71" i="17" s="1"/>
  <c r="PQ69" i="17"/>
  <c r="PF85" i="17"/>
  <c r="AB62" i="6"/>
  <c r="AB58" i="6"/>
  <c r="R70" i="6"/>
  <c r="PF86" i="17" l="1"/>
  <c r="W70" i="6"/>
  <c r="M3" i="6"/>
  <c r="M9" i="6"/>
  <c r="H68" i="6"/>
  <c r="H66" i="6"/>
  <c r="SD66" i="17" l="1"/>
  <c r="RP66" i="17"/>
  <c r="AC66" i="6"/>
  <c r="AC68" i="6"/>
  <c r="M69" i="6"/>
  <c r="M67" i="6"/>
  <c r="AH8" i="5"/>
  <c r="AI8" i="5"/>
  <c r="AH9" i="5" s="1"/>
  <c r="M66" i="6" l="1"/>
  <c r="R67" i="6"/>
  <c r="M68" i="6"/>
  <c r="R69" i="6"/>
  <c r="AI9" i="5"/>
  <c r="TH57" i="17"/>
  <c r="TH56" i="17"/>
  <c r="TH55" i="17"/>
  <c r="TH54" i="17"/>
  <c r="TH53" i="17"/>
  <c r="TI53" i="17" s="1"/>
  <c r="TE47" i="17"/>
  <c r="TE40" i="17"/>
  <c r="TC20" i="17"/>
  <c r="TC19" i="17"/>
  <c r="TC18" i="17"/>
  <c r="TC17" i="17"/>
  <c r="TC16" i="17"/>
  <c r="TC11" i="17"/>
  <c r="Q1" i="6"/>
  <c r="C40" i="15"/>
  <c r="C39" i="15"/>
  <c r="C38" i="15"/>
  <c r="C37" i="15"/>
  <c r="C36" i="15"/>
  <c r="C35" i="15"/>
  <c r="C34" i="15"/>
  <c r="C33" i="15"/>
  <c r="C31" i="15"/>
  <c r="C32" i="15"/>
  <c r="C30" i="15"/>
  <c r="C29" i="15"/>
  <c r="C28" i="15"/>
  <c r="AB68" i="6" l="1"/>
  <c r="AB66" i="6"/>
  <c r="R68" i="6"/>
  <c r="R66" i="6"/>
  <c r="BF13" i="17"/>
  <c r="BH16" i="17" s="1"/>
  <c r="AS13" i="17"/>
  <c r="AS75" i="17" s="1"/>
  <c r="BG16" i="17"/>
  <c r="BU16" i="17" s="1"/>
  <c r="CI16" i="17" s="1"/>
  <c r="CW16" i="17" s="1"/>
  <c r="DK16" i="17" s="1"/>
  <c r="DY16" i="17" s="1"/>
  <c r="EM16" i="17" s="1"/>
  <c r="FA16" i="17" s="1"/>
  <c r="FO16" i="17" s="1"/>
  <c r="GC16" i="17" s="1"/>
  <c r="GQ16" i="17" s="1"/>
  <c r="HE16" i="17" s="1"/>
  <c r="HS16" i="17" s="1"/>
  <c r="JI16" i="17" s="1"/>
  <c r="JW16" i="17" s="1"/>
  <c r="BG18" i="17"/>
  <c r="BU18" i="17" s="1"/>
  <c r="CI18" i="17" s="1"/>
  <c r="CW18" i="17" s="1"/>
  <c r="DK18" i="17" s="1"/>
  <c r="DY18" i="17" s="1"/>
  <c r="EM18" i="17" s="1"/>
  <c r="FA18" i="17" s="1"/>
  <c r="FO18" i="17" s="1"/>
  <c r="GC18" i="17" s="1"/>
  <c r="GQ18" i="17" s="1"/>
  <c r="HE18" i="17" s="1"/>
  <c r="HS18" i="17" s="1"/>
  <c r="JI18" i="17" s="1"/>
  <c r="JW18" i="17" s="1"/>
  <c r="BG20" i="17"/>
  <c r="BU20" i="17" s="1"/>
  <c r="CI20" i="17" s="1"/>
  <c r="CW20" i="17" s="1"/>
  <c r="DK20" i="17" s="1"/>
  <c r="DY20" i="17" s="1"/>
  <c r="EM20" i="17" s="1"/>
  <c r="FA20" i="17" s="1"/>
  <c r="FO20" i="17" s="1"/>
  <c r="GC20" i="17" s="1"/>
  <c r="GQ20" i="17" s="1"/>
  <c r="HE20" i="17" s="1"/>
  <c r="HS20" i="17" s="1"/>
  <c r="JI20" i="17" s="1"/>
  <c r="JW20" i="17" s="1"/>
  <c r="BG17" i="17"/>
  <c r="BU17" i="17" s="1"/>
  <c r="CI17" i="17" s="1"/>
  <c r="CW17" i="17" s="1"/>
  <c r="DK17" i="17" s="1"/>
  <c r="DY17" i="17" s="1"/>
  <c r="EM17" i="17" s="1"/>
  <c r="FA17" i="17" s="1"/>
  <c r="FO17" i="17" s="1"/>
  <c r="GC17" i="17" s="1"/>
  <c r="GQ17" i="17" s="1"/>
  <c r="HE17" i="17" s="1"/>
  <c r="HS17" i="17" s="1"/>
  <c r="JI17" i="17" s="1"/>
  <c r="JW17" i="17" s="1"/>
  <c r="BG19" i="17"/>
  <c r="BU19" i="17" s="1"/>
  <c r="CI19" i="17" s="1"/>
  <c r="CW19" i="17" s="1"/>
  <c r="DK19" i="17" s="1"/>
  <c r="DY19" i="17" s="1"/>
  <c r="EM19" i="17" s="1"/>
  <c r="FA19" i="17" s="1"/>
  <c r="FO19" i="17" s="1"/>
  <c r="GC19" i="17" s="1"/>
  <c r="GQ19" i="17" s="1"/>
  <c r="HE19" i="17" s="1"/>
  <c r="HS19" i="17" s="1"/>
  <c r="JI19" i="17" s="1"/>
  <c r="JW19" i="17" s="1"/>
  <c r="TI56" i="17"/>
  <c r="TI55" i="17"/>
  <c r="TI54" i="17"/>
  <c r="TI57" i="17"/>
  <c r="E72" i="6"/>
  <c r="E70" i="6"/>
  <c r="N32" i="16" l="1"/>
  <c r="N8" i="16"/>
  <c r="N34" i="16"/>
  <c r="BF75" i="17"/>
  <c r="W66" i="6"/>
  <c r="W68" i="6"/>
  <c r="BT13" i="17"/>
  <c r="BG13" i="17"/>
  <c r="BG75" i="17" s="1"/>
  <c r="KK19" i="17"/>
  <c r="KY19" i="17" s="1"/>
  <c r="LM19" i="17" s="1"/>
  <c r="MA19" i="17" s="1"/>
  <c r="MO19" i="17" s="1"/>
  <c r="NC19" i="17" s="1"/>
  <c r="NQ19" i="17" s="1"/>
  <c r="OE19" i="17" s="1"/>
  <c r="OS19" i="17" s="1"/>
  <c r="PG19" i="17" s="1"/>
  <c r="PU19" i="17" s="1"/>
  <c r="QI19" i="17" s="1"/>
  <c r="QW19" i="17" s="1"/>
  <c r="RK19" i="17" s="1"/>
  <c r="RY19" i="17" s="1"/>
  <c r="TA19" i="17" s="1"/>
  <c r="KK20" i="17"/>
  <c r="KY20" i="17" s="1"/>
  <c r="LM20" i="17" s="1"/>
  <c r="MA20" i="17" s="1"/>
  <c r="MO20" i="17" s="1"/>
  <c r="NC20" i="17" s="1"/>
  <c r="NQ20" i="17" s="1"/>
  <c r="OE20" i="17" s="1"/>
  <c r="OS20" i="17" s="1"/>
  <c r="PG20" i="17" s="1"/>
  <c r="PU20" i="17" s="1"/>
  <c r="QI20" i="17" s="1"/>
  <c r="QW20" i="17" s="1"/>
  <c r="RK20" i="17" s="1"/>
  <c r="RY20" i="17" s="1"/>
  <c r="TA20" i="17" s="1"/>
  <c r="KK16" i="17"/>
  <c r="KY16" i="17" s="1"/>
  <c r="LM16" i="17" s="1"/>
  <c r="MA16" i="17" s="1"/>
  <c r="MO16" i="17" s="1"/>
  <c r="NC16" i="17" s="1"/>
  <c r="NQ16" i="17" s="1"/>
  <c r="OE16" i="17" s="1"/>
  <c r="OS16" i="17" s="1"/>
  <c r="PG16" i="17" s="1"/>
  <c r="PU16" i="17" s="1"/>
  <c r="QI16" i="17" s="1"/>
  <c r="QW16" i="17" s="1"/>
  <c r="RK16" i="17" s="1"/>
  <c r="RY16" i="17" s="1"/>
  <c r="TA16" i="17" s="1"/>
  <c r="KK17" i="17"/>
  <c r="KY17" i="17" s="1"/>
  <c r="LM17" i="17" s="1"/>
  <c r="MA17" i="17" s="1"/>
  <c r="MO17" i="17" s="1"/>
  <c r="NC17" i="17" s="1"/>
  <c r="NQ17" i="17" s="1"/>
  <c r="OE17" i="17" s="1"/>
  <c r="OS17" i="17" s="1"/>
  <c r="PG17" i="17" s="1"/>
  <c r="PU17" i="17" s="1"/>
  <c r="QI17" i="17" s="1"/>
  <c r="QW17" i="17" s="1"/>
  <c r="RK17" i="17" s="1"/>
  <c r="RY17" i="17" s="1"/>
  <c r="SM17" i="17" s="1"/>
  <c r="KK18" i="17"/>
  <c r="KY18" i="17" s="1"/>
  <c r="LM18" i="17" s="1"/>
  <c r="MA18" i="17" s="1"/>
  <c r="MO18" i="17" s="1"/>
  <c r="NC18" i="17" s="1"/>
  <c r="NQ18" i="17" s="1"/>
  <c r="OE18" i="17" s="1"/>
  <c r="OS18" i="17" s="1"/>
  <c r="PG18" i="17" s="1"/>
  <c r="PU18" i="17" s="1"/>
  <c r="QI18" i="17" s="1"/>
  <c r="QW18" i="17" s="1"/>
  <c r="RK18" i="17" s="1"/>
  <c r="RY18" i="17" s="1"/>
  <c r="TA18" i="17" s="1"/>
  <c r="I37" i="1"/>
  <c r="J33" i="1" s="1"/>
  <c r="L26" i="1" s="1"/>
  <c r="M26" i="1" s="1"/>
  <c r="M27" i="1" s="1"/>
  <c r="M28" i="1" s="1"/>
  <c r="M29" i="1" s="1"/>
  <c r="M30" i="1" s="1"/>
  <c r="I38" i="1"/>
  <c r="BT75" i="17" l="1"/>
  <c r="TA17" i="17"/>
  <c r="BU13" i="17"/>
  <c r="BU75" i="17" s="1"/>
  <c r="CH13" i="17"/>
  <c r="SM19" i="17"/>
  <c r="SM18" i="17"/>
  <c r="SM16" i="17"/>
  <c r="SM20" i="17"/>
  <c r="E23" i="1"/>
  <c r="F23" i="1"/>
  <c r="G23" i="1" s="1"/>
  <c r="E26" i="1"/>
  <c r="E27" i="1" s="1"/>
  <c r="E28" i="1" s="1"/>
  <c r="J26" i="1"/>
  <c r="K26" i="1" s="1"/>
  <c r="K27" i="1" s="1"/>
  <c r="K28" i="1" s="1"/>
  <c r="K29" i="1" s="1"/>
  <c r="K30" i="1" s="1"/>
  <c r="C37" i="1"/>
  <c r="E37" i="1"/>
  <c r="G37" i="1"/>
  <c r="C38" i="1"/>
  <c r="E38" i="1"/>
  <c r="G38" i="1"/>
  <c r="D41" i="1"/>
  <c r="D42" i="1"/>
  <c r="D43" i="1"/>
  <c r="D44" i="1"/>
  <c r="D45" i="1"/>
  <c r="D46" i="1"/>
  <c r="CH75" i="17" l="1"/>
  <c r="CV13" i="17"/>
  <c r="CI13" i="17"/>
  <c r="CI75" i="17" s="1"/>
  <c r="F33" i="1"/>
  <c r="H26" i="1" s="1"/>
  <c r="I26" i="1" s="1"/>
  <c r="I27" i="1" s="1"/>
  <c r="I28" i="1" s="1"/>
  <c r="I29" i="1" s="1"/>
  <c r="I30" i="1" s="1"/>
  <c r="H33" i="1"/>
  <c r="D33" i="1"/>
  <c r="F26" i="1" s="1"/>
  <c r="G26" i="1" s="1"/>
  <c r="G27" i="1" s="1"/>
  <c r="G28" i="1" s="1"/>
  <c r="G29" i="1" s="1"/>
  <c r="G30" i="1" s="1"/>
  <c r="H23" i="1"/>
  <c r="I23" i="1" s="1"/>
  <c r="C27" i="1"/>
  <c r="E29" i="1"/>
  <c r="E30" i="1" s="1"/>
  <c r="CV75" i="17" l="1"/>
  <c r="DJ13" i="17"/>
  <c r="CW13" i="17"/>
  <c r="CW75" i="17" s="1"/>
  <c r="F20" i="14"/>
  <c r="I20" i="14" s="1"/>
  <c r="J20" i="14" s="1"/>
  <c r="G36" i="13"/>
  <c r="H36" i="13" s="1"/>
  <c r="I36" i="13" s="1"/>
  <c r="F19" i="14"/>
  <c r="G19" i="14" s="1"/>
  <c r="H19" i="14" s="1"/>
  <c r="G19" i="13"/>
  <c r="J19" i="13" s="1"/>
  <c r="K19" i="13" s="1"/>
  <c r="F18" i="14"/>
  <c r="I18" i="14" s="1"/>
  <c r="J18" i="14" s="1"/>
  <c r="G18" i="13"/>
  <c r="J18" i="13" s="1"/>
  <c r="F17" i="14"/>
  <c r="G17" i="14" s="1"/>
  <c r="H17" i="14" s="1"/>
  <c r="G17" i="13"/>
  <c r="J17" i="13" s="1"/>
  <c r="K17" i="13" s="1"/>
  <c r="F16" i="14"/>
  <c r="G16" i="14" s="1"/>
  <c r="H16" i="14" s="1"/>
  <c r="G16" i="13"/>
  <c r="H16" i="13" s="1"/>
  <c r="I16" i="13" s="1"/>
  <c r="F15" i="14"/>
  <c r="G15" i="14" s="1"/>
  <c r="H15" i="14" s="1"/>
  <c r="G15" i="13"/>
  <c r="J15" i="13" s="1"/>
  <c r="K15" i="13" s="1"/>
  <c r="G38" i="13"/>
  <c r="J38" i="13" s="1"/>
  <c r="K38" i="13" s="1"/>
  <c r="G14" i="13"/>
  <c r="J14" i="13" s="1"/>
  <c r="G37" i="13"/>
  <c r="J37" i="13" s="1"/>
  <c r="J23" i="1"/>
  <c r="K23" i="1" s="1"/>
  <c r="C29" i="1"/>
  <c r="G154" i="12"/>
  <c r="H154" i="12" s="1"/>
  <c r="F154" i="12"/>
  <c r="G153" i="12"/>
  <c r="H153" i="12" s="1"/>
  <c r="F153" i="12"/>
  <c r="G152" i="12"/>
  <c r="H152" i="12" s="1"/>
  <c r="F152" i="12"/>
  <c r="G151" i="12"/>
  <c r="H151" i="12" s="1"/>
  <c r="F151" i="12"/>
  <c r="G150" i="12"/>
  <c r="H150" i="12" s="1"/>
  <c r="F150" i="12"/>
  <c r="G149" i="12"/>
  <c r="F149" i="12"/>
  <c r="G148" i="12"/>
  <c r="H148" i="12" s="1"/>
  <c r="F148" i="12"/>
  <c r="G147" i="12"/>
  <c r="F147" i="12"/>
  <c r="G146" i="12"/>
  <c r="H146" i="12" s="1"/>
  <c r="F146" i="12"/>
  <c r="D145" i="12"/>
  <c r="G145" i="12" s="1"/>
  <c r="G144" i="12"/>
  <c r="F144" i="12"/>
  <c r="G143" i="12"/>
  <c r="F143" i="12"/>
  <c r="G142" i="12"/>
  <c r="F142" i="12"/>
  <c r="G141" i="12"/>
  <c r="F141" i="12"/>
  <c r="G140" i="12"/>
  <c r="F140" i="12"/>
  <c r="G139" i="12"/>
  <c r="F139" i="12"/>
  <c r="G138" i="12"/>
  <c r="F138" i="12"/>
  <c r="G137" i="12"/>
  <c r="F137" i="12"/>
  <c r="G136" i="12"/>
  <c r="F136" i="12"/>
  <c r="G135" i="12"/>
  <c r="F135" i="12"/>
  <c r="G134" i="12"/>
  <c r="F134" i="12"/>
  <c r="G116" i="12"/>
  <c r="H116" i="12" s="1"/>
  <c r="F116" i="12"/>
  <c r="G115" i="12"/>
  <c r="F115" i="12"/>
  <c r="G114" i="12"/>
  <c r="H114" i="12" s="1"/>
  <c r="F114" i="12"/>
  <c r="G113" i="12"/>
  <c r="F113" i="12"/>
  <c r="D112" i="12"/>
  <c r="G112" i="12" s="1"/>
  <c r="G111" i="12"/>
  <c r="F111" i="12"/>
  <c r="G110" i="12"/>
  <c r="F110" i="12"/>
  <c r="D109" i="12"/>
  <c r="G109" i="12" s="1"/>
  <c r="D108" i="12"/>
  <c r="G108" i="12" s="1"/>
  <c r="D107" i="12"/>
  <c r="G107" i="12" s="1"/>
  <c r="G106" i="12"/>
  <c r="H106" i="12" s="1"/>
  <c r="F106" i="12"/>
  <c r="G105" i="12"/>
  <c r="F105" i="12"/>
  <c r="D104" i="12"/>
  <c r="G104" i="12" s="1"/>
  <c r="D103" i="12"/>
  <c r="G103" i="12" s="1"/>
  <c r="D102" i="12"/>
  <c r="G102" i="12" s="1"/>
  <c r="G101" i="12"/>
  <c r="F101" i="12"/>
  <c r="D100" i="12"/>
  <c r="G100" i="12" s="1"/>
  <c r="D99" i="12"/>
  <c r="G99" i="12" s="1"/>
  <c r="G98" i="12"/>
  <c r="F98" i="12"/>
  <c r="D97" i="12"/>
  <c r="G97" i="12" s="1"/>
  <c r="D96" i="12"/>
  <c r="G96" i="12" s="1"/>
  <c r="G77" i="12"/>
  <c r="H77" i="12" s="1"/>
  <c r="F77" i="12"/>
  <c r="G76" i="12"/>
  <c r="H76" i="12" s="1"/>
  <c r="F76" i="12"/>
  <c r="G75" i="12"/>
  <c r="H75" i="12" s="1"/>
  <c r="F75" i="12"/>
  <c r="G74" i="12"/>
  <c r="H74" i="12" s="1"/>
  <c r="F74" i="12"/>
  <c r="G73" i="12"/>
  <c r="F73" i="12"/>
  <c r="G72" i="12"/>
  <c r="H72" i="12" s="1"/>
  <c r="F72" i="12"/>
  <c r="G71" i="12"/>
  <c r="F71" i="12"/>
  <c r="G70" i="12"/>
  <c r="H70" i="12" s="1"/>
  <c r="F70" i="12"/>
  <c r="G69" i="12"/>
  <c r="F69" i="12"/>
  <c r="D68" i="12"/>
  <c r="G68" i="12" s="1"/>
  <c r="G67" i="12"/>
  <c r="F67" i="12"/>
  <c r="G66" i="12"/>
  <c r="F66" i="12"/>
  <c r="G65" i="12"/>
  <c r="F65" i="12"/>
  <c r="D64" i="12"/>
  <c r="G64" i="12" s="1"/>
  <c r="D63" i="12"/>
  <c r="G63" i="12" s="1"/>
  <c r="D62" i="12"/>
  <c r="G62" i="12" s="1"/>
  <c r="G61" i="12"/>
  <c r="H61" i="12" s="1"/>
  <c r="F61" i="12"/>
  <c r="G60" i="12"/>
  <c r="H60" i="12" s="1"/>
  <c r="F60" i="12"/>
  <c r="G59" i="12"/>
  <c r="H59" i="12" s="1"/>
  <c r="F59" i="12"/>
  <c r="G58" i="12"/>
  <c r="H58" i="12" s="1"/>
  <c r="F58" i="12"/>
  <c r="G57" i="12"/>
  <c r="H57" i="12" s="1"/>
  <c r="F57" i="12"/>
  <c r="G39" i="12"/>
  <c r="H39" i="12" s="1"/>
  <c r="F39" i="12"/>
  <c r="G38" i="12"/>
  <c r="H38" i="12" s="1"/>
  <c r="F38" i="12"/>
  <c r="G37" i="12"/>
  <c r="H37" i="12" s="1"/>
  <c r="F37" i="12"/>
  <c r="G36" i="12"/>
  <c r="H36" i="12" s="1"/>
  <c r="F36" i="12"/>
  <c r="D35" i="12"/>
  <c r="G35" i="12" s="1"/>
  <c r="G34" i="12"/>
  <c r="F34" i="12"/>
  <c r="D33" i="12"/>
  <c r="G33" i="12" s="1"/>
  <c r="D32" i="12"/>
  <c r="G32" i="12" s="1"/>
  <c r="G31" i="12"/>
  <c r="F31" i="12"/>
  <c r="D30" i="12"/>
  <c r="G30" i="12" s="1"/>
  <c r="D29" i="12"/>
  <c r="G29" i="12" s="1"/>
  <c r="G28" i="12"/>
  <c r="F28" i="12"/>
  <c r="G27" i="12"/>
  <c r="F27" i="12"/>
  <c r="G26" i="12"/>
  <c r="F26" i="12"/>
  <c r="G25" i="12"/>
  <c r="F25" i="12"/>
  <c r="D24" i="12"/>
  <c r="G24" i="12" s="1"/>
  <c r="D23" i="12"/>
  <c r="G23" i="12" s="1"/>
  <c r="G22" i="12"/>
  <c r="F22" i="12"/>
  <c r="G21" i="12"/>
  <c r="F21" i="12"/>
  <c r="D20" i="12"/>
  <c r="G20" i="12" s="1"/>
  <c r="G19" i="12"/>
  <c r="H19" i="12" s="1"/>
  <c r="F19" i="12"/>
  <c r="G41" i="11"/>
  <c r="G40" i="11"/>
  <c r="G39" i="11"/>
  <c r="G38" i="11"/>
  <c r="G37" i="11"/>
  <c r="G36" i="11"/>
  <c r="G35" i="11"/>
  <c r="G34" i="11"/>
  <c r="G30" i="11"/>
  <c r="C51" i="11" s="1"/>
  <c r="D51" i="11" s="1"/>
  <c r="G29" i="11"/>
  <c r="G28" i="11"/>
  <c r="C50" i="11" s="1"/>
  <c r="D50" i="11" s="1"/>
  <c r="G27" i="11"/>
  <c r="C49" i="11" s="1"/>
  <c r="D49" i="11" s="1"/>
  <c r="G26" i="11"/>
  <c r="C48" i="11" s="1"/>
  <c r="D48" i="11" s="1"/>
  <c r="G25" i="11"/>
  <c r="C47" i="11" s="1"/>
  <c r="G24" i="11"/>
  <c r="G23" i="11"/>
  <c r="F22" i="11"/>
  <c r="G22" i="11" s="1"/>
  <c r="F21" i="11"/>
  <c r="G21" i="11" s="1"/>
  <c r="G20" i="11"/>
  <c r="C46" i="11" s="1"/>
  <c r="G14" i="11"/>
  <c r="G13" i="11"/>
  <c r="G12" i="11"/>
  <c r="G8" i="11"/>
  <c r="B47" i="11" s="1"/>
  <c r="G7" i="11"/>
  <c r="G6" i="11"/>
  <c r="B46" i="11" s="1"/>
  <c r="DJ75" i="17" l="1"/>
  <c r="H37" i="13"/>
  <c r="I37" i="13" s="1"/>
  <c r="QL32" i="17"/>
  <c r="OH32" i="17"/>
  <c r="MD32" i="17"/>
  <c r="JZ32" i="17"/>
  <c r="HH32" i="17"/>
  <c r="FD32" i="17"/>
  <c r="CZ32" i="17"/>
  <c r="BJ32" i="17"/>
  <c r="SP32" i="17"/>
  <c r="SB32" i="17"/>
  <c r="PX32" i="17"/>
  <c r="NT32" i="17"/>
  <c r="LP32" i="17"/>
  <c r="GT32" i="17"/>
  <c r="EP32" i="17"/>
  <c r="CL32" i="17"/>
  <c r="AV32" i="17"/>
  <c r="F32" i="17"/>
  <c r="RN32" i="17"/>
  <c r="PJ32" i="17"/>
  <c r="NF32" i="17"/>
  <c r="LB32" i="17"/>
  <c r="GF32" i="17"/>
  <c r="EB32" i="17"/>
  <c r="BX32" i="17"/>
  <c r="JL32" i="17"/>
  <c r="QZ32" i="17"/>
  <c r="OV32" i="17"/>
  <c r="MR32" i="17"/>
  <c r="KN32" i="17"/>
  <c r="HV32" i="17"/>
  <c r="FR32" i="17"/>
  <c r="DN32" i="17"/>
  <c r="DK13" i="17"/>
  <c r="DK75" i="17" s="1"/>
  <c r="DX13" i="17"/>
  <c r="I15" i="14"/>
  <c r="I19" i="14"/>
  <c r="J19" i="14" s="1"/>
  <c r="K19" i="14" s="1"/>
  <c r="G20" i="14"/>
  <c r="H20" i="14" s="1"/>
  <c r="F63" i="12"/>
  <c r="H17" i="13"/>
  <c r="I17" i="13" s="1"/>
  <c r="H19" i="13"/>
  <c r="I19" i="13" s="1"/>
  <c r="TD32" i="17"/>
  <c r="H15" i="13"/>
  <c r="I15" i="13" s="1"/>
  <c r="C30" i="1"/>
  <c r="L23" i="1"/>
  <c r="M23" i="1" s="1"/>
  <c r="C28" i="1" s="1"/>
  <c r="J36" i="13"/>
  <c r="K36" i="13" s="1"/>
  <c r="H14" i="13"/>
  <c r="I14" i="13" s="1"/>
  <c r="I16" i="14"/>
  <c r="J16" i="14" s="1"/>
  <c r="H38" i="13"/>
  <c r="I38" i="13" s="1"/>
  <c r="I17" i="14"/>
  <c r="J17" i="14" s="1"/>
  <c r="K17" i="14" s="1"/>
  <c r="J16" i="13"/>
  <c r="K16" i="13" s="1"/>
  <c r="L16" i="13" s="1"/>
  <c r="G18" i="14"/>
  <c r="H18" i="14" s="1"/>
  <c r="H18" i="13"/>
  <c r="I18" i="13" s="1"/>
  <c r="D46" i="11"/>
  <c r="C56" i="11"/>
  <c r="K14" i="13"/>
  <c r="L14" i="13" s="1"/>
  <c r="B56" i="11"/>
  <c r="J15" i="14"/>
  <c r="K15" i="14" s="1"/>
  <c r="K18" i="13"/>
  <c r="L18" i="13" s="1"/>
  <c r="K37" i="13"/>
  <c r="L37" i="13" s="1"/>
  <c r="F104" i="12"/>
  <c r="F35" i="12"/>
  <c r="F112" i="12"/>
  <c r="F29" i="12"/>
  <c r="F99" i="12"/>
  <c r="K18" i="14"/>
  <c r="K20" i="14"/>
  <c r="L38" i="13"/>
  <c r="L15" i="13"/>
  <c r="L17" i="13"/>
  <c r="L19" i="13"/>
  <c r="I19" i="12"/>
  <c r="F23" i="12"/>
  <c r="F32" i="12"/>
  <c r="I58" i="12"/>
  <c r="I60" i="12"/>
  <c r="F68" i="12"/>
  <c r="I57" i="12"/>
  <c r="I59" i="12"/>
  <c r="I61" i="12"/>
  <c r="H69" i="12"/>
  <c r="I69" i="12" s="1"/>
  <c r="I70" i="12"/>
  <c r="H71" i="12"/>
  <c r="I71" i="12" s="1"/>
  <c r="I72" i="12"/>
  <c r="H73" i="12"/>
  <c r="I73" i="12" s="1"/>
  <c r="F96" i="12"/>
  <c r="F102" i="12"/>
  <c r="H105" i="12"/>
  <c r="I105" i="12" s="1"/>
  <c r="I106" i="12"/>
  <c r="F108" i="12"/>
  <c r="H113" i="12"/>
  <c r="I113" i="12" s="1"/>
  <c r="I114" i="12"/>
  <c r="H115" i="12"/>
  <c r="I115" i="12" s="1"/>
  <c r="F145" i="12"/>
  <c r="I146" i="12"/>
  <c r="H147" i="12"/>
  <c r="I147" i="12" s="1"/>
  <c r="I148" i="12"/>
  <c r="H149" i="12"/>
  <c r="I149" i="12" s="1"/>
  <c r="I150" i="12"/>
  <c r="H145" i="12"/>
  <c r="I145" i="12" s="1"/>
  <c r="H134" i="12"/>
  <c r="I134" i="12" s="1"/>
  <c r="H135" i="12"/>
  <c r="I135" i="12" s="1"/>
  <c r="H136" i="12"/>
  <c r="I136" i="12" s="1"/>
  <c r="H137" i="12"/>
  <c r="I137" i="12" s="1"/>
  <c r="H138" i="12"/>
  <c r="I138" i="12" s="1"/>
  <c r="H139" i="12"/>
  <c r="I139" i="12" s="1"/>
  <c r="H140" i="12"/>
  <c r="I140" i="12" s="1"/>
  <c r="H141" i="12"/>
  <c r="I141" i="12" s="1"/>
  <c r="H142" i="12"/>
  <c r="I142" i="12" s="1"/>
  <c r="H143" i="12"/>
  <c r="I143" i="12" s="1"/>
  <c r="H144" i="12"/>
  <c r="I144" i="12" s="1"/>
  <c r="I151" i="12"/>
  <c r="I152" i="12"/>
  <c r="I153" i="12"/>
  <c r="I154" i="12"/>
  <c r="H99" i="12"/>
  <c r="I99" i="12" s="1"/>
  <c r="H100" i="12"/>
  <c r="I100" i="12" s="1"/>
  <c r="H104" i="12"/>
  <c r="I104" i="12" s="1"/>
  <c r="H107" i="12"/>
  <c r="I107" i="12" s="1"/>
  <c r="H112" i="12"/>
  <c r="I112" i="12" s="1"/>
  <c r="H96" i="12"/>
  <c r="I96" i="12" s="1"/>
  <c r="H97" i="12"/>
  <c r="I97" i="12" s="1"/>
  <c r="H102" i="12"/>
  <c r="I102" i="12" s="1"/>
  <c r="H103" i="12"/>
  <c r="I103" i="12" s="1"/>
  <c r="H108" i="12"/>
  <c r="I108" i="12" s="1"/>
  <c r="H109" i="12"/>
  <c r="I109" i="12" s="1"/>
  <c r="F97" i="12"/>
  <c r="H98" i="12"/>
  <c r="I98" i="12" s="1"/>
  <c r="F100" i="12"/>
  <c r="H101" i="12"/>
  <c r="I101" i="12" s="1"/>
  <c r="F103" i="12"/>
  <c r="F107" i="12"/>
  <c r="F109" i="12"/>
  <c r="H110" i="12"/>
  <c r="I110" i="12" s="1"/>
  <c r="H111" i="12"/>
  <c r="I111" i="12" s="1"/>
  <c r="I116" i="12"/>
  <c r="H62" i="12"/>
  <c r="I62" i="12" s="1"/>
  <c r="H68" i="12"/>
  <c r="I68" i="12" s="1"/>
  <c r="H63" i="12"/>
  <c r="I63" i="12" s="1"/>
  <c r="H64" i="12"/>
  <c r="I64" i="12" s="1"/>
  <c r="F62" i="12"/>
  <c r="F64" i="12"/>
  <c r="H65" i="12"/>
  <c r="I65" i="12" s="1"/>
  <c r="H66" i="12"/>
  <c r="I66" i="12" s="1"/>
  <c r="H67" i="12"/>
  <c r="I67" i="12" s="1"/>
  <c r="I74" i="12"/>
  <c r="I75" i="12"/>
  <c r="I76" i="12"/>
  <c r="I77" i="12"/>
  <c r="H23" i="12"/>
  <c r="I23" i="12" s="1"/>
  <c r="H24" i="12"/>
  <c r="I24" i="12" s="1"/>
  <c r="H32" i="12"/>
  <c r="I32" i="12" s="1"/>
  <c r="H33" i="12"/>
  <c r="I33" i="12" s="1"/>
  <c r="H20" i="12"/>
  <c r="I20" i="12" s="1"/>
  <c r="H29" i="12"/>
  <c r="I29" i="12" s="1"/>
  <c r="H30" i="12"/>
  <c r="I30" i="12" s="1"/>
  <c r="H35" i="12"/>
  <c r="I35" i="12" s="1"/>
  <c r="F20" i="12"/>
  <c r="H21" i="12"/>
  <c r="I21" i="12" s="1"/>
  <c r="H22" i="12"/>
  <c r="I22" i="12" s="1"/>
  <c r="F24" i="12"/>
  <c r="H25" i="12"/>
  <c r="I25" i="12" s="1"/>
  <c r="H26" i="12"/>
  <c r="I26" i="12" s="1"/>
  <c r="H27" i="12"/>
  <c r="I27" i="12" s="1"/>
  <c r="H28" i="12"/>
  <c r="I28" i="12" s="1"/>
  <c r="F30" i="12"/>
  <c r="H31" i="12"/>
  <c r="I31" i="12" s="1"/>
  <c r="F33" i="12"/>
  <c r="H34" i="12"/>
  <c r="I34" i="12" s="1"/>
  <c r="I36" i="12"/>
  <c r="I37" i="12"/>
  <c r="I38" i="12"/>
  <c r="I39" i="12"/>
  <c r="D47" i="11"/>
  <c r="D52" i="11" s="1"/>
  <c r="DX75" i="17" l="1"/>
  <c r="D100" i="10"/>
  <c r="D112" i="10"/>
  <c r="D104" i="10"/>
  <c r="D116" i="10"/>
  <c r="D113" i="10"/>
  <c r="D105" i="10"/>
  <c r="D98" i="10"/>
  <c r="D94" i="10"/>
  <c r="D90" i="10"/>
  <c r="C119" i="10"/>
  <c r="C115" i="10"/>
  <c r="C111" i="10"/>
  <c r="C107" i="10"/>
  <c r="C103" i="10"/>
  <c r="C99" i="10"/>
  <c r="C95" i="10"/>
  <c r="C91" i="10"/>
  <c r="D120" i="10"/>
  <c r="D110" i="10"/>
  <c r="D103" i="10"/>
  <c r="D119" i="10"/>
  <c r="D111" i="10"/>
  <c r="D102" i="10"/>
  <c r="D97" i="10"/>
  <c r="D93" i="10"/>
  <c r="D89" i="10"/>
  <c r="C118" i="10"/>
  <c r="C114" i="10"/>
  <c r="C110" i="10"/>
  <c r="C106" i="10"/>
  <c r="C102" i="10"/>
  <c r="E102" i="10" s="1"/>
  <c r="C98" i="10"/>
  <c r="C94" i="10"/>
  <c r="C90" i="10"/>
  <c r="D118" i="10"/>
  <c r="D108" i="10"/>
  <c r="D99" i="10"/>
  <c r="D117" i="10"/>
  <c r="D109" i="10"/>
  <c r="D101" i="10"/>
  <c r="D96" i="10"/>
  <c r="D92" i="10"/>
  <c r="D88" i="10"/>
  <c r="C117" i="10"/>
  <c r="C113" i="10"/>
  <c r="E113" i="10" s="1"/>
  <c r="C109" i="10"/>
  <c r="C105" i="10"/>
  <c r="C101" i="10"/>
  <c r="C97" i="10"/>
  <c r="C93" i="10"/>
  <c r="C89" i="10"/>
  <c r="D115" i="10"/>
  <c r="D106" i="10"/>
  <c r="C88" i="10"/>
  <c r="D114" i="10"/>
  <c r="D107" i="10"/>
  <c r="D95" i="10"/>
  <c r="D91" i="10"/>
  <c r="C120" i="10"/>
  <c r="C116" i="10"/>
  <c r="E116" i="10" s="1"/>
  <c r="C112" i="10"/>
  <c r="C108" i="10"/>
  <c r="C104" i="10"/>
  <c r="E104" i="10" s="1"/>
  <c r="C92" i="10"/>
  <c r="C100" i="10"/>
  <c r="E100" i="10" s="1"/>
  <c r="C96" i="10"/>
  <c r="EL13" i="17"/>
  <c r="DY13" i="17"/>
  <c r="DY75" i="17" s="1"/>
  <c r="J11" i="1"/>
  <c r="SQ34" i="17" s="1"/>
  <c r="D3" i="5"/>
  <c r="L36" i="13"/>
  <c r="J7" i="1" s="1"/>
  <c r="K16" i="14"/>
  <c r="J8" i="1"/>
  <c r="D56" i="11"/>
  <c r="D57" i="11" s="1"/>
  <c r="G126" i="9"/>
  <c r="G109" i="9"/>
  <c r="E96" i="10" l="1"/>
  <c r="E93" i="10"/>
  <c r="E90" i="10"/>
  <c r="EL75" i="17"/>
  <c r="E101" i="10"/>
  <c r="E98" i="10"/>
  <c r="E88" i="10"/>
  <c r="E108" i="10"/>
  <c r="E103" i="10"/>
  <c r="E97" i="10"/>
  <c r="E94" i="10"/>
  <c r="E92" i="10"/>
  <c r="E120" i="10"/>
  <c r="E89" i="10"/>
  <c r="E105" i="10"/>
  <c r="E112" i="10"/>
  <c r="E117" i="10"/>
  <c r="E114" i="10"/>
  <c r="E95" i="10"/>
  <c r="E111" i="10"/>
  <c r="E118" i="10"/>
  <c r="E99" i="10"/>
  <c r="E115" i="10"/>
  <c r="E109" i="10"/>
  <c r="E106" i="10"/>
  <c r="E119" i="10"/>
  <c r="E110" i="10"/>
  <c r="E91" i="10"/>
  <c r="E107" i="10"/>
  <c r="MS34" i="17"/>
  <c r="JM34" i="17"/>
  <c r="AW34" i="17"/>
  <c r="HI34" i="17"/>
  <c r="BY34" i="17"/>
  <c r="GU34" i="17"/>
  <c r="NG34" i="17"/>
  <c r="QM46" i="17"/>
  <c r="OI46" i="17"/>
  <c r="ME46" i="17"/>
  <c r="KA46" i="17"/>
  <c r="HI46" i="17"/>
  <c r="FE46" i="17"/>
  <c r="DA46" i="17"/>
  <c r="JM46" i="17"/>
  <c r="SC46" i="17"/>
  <c r="PY46" i="17"/>
  <c r="NU46" i="17"/>
  <c r="LQ46" i="17"/>
  <c r="GU46" i="17"/>
  <c r="EQ46" i="17"/>
  <c r="CM46" i="17"/>
  <c r="RO46" i="17"/>
  <c r="PK46" i="17"/>
  <c r="NG46" i="17"/>
  <c r="LC46" i="17"/>
  <c r="GG46" i="17"/>
  <c r="EC46" i="17"/>
  <c r="BY46" i="17"/>
  <c r="BK46" i="17"/>
  <c r="SQ46" i="17"/>
  <c r="RA46" i="17"/>
  <c r="OW46" i="17"/>
  <c r="MS46" i="17"/>
  <c r="KO46" i="17"/>
  <c r="HW46" i="17"/>
  <c r="FS46" i="17"/>
  <c r="DO46" i="17"/>
  <c r="AW46" i="17"/>
  <c r="G46" i="17"/>
  <c r="SQ63" i="17"/>
  <c r="QM63" i="17"/>
  <c r="OI63" i="17"/>
  <c r="ME63" i="17"/>
  <c r="KA63" i="17"/>
  <c r="HI63" i="17"/>
  <c r="FE63" i="17"/>
  <c r="DA63" i="17"/>
  <c r="AW63" i="17"/>
  <c r="SC63" i="17"/>
  <c r="PY63" i="17"/>
  <c r="NU63" i="17"/>
  <c r="LQ63" i="17"/>
  <c r="GU63" i="17"/>
  <c r="EQ63" i="17"/>
  <c r="CM63" i="17"/>
  <c r="G63" i="17"/>
  <c r="JM63" i="17"/>
  <c r="RO63" i="17"/>
  <c r="PK63" i="17"/>
  <c r="NG63" i="17"/>
  <c r="LC63" i="17"/>
  <c r="GG63" i="17"/>
  <c r="EC63" i="17"/>
  <c r="BY63" i="17"/>
  <c r="BK63" i="17"/>
  <c r="RA63" i="17"/>
  <c r="OW63" i="17"/>
  <c r="MS63" i="17"/>
  <c r="KO63" i="17"/>
  <c r="HW63" i="17"/>
  <c r="FS63" i="17"/>
  <c r="DO63" i="17"/>
  <c r="BK34" i="17"/>
  <c r="FS34" i="17"/>
  <c r="LQ34" i="17"/>
  <c r="RA34" i="17"/>
  <c r="GG34" i="17"/>
  <c r="ME34" i="17"/>
  <c r="RO34" i="17"/>
  <c r="CM34" i="17"/>
  <c r="HW34" i="17"/>
  <c r="OW34" i="17"/>
  <c r="DA34" i="17"/>
  <c r="PK34" i="17"/>
  <c r="EZ13" i="17"/>
  <c r="EM13" i="17"/>
  <c r="EM75" i="17" s="1"/>
  <c r="DO34" i="17"/>
  <c r="KO34" i="17"/>
  <c r="PY34" i="17"/>
  <c r="EC34" i="17"/>
  <c r="LC34" i="17"/>
  <c r="QM34" i="17"/>
  <c r="TE34" i="17"/>
  <c r="G34" i="17"/>
  <c r="EQ34" i="17"/>
  <c r="NU34" i="17"/>
  <c r="SC34" i="17"/>
  <c r="FE34" i="17"/>
  <c r="KA34" i="17"/>
  <c r="OI34" i="17"/>
  <c r="RN31" i="17"/>
  <c r="QL31" i="17"/>
  <c r="PJ31" i="17"/>
  <c r="OH31" i="17"/>
  <c r="NF31" i="17"/>
  <c r="MD31" i="17"/>
  <c r="LB31" i="17"/>
  <c r="JZ31" i="17"/>
  <c r="HH31" i="17"/>
  <c r="GF31" i="17"/>
  <c r="FD31" i="17"/>
  <c r="EB31" i="17"/>
  <c r="CZ31" i="17"/>
  <c r="BX31" i="17"/>
  <c r="JL31" i="17"/>
  <c r="SP31" i="17"/>
  <c r="SB31" i="17"/>
  <c r="QZ31" i="17"/>
  <c r="PX31" i="17"/>
  <c r="OV31" i="17"/>
  <c r="NT31" i="17"/>
  <c r="MR31" i="17"/>
  <c r="LP31" i="17"/>
  <c r="KN31" i="17"/>
  <c r="HV31" i="17"/>
  <c r="GT31" i="17"/>
  <c r="FR31" i="17"/>
  <c r="EP31" i="17"/>
  <c r="DN31" i="17"/>
  <c r="CL31" i="17"/>
  <c r="BJ31" i="17"/>
  <c r="AV31" i="17"/>
  <c r="F31" i="17"/>
  <c r="JL30" i="17"/>
  <c r="SP30" i="17"/>
  <c r="RN30" i="17"/>
  <c r="QL30" i="17"/>
  <c r="PJ30" i="17"/>
  <c r="OH30" i="17"/>
  <c r="NF30" i="17"/>
  <c r="MD30" i="17"/>
  <c r="LB30" i="17"/>
  <c r="JZ30" i="17"/>
  <c r="HH30" i="17"/>
  <c r="GF30" i="17"/>
  <c r="FD30" i="17"/>
  <c r="EB30" i="17"/>
  <c r="CZ30" i="17"/>
  <c r="BX30" i="17"/>
  <c r="SB30" i="17"/>
  <c r="QZ30" i="17"/>
  <c r="PX30" i="17"/>
  <c r="OV30" i="17"/>
  <c r="NT30" i="17"/>
  <c r="MR30" i="17"/>
  <c r="LP30" i="17"/>
  <c r="KN30" i="17"/>
  <c r="HV30" i="17"/>
  <c r="GT30" i="17"/>
  <c r="FR30" i="17"/>
  <c r="EP30" i="17"/>
  <c r="DN30" i="17"/>
  <c r="CL30" i="17"/>
  <c r="AV30" i="17"/>
  <c r="F30" i="17"/>
  <c r="BJ30" i="17"/>
  <c r="TE46" i="17"/>
  <c r="TE63" i="17"/>
  <c r="TD30" i="17"/>
  <c r="TD31" i="17"/>
  <c r="J10" i="1"/>
  <c r="E75" i="4"/>
  <c r="EZ75" i="17" l="1"/>
  <c r="Y70" i="6"/>
  <c r="X70" i="6"/>
  <c r="Y66" i="6"/>
  <c r="X66" i="6"/>
  <c r="Y68" i="6"/>
  <c r="X68" i="6"/>
  <c r="FA13" i="17"/>
  <c r="FA75" i="17" s="1"/>
  <c r="FN13" i="17"/>
  <c r="RO33" i="17"/>
  <c r="QM33" i="17"/>
  <c r="PK33" i="17"/>
  <c r="OI33" i="17"/>
  <c r="NG33" i="17"/>
  <c r="ME33" i="17"/>
  <c r="LC33" i="17"/>
  <c r="KA33" i="17"/>
  <c r="HI33" i="17"/>
  <c r="GG33" i="17"/>
  <c r="FE33" i="17"/>
  <c r="EC33" i="17"/>
  <c r="DA33" i="17"/>
  <c r="BY33" i="17"/>
  <c r="JM33" i="17"/>
  <c r="SQ33" i="17"/>
  <c r="SC33" i="17"/>
  <c r="RA33" i="17"/>
  <c r="PY33" i="17"/>
  <c r="OW33" i="17"/>
  <c r="NU33" i="17"/>
  <c r="MS33" i="17"/>
  <c r="LQ33" i="17"/>
  <c r="KO33" i="17"/>
  <c r="HW33" i="17"/>
  <c r="GU33" i="17"/>
  <c r="FS33" i="17"/>
  <c r="EQ33" i="17"/>
  <c r="DO33" i="17"/>
  <c r="CM33" i="17"/>
  <c r="BK33" i="17"/>
  <c r="AW33" i="17"/>
  <c r="G33" i="17"/>
  <c r="M21" i="6"/>
  <c r="M57" i="6"/>
  <c r="M19" i="6"/>
  <c r="TE33" i="17"/>
  <c r="FN75" i="17" l="1"/>
  <c r="FO13" i="17"/>
  <c r="FO75" i="17" s="1"/>
  <c r="GB13" i="17"/>
  <c r="R21" i="6"/>
  <c r="GB75" i="17" l="1"/>
  <c r="GP13" i="17"/>
  <c r="GC13" i="17"/>
  <c r="GC75" i="17" s="1"/>
  <c r="E14" i="9"/>
  <c r="E15" i="9"/>
  <c r="B146" i="5"/>
  <c r="GP75" i="17" l="1"/>
  <c r="HD13" i="17"/>
  <c r="GQ13" i="17"/>
  <c r="GQ75" i="17" s="1"/>
  <c r="G97" i="9"/>
  <c r="G96" i="9"/>
  <c r="F95" i="9"/>
  <c r="F94" i="9"/>
  <c r="F93" i="9"/>
  <c r="HD75" i="17" l="1"/>
  <c r="HE13" i="17"/>
  <c r="HE75" i="17" s="1"/>
  <c r="HR13" i="17"/>
  <c r="JH13" i="17" s="1"/>
  <c r="JJ17" i="17" l="1"/>
  <c r="JI13" i="17"/>
  <c r="JV13" i="17"/>
  <c r="JH75" i="17"/>
  <c r="JJ20" i="17"/>
  <c r="JJ16" i="17"/>
  <c r="HR75" i="17"/>
  <c r="HS13" i="17"/>
  <c r="HS75" i="17" s="1"/>
  <c r="C85" i="10"/>
  <c r="C84" i="10"/>
  <c r="G73" i="10"/>
  <c r="G71" i="10"/>
  <c r="G67" i="10"/>
  <c r="G68" i="10" s="1"/>
  <c r="G65" i="10"/>
  <c r="G53" i="10"/>
  <c r="G54" i="10" s="1"/>
  <c r="G55" i="10" s="1"/>
  <c r="G56" i="10" s="1"/>
  <c r="G57" i="10" s="1"/>
  <c r="G58" i="10" s="1"/>
  <c r="G59" i="10" s="1"/>
  <c r="G60" i="10" s="1"/>
  <c r="G61" i="10" s="1"/>
  <c r="G62" i="10" s="1"/>
  <c r="G63" i="10" s="1"/>
  <c r="G48" i="10"/>
  <c r="G49" i="10" s="1"/>
  <c r="G50" i="10" s="1"/>
  <c r="G46" i="10"/>
  <c r="G40" i="10"/>
  <c r="G41" i="10" s="1"/>
  <c r="G42" i="10" s="1"/>
  <c r="G38" i="10"/>
  <c r="G35" i="10"/>
  <c r="G36" i="10" s="1"/>
  <c r="G32" i="10"/>
  <c r="G28" i="10"/>
  <c r="G29" i="10" s="1"/>
  <c r="G26" i="10"/>
  <c r="G22" i="10"/>
  <c r="G23" i="10" s="1"/>
  <c r="G24" i="10" s="1"/>
  <c r="G18" i="10"/>
  <c r="G11" i="10"/>
  <c r="G12" i="10" s="1"/>
  <c r="G13" i="10" s="1"/>
  <c r="G14" i="10" s="1"/>
  <c r="G15" i="10" s="1"/>
  <c r="G16" i="10" s="1"/>
  <c r="G6" i="10"/>
  <c r="G7" i="10" s="1"/>
  <c r="E11" i="9"/>
  <c r="C14" i="9"/>
  <c r="C15" i="9"/>
  <c r="JI75" i="17" l="1"/>
  <c r="JV75" i="17" l="1"/>
  <c r="JW13" i="17"/>
  <c r="JW75" i="17" s="1"/>
  <c r="KJ13" i="17"/>
  <c r="KJ75" i="17" l="1"/>
  <c r="KX13" i="17"/>
  <c r="KK13" i="17"/>
  <c r="KK75" i="17" s="1"/>
  <c r="KX75" i="17" l="1"/>
  <c r="LL13" i="17"/>
  <c r="KY13" i="17"/>
  <c r="KY75" i="17" s="1"/>
  <c r="LL75" i="17" l="1"/>
  <c r="LM13" i="17"/>
  <c r="LM75" i="17" s="1"/>
  <c r="LZ13" i="17"/>
  <c r="V1" i="6"/>
  <c r="W1" i="6"/>
  <c r="S8" i="5"/>
  <c r="S9" i="5"/>
  <c r="H34" i="6"/>
  <c r="D25" i="5"/>
  <c r="E119" i="4" s="1"/>
  <c r="D27" i="5"/>
  <c r="B118" i="4"/>
  <c r="B145" i="5" s="1"/>
  <c r="B117" i="4"/>
  <c r="B144" i="5" s="1"/>
  <c r="B116" i="4"/>
  <c r="B143" i="5" s="1"/>
  <c r="B115" i="4"/>
  <c r="B142" i="5" s="1"/>
  <c r="B114" i="4"/>
  <c r="B141" i="5" s="1"/>
  <c r="B113" i="4"/>
  <c r="B140" i="5" s="1"/>
  <c r="B112" i="4"/>
  <c r="B139" i="5" s="1"/>
  <c r="B111" i="4"/>
  <c r="B138" i="5" s="1"/>
  <c r="B110" i="4"/>
  <c r="B137" i="5" s="1"/>
  <c r="B109" i="4"/>
  <c r="B136" i="5" s="1"/>
  <c r="B108" i="4"/>
  <c r="B135" i="5" s="1"/>
  <c r="B107" i="4"/>
  <c r="B134" i="5" s="1"/>
  <c r="B106" i="4"/>
  <c r="B133" i="5" s="1"/>
  <c r="B105" i="4"/>
  <c r="B132" i="5" s="1"/>
  <c r="B104" i="4"/>
  <c r="B131" i="5" s="1"/>
  <c r="B103" i="4"/>
  <c r="B130" i="5" s="1"/>
  <c r="B102" i="4"/>
  <c r="B129" i="5" s="1"/>
  <c r="B101" i="4"/>
  <c r="B128" i="5" s="1"/>
  <c r="B100" i="4"/>
  <c r="B127" i="5" s="1"/>
  <c r="B99" i="4"/>
  <c r="B126" i="5" s="1"/>
  <c r="B98" i="4"/>
  <c r="B125" i="5" s="1"/>
  <c r="B97" i="4"/>
  <c r="B124" i="5" s="1"/>
  <c r="B96" i="4"/>
  <c r="B123" i="5" s="1"/>
  <c r="B95" i="4"/>
  <c r="B122" i="5" s="1"/>
  <c r="B94" i="4"/>
  <c r="B121" i="5" s="1"/>
  <c r="B93" i="4"/>
  <c r="B120" i="5" s="1"/>
  <c r="B92" i="4"/>
  <c r="B119" i="5" s="1"/>
  <c r="B91" i="4"/>
  <c r="B118" i="5" s="1"/>
  <c r="B90" i="4"/>
  <c r="B117" i="5" s="1"/>
  <c r="B89" i="4"/>
  <c r="B116" i="5" s="1"/>
  <c r="B88" i="4"/>
  <c r="B115" i="5" s="1"/>
  <c r="B87" i="4"/>
  <c r="B114" i="5" s="1"/>
  <c r="B86" i="4"/>
  <c r="B113" i="5" s="1"/>
  <c r="B85" i="4"/>
  <c r="B112" i="5" s="1"/>
  <c r="B84" i="4"/>
  <c r="B111" i="5" s="1"/>
  <c r="B83" i="4"/>
  <c r="B110" i="5" s="1"/>
  <c r="B82" i="4"/>
  <c r="B109" i="5" s="1"/>
  <c r="B81" i="4"/>
  <c r="B108" i="5" s="1"/>
  <c r="B80" i="4"/>
  <c r="B107" i="5" s="1"/>
  <c r="B79" i="4"/>
  <c r="B106" i="5" s="1"/>
  <c r="B78" i="4"/>
  <c r="B105" i="5" s="1"/>
  <c r="B77" i="4"/>
  <c r="B104" i="5" s="1"/>
  <c r="B76" i="4"/>
  <c r="B103" i="5" s="1"/>
  <c r="B75" i="4"/>
  <c r="B102" i="5" s="1"/>
  <c r="B74" i="4"/>
  <c r="B101" i="5" s="1"/>
  <c r="B73" i="4"/>
  <c r="B100" i="5" s="1"/>
  <c r="B72" i="4"/>
  <c r="B99" i="5" s="1"/>
  <c r="B71" i="4"/>
  <c r="B98" i="5" s="1"/>
  <c r="B70" i="4"/>
  <c r="B97" i="5" s="1"/>
  <c r="B69" i="4"/>
  <c r="B96" i="5" s="1"/>
  <c r="B68" i="4"/>
  <c r="B95" i="5" s="1"/>
  <c r="B67" i="4"/>
  <c r="B94" i="5" s="1"/>
  <c r="B66" i="4"/>
  <c r="B93" i="5" s="1"/>
  <c r="B65" i="4"/>
  <c r="B92" i="5" s="1"/>
  <c r="B64" i="4"/>
  <c r="B91" i="5" s="1"/>
  <c r="B63" i="4"/>
  <c r="B90" i="5" s="1"/>
  <c r="B62" i="4"/>
  <c r="B89" i="5" s="1"/>
  <c r="B61" i="4"/>
  <c r="B88" i="5" s="1"/>
  <c r="B60" i="4"/>
  <c r="B87" i="5" s="1"/>
  <c r="B59" i="4"/>
  <c r="B86" i="5" s="1"/>
  <c r="B58" i="4"/>
  <c r="B85" i="5" s="1"/>
  <c r="B57" i="4"/>
  <c r="B84" i="5" s="1"/>
  <c r="B56" i="4"/>
  <c r="B83" i="5" s="1"/>
  <c r="B55" i="4"/>
  <c r="B82" i="5" s="1"/>
  <c r="B54" i="4"/>
  <c r="B81" i="5" s="1"/>
  <c r="B53" i="4"/>
  <c r="B80" i="5" s="1"/>
  <c r="B52" i="4"/>
  <c r="B79" i="5" s="1"/>
  <c r="B51" i="4"/>
  <c r="B78" i="5" s="1"/>
  <c r="B50" i="4"/>
  <c r="B77" i="5" s="1"/>
  <c r="B49" i="4"/>
  <c r="B76" i="5" s="1"/>
  <c r="B48" i="4"/>
  <c r="B75" i="5" s="1"/>
  <c r="B47" i="4"/>
  <c r="B74" i="5" s="1"/>
  <c r="B46" i="4"/>
  <c r="B73" i="5" s="1"/>
  <c r="B45" i="4"/>
  <c r="B72" i="5" s="1"/>
  <c r="B44" i="4"/>
  <c r="B71" i="5" s="1"/>
  <c r="B43" i="4"/>
  <c r="B70" i="5" s="1"/>
  <c r="B42" i="4"/>
  <c r="B69" i="5" s="1"/>
  <c r="B41" i="4"/>
  <c r="B68" i="5" s="1"/>
  <c r="B40" i="4"/>
  <c r="B67" i="5" s="1"/>
  <c r="B39" i="4"/>
  <c r="B66" i="5" s="1"/>
  <c r="B38" i="4"/>
  <c r="B65" i="5" s="1"/>
  <c r="B37" i="4"/>
  <c r="B64" i="5" s="1"/>
  <c r="B36" i="4"/>
  <c r="B63" i="5" s="1"/>
  <c r="B35" i="4"/>
  <c r="B62" i="5" s="1"/>
  <c r="B34" i="4"/>
  <c r="B61" i="5" s="1"/>
  <c r="B33" i="4"/>
  <c r="B60" i="5" s="1"/>
  <c r="B32" i="4"/>
  <c r="B59" i="5" s="1"/>
  <c r="B31" i="4"/>
  <c r="B58" i="5" s="1"/>
  <c r="B30" i="4"/>
  <c r="B57" i="5" s="1"/>
  <c r="B29" i="4"/>
  <c r="B56" i="5" s="1"/>
  <c r="B28" i="4"/>
  <c r="B55" i="5" s="1"/>
  <c r="B27" i="4"/>
  <c r="B54" i="5" s="1"/>
  <c r="B26" i="4"/>
  <c r="B53" i="5" s="1"/>
  <c r="B25" i="4"/>
  <c r="B52" i="5" s="1"/>
  <c r="B24" i="4"/>
  <c r="B51" i="5" s="1"/>
  <c r="B23" i="4"/>
  <c r="B50" i="5" s="1"/>
  <c r="B22" i="4"/>
  <c r="B49" i="5" s="1"/>
  <c r="B21" i="4"/>
  <c r="B48" i="5" s="1"/>
  <c r="B20" i="4"/>
  <c r="B47" i="5" s="1"/>
  <c r="B19" i="4"/>
  <c r="B46" i="5" s="1"/>
  <c r="B18" i="4"/>
  <c r="B45" i="5" s="1"/>
  <c r="B17" i="4"/>
  <c r="B44" i="5" s="1"/>
  <c r="B16" i="4"/>
  <c r="B43" i="5" s="1"/>
  <c r="B15" i="4"/>
  <c r="B42" i="5" s="1"/>
  <c r="B14" i="4"/>
  <c r="B41" i="5" s="1"/>
  <c r="B13" i="4"/>
  <c r="B40" i="5" s="1"/>
  <c r="B12" i="4"/>
  <c r="B39" i="5" s="1"/>
  <c r="B11" i="4"/>
  <c r="B38" i="5" s="1"/>
  <c r="B10" i="4"/>
  <c r="B37" i="5" s="1"/>
  <c r="B9" i="4"/>
  <c r="B36" i="5" s="1"/>
  <c r="B8" i="4"/>
  <c r="B35" i="5" s="1"/>
  <c r="B7" i="4"/>
  <c r="B34" i="5" s="1"/>
  <c r="B6" i="4"/>
  <c r="LZ75" i="17" l="1"/>
  <c r="AC34" i="6"/>
  <c r="MA13" i="17"/>
  <c r="MA75" i="17" s="1"/>
  <c r="MN13" i="17"/>
  <c r="H22" i="6"/>
  <c r="H12" i="6"/>
  <c r="H2" i="6"/>
  <c r="H30" i="6"/>
  <c r="H42" i="6"/>
  <c r="H44" i="6"/>
  <c r="H56" i="6"/>
  <c r="H10" i="6"/>
  <c r="H26" i="6"/>
  <c r="H52" i="6"/>
  <c r="M20" i="6"/>
  <c r="H20" i="6"/>
  <c r="H50" i="6"/>
  <c r="H16" i="6"/>
  <c r="M24" i="6"/>
  <c r="H24" i="6"/>
  <c r="H18" i="6"/>
  <c r="H28" i="6"/>
  <c r="H64" i="6"/>
  <c r="H38" i="6"/>
  <c r="H6" i="6"/>
  <c r="H32" i="6"/>
  <c r="H40" i="6"/>
  <c r="H46" i="6"/>
  <c r="H54" i="6"/>
  <c r="M37" i="6"/>
  <c r="H36" i="6"/>
  <c r="M31" i="6"/>
  <c r="M33" i="6"/>
  <c r="M34" i="6"/>
  <c r="M47" i="6"/>
  <c r="M55" i="6"/>
  <c r="M65" i="6"/>
  <c r="M13" i="6"/>
  <c r="M17" i="6"/>
  <c r="M27" i="6"/>
  <c r="M53" i="6"/>
  <c r="D8" i="5"/>
  <c r="E8" i="5" s="1"/>
  <c r="D9" i="5"/>
  <c r="B33" i="5"/>
  <c r="M49" i="6"/>
  <c r="M70" i="6"/>
  <c r="RB66" i="17" l="1"/>
  <c r="OX66" i="17"/>
  <c r="KP66" i="17"/>
  <c r="KP70" i="17" s="1"/>
  <c r="KP71" i="17" s="1"/>
  <c r="HX66" i="17"/>
  <c r="GV66" i="17"/>
  <c r="DP66" i="17"/>
  <c r="NV66" i="17"/>
  <c r="LR66" i="17"/>
  <c r="LR70" i="17" s="1"/>
  <c r="LR71" i="17" s="1"/>
  <c r="CN66" i="17"/>
  <c r="OJ66" i="17"/>
  <c r="AX66" i="17"/>
  <c r="AX67" i="17" s="1"/>
  <c r="AX68" i="17" s="1"/>
  <c r="AX69" i="17" s="1"/>
  <c r="ED66" i="17"/>
  <c r="NH66" i="17"/>
  <c r="GH66" i="17"/>
  <c r="LD66" i="17"/>
  <c r="LD70" i="17" s="1"/>
  <c r="LD71" i="17" s="1"/>
  <c r="FF66" i="17"/>
  <c r="FF70" i="17" s="1"/>
  <c r="FF71" i="17" s="1"/>
  <c r="JN66" i="17"/>
  <c r="MF66" i="17"/>
  <c r="KB66" i="17"/>
  <c r="FT66" i="17"/>
  <c r="ER66" i="17"/>
  <c r="BZ66" i="17"/>
  <c r="BZ70" i="17" s="1"/>
  <c r="BZ71" i="17" s="1"/>
  <c r="HJ66" i="17"/>
  <c r="H66" i="17"/>
  <c r="GV70" i="17"/>
  <c r="GV71" i="17" s="1"/>
  <c r="GV67" i="17"/>
  <c r="GV68" i="17" s="1"/>
  <c r="GV69" i="17" s="1"/>
  <c r="FF67" i="17"/>
  <c r="FF68" i="17" s="1"/>
  <c r="FF69" i="17" s="1"/>
  <c r="JK33" i="17"/>
  <c r="MN75" i="17"/>
  <c r="AC2" i="6"/>
  <c r="AB34" i="6"/>
  <c r="AB70" i="6"/>
  <c r="AC50" i="6"/>
  <c r="AC52" i="6"/>
  <c r="AC38" i="6"/>
  <c r="AC18" i="6"/>
  <c r="AC30" i="6"/>
  <c r="AC36" i="6"/>
  <c r="AC54" i="6"/>
  <c r="AC20" i="6"/>
  <c r="AC44" i="6"/>
  <c r="AC6" i="6"/>
  <c r="AC64" i="6"/>
  <c r="AC16" i="6"/>
  <c r="AC56" i="6"/>
  <c r="AC42" i="6"/>
  <c r="AC12" i="6"/>
  <c r="AC40" i="6"/>
  <c r="AC28" i="6"/>
  <c r="AC22" i="6"/>
  <c r="AC32" i="6"/>
  <c r="FQ32" i="17"/>
  <c r="FT32" i="17" s="1"/>
  <c r="AB24" i="6"/>
  <c r="AC10" i="6"/>
  <c r="AC46" i="6"/>
  <c r="EO32" i="17"/>
  <c r="ER32" i="17" s="1"/>
  <c r="AB20" i="6"/>
  <c r="AC24" i="6"/>
  <c r="AC26" i="6"/>
  <c r="E9" i="5"/>
  <c r="P9" i="5"/>
  <c r="M56" i="6"/>
  <c r="M4" i="6"/>
  <c r="M48" i="6"/>
  <c r="G8" i="5"/>
  <c r="MO13" i="17"/>
  <c r="MO75" i="17" s="1"/>
  <c r="NB13" i="17"/>
  <c r="M18" i="6"/>
  <c r="I8" i="5"/>
  <c r="M50" i="6"/>
  <c r="F8" i="5"/>
  <c r="H8" i="5"/>
  <c r="K8" i="5"/>
  <c r="KM33" i="17"/>
  <c r="KP33" i="17" s="1"/>
  <c r="KU33" i="17" s="1"/>
  <c r="HU33" i="17"/>
  <c r="HX33" i="17" s="1"/>
  <c r="GS33" i="17"/>
  <c r="GV33" i="17" s="1"/>
  <c r="HA33" i="17" s="1"/>
  <c r="FQ33" i="17"/>
  <c r="FT33" i="17" s="1"/>
  <c r="DM33" i="17"/>
  <c r="DP33" i="17" s="1"/>
  <c r="GE33" i="17"/>
  <c r="GH33" i="17" s="1"/>
  <c r="MQ33" i="17"/>
  <c r="MT33" i="17" s="1"/>
  <c r="LA33" i="17"/>
  <c r="LD33" i="17" s="1"/>
  <c r="LI33" i="17" s="1"/>
  <c r="HG33" i="17"/>
  <c r="HJ33" i="17" s="1"/>
  <c r="E33" i="17"/>
  <c r="FC33" i="17"/>
  <c r="FF33" i="17" s="1"/>
  <c r="FK33" i="17" s="1"/>
  <c r="MC33" i="17"/>
  <c r="MF33" i="17" s="1"/>
  <c r="AU33" i="17"/>
  <c r="AX33" i="17" s="1"/>
  <c r="BC33" i="17" s="1"/>
  <c r="JY33" i="17"/>
  <c r="KB33" i="17" s="1"/>
  <c r="EA33" i="17"/>
  <c r="ED33" i="17" s="1"/>
  <c r="EO33" i="17"/>
  <c r="ER33" i="17" s="1"/>
  <c r="BW33" i="17"/>
  <c r="BZ33" i="17" s="1"/>
  <c r="CE33" i="17" s="1"/>
  <c r="LO33" i="17"/>
  <c r="LR33" i="17" s="1"/>
  <c r="LW33" i="17" s="1"/>
  <c r="CK33" i="17"/>
  <c r="CN33" i="17" s="1"/>
  <c r="M38" i="6"/>
  <c r="M42" i="6"/>
  <c r="M2" i="6"/>
  <c r="M6" i="6"/>
  <c r="M40" i="6"/>
  <c r="M10" i="6"/>
  <c r="M46" i="6"/>
  <c r="M30" i="6"/>
  <c r="M44" i="6"/>
  <c r="M28" i="6"/>
  <c r="M16" i="6"/>
  <c r="M64" i="6"/>
  <c r="M36" i="6"/>
  <c r="JK32" i="17" s="1"/>
  <c r="M26" i="6"/>
  <c r="M12" i="6"/>
  <c r="M54" i="6"/>
  <c r="M32" i="6"/>
  <c r="M8" i="6"/>
  <c r="H60" i="6"/>
  <c r="H8" i="6"/>
  <c r="M15" i="6"/>
  <c r="R15" i="6" s="1"/>
  <c r="H14" i="6"/>
  <c r="M52" i="6"/>
  <c r="R53" i="6"/>
  <c r="M22" i="6"/>
  <c r="I9" i="5"/>
  <c r="H9" i="5"/>
  <c r="K9" i="5"/>
  <c r="F9" i="5"/>
  <c r="D22" i="5"/>
  <c r="R33" i="6"/>
  <c r="MQ32" i="17"/>
  <c r="MT32" i="17" s="1"/>
  <c r="R57" i="6"/>
  <c r="R47" i="6"/>
  <c r="P8" i="5"/>
  <c r="M8" i="5"/>
  <c r="G9" i="5"/>
  <c r="M9" i="5"/>
  <c r="J9" i="5"/>
  <c r="L9" i="5"/>
  <c r="L8" i="5"/>
  <c r="J8" i="5"/>
  <c r="R9" i="6"/>
  <c r="R37" i="6"/>
  <c r="R65" i="6"/>
  <c r="R39" i="6"/>
  <c r="R51" i="6"/>
  <c r="R55" i="6"/>
  <c r="R19" i="6"/>
  <c r="R17" i="6"/>
  <c r="R31" i="6"/>
  <c r="R27" i="6"/>
  <c r="R3" i="6"/>
  <c r="R63" i="6"/>
  <c r="R49" i="6"/>
  <c r="R13" i="6"/>
  <c r="E22" i="5"/>
  <c r="LR67" i="17" l="1"/>
  <c r="LR68" i="17" s="1"/>
  <c r="LR69" i="17" s="1"/>
  <c r="BZ67" i="17"/>
  <c r="BZ68" i="17" s="1"/>
  <c r="BZ69" i="17" s="1"/>
  <c r="LD67" i="17"/>
  <c r="LD68" i="17" s="1"/>
  <c r="LD69" i="17" s="1"/>
  <c r="AX70" i="17"/>
  <c r="AX71" i="17" s="1"/>
  <c r="BC71" i="17" s="1"/>
  <c r="KP67" i="17"/>
  <c r="KP68" i="17" s="1"/>
  <c r="KP69" i="17" s="1"/>
  <c r="DB66" i="17"/>
  <c r="BL66" i="17"/>
  <c r="PZ66" i="17"/>
  <c r="PZ70" i="17" s="1"/>
  <c r="PZ71" i="17" s="1"/>
  <c r="FK71" i="17"/>
  <c r="EZ86" i="17"/>
  <c r="LI69" i="17"/>
  <c r="KX85" i="17"/>
  <c r="HA69" i="17"/>
  <c r="GP85" i="17"/>
  <c r="AR85" i="17"/>
  <c r="BC69" i="17"/>
  <c r="LI71" i="17"/>
  <c r="KX86" i="17"/>
  <c r="HA71" i="17"/>
  <c r="GP86" i="17"/>
  <c r="CE69" i="17"/>
  <c r="BT85" i="17"/>
  <c r="LW69" i="17"/>
  <c r="LL85" i="17"/>
  <c r="KU69" i="17"/>
  <c r="KJ85" i="17"/>
  <c r="FK69" i="17"/>
  <c r="EZ85" i="17"/>
  <c r="CE71" i="17"/>
  <c r="BT86" i="17"/>
  <c r="LW71" i="17"/>
  <c r="LL86" i="17"/>
  <c r="KU71" i="17"/>
  <c r="KJ86" i="17"/>
  <c r="H33" i="17"/>
  <c r="NE33" i="17"/>
  <c r="NH33" i="17" s="1"/>
  <c r="NB75" i="17"/>
  <c r="H72" i="6"/>
  <c r="AB4" i="6"/>
  <c r="AB54" i="6"/>
  <c r="AB64" i="6"/>
  <c r="AB52" i="6"/>
  <c r="AB56" i="6"/>
  <c r="AB48" i="6"/>
  <c r="AC60" i="6"/>
  <c r="AC14" i="6"/>
  <c r="BI32" i="17"/>
  <c r="BL32" i="17" s="1"/>
  <c r="AB8" i="6"/>
  <c r="GE32" i="17"/>
  <c r="GH32" i="17" s="1"/>
  <c r="AB26" i="6"/>
  <c r="BW32" i="17"/>
  <c r="BZ32" i="17" s="1"/>
  <c r="CE32" i="17" s="1"/>
  <c r="AB10" i="6"/>
  <c r="JY32" i="17"/>
  <c r="KB32" i="17" s="1"/>
  <c r="AB38" i="6"/>
  <c r="HU32" i="17"/>
  <c r="HX32" i="17" s="1"/>
  <c r="AB32" i="6"/>
  <c r="NE32" i="17"/>
  <c r="NH32" i="17" s="1"/>
  <c r="AB50" i="6"/>
  <c r="AC8" i="6"/>
  <c r="CK32" i="17"/>
  <c r="CN32" i="17" s="1"/>
  <c r="AB12" i="6"/>
  <c r="DM32" i="17"/>
  <c r="DP32" i="17" s="1"/>
  <c r="AB16" i="6"/>
  <c r="AU32" i="17"/>
  <c r="AX32" i="17" s="1"/>
  <c r="BC32" i="17" s="1"/>
  <c r="AB6" i="6"/>
  <c r="EA32" i="17"/>
  <c r="ED32" i="17" s="1"/>
  <c r="AB18" i="6"/>
  <c r="FC32" i="17"/>
  <c r="FF32" i="17" s="1"/>
  <c r="FK32" i="17" s="1"/>
  <c r="AB22" i="6"/>
  <c r="LO32" i="17"/>
  <c r="LR32" i="17" s="1"/>
  <c r="LW32" i="17" s="1"/>
  <c r="AB44" i="6"/>
  <c r="MC32" i="17"/>
  <c r="MF32" i="17" s="1"/>
  <c r="AB46" i="6"/>
  <c r="LA32" i="17"/>
  <c r="LD32" i="17" s="1"/>
  <c r="LI32" i="17" s="1"/>
  <c r="AB42" i="6"/>
  <c r="JN32" i="17"/>
  <c r="AB36" i="6"/>
  <c r="GS32" i="17"/>
  <c r="GV32" i="17" s="1"/>
  <c r="HA32" i="17" s="1"/>
  <c r="AB28" i="6"/>
  <c r="HG32" i="17"/>
  <c r="HJ32" i="17" s="1"/>
  <c r="AB30" i="6"/>
  <c r="KM32" i="17"/>
  <c r="KP32" i="17" s="1"/>
  <c r="KU32" i="17" s="1"/>
  <c r="AB40" i="6"/>
  <c r="E32" i="17"/>
  <c r="AB2" i="6"/>
  <c r="H51" i="9"/>
  <c r="R4" i="6"/>
  <c r="R48" i="6"/>
  <c r="R34" i="6"/>
  <c r="R52" i="6"/>
  <c r="R62" i="6"/>
  <c r="R58" i="6"/>
  <c r="NP13" i="17"/>
  <c r="NC13" i="17"/>
  <c r="NC75" i="17" s="1"/>
  <c r="H22" i="5"/>
  <c r="CY33" i="17"/>
  <c r="DB33" i="17" s="1"/>
  <c r="BI33" i="17"/>
  <c r="BL33" i="17" s="1"/>
  <c r="JN33" i="17"/>
  <c r="M60" i="6"/>
  <c r="R12" i="6"/>
  <c r="R64" i="6"/>
  <c r="R26" i="6"/>
  <c r="R20" i="6"/>
  <c r="R22" i="6"/>
  <c r="M14" i="6"/>
  <c r="R24" i="6"/>
  <c r="R30" i="6"/>
  <c r="R2" i="6"/>
  <c r="R56" i="6"/>
  <c r="R32" i="6"/>
  <c r="R42" i="6"/>
  <c r="R10" i="6"/>
  <c r="R40" i="6"/>
  <c r="R18" i="6"/>
  <c r="R50" i="6"/>
  <c r="R16" i="6"/>
  <c r="R44" i="6"/>
  <c r="R38" i="6"/>
  <c r="R54" i="6"/>
  <c r="R36" i="6"/>
  <c r="JJ19" i="17" s="1"/>
  <c r="R28" i="6"/>
  <c r="R46" i="6"/>
  <c r="R6" i="6"/>
  <c r="P22" i="5"/>
  <c r="F22" i="5"/>
  <c r="G22" i="5"/>
  <c r="K22" i="5"/>
  <c r="N8" i="5"/>
  <c r="Q8" i="5" s="1"/>
  <c r="R8" i="5" s="1"/>
  <c r="N9" i="5"/>
  <c r="O9" i="5" s="1"/>
  <c r="J22" i="5"/>
  <c r="L22" i="5"/>
  <c r="AR86" i="17" l="1"/>
  <c r="TF66" i="17"/>
  <c r="PZ67" i="17"/>
  <c r="PZ68" i="17" s="1"/>
  <c r="PZ69" i="17" s="1"/>
  <c r="PT85" i="17" s="1"/>
  <c r="H129" i="9"/>
  <c r="QE71" i="17"/>
  <c r="PT86" i="17"/>
  <c r="H32" i="17"/>
  <c r="NR19" i="17"/>
  <c r="NS24" i="17" s="1"/>
  <c r="NP75" i="17"/>
  <c r="NS32" i="17"/>
  <c r="NV32" i="17" s="1"/>
  <c r="Y50" i="6"/>
  <c r="X50" i="6"/>
  <c r="Y20" i="6"/>
  <c r="X20" i="6"/>
  <c r="ER24" i="17" s="1"/>
  <c r="Y28" i="6"/>
  <c r="X28" i="6"/>
  <c r="Y58" i="6"/>
  <c r="X58" i="6"/>
  <c r="Y48" i="6"/>
  <c r="X48" i="6"/>
  <c r="MT24" i="17" s="1"/>
  <c r="Y44" i="6"/>
  <c r="X44" i="6"/>
  <c r="Y40" i="6"/>
  <c r="X40" i="6"/>
  <c r="Y56" i="6"/>
  <c r="X56" i="6"/>
  <c r="Y64" i="6"/>
  <c r="X64" i="6"/>
  <c r="Y36" i="6"/>
  <c r="JN25" i="17" s="1"/>
  <c r="X36" i="6"/>
  <c r="JN24" i="17" s="1"/>
  <c r="Y16" i="6"/>
  <c r="X16" i="6"/>
  <c r="X10" i="6"/>
  <c r="Y10" i="6"/>
  <c r="Y22" i="6"/>
  <c r="X22" i="6"/>
  <c r="Y12" i="6"/>
  <c r="X12" i="6"/>
  <c r="Y62" i="6"/>
  <c r="X62" i="6"/>
  <c r="H49" i="9" s="1"/>
  <c r="Y4" i="6"/>
  <c r="X4" i="6"/>
  <c r="Y6" i="6"/>
  <c r="X6" i="6"/>
  <c r="Y42" i="6"/>
  <c r="X42" i="6"/>
  <c r="Y52" i="6"/>
  <c r="X52" i="6"/>
  <c r="NV24" i="17" s="1"/>
  <c r="Y54" i="6"/>
  <c r="X54" i="6"/>
  <c r="Y30" i="6"/>
  <c r="X30" i="6"/>
  <c r="Y46" i="6"/>
  <c r="X46" i="6"/>
  <c r="Y38" i="6"/>
  <c r="X38" i="6"/>
  <c r="Y18" i="6"/>
  <c r="X18" i="6"/>
  <c r="Y32" i="6"/>
  <c r="X32" i="6"/>
  <c r="Y24" i="6"/>
  <c r="X24" i="6"/>
  <c r="FT24" i="17" s="1"/>
  <c r="Y26" i="6"/>
  <c r="X26" i="6"/>
  <c r="Y34" i="6"/>
  <c r="X34" i="6"/>
  <c r="X2" i="6"/>
  <c r="Y2" i="6"/>
  <c r="AB60" i="6"/>
  <c r="CY32" i="17"/>
  <c r="DB32" i="17" s="1"/>
  <c r="AB14" i="6"/>
  <c r="W44" i="6"/>
  <c r="W64" i="6"/>
  <c r="W6" i="6"/>
  <c r="W54" i="6"/>
  <c r="W50" i="6"/>
  <c r="W42" i="6"/>
  <c r="W30" i="6"/>
  <c r="W22" i="6"/>
  <c r="W12" i="6"/>
  <c r="W52" i="6"/>
  <c r="W56" i="6"/>
  <c r="W46" i="6"/>
  <c r="W38" i="6"/>
  <c r="W18" i="6"/>
  <c r="W32" i="6"/>
  <c r="W24" i="6"/>
  <c r="W20" i="6"/>
  <c r="W34" i="6"/>
  <c r="W40" i="6"/>
  <c r="W26" i="6"/>
  <c r="W58" i="6"/>
  <c r="W48" i="6"/>
  <c r="W28" i="6"/>
  <c r="W36" i="6"/>
  <c r="W16" i="6"/>
  <c r="W10" i="6"/>
  <c r="W62" i="6"/>
  <c r="W4" i="6"/>
  <c r="W2" i="6"/>
  <c r="Q4" i="6"/>
  <c r="AT19" i="17"/>
  <c r="AU24" i="17" s="1"/>
  <c r="ND19" i="17"/>
  <c r="NE24" i="17" s="1"/>
  <c r="CJ19" i="17"/>
  <c r="CK24" i="17" s="1"/>
  <c r="FB19" i="17"/>
  <c r="FC24" i="17" s="1"/>
  <c r="BV19" i="17"/>
  <c r="BW24" i="17" s="1"/>
  <c r="MB19" i="17"/>
  <c r="MC24" i="17" s="1"/>
  <c r="JX19" i="17"/>
  <c r="JY24" i="17" s="1"/>
  <c r="DZ19" i="17"/>
  <c r="EA24" i="17" s="1"/>
  <c r="EN19" i="17"/>
  <c r="DL19" i="17"/>
  <c r="DM24" i="17" s="1"/>
  <c r="KL19" i="17"/>
  <c r="KM24" i="17" s="1"/>
  <c r="HT19" i="17"/>
  <c r="FP19" i="17"/>
  <c r="FQ24" i="17" s="1"/>
  <c r="GR19" i="17"/>
  <c r="GS24" i="17" s="1"/>
  <c r="LN19" i="17"/>
  <c r="LO24" i="17" s="1"/>
  <c r="MP19" i="17"/>
  <c r="MQ24" i="17" s="1"/>
  <c r="KZ19" i="17"/>
  <c r="LA24" i="17" s="1"/>
  <c r="HF19" i="17"/>
  <c r="HG24" i="17" s="1"/>
  <c r="GD19" i="17"/>
  <c r="GE24" i="17" s="1"/>
  <c r="AC72" i="6"/>
  <c r="R14" i="6"/>
  <c r="R8" i="6"/>
  <c r="R60" i="6"/>
  <c r="Q36" i="6"/>
  <c r="JJ18" i="17" s="1"/>
  <c r="OD13" i="17"/>
  <c r="NQ13" i="17"/>
  <c r="NQ75" i="17" s="1"/>
  <c r="NS33" i="17"/>
  <c r="NV33" i="17" s="1"/>
  <c r="D19" i="17"/>
  <c r="E20" i="9"/>
  <c r="E36" i="9"/>
  <c r="JL17" i="17"/>
  <c r="SP17" i="17"/>
  <c r="SB17" i="17"/>
  <c r="RN17" i="17"/>
  <c r="QZ17" i="17"/>
  <c r="QL17" i="17"/>
  <c r="PX17" i="17"/>
  <c r="PJ17" i="17"/>
  <c r="OV17" i="17"/>
  <c r="OH17" i="17"/>
  <c r="NT17" i="17"/>
  <c r="NF17" i="17"/>
  <c r="MR17" i="17"/>
  <c r="MD17" i="17"/>
  <c r="LP17" i="17"/>
  <c r="LB17" i="17"/>
  <c r="KN17" i="17"/>
  <c r="JZ17" i="17"/>
  <c r="HV17" i="17"/>
  <c r="HH17" i="17"/>
  <c r="GT17" i="17"/>
  <c r="GF17" i="17"/>
  <c r="FR17" i="17"/>
  <c r="FD17" i="17"/>
  <c r="EP17" i="17"/>
  <c r="EB17" i="17"/>
  <c r="DN17" i="17"/>
  <c r="CZ17" i="17"/>
  <c r="CL17" i="17"/>
  <c r="BX17" i="17"/>
  <c r="BJ17" i="17"/>
  <c r="AV17" i="17"/>
  <c r="F17" i="17"/>
  <c r="JL18" i="17"/>
  <c r="SP18" i="17"/>
  <c r="SB18" i="17"/>
  <c r="RN18" i="17"/>
  <c r="QZ18" i="17"/>
  <c r="QL18" i="17"/>
  <c r="PX18" i="17"/>
  <c r="PJ18" i="17"/>
  <c r="OV18" i="17"/>
  <c r="OH18" i="17"/>
  <c r="NT18" i="17"/>
  <c r="NF18" i="17"/>
  <c r="MR18" i="17"/>
  <c r="MD18" i="17"/>
  <c r="LP18" i="17"/>
  <c r="LB18" i="17"/>
  <c r="KN18" i="17"/>
  <c r="JZ18" i="17"/>
  <c r="HV18" i="17"/>
  <c r="HH18" i="17"/>
  <c r="GT18" i="17"/>
  <c r="GF18" i="17"/>
  <c r="FR18" i="17"/>
  <c r="FD18" i="17"/>
  <c r="EP18" i="17"/>
  <c r="EB18" i="17"/>
  <c r="DN18" i="17"/>
  <c r="CZ18" i="17"/>
  <c r="CL18" i="17"/>
  <c r="BX18" i="17"/>
  <c r="BJ18" i="17"/>
  <c r="AV18" i="17"/>
  <c r="F18" i="17"/>
  <c r="M72" i="6"/>
  <c r="F14" i="9"/>
  <c r="TD18" i="17"/>
  <c r="TD17" i="17"/>
  <c r="H52" i="9"/>
  <c r="H53" i="9"/>
  <c r="F85" i="10"/>
  <c r="Q9" i="5"/>
  <c r="O8" i="5"/>
  <c r="N22" i="5"/>
  <c r="O22" i="5" s="1"/>
  <c r="I22" i="5"/>
  <c r="QE69" i="17" l="1"/>
  <c r="EO24" i="17"/>
  <c r="ES19" i="17"/>
  <c r="JK31" i="17"/>
  <c r="JK34" i="17" s="1"/>
  <c r="JK30" i="17"/>
  <c r="E24" i="17"/>
  <c r="OF19" i="17"/>
  <c r="OG24" i="17" s="1"/>
  <c r="OD75" i="17"/>
  <c r="HU24" i="17"/>
  <c r="HY19" i="17"/>
  <c r="Y14" i="6"/>
  <c r="X14" i="6"/>
  <c r="DB24" i="17" s="1"/>
  <c r="Y8" i="6"/>
  <c r="X8" i="6"/>
  <c r="BL24" i="17" s="1"/>
  <c r="Y60" i="6"/>
  <c r="X60" i="6"/>
  <c r="W8" i="6"/>
  <c r="W14" i="6"/>
  <c r="AA36" i="6"/>
  <c r="W60" i="6"/>
  <c r="LR24" i="17"/>
  <c r="LW24" i="17" s="1"/>
  <c r="HX24" i="17"/>
  <c r="OJ24" i="17"/>
  <c r="AX24" i="17"/>
  <c r="BC24" i="17" s="1"/>
  <c r="HJ24" i="17"/>
  <c r="BZ24" i="17"/>
  <c r="CE24" i="17" s="1"/>
  <c r="KB24" i="17"/>
  <c r="DP24" i="17"/>
  <c r="GV24" i="17"/>
  <c r="HA24" i="17" s="1"/>
  <c r="CN24" i="17"/>
  <c r="NH24" i="17"/>
  <c r="GH24" i="17"/>
  <c r="GM24" i="17" s="1"/>
  <c r="LD24" i="17"/>
  <c r="LI24" i="17" s="1"/>
  <c r="FF24" i="17"/>
  <c r="FK24" i="17" s="1"/>
  <c r="ED24" i="17"/>
  <c r="MF24" i="17"/>
  <c r="KP24" i="17"/>
  <c r="KU24" i="17" s="1"/>
  <c r="Z36" i="6"/>
  <c r="AB72" i="6"/>
  <c r="AA4" i="6"/>
  <c r="Z4" i="6"/>
  <c r="AD4" i="6"/>
  <c r="V4" i="6"/>
  <c r="BH19" i="17"/>
  <c r="BI24" i="17" s="1"/>
  <c r="AD36" i="6"/>
  <c r="V36" i="6"/>
  <c r="CX19" i="17"/>
  <c r="CY24" i="17" s="1"/>
  <c r="OR13" i="17"/>
  <c r="OE13" i="17"/>
  <c r="OE75" i="17" s="1"/>
  <c r="OG33" i="17"/>
  <c r="OJ33" i="17" s="1"/>
  <c r="OG32" i="17"/>
  <c r="JL19" i="17"/>
  <c r="JN19" i="17" s="1"/>
  <c r="SP19" i="17"/>
  <c r="SB19" i="17"/>
  <c r="RN19" i="17"/>
  <c r="QZ19" i="17"/>
  <c r="QL19" i="17"/>
  <c r="PX19" i="17"/>
  <c r="PJ19" i="17"/>
  <c r="OV19" i="17"/>
  <c r="OH19" i="17"/>
  <c r="NT19" i="17"/>
  <c r="NV19" i="17" s="1"/>
  <c r="NF19" i="17"/>
  <c r="NH19" i="17" s="1"/>
  <c r="MR19" i="17"/>
  <c r="MT19" i="17" s="1"/>
  <c r="MD19" i="17"/>
  <c r="MF19" i="17" s="1"/>
  <c r="LP19" i="17"/>
  <c r="LR19" i="17" s="1"/>
  <c r="LW19" i="17" s="1"/>
  <c r="LB19" i="17"/>
  <c r="LD19" i="17" s="1"/>
  <c r="LI19" i="17" s="1"/>
  <c r="KN19" i="17"/>
  <c r="KP19" i="17" s="1"/>
  <c r="KU19" i="17" s="1"/>
  <c r="JZ19" i="17"/>
  <c r="KB19" i="17" s="1"/>
  <c r="HV19" i="17"/>
  <c r="HX19" i="17" s="1"/>
  <c r="HH19" i="17"/>
  <c r="HJ19" i="17" s="1"/>
  <c r="GT19" i="17"/>
  <c r="GV19" i="17" s="1"/>
  <c r="HA19" i="17" s="1"/>
  <c r="GF19" i="17"/>
  <c r="GH19" i="17" s="1"/>
  <c r="FR19" i="17"/>
  <c r="FT19" i="17" s="1"/>
  <c r="FD19" i="17"/>
  <c r="FF19" i="17" s="1"/>
  <c r="FK19" i="17" s="1"/>
  <c r="EP19" i="17"/>
  <c r="ER19" i="17" s="1"/>
  <c r="EB19" i="17"/>
  <c r="ED19" i="17" s="1"/>
  <c r="DN19" i="17"/>
  <c r="DP19" i="17" s="1"/>
  <c r="CZ19" i="17"/>
  <c r="CL19" i="17"/>
  <c r="CN19" i="17" s="1"/>
  <c r="BX19" i="17"/>
  <c r="BZ19" i="17" s="1"/>
  <c r="CE19" i="17" s="1"/>
  <c r="BJ19" i="17"/>
  <c r="AV19" i="17"/>
  <c r="AX19" i="17" s="1"/>
  <c r="BC19" i="17" s="1"/>
  <c r="F19" i="17"/>
  <c r="H19" i="17" s="1"/>
  <c r="JL16" i="17"/>
  <c r="SP16" i="17"/>
  <c r="SB16" i="17"/>
  <c r="RN16" i="17"/>
  <c r="QZ16" i="17"/>
  <c r="QL16" i="17"/>
  <c r="PX16" i="17"/>
  <c r="PJ16" i="17"/>
  <c r="OV16" i="17"/>
  <c r="OH16" i="17"/>
  <c r="NT16" i="17"/>
  <c r="NF16" i="17"/>
  <c r="MR16" i="17"/>
  <c r="MD16" i="17"/>
  <c r="LP16" i="17"/>
  <c r="LB16" i="17"/>
  <c r="KN16" i="17"/>
  <c r="JZ16" i="17"/>
  <c r="HV16" i="17"/>
  <c r="HH16" i="17"/>
  <c r="GT16" i="17"/>
  <c r="GF16" i="17"/>
  <c r="FR16" i="17"/>
  <c r="FD16" i="17"/>
  <c r="EP16" i="17"/>
  <c r="EB16" i="17"/>
  <c r="DN16" i="17"/>
  <c r="CZ16" i="17"/>
  <c r="CL16" i="17"/>
  <c r="BX16" i="17"/>
  <c r="BJ16" i="17"/>
  <c r="AV16" i="17"/>
  <c r="F16" i="17"/>
  <c r="H50" i="9"/>
  <c r="H36" i="9"/>
  <c r="JK24" i="17"/>
  <c r="R72" i="6"/>
  <c r="TD16" i="17"/>
  <c r="TD19" i="17"/>
  <c r="H47" i="9"/>
  <c r="H22" i="9"/>
  <c r="H44" i="9"/>
  <c r="H24" i="9"/>
  <c r="H34" i="9"/>
  <c r="H39" i="9"/>
  <c r="H32" i="9"/>
  <c r="H46" i="9"/>
  <c r="H43" i="9"/>
  <c r="H31" i="9"/>
  <c r="F84" i="10"/>
  <c r="F15" i="9"/>
  <c r="R9" i="5"/>
  <c r="H45" i="9"/>
  <c r="H30" i="9"/>
  <c r="H33" i="9"/>
  <c r="H37" i="9"/>
  <c r="H29" i="9"/>
  <c r="H38" i="9"/>
  <c r="H41" i="9"/>
  <c r="H27" i="9"/>
  <c r="H42" i="9"/>
  <c r="H21" i="9"/>
  <c r="H28" i="9"/>
  <c r="H35" i="9"/>
  <c r="H40" i="9"/>
  <c r="H25" i="9"/>
  <c r="OJ19" i="17" l="1"/>
  <c r="OR75" i="17"/>
  <c r="H23" i="9"/>
  <c r="H26" i="9"/>
  <c r="BL19" i="17"/>
  <c r="DB19" i="17"/>
  <c r="OJ32" i="17"/>
  <c r="PF13" i="17"/>
  <c r="OS13" i="17"/>
  <c r="OS75" i="17" s="1"/>
  <c r="OU33" i="17"/>
  <c r="OX33" i="17" s="1"/>
  <c r="OU32" i="17"/>
  <c r="OX32" i="17" s="1"/>
  <c r="OT19" i="17"/>
  <c r="OU24" i="17" s="1"/>
  <c r="OX24" i="17"/>
  <c r="JL20" i="17"/>
  <c r="SP20" i="17"/>
  <c r="SB20" i="17"/>
  <c r="RN20" i="17"/>
  <c r="QZ20" i="17"/>
  <c r="QL20" i="17"/>
  <c r="PX20" i="17"/>
  <c r="PJ20" i="17"/>
  <c r="OV20" i="17"/>
  <c r="OH20" i="17"/>
  <c r="NT20" i="17"/>
  <c r="NF20" i="17"/>
  <c r="MR20" i="17"/>
  <c r="MD20" i="17"/>
  <c r="LP20" i="17"/>
  <c r="LB20" i="17"/>
  <c r="KN20" i="17"/>
  <c r="JZ20" i="17"/>
  <c r="HV20" i="17"/>
  <c r="HH20" i="17"/>
  <c r="GT20" i="17"/>
  <c r="GF20" i="17"/>
  <c r="FR20" i="17"/>
  <c r="FD20" i="17"/>
  <c r="EP20" i="17"/>
  <c r="EB20" i="17"/>
  <c r="DN20" i="17"/>
  <c r="CZ20" i="17"/>
  <c r="CL20" i="17"/>
  <c r="BX20" i="17"/>
  <c r="BJ20" i="17"/>
  <c r="AV20" i="17"/>
  <c r="F20" i="17"/>
  <c r="Q22" i="5"/>
  <c r="R22" i="5" s="1"/>
  <c r="TD20" i="17"/>
  <c r="PF75" i="17" l="1"/>
  <c r="AE4" i="6"/>
  <c r="AF4" i="6" s="1"/>
  <c r="AE36" i="6"/>
  <c r="AF36" i="6" s="1"/>
  <c r="PT13" i="17"/>
  <c r="PG13" i="17"/>
  <c r="PG75" i="17" s="1"/>
  <c r="PI33" i="17"/>
  <c r="PL33" i="17" s="1"/>
  <c r="PQ33" i="17" s="1"/>
  <c r="PI32" i="17"/>
  <c r="PL32" i="17" s="1"/>
  <c r="PQ32" i="17" s="1"/>
  <c r="PH19" i="17"/>
  <c r="PL24" i="17"/>
  <c r="PQ24" i="17" s="1"/>
  <c r="OX19" i="17"/>
  <c r="W72" i="6"/>
  <c r="E22" i="9"/>
  <c r="G22" i="9" s="1"/>
  <c r="E21" i="9"/>
  <c r="G21" i="9" s="1"/>
  <c r="PT75" i="17" l="1"/>
  <c r="AG4" i="6"/>
  <c r="AH4" i="6" s="1"/>
  <c r="PI24" i="17"/>
  <c r="PL19" i="17"/>
  <c r="PQ19" i="17" s="1"/>
  <c r="QH13" i="17"/>
  <c r="PU13" i="17"/>
  <c r="PU75" i="17" s="1"/>
  <c r="PW33" i="17"/>
  <c r="PV19" i="17"/>
  <c r="PW32" i="17"/>
  <c r="F72" i="6"/>
  <c r="AG36" i="6"/>
  <c r="AH36" i="6" s="1"/>
  <c r="PV20" i="17"/>
  <c r="PZ20" i="17" s="1"/>
  <c r="PV16" i="17"/>
  <c r="PV17" i="17"/>
  <c r="PZ17" i="17" s="1"/>
  <c r="QE17" i="17" s="1"/>
  <c r="OF17" i="17"/>
  <c r="OJ17" i="17" s="1"/>
  <c r="OO17" i="17" s="1"/>
  <c r="OF20" i="17"/>
  <c r="OJ20" i="17" s="1"/>
  <c r="OF16" i="17"/>
  <c r="OT20" i="17"/>
  <c r="OX20" i="17" s="1"/>
  <c r="OT16" i="17"/>
  <c r="OT17" i="17"/>
  <c r="OX17" i="17" s="1"/>
  <c r="PC17" i="17" s="1"/>
  <c r="FP17" i="17"/>
  <c r="FT17" i="17" s="1"/>
  <c r="FY17" i="17" s="1"/>
  <c r="FP20" i="17"/>
  <c r="FT20" i="17" s="1"/>
  <c r="FP16" i="17"/>
  <c r="NR20" i="17"/>
  <c r="NV20" i="17" s="1"/>
  <c r="NR16" i="17"/>
  <c r="NR17" i="17"/>
  <c r="NV17" i="17" s="1"/>
  <c r="OA17" i="17" s="1"/>
  <c r="KZ17" i="17"/>
  <c r="LD17" i="17" s="1"/>
  <c r="LI17" i="17" s="1"/>
  <c r="KZ20" i="17"/>
  <c r="LD20" i="17" s="1"/>
  <c r="KZ16" i="17"/>
  <c r="GR17" i="17"/>
  <c r="GV17" i="17" s="1"/>
  <c r="HA17" i="17" s="1"/>
  <c r="GR20" i="17"/>
  <c r="GV20" i="17" s="1"/>
  <c r="GR16" i="17"/>
  <c r="KL20" i="17"/>
  <c r="KP20" i="17" s="1"/>
  <c r="KL16" i="17"/>
  <c r="KL17" i="17"/>
  <c r="KP17" i="17" s="1"/>
  <c r="KU17" i="17" s="1"/>
  <c r="HT17" i="17"/>
  <c r="HT20" i="17"/>
  <c r="HT16" i="17"/>
  <c r="HY16" i="17" s="1"/>
  <c r="JX17" i="17"/>
  <c r="KB17" i="17" s="1"/>
  <c r="KG17" i="17" s="1"/>
  <c r="JX20" i="17"/>
  <c r="KB20" i="17" s="1"/>
  <c r="JX16" i="17"/>
  <c r="AT20" i="17"/>
  <c r="AX20" i="17" s="1"/>
  <c r="AT16" i="17"/>
  <c r="AT17" i="17"/>
  <c r="AX17" i="17" s="1"/>
  <c r="BC17" i="17" s="1"/>
  <c r="LN20" i="17"/>
  <c r="LR20" i="17" s="1"/>
  <c r="LN16" i="17"/>
  <c r="LN17" i="17"/>
  <c r="LR17" i="17" s="1"/>
  <c r="LW17" i="17" s="1"/>
  <c r="BV20" i="17"/>
  <c r="BZ20" i="17" s="1"/>
  <c r="BV16" i="17"/>
  <c r="BV17" i="17"/>
  <c r="BZ17" i="17" s="1"/>
  <c r="CE17" i="17" s="1"/>
  <c r="DL17" i="17"/>
  <c r="DP17" i="17" s="1"/>
  <c r="DU17" i="17" s="1"/>
  <c r="DL20" i="17"/>
  <c r="DP20" i="17" s="1"/>
  <c r="DL16" i="17"/>
  <c r="BH17" i="17"/>
  <c r="BL17" i="17" s="1"/>
  <c r="BQ17" i="17" s="1"/>
  <c r="BH20" i="17"/>
  <c r="BL20" i="17" s="1"/>
  <c r="HF20" i="17"/>
  <c r="HJ20" i="17" s="1"/>
  <c r="HF16" i="17"/>
  <c r="HF17" i="17"/>
  <c r="HJ17" i="17" s="1"/>
  <c r="HO17" i="17" s="1"/>
  <c r="QJ17" i="17"/>
  <c r="QN17" i="17" s="1"/>
  <c r="QS17" i="17" s="1"/>
  <c r="QJ20" i="17"/>
  <c r="QN20" i="17" s="1"/>
  <c r="QJ16" i="17"/>
  <c r="PH17" i="17"/>
  <c r="PL17" i="17" s="1"/>
  <c r="PQ17" i="17" s="1"/>
  <c r="PH20" i="17"/>
  <c r="PL20" i="17" s="1"/>
  <c r="PH16" i="17"/>
  <c r="CX20" i="17"/>
  <c r="DB20" i="17" s="1"/>
  <c r="CX16" i="17"/>
  <c r="CX17" i="17"/>
  <c r="DB17" i="17" s="1"/>
  <c r="DG17" i="17" s="1"/>
  <c r="GD20" i="17"/>
  <c r="GH20" i="17" s="1"/>
  <c r="GD16" i="17"/>
  <c r="GD17" i="17"/>
  <c r="GH17" i="17" s="1"/>
  <c r="GM17" i="17" s="1"/>
  <c r="DZ20" i="17"/>
  <c r="ED20" i="17" s="1"/>
  <c r="DZ16" i="17"/>
  <c r="DZ17" i="17"/>
  <c r="ED17" i="17" s="1"/>
  <c r="EI17" i="17" s="1"/>
  <c r="MB17" i="17"/>
  <c r="MF17" i="17" s="1"/>
  <c r="MK17" i="17" s="1"/>
  <c r="MB20" i="17"/>
  <c r="MF20" i="17" s="1"/>
  <c r="MB16" i="17"/>
  <c r="MP20" i="17"/>
  <c r="MT20" i="17" s="1"/>
  <c r="MP16" i="17"/>
  <c r="MP17" i="17"/>
  <c r="MT17" i="17" s="1"/>
  <c r="MY17" i="17" s="1"/>
  <c r="CJ17" i="17"/>
  <c r="CN17" i="17" s="1"/>
  <c r="CS17" i="17" s="1"/>
  <c r="CJ20" i="17"/>
  <c r="CN20" i="17" s="1"/>
  <c r="CJ16" i="17"/>
  <c r="EN17" i="17"/>
  <c r="EN20" i="17"/>
  <c r="ER20" i="17" s="1"/>
  <c r="EN16" i="17"/>
  <c r="ES16" i="17" s="1"/>
  <c r="FB20" i="17"/>
  <c r="FF20" i="17" s="1"/>
  <c r="FB16" i="17"/>
  <c r="FB17" i="17"/>
  <c r="FF17" i="17" s="1"/>
  <c r="FK17" i="17" s="1"/>
  <c r="ND17" i="17"/>
  <c r="NH17" i="17" s="1"/>
  <c r="NM17" i="17" s="1"/>
  <c r="ND20" i="17"/>
  <c r="NH20" i="17" s="1"/>
  <c r="ND16" i="17"/>
  <c r="Q28" i="6"/>
  <c r="E33" i="9"/>
  <c r="G33" i="9" s="1"/>
  <c r="Q40" i="6"/>
  <c r="E38" i="9"/>
  <c r="G38" i="9" s="1"/>
  <c r="Q32" i="6"/>
  <c r="E35" i="9"/>
  <c r="G35" i="9" s="1"/>
  <c r="Q38" i="6"/>
  <c r="E37" i="9"/>
  <c r="G37" i="9" s="1"/>
  <c r="Q44" i="6"/>
  <c r="E40" i="9"/>
  <c r="G40" i="9" s="1"/>
  <c r="Q10" i="6"/>
  <c r="E24" i="9"/>
  <c r="G24" i="9" s="1"/>
  <c r="Q16" i="6"/>
  <c r="E27" i="9"/>
  <c r="G27" i="9" s="1"/>
  <c r="Q8" i="6"/>
  <c r="E23" i="9"/>
  <c r="G23" i="9" s="1"/>
  <c r="Q30" i="6"/>
  <c r="E34" i="9"/>
  <c r="G34" i="9" s="1"/>
  <c r="Q70" i="6"/>
  <c r="E53" i="9"/>
  <c r="G53" i="9" s="1"/>
  <c r="Q64" i="6"/>
  <c r="E50" i="9"/>
  <c r="G50" i="9" s="1"/>
  <c r="Q52" i="6"/>
  <c r="E44" i="9"/>
  <c r="G44" i="9" s="1"/>
  <c r="Q66" i="6"/>
  <c r="E51" i="9"/>
  <c r="G51" i="9" s="1"/>
  <c r="Q54" i="6"/>
  <c r="E45" i="9"/>
  <c r="G45" i="9" s="1"/>
  <c r="Q56" i="6"/>
  <c r="E46" i="9"/>
  <c r="G46" i="9" s="1"/>
  <c r="Q14" i="6"/>
  <c r="E26" i="9"/>
  <c r="G26" i="9" s="1"/>
  <c r="Q24" i="6"/>
  <c r="E31" i="9"/>
  <c r="G31" i="9" s="1"/>
  <c r="Q26" i="6"/>
  <c r="E32" i="9"/>
  <c r="G32" i="9" s="1"/>
  <c r="Q18" i="6"/>
  <c r="E28" i="9"/>
  <c r="G28" i="9" s="1"/>
  <c r="Q46" i="6"/>
  <c r="E41" i="9"/>
  <c r="G41" i="9" s="1"/>
  <c r="Q48" i="6"/>
  <c r="E42" i="9"/>
  <c r="G42" i="9" s="1"/>
  <c r="Q12" i="6"/>
  <c r="E25" i="9"/>
  <c r="G25" i="9" s="1"/>
  <c r="Q20" i="6"/>
  <c r="E29" i="9"/>
  <c r="G29" i="9" s="1"/>
  <c r="Q22" i="6"/>
  <c r="E30" i="9"/>
  <c r="G30" i="9" s="1"/>
  <c r="Q50" i="6"/>
  <c r="E43" i="9"/>
  <c r="G43" i="9" s="1"/>
  <c r="Q34" i="6"/>
  <c r="G36" i="9"/>
  <c r="Q42" i="6"/>
  <c r="E39" i="9"/>
  <c r="G39" i="9" s="1"/>
  <c r="Q68" i="6"/>
  <c r="E52" i="9"/>
  <c r="G52" i="9" s="1"/>
  <c r="Q60" i="6"/>
  <c r="E48" i="9"/>
  <c r="Q58" i="6"/>
  <c r="E47" i="9"/>
  <c r="G47" i="9" s="1"/>
  <c r="Q62" i="6"/>
  <c r="E49" i="9"/>
  <c r="G49" i="9" s="1"/>
  <c r="Q2" i="6"/>
  <c r="E4" i="16" s="1"/>
  <c r="Q6" i="6"/>
  <c r="D17" i="17"/>
  <c r="H17" i="17" s="1"/>
  <c r="M17" i="17" s="1"/>
  <c r="D20" i="17"/>
  <c r="H20" i="17" s="1"/>
  <c r="D16" i="17"/>
  <c r="E96" i="9"/>
  <c r="H96" i="9" s="1"/>
  <c r="ER17" i="17" l="1"/>
  <c r="EW17" i="17" s="1"/>
  <c r="ES17" i="17"/>
  <c r="HX20" i="17"/>
  <c r="HY20" i="17"/>
  <c r="HX17" i="17"/>
  <c r="IC17" i="17" s="1"/>
  <c r="HY17" i="17"/>
  <c r="QH75" i="17"/>
  <c r="PH18" i="17"/>
  <c r="PL18" i="17" s="1"/>
  <c r="PQ18" i="17" s="1"/>
  <c r="QJ18" i="17"/>
  <c r="QN18" i="17" s="1"/>
  <c r="PV18" i="17"/>
  <c r="PZ18" i="17" s="1"/>
  <c r="QE18" i="17" s="1"/>
  <c r="KZ18" i="17"/>
  <c r="LD18" i="17" s="1"/>
  <c r="LI18" i="17" s="1"/>
  <c r="ND18" i="17"/>
  <c r="NH18" i="17" s="1"/>
  <c r="EN18" i="17"/>
  <c r="EO30" i="17" s="1"/>
  <c r="ER30" i="17" s="1"/>
  <c r="MP18" i="17"/>
  <c r="MT18" i="17" s="1"/>
  <c r="DZ18" i="17"/>
  <c r="ED18" i="17" s="1"/>
  <c r="FP18" i="17"/>
  <c r="FT18" i="17" s="1"/>
  <c r="OT18" i="17"/>
  <c r="OX18" i="17" s="1"/>
  <c r="HF18" i="17"/>
  <c r="HJ18" i="17" s="1"/>
  <c r="DL18" i="17"/>
  <c r="DP18" i="17" s="1"/>
  <c r="LN18" i="17"/>
  <c r="LR18" i="17" s="1"/>
  <c r="LW18" i="17" s="1"/>
  <c r="HT18" i="17"/>
  <c r="GR18" i="17"/>
  <c r="GV18" i="17" s="1"/>
  <c r="HA18" i="17" s="1"/>
  <c r="AT18" i="17"/>
  <c r="AX18" i="17" s="1"/>
  <c r="BC18" i="17" s="1"/>
  <c r="FB18" i="17"/>
  <c r="FF18" i="17" s="1"/>
  <c r="FK18" i="17" s="1"/>
  <c r="CJ18" i="17"/>
  <c r="CN18" i="17" s="1"/>
  <c r="MB18" i="17"/>
  <c r="MF18" i="17" s="1"/>
  <c r="GD18" i="17"/>
  <c r="GH18" i="17" s="1"/>
  <c r="CX18" i="17"/>
  <c r="DB18" i="17" s="1"/>
  <c r="OF18" i="17"/>
  <c r="OJ18" i="17" s="1"/>
  <c r="NR18" i="17"/>
  <c r="NV18" i="17" s="1"/>
  <c r="BH18" i="17"/>
  <c r="BL18" i="17" s="1"/>
  <c r="BV18" i="17"/>
  <c r="BZ18" i="17" s="1"/>
  <c r="CE18" i="17" s="1"/>
  <c r="JX18" i="17"/>
  <c r="KB18" i="17" s="1"/>
  <c r="KL18" i="17"/>
  <c r="KP18" i="17" s="1"/>
  <c r="KU18" i="17" s="1"/>
  <c r="D18" i="17"/>
  <c r="E19" i="9"/>
  <c r="PW24" i="17"/>
  <c r="PZ19" i="17"/>
  <c r="QE19" i="17" s="1"/>
  <c r="QI13" i="17"/>
  <c r="QI75" i="17" s="1"/>
  <c r="QV13" i="17"/>
  <c r="QX20" i="17" s="1"/>
  <c r="RB20" i="17" s="1"/>
  <c r="QK33" i="17"/>
  <c r="QK32" i="17"/>
  <c r="QN32" i="17" s="1"/>
  <c r="QJ19" i="17"/>
  <c r="QN24" i="17"/>
  <c r="PZ33" i="17"/>
  <c r="QE33" i="17" s="1"/>
  <c r="PZ32" i="17"/>
  <c r="QE32" i="17" s="1"/>
  <c r="V68" i="6"/>
  <c r="V64" i="6"/>
  <c r="V70" i="6"/>
  <c r="JN17" i="17"/>
  <c r="JS17" i="17" s="1"/>
  <c r="JN20" i="17"/>
  <c r="CN16" i="17"/>
  <c r="CS16" i="17" s="1"/>
  <c r="MT16" i="17"/>
  <c r="MY16" i="17" s="1"/>
  <c r="MF16" i="17"/>
  <c r="MK16" i="17" s="1"/>
  <c r="ED16" i="17"/>
  <c r="EI16" i="17" s="1"/>
  <c r="DB16" i="17"/>
  <c r="DG16" i="17" s="1"/>
  <c r="PL16" i="17"/>
  <c r="PQ16" i="17" s="1"/>
  <c r="HJ16" i="17"/>
  <c r="HO16" i="17" s="1"/>
  <c r="BL16" i="17"/>
  <c r="BQ16" i="17" s="1"/>
  <c r="LR16" i="17"/>
  <c r="LW16" i="17" s="1"/>
  <c r="LD16" i="17"/>
  <c r="LI16" i="17" s="1"/>
  <c r="NV16" i="17"/>
  <c r="OA16" i="17" s="1"/>
  <c r="V66" i="6"/>
  <c r="H16" i="17"/>
  <c r="M16" i="17" s="1"/>
  <c r="JN16" i="17"/>
  <c r="JS16" i="17" s="1"/>
  <c r="NH16" i="17"/>
  <c r="NM16" i="17" s="1"/>
  <c r="FF16" i="17"/>
  <c r="FK16" i="17" s="1"/>
  <c r="ER16" i="17"/>
  <c r="EW16" i="17" s="1"/>
  <c r="GH16" i="17"/>
  <c r="GM16" i="17" s="1"/>
  <c r="QN16" i="17"/>
  <c r="QS16" i="17" s="1"/>
  <c r="DP16" i="17"/>
  <c r="DU16" i="17" s="1"/>
  <c r="BZ16" i="17"/>
  <c r="CE16" i="17" s="1"/>
  <c r="AX16" i="17"/>
  <c r="BC16" i="17" s="1"/>
  <c r="KB16" i="17"/>
  <c r="KG16" i="17" s="1"/>
  <c r="HX16" i="17"/>
  <c r="IC16" i="17" s="1"/>
  <c r="KP16" i="17"/>
  <c r="KU16" i="17" s="1"/>
  <c r="GV16" i="17"/>
  <c r="HA16" i="17" s="1"/>
  <c r="FT16" i="17"/>
  <c r="FY16" i="17" s="1"/>
  <c r="OX16" i="17"/>
  <c r="PC16" i="17" s="1"/>
  <c r="OJ16" i="17"/>
  <c r="OO16" i="17" s="1"/>
  <c r="PZ16" i="17"/>
  <c r="QE16" i="17" s="1"/>
  <c r="Q72" i="6"/>
  <c r="P72" i="6"/>
  <c r="N72" i="6"/>
  <c r="O72" i="6"/>
  <c r="V60" i="6"/>
  <c r="V28" i="6"/>
  <c r="V58" i="6"/>
  <c r="V34" i="6"/>
  <c r="V12" i="6"/>
  <c r="V26" i="6"/>
  <c r="V54" i="6"/>
  <c r="V10" i="6"/>
  <c r="V30" i="6"/>
  <c r="V24" i="6"/>
  <c r="V2" i="6"/>
  <c r="V22" i="6"/>
  <c r="V46" i="6"/>
  <c r="V14" i="6"/>
  <c r="V52" i="6"/>
  <c r="V8" i="6"/>
  <c r="V38" i="6"/>
  <c r="V50" i="6"/>
  <c r="V62" i="6"/>
  <c r="V20" i="6"/>
  <c r="V18" i="6"/>
  <c r="V56" i="6"/>
  <c r="V16" i="6"/>
  <c r="V48" i="6"/>
  <c r="V32" i="6"/>
  <c r="V44" i="6"/>
  <c r="V42" i="6"/>
  <c r="V40" i="6"/>
  <c r="H25" i="17"/>
  <c r="AD2" i="6"/>
  <c r="Z2" i="6"/>
  <c r="AA2" i="6"/>
  <c r="AD34" i="6"/>
  <c r="Z34" i="6"/>
  <c r="AA34" i="6"/>
  <c r="AA50" i="6"/>
  <c r="AD50" i="6"/>
  <c r="Z50" i="6"/>
  <c r="AD22" i="6"/>
  <c r="Z22" i="6"/>
  <c r="AA22" i="6"/>
  <c r="AA20" i="6"/>
  <c r="AD20" i="6"/>
  <c r="Z20" i="6"/>
  <c r="AD26" i="6"/>
  <c r="Z26" i="6"/>
  <c r="AA26" i="6"/>
  <c r="AD62" i="6"/>
  <c r="AA62" i="6"/>
  <c r="Z62" i="6"/>
  <c r="AD70" i="6"/>
  <c r="AA70" i="6"/>
  <c r="Z70" i="6"/>
  <c r="AD30" i="6"/>
  <c r="Z30" i="6"/>
  <c r="AA30" i="6"/>
  <c r="AA8" i="6"/>
  <c r="AD8" i="6"/>
  <c r="Z8" i="6"/>
  <c r="AD44" i="6"/>
  <c r="Z44" i="6"/>
  <c r="AA44" i="6"/>
  <c r="AA42" i="6"/>
  <c r="AD42" i="6"/>
  <c r="Z42" i="6"/>
  <c r="AD52" i="6"/>
  <c r="Z52" i="6"/>
  <c r="AA52" i="6"/>
  <c r="Z68" i="6"/>
  <c r="AD68" i="6"/>
  <c r="AA68" i="6"/>
  <c r="AA12" i="6"/>
  <c r="AD12" i="6"/>
  <c r="Z12" i="6"/>
  <c r="AD48" i="6"/>
  <c r="Z48" i="6"/>
  <c r="AA48" i="6"/>
  <c r="AA46" i="6"/>
  <c r="AD46" i="6"/>
  <c r="Z46" i="6"/>
  <c r="AD18" i="6"/>
  <c r="Z18" i="6"/>
  <c r="AA18" i="6"/>
  <c r="AD14" i="6"/>
  <c r="Z14" i="6"/>
  <c r="AA14" i="6"/>
  <c r="AD58" i="6"/>
  <c r="AA58" i="6"/>
  <c r="Z58" i="6"/>
  <c r="AD66" i="6"/>
  <c r="AA66" i="6"/>
  <c r="Z66" i="6"/>
  <c r="AA16" i="6"/>
  <c r="AD16" i="6"/>
  <c r="Z16" i="6"/>
  <c r="AD10" i="6"/>
  <c r="Z10" i="6"/>
  <c r="AA10" i="6"/>
  <c r="AD6" i="6"/>
  <c r="Z6" i="6"/>
  <c r="AA6" i="6"/>
  <c r="AA38" i="6"/>
  <c r="AD38" i="6"/>
  <c r="Z38" i="6"/>
  <c r="AA32" i="6"/>
  <c r="AD32" i="6"/>
  <c r="Z32" i="6"/>
  <c r="AD40" i="6"/>
  <c r="Z40" i="6"/>
  <c r="AA40" i="6"/>
  <c r="AA28" i="6"/>
  <c r="AD28" i="6"/>
  <c r="Z28" i="6"/>
  <c r="Z64" i="6"/>
  <c r="AD64" i="6"/>
  <c r="AA64" i="6"/>
  <c r="AA24" i="6"/>
  <c r="AD24" i="6"/>
  <c r="Z24" i="6"/>
  <c r="Z56" i="6"/>
  <c r="AD56" i="6"/>
  <c r="AA56" i="6"/>
  <c r="AA54" i="6"/>
  <c r="AD54" i="6"/>
  <c r="Z54" i="6"/>
  <c r="Z60" i="6"/>
  <c r="AD60" i="6"/>
  <c r="AA60" i="6"/>
  <c r="AX25" i="17"/>
  <c r="BC25" i="17" s="1"/>
  <c r="BC26" i="17" s="1"/>
  <c r="NH25" i="17"/>
  <c r="ER25" i="17"/>
  <c r="MT25" i="17"/>
  <c r="ED25" i="17"/>
  <c r="DB25" i="17"/>
  <c r="QN25" i="17"/>
  <c r="BL25" i="17"/>
  <c r="BZ25" i="17"/>
  <c r="CE25" i="17" s="1"/>
  <c r="CE26" i="17" s="1"/>
  <c r="KP25" i="17"/>
  <c r="KU25" i="17" s="1"/>
  <c r="KU26" i="17" s="1"/>
  <c r="LD25" i="17"/>
  <c r="LI25" i="17" s="1"/>
  <c r="LI26" i="17" s="1"/>
  <c r="OX25" i="17"/>
  <c r="FF25" i="17"/>
  <c r="FK25" i="17" s="1"/>
  <c r="FK26" i="17" s="1"/>
  <c r="CN25" i="17"/>
  <c r="MF25" i="17"/>
  <c r="GH25" i="17"/>
  <c r="PL25" i="17"/>
  <c r="PQ25" i="17" s="1"/>
  <c r="PQ26" i="17" s="1"/>
  <c r="HJ25" i="17"/>
  <c r="KB25" i="17"/>
  <c r="HX25" i="17"/>
  <c r="NV25" i="17"/>
  <c r="FT25" i="17"/>
  <c r="OJ25" i="17"/>
  <c r="DP25" i="17"/>
  <c r="LR25" i="17"/>
  <c r="LW25" i="17" s="1"/>
  <c r="LW26" i="17" s="1"/>
  <c r="GV25" i="17"/>
  <c r="HA25" i="17" s="1"/>
  <c r="HA26" i="17" s="1"/>
  <c r="U9" i="5"/>
  <c r="E95" i="9"/>
  <c r="H95" i="9" s="1"/>
  <c r="V6" i="6"/>
  <c r="FC30" i="17" l="1"/>
  <c r="FF30" i="17" s="1"/>
  <c r="FK30" i="17" s="1"/>
  <c r="MQ31" i="17"/>
  <c r="EO31" i="17"/>
  <c r="ER31" i="17" s="1"/>
  <c r="FQ31" i="17"/>
  <c r="FQ34" i="17" s="1"/>
  <c r="FT34" i="17" s="1"/>
  <c r="QK31" i="17"/>
  <c r="QK34" i="17" s="1"/>
  <c r="QN34" i="17" s="1"/>
  <c r="FC31" i="17"/>
  <c r="FF31" i="17" s="1"/>
  <c r="FK31" i="17" s="1"/>
  <c r="ER18" i="17"/>
  <c r="ER21" i="17" s="1"/>
  <c r="ES18" i="17"/>
  <c r="ES21" i="17" s="1"/>
  <c r="ES65" i="17" s="1"/>
  <c r="ES72" i="17" s="1"/>
  <c r="H18" i="17"/>
  <c r="QN33" i="17"/>
  <c r="LO30" i="17"/>
  <c r="LR30" i="17" s="1"/>
  <c r="LW30" i="17" s="1"/>
  <c r="PI30" i="17"/>
  <c r="PL30" i="17" s="1"/>
  <c r="PQ30" i="17" s="1"/>
  <c r="PI31" i="17"/>
  <c r="PL31" i="17" s="1"/>
  <c r="PQ31" i="17" s="1"/>
  <c r="NE31" i="17"/>
  <c r="NE34" i="17" s="1"/>
  <c r="NH34" i="17" s="1"/>
  <c r="OU31" i="17"/>
  <c r="OX31" i="17" s="1"/>
  <c r="NE30" i="17"/>
  <c r="NH30" i="17" s="1"/>
  <c r="RB25" i="17"/>
  <c r="QK30" i="17"/>
  <c r="QN30" i="17" s="1"/>
  <c r="LO31" i="17"/>
  <c r="LR31" i="17" s="1"/>
  <c r="LW31" i="17" s="1"/>
  <c r="QX18" i="17"/>
  <c r="RB18" i="17" s="1"/>
  <c r="QX16" i="17"/>
  <c r="QV75" i="17"/>
  <c r="HX18" i="17"/>
  <c r="HX21" i="17" s="1"/>
  <c r="HY18" i="17"/>
  <c r="HY21" i="17" s="1"/>
  <c r="HY65" i="17" s="1"/>
  <c r="HY70" i="17" s="1"/>
  <c r="CK30" i="17"/>
  <c r="CN30" i="17" s="1"/>
  <c r="QX17" i="17"/>
  <c r="RB17" i="17" s="1"/>
  <c r="RG17" i="17" s="1"/>
  <c r="FQ30" i="17"/>
  <c r="FT30" i="17" s="1"/>
  <c r="GS30" i="17"/>
  <c r="GV30" i="17" s="1"/>
  <c r="HA30" i="17" s="1"/>
  <c r="BW30" i="17"/>
  <c r="BZ30" i="17" s="1"/>
  <c r="CE30" i="17" s="1"/>
  <c r="EA30" i="17"/>
  <c r="ED30" i="17" s="1"/>
  <c r="HG31" i="17"/>
  <c r="HJ31" i="17" s="1"/>
  <c r="MC30" i="17"/>
  <c r="MF30" i="17" s="1"/>
  <c r="GS31" i="17"/>
  <c r="GV31" i="17" s="1"/>
  <c r="HA31" i="17" s="1"/>
  <c r="HG30" i="17"/>
  <c r="HJ30" i="17" s="1"/>
  <c r="PW30" i="17"/>
  <c r="PZ30" i="17" s="1"/>
  <c r="QE30" i="17" s="1"/>
  <c r="PW31" i="17"/>
  <c r="PW34" i="17" s="1"/>
  <c r="PZ34" i="17" s="1"/>
  <c r="QE34" i="17" s="1"/>
  <c r="OU30" i="17"/>
  <c r="OX30" i="17" s="1"/>
  <c r="MQ30" i="17"/>
  <c r="MT30" i="17" s="1"/>
  <c r="GE30" i="17"/>
  <c r="GH30" i="17" s="1"/>
  <c r="HU31" i="17"/>
  <c r="HX31" i="17" s="1"/>
  <c r="BW31" i="17"/>
  <c r="BZ31" i="17" s="1"/>
  <c r="CE31" i="17" s="1"/>
  <c r="OG30" i="17"/>
  <c r="OJ30" i="17" s="1"/>
  <c r="HU30" i="17"/>
  <c r="HX30" i="17" s="1"/>
  <c r="OG31" i="17"/>
  <c r="OG34" i="17" s="1"/>
  <c r="OJ34" i="17" s="1"/>
  <c r="DM31" i="17"/>
  <c r="DP31" i="17" s="1"/>
  <c r="LA30" i="17"/>
  <c r="LD30" i="17" s="1"/>
  <c r="LI30" i="17" s="1"/>
  <c r="BI30" i="17"/>
  <c r="BL30" i="17" s="1"/>
  <c r="AU30" i="17"/>
  <c r="AX30" i="17" s="1"/>
  <c r="BC30" i="17" s="1"/>
  <c r="DM30" i="17"/>
  <c r="DP30" i="17" s="1"/>
  <c r="AU31" i="17"/>
  <c r="AX31" i="17" s="1"/>
  <c r="BC31" i="17" s="1"/>
  <c r="GE31" i="17"/>
  <c r="GE34" i="17" s="1"/>
  <c r="GH34" i="17" s="1"/>
  <c r="JN18" i="17"/>
  <c r="BI31" i="17"/>
  <c r="BI34" i="17" s="1"/>
  <c r="BL34" i="17" s="1"/>
  <c r="JN30" i="17"/>
  <c r="LA31" i="17"/>
  <c r="LA34" i="17" s="1"/>
  <c r="LD34" i="17" s="1"/>
  <c r="LI34" i="17" s="1"/>
  <c r="EA31" i="17"/>
  <c r="ED31" i="17" s="1"/>
  <c r="JY30" i="17"/>
  <c r="KB30" i="17" s="1"/>
  <c r="CK31" i="17"/>
  <c r="CN31" i="17" s="1"/>
  <c r="CY30" i="17"/>
  <c r="DB30" i="17" s="1"/>
  <c r="KM31" i="17"/>
  <c r="KM34" i="17" s="1"/>
  <c r="KP34" i="17" s="1"/>
  <c r="KU34" i="17" s="1"/>
  <c r="MC31" i="17"/>
  <c r="MC34" i="17" s="1"/>
  <c r="MF34" i="17" s="1"/>
  <c r="JY31" i="17"/>
  <c r="KB31" i="17" s="1"/>
  <c r="NS30" i="17"/>
  <c r="NV30" i="17" s="1"/>
  <c r="NS31" i="17"/>
  <c r="NV31" i="17" s="1"/>
  <c r="KM30" i="17"/>
  <c r="KP30" i="17" s="1"/>
  <c r="KU30" i="17" s="1"/>
  <c r="CY31" i="17"/>
  <c r="CY34" i="17" s="1"/>
  <c r="DB34" i="17" s="1"/>
  <c r="E30" i="17"/>
  <c r="E31" i="17"/>
  <c r="QK24" i="17"/>
  <c r="QN19" i="17"/>
  <c r="RJ13" i="17"/>
  <c r="QW13" i="17"/>
  <c r="QW75" i="17" s="1"/>
  <c r="QY33" i="17"/>
  <c r="RB33" i="17" s="1"/>
  <c r="QY32" i="17"/>
  <c r="QX19" i="17"/>
  <c r="RB24" i="17"/>
  <c r="LR26" i="17"/>
  <c r="LL79" i="17" s="1"/>
  <c r="NV26" i="17"/>
  <c r="NP79" i="17" s="1"/>
  <c r="KB26" i="17"/>
  <c r="JV79" i="17" s="1"/>
  <c r="MF26" i="17"/>
  <c r="LZ79" i="17" s="1"/>
  <c r="CN26" i="17"/>
  <c r="CH79" i="17" s="1"/>
  <c r="GV26" i="17"/>
  <c r="GP79" i="17" s="1"/>
  <c r="DP26" i="17"/>
  <c r="DJ79" i="17" s="1"/>
  <c r="OX26" i="17"/>
  <c r="OR79" i="17" s="1"/>
  <c r="LD26" i="17"/>
  <c r="KX79" i="17" s="1"/>
  <c r="BL26" i="17"/>
  <c r="BF79" i="17" s="1"/>
  <c r="QN26" i="17"/>
  <c r="QH79" i="17" s="1"/>
  <c r="ED26" i="17"/>
  <c r="DX79" i="17" s="1"/>
  <c r="ER26" i="17"/>
  <c r="EL79" i="17" s="1"/>
  <c r="OJ21" i="17"/>
  <c r="OX21" i="17"/>
  <c r="FT21" i="17"/>
  <c r="KB21" i="17"/>
  <c r="BZ21" i="17"/>
  <c r="BT78" i="17" s="1"/>
  <c r="GH21" i="17"/>
  <c r="NH21" i="17"/>
  <c r="BL21" i="17"/>
  <c r="PI34" i="17"/>
  <c r="PL34" i="17" s="1"/>
  <c r="PQ34" i="17" s="1"/>
  <c r="ED21" i="17"/>
  <c r="MQ34" i="17"/>
  <c r="MT34" i="17" s="1"/>
  <c r="MT31" i="17"/>
  <c r="CN21" i="17"/>
  <c r="OJ26" i="17"/>
  <c r="OD79" i="17" s="1"/>
  <c r="FT26" i="17"/>
  <c r="FN79" i="17" s="1"/>
  <c r="HX26" i="17"/>
  <c r="HR79" i="17" s="1"/>
  <c r="HJ26" i="17"/>
  <c r="HD79" i="17" s="1"/>
  <c r="PL26" i="17"/>
  <c r="PF79" i="17" s="1"/>
  <c r="GH26" i="17"/>
  <c r="GB79" i="17" s="1"/>
  <c r="FF26" i="17"/>
  <c r="EZ79" i="17" s="1"/>
  <c r="KP26" i="17"/>
  <c r="KJ79" i="17" s="1"/>
  <c r="BZ26" i="17"/>
  <c r="BT79" i="17" s="1"/>
  <c r="DB26" i="17"/>
  <c r="CV79" i="17" s="1"/>
  <c r="MT26" i="17"/>
  <c r="MN79" i="17" s="1"/>
  <c r="NH26" i="17"/>
  <c r="NB79" i="17" s="1"/>
  <c r="AX26" i="17"/>
  <c r="AR79" i="17" s="1"/>
  <c r="PZ21" i="17"/>
  <c r="PT78" i="17" s="1"/>
  <c r="GV21" i="17"/>
  <c r="GP78" i="17" s="1"/>
  <c r="KP21" i="17"/>
  <c r="KJ78" i="17" s="1"/>
  <c r="AX21" i="17"/>
  <c r="AR78" i="17" s="1"/>
  <c r="DP21" i="17"/>
  <c r="FF21" i="17"/>
  <c r="EZ78" i="17" s="1"/>
  <c r="H21" i="17"/>
  <c r="NV21" i="17"/>
  <c r="LD21" i="17"/>
  <c r="KX78" i="17" s="1"/>
  <c r="LR21" i="17"/>
  <c r="LL78" i="17" s="1"/>
  <c r="HJ21" i="17"/>
  <c r="PL21" i="17"/>
  <c r="PF78" i="17" s="1"/>
  <c r="DB21" i="17"/>
  <c r="MF21" i="17"/>
  <c r="MT21" i="17"/>
  <c r="AA72" i="6"/>
  <c r="Z72" i="6"/>
  <c r="AD72" i="6"/>
  <c r="V72" i="6"/>
  <c r="U72" i="6"/>
  <c r="T72" i="6"/>
  <c r="H71" i="9"/>
  <c r="S72" i="6"/>
  <c r="H78" i="9"/>
  <c r="H57" i="9"/>
  <c r="V9" i="5"/>
  <c r="W73" i="6" s="1"/>
  <c r="H79" i="9"/>
  <c r="H86" i="9"/>
  <c r="H60" i="9"/>
  <c r="H85" i="9"/>
  <c r="H61" i="9"/>
  <c r="H68" i="9"/>
  <c r="H74" i="9"/>
  <c r="H63" i="9"/>
  <c r="H75" i="9"/>
  <c r="H70" i="9"/>
  <c r="H82" i="9"/>
  <c r="H65" i="9"/>
  <c r="H73" i="9"/>
  <c r="H77" i="9"/>
  <c r="H62" i="9"/>
  <c r="H56" i="9"/>
  <c r="H64" i="9"/>
  <c r="H80" i="9"/>
  <c r="H72" i="9"/>
  <c r="H67" i="9"/>
  <c r="H59" i="9"/>
  <c r="H58" i="9"/>
  <c r="H87" i="9"/>
  <c r="H66" i="9"/>
  <c r="H69" i="9"/>
  <c r="H76" i="9"/>
  <c r="H88" i="9"/>
  <c r="H81" i="9"/>
  <c r="H84" i="9"/>
  <c r="H55" i="9"/>
  <c r="D15" i="9"/>
  <c r="H15" i="9" s="1"/>
  <c r="U8" i="5"/>
  <c r="E93" i="9"/>
  <c r="H93" i="9" s="1"/>
  <c r="E94" i="9"/>
  <c r="H94" i="9" s="1"/>
  <c r="R73" i="6"/>
  <c r="AE6" i="6"/>
  <c r="AE34" i="6"/>
  <c r="AE16" i="6"/>
  <c r="AE18" i="6"/>
  <c r="AE32" i="6"/>
  <c r="AE26" i="6"/>
  <c r="AE12" i="6"/>
  <c r="AE30" i="6"/>
  <c r="AE20" i="6"/>
  <c r="AE28" i="6"/>
  <c r="AE10" i="6"/>
  <c r="AE24" i="6"/>
  <c r="AE8" i="6"/>
  <c r="AE14" i="6"/>
  <c r="AE22" i="6"/>
  <c r="EO34" i="17" l="1"/>
  <c r="ER34" i="17" s="1"/>
  <c r="ER35" i="17" s="1"/>
  <c r="EL80" i="17" s="1"/>
  <c r="OU34" i="17"/>
  <c r="OX34" i="17" s="1"/>
  <c r="QN31" i="17"/>
  <c r="QN35" i="17" s="1"/>
  <c r="QH80" i="17" s="1"/>
  <c r="FT31" i="17"/>
  <c r="FT35" i="17" s="1"/>
  <c r="FN80" i="17" s="1"/>
  <c r="LO34" i="17"/>
  <c r="LR34" i="17" s="1"/>
  <c r="LW34" i="17" s="1"/>
  <c r="FC34" i="17"/>
  <c r="FF34" i="17" s="1"/>
  <c r="FK34" i="17" s="1"/>
  <c r="FK35" i="17" s="1"/>
  <c r="OD78" i="17"/>
  <c r="NH31" i="17"/>
  <c r="NH35" i="17" s="1"/>
  <c r="NB80" i="17" s="1"/>
  <c r="LZ78" i="17"/>
  <c r="CV78" i="17"/>
  <c r="DJ78" i="17"/>
  <c r="DX78" i="17"/>
  <c r="EL78" i="17"/>
  <c r="OR78" i="17"/>
  <c r="NP78" i="17"/>
  <c r="CH78" i="17"/>
  <c r="NB78" i="17"/>
  <c r="GB78" i="17"/>
  <c r="JV78" i="17"/>
  <c r="QN21" i="17"/>
  <c r="PQ35" i="17"/>
  <c r="MN78" i="17"/>
  <c r="HD78" i="17"/>
  <c r="HR78" i="17"/>
  <c r="LW35" i="17"/>
  <c r="BF78" i="17"/>
  <c r="FN78" i="17"/>
  <c r="RB26" i="17"/>
  <c r="QV79" i="17" s="1"/>
  <c r="JN21" i="17"/>
  <c r="H31" i="17"/>
  <c r="H30" i="17"/>
  <c r="RB16" i="17"/>
  <c r="RG16" i="17" s="1"/>
  <c r="QY30" i="17"/>
  <c r="RB30" i="17" s="1"/>
  <c r="QY31" i="17"/>
  <c r="RB31" i="17" s="1"/>
  <c r="RP25" i="17"/>
  <c r="RJ75" i="17"/>
  <c r="GH31" i="17"/>
  <c r="HG34" i="17"/>
  <c r="HJ34" i="17" s="1"/>
  <c r="PZ31" i="17"/>
  <c r="QE31" i="17" s="1"/>
  <c r="QE35" i="17" s="1"/>
  <c r="CK34" i="17"/>
  <c r="CN34" i="17" s="1"/>
  <c r="OJ31" i="17"/>
  <c r="HU34" i="17"/>
  <c r="HX34" i="17" s="1"/>
  <c r="EA34" i="17"/>
  <c r="ED34" i="17" s="1"/>
  <c r="DM34" i="17"/>
  <c r="DP34" i="17" s="1"/>
  <c r="DP35" i="17" s="1"/>
  <c r="DJ80" i="17" s="1"/>
  <c r="GS34" i="17"/>
  <c r="GV34" i="17" s="1"/>
  <c r="BL31" i="17"/>
  <c r="MF31" i="17"/>
  <c r="AU34" i="17"/>
  <c r="AX34" i="17" s="1"/>
  <c r="BC34" i="17" s="1"/>
  <c r="BC35" i="17" s="1"/>
  <c r="BW34" i="17"/>
  <c r="BZ34" i="17" s="1"/>
  <c r="CE34" i="17" s="1"/>
  <c r="CE35" i="17" s="1"/>
  <c r="KP31" i="17"/>
  <c r="KU31" i="17" s="1"/>
  <c r="KU35" i="17" s="1"/>
  <c r="NS34" i="17"/>
  <c r="NV34" i="17" s="1"/>
  <c r="E34" i="17"/>
  <c r="JN31" i="17"/>
  <c r="LD31" i="17"/>
  <c r="LI31" i="17" s="1"/>
  <c r="LI35" i="17" s="1"/>
  <c r="JY34" i="17"/>
  <c r="KB34" i="17" s="1"/>
  <c r="DB31" i="17"/>
  <c r="DB35" i="17" s="1"/>
  <c r="CV80" i="17" s="1"/>
  <c r="B78" i="17"/>
  <c r="RB32" i="17"/>
  <c r="RX13" i="17"/>
  <c r="RK13" i="17"/>
  <c r="RK75" i="17" s="1"/>
  <c r="RM33" i="17"/>
  <c r="RP33" i="17" s="1"/>
  <c r="RL19" i="17"/>
  <c r="RM32" i="17"/>
  <c r="RP32" i="17" s="1"/>
  <c r="RP24" i="17"/>
  <c r="RL16" i="17"/>
  <c r="RL18" i="17"/>
  <c r="RL20" i="17"/>
  <c r="RL17" i="17"/>
  <c r="QY24" i="17"/>
  <c r="RB19" i="17"/>
  <c r="MT35" i="17"/>
  <c r="MN80" i="17" s="1"/>
  <c r="PL35" i="17"/>
  <c r="PF80" i="17" s="1"/>
  <c r="OX35" i="17"/>
  <c r="OR80" i="17" s="1"/>
  <c r="JN26" i="17"/>
  <c r="JH79" i="17" s="1"/>
  <c r="JN34" i="17"/>
  <c r="O73" i="6"/>
  <c r="Q73" i="6"/>
  <c r="V6" i="5"/>
  <c r="S73" i="6" s="1"/>
  <c r="P73" i="6"/>
  <c r="AF28" i="6"/>
  <c r="AF20" i="6"/>
  <c r="AF16" i="6"/>
  <c r="AF30" i="6"/>
  <c r="AF12" i="6"/>
  <c r="AF22" i="6"/>
  <c r="AF14" i="6"/>
  <c r="AF26" i="6"/>
  <c r="AF34" i="6"/>
  <c r="AF8" i="6"/>
  <c r="AF32" i="6"/>
  <c r="AF6" i="6"/>
  <c r="AF24" i="6"/>
  <c r="AF10" i="6"/>
  <c r="AF18" i="6"/>
  <c r="V8" i="5"/>
  <c r="V73" i="6" s="1"/>
  <c r="D14" i="9"/>
  <c r="H14" i="9" s="1"/>
  <c r="V10" i="5"/>
  <c r="U73" i="6" s="1"/>
  <c r="N73" i="6"/>
  <c r="E97" i="9"/>
  <c r="H97" i="9" s="1"/>
  <c r="H98" i="9" s="1"/>
  <c r="H30" i="15" s="1"/>
  <c r="V7" i="5"/>
  <c r="T73" i="6" s="1"/>
  <c r="QY34" i="17" l="1"/>
  <c r="RB34" i="17" s="1"/>
  <c r="RB35" i="17" s="1"/>
  <c r="QV80" i="17" s="1"/>
  <c r="FF35" i="17"/>
  <c r="EZ80" i="17" s="1"/>
  <c r="LR35" i="17"/>
  <c r="LL80" i="17" s="1"/>
  <c r="GV35" i="17"/>
  <c r="GP80" i="17" s="1"/>
  <c r="HA34" i="17"/>
  <c r="HA35" i="17" s="1"/>
  <c r="GH35" i="17"/>
  <c r="GB80" i="17" s="1"/>
  <c r="CN35" i="17"/>
  <c r="CH80" i="17" s="1"/>
  <c r="KB35" i="17"/>
  <c r="JV80" i="17" s="1"/>
  <c r="NV35" i="17"/>
  <c r="NP80" i="17" s="1"/>
  <c r="MF35" i="17"/>
  <c r="LZ80" i="17" s="1"/>
  <c r="ED35" i="17"/>
  <c r="DX80" i="17" s="1"/>
  <c r="QH78" i="17"/>
  <c r="BL35" i="17"/>
  <c r="BF80" i="17" s="1"/>
  <c r="HX35" i="17"/>
  <c r="HR80" i="17" s="1"/>
  <c r="HJ35" i="17"/>
  <c r="HD80" i="17" s="1"/>
  <c r="JH78" i="17"/>
  <c r="RB21" i="17"/>
  <c r="H34" i="17"/>
  <c r="RP26" i="17"/>
  <c r="RJ79" i="17" s="1"/>
  <c r="LD35" i="17"/>
  <c r="KX80" i="17" s="1"/>
  <c r="KP35" i="17"/>
  <c r="KJ80" i="17" s="1"/>
  <c r="PZ35" i="17"/>
  <c r="PT80" i="17" s="1"/>
  <c r="RX75" i="17"/>
  <c r="BZ35" i="17"/>
  <c r="BT80" i="17" s="1"/>
  <c r="OJ35" i="17"/>
  <c r="OD80" i="17" s="1"/>
  <c r="AX35" i="17"/>
  <c r="AR80" i="17" s="1"/>
  <c r="DP37" i="17"/>
  <c r="DP40" i="17" s="1"/>
  <c r="FF37" i="17"/>
  <c r="FF40" i="17" s="1"/>
  <c r="FK40" i="17" s="1"/>
  <c r="FK41" i="17" s="1"/>
  <c r="DB37" i="17"/>
  <c r="DB40" i="17" s="1"/>
  <c r="RP18" i="17"/>
  <c r="RM24" i="17"/>
  <c r="RP19" i="17"/>
  <c r="SL13" i="17"/>
  <c r="RY13" i="17"/>
  <c r="RY75" i="17" s="1"/>
  <c r="SA33" i="17"/>
  <c r="RZ19" i="17"/>
  <c r="SA32" i="17"/>
  <c r="SD32" i="17" s="1"/>
  <c r="SD24" i="17"/>
  <c r="RZ18" i="17"/>
  <c r="SD18" i="17" s="1"/>
  <c r="RZ20" i="17"/>
  <c r="SD20" i="17" s="1"/>
  <c r="RZ16" i="17"/>
  <c r="RZ17" i="17"/>
  <c r="SD17" i="17" s="1"/>
  <c r="SI17" i="17" s="1"/>
  <c r="SD25" i="17"/>
  <c r="RP16" i="17"/>
  <c r="RU16" i="17" s="1"/>
  <c r="RM30" i="17"/>
  <c r="RM31" i="17"/>
  <c r="RP17" i="17"/>
  <c r="RU17" i="17" s="1"/>
  <c r="RP20" i="17"/>
  <c r="FT37" i="17"/>
  <c r="FT40" i="17" s="1"/>
  <c r="PL37" i="17"/>
  <c r="PL40" i="17" s="1"/>
  <c r="PQ40" i="17" s="1"/>
  <c r="PQ41" i="17" s="1"/>
  <c r="MT37" i="17"/>
  <c r="MT40" i="17" s="1"/>
  <c r="OX37" i="17"/>
  <c r="OX40" i="17" s="1"/>
  <c r="ER37" i="17"/>
  <c r="ER40" i="17" s="1"/>
  <c r="QN37" i="17"/>
  <c r="QN40" i="17" s="1"/>
  <c r="JN35" i="17"/>
  <c r="JH80" i="17" s="1"/>
  <c r="NH37" i="17"/>
  <c r="AG18" i="6"/>
  <c r="AH18" i="6" s="1"/>
  <c r="AG14" i="6"/>
  <c r="AH14" i="6" s="1"/>
  <c r="AG28" i="6"/>
  <c r="AH28" i="6" s="1"/>
  <c r="AG10" i="6"/>
  <c r="AH10" i="6" s="1"/>
  <c r="AG22" i="6"/>
  <c r="AH22" i="6" s="1"/>
  <c r="AG24" i="6"/>
  <c r="AH24" i="6" s="1"/>
  <c r="AG6" i="6"/>
  <c r="AH6" i="6" s="1"/>
  <c r="AG32" i="6"/>
  <c r="AH32" i="6" s="1"/>
  <c r="AG30" i="6"/>
  <c r="AH30" i="6" s="1"/>
  <c r="AG34" i="6"/>
  <c r="AH34" i="6" s="1"/>
  <c r="AG16" i="6"/>
  <c r="AH16" i="6" s="1"/>
  <c r="AG12" i="6"/>
  <c r="AH12" i="6" s="1"/>
  <c r="AG8" i="6"/>
  <c r="AH8" i="6" s="1"/>
  <c r="AG26" i="6"/>
  <c r="AH26" i="6" s="1"/>
  <c r="AG20" i="6"/>
  <c r="AH20" i="6" s="1"/>
  <c r="H16" i="9"/>
  <c r="V22" i="5"/>
  <c r="ED37" i="17" l="1"/>
  <c r="ED40" i="17" s="1"/>
  <c r="NV37" i="17"/>
  <c r="OJ37" i="17"/>
  <c r="OJ40" i="17" s="1"/>
  <c r="KB37" i="17"/>
  <c r="KB40" i="17" s="1"/>
  <c r="KB41" i="17" s="1"/>
  <c r="JV81" i="17" s="1"/>
  <c r="HJ37" i="17"/>
  <c r="LR37" i="17"/>
  <c r="LR40" i="17" s="1"/>
  <c r="LW40" i="17" s="1"/>
  <c r="LW41" i="17" s="1"/>
  <c r="GH37" i="17"/>
  <c r="GH40" i="17" s="1"/>
  <c r="KP37" i="17"/>
  <c r="KP40" i="17" s="1"/>
  <c r="KU40" i="17" s="1"/>
  <c r="KU41" i="17" s="1"/>
  <c r="MF37" i="17"/>
  <c r="MF40" i="17" s="1"/>
  <c r="MF41" i="17" s="1"/>
  <c r="LZ81" i="17" s="1"/>
  <c r="BZ37" i="17"/>
  <c r="HX37" i="17"/>
  <c r="HX40" i="17" s="1"/>
  <c r="HX41" i="17" s="1"/>
  <c r="HR81" i="17" s="1"/>
  <c r="GV37" i="17"/>
  <c r="GV40" i="17" s="1"/>
  <c r="HA40" i="17" s="1"/>
  <c r="HA41" i="17" s="1"/>
  <c r="BL37" i="17"/>
  <c r="BL40" i="17" s="1"/>
  <c r="BL41" i="17" s="1"/>
  <c r="BF81" i="17" s="1"/>
  <c r="CN37" i="17"/>
  <c r="CN40" i="17" s="1"/>
  <c r="CN41" i="17" s="1"/>
  <c r="CH81" i="17" s="1"/>
  <c r="QV78" i="17"/>
  <c r="LD37" i="17"/>
  <c r="LD40" i="17" s="1"/>
  <c r="LI40" i="17" s="1"/>
  <c r="LI41" i="17" s="1"/>
  <c r="H35" i="17"/>
  <c r="AX37" i="17"/>
  <c r="AX40" i="17" s="1"/>
  <c r="BC40" i="17" s="1"/>
  <c r="BC41" i="17" s="1"/>
  <c r="RB37" i="17"/>
  <c r="RB40" i="17" s="1"/>
  <c r="RB41" i="17" s="1"/>
  <c r="QV81" i="17" s="1"/>
  <c r="SL75" i="17"/>
  <c r="H28" i="15"/>
  <c r="SD16" i="17"/>
  <c r="SI16" i="17" s="1"/>
  <c r="SA31" i="17"/>
  <c r="SA30" i="17"/>
  <c r="SD30" i="17" s="1"/>
  <c r="RM34" i="17"/>
  <c r="RP31" i="17"/>
  <c r="SA24" i="17"/>
  <c r="SD19" i="17"/>
  <c r="RP30" i="17"/>
  <c r="SM13" i="17"/>
  <c r="SM75" i="17" s="1"/>
  <c r="SO33" i="17"/>
  <c r="SR33" i="17" s="1"/>
  <c r="SW33" i="17" s="1"/>
  <c r="SN19" i="17"/>
  <c r="TB19" i="17" s="1"/>
  <c r="SR24" i="17"/>
  <c r="SW24" i="17" s="1"/>
  <c r="SO32" i="17"/>
  <c r="TC32" i="17" s="1"/>
  <c r="TF32" i="17" s="1"/>
  <c r="SN17" i="17"/>
  <c r="SR17" i="17" s="1"/>
  <c r="SW17" i="17" s="1"/>
  <c r="SN16" i="17"/>
  <c r="TB16" i="17" s="1"/>
  <c r="SN20" i="17"/>
  <c r="SN18" i="17"/>
  <c r="SR18" i="17" s="1"/>
  <c r="SW18" i="17" s="1"/>
  <c r="SR25" i="17"/>
  <c r="SW25" i="17" s="1"/>
  <c r="SD26" i="17"/>
  <c r="RX79" i="17" s="1"/>
  <c r="SD33" i="17"/>
  <c r="RP21" i="17"/>
  <c r="HJ40" i="17"/>
  <c r="NV40" i="17"/>
  <c r="MT41" i="17"/>
  <c r="MN81" i="17" s="1"/>
  <c r="DB41" i="17"/>
  <c r="CV81" i="17" s="1"/>
  <c r="PL41" i="17"/>
  <c r="PF81" i="17" s="1"/>
  <c r="ED41" i="17"/>
  <c r="DX81" i="17" s="1"/>
  <c r="BZ40" i="17"/>
  <c r="CE40" i="17" s="1"/>
  <c r="CE41" i="17" s="1"/>
  <c r="FT41" i="17"/>
  <c r="FN81" i="17" s="1"/>
  <c r="OX41" i="17"/>
  <c r="OR81" i="17" s="1"/>
  <c r="FF41" i="17"/>
  <c r="EZ81" i="17" s="1"/>
  <c r="NH40" i="17"/>
  <c r="ER41" i="17"/>
  <c r="EL81" i="17" s="1"/>
  <c r="JN37" i="17"/>
  <c r="QN41" i="17"/>
  <c r="QH81" i="17" s="1"/>
  <c r="DP41" i="17"/>
  <c r="DJ81" i="17" s="1"/>
  <c r="AE70" i="6"/>
  <c r="LR41" i="17" l="1"/>
  <c r="LL81" i="17" s="1"/>
  <c r="KP41" i="17"/>
  <c r="KJ81" i="17" s="1"/>
  <c r="AX41" i="17"/>
  <c r="AR81" i="17" s="1"/>
  <c r="GV41" i="17"/>
  <c r="GP81" i="17" s="1"/>
  <c r="LD41" i="17"/>
  <c r="KX81" i="17" s="1"/>
  <c r="RJ78" i="17"/>
  <c r="SW26" i="17"/>
  <c r="TB18" i="17"/>
  <c r="TF18" i="17" s="1"/>
  <c r="TC33" i="17"/>
  <c r="TF33" i="17" s="1"/>
  <c r="B80" i="17"/>
  <c r="SR32" i="17"/>
  <c r="SW32" i="17" s="1"/>
  <c r="SR20" i="17"/>
  <c r="TB20" i="17"/>
  <c r="TF20" i="17" s="1"/>
  <c r="SR26" i="17"/>
  <c r="SL79" i="17" s="1"/>
  <c r="SA34" i="17"/>
  <c r="SD34" i="17" s="1"/>
  <c r="SD31" i="17"/>
  <c r="SR16" i="17"/>
  <c r="SW16" i="17" s="1"/>
  <c r="SO31" i="17"/>
  <c r="TC31" i="17" s="1"/>
  <c r="TF31" i="17" s="1"/>
  <c r="SO30" i="17"/>
  <c r="TC30" i="17" s="1"/>
  <c r="TF30" i="17" s="1"/>
  <c r="TF16" i="17"/>
  <c r="TK16" i="17" s="1"/>
  <c r="SO24" i="17"/>
  <c r="SR19" i="17"/>
  <c r="SW19" i="17" s="1"/>
  <c r="TC24" i="17"/>
  <c r="SD21" i="17"/>
  <c r="RP34" i="17"/>
  <c r="TB17" i="17"/>
  <c r="TF17" i="17" s="1"/>
  <c r="TK17" i="17" s="1"/>
  <c r="RB43" i="17"/>
  <c r="KP43" i="17"/>
  <c r="DP43" i="17"/>
  <c r="QN43" i="17"/>
  <c r="HX43" i="17"/>
  <c r="KB43" i="17"/>
  <c r="ER43" i="17"/>
  <c r="CN43" i="17"/>
  <c r="LR43" i="17"/>
  <c r="NH41" i="17"/>
  <c r="NB81" i="17" s="1"/>
  <c r="FF43" i="17"/>
  <c r="OX43" i="17"/>
  <c r="FT43" i="17"/>
  <c r="BZ41" i="17"/>
  <c r="BT81" i="17" s="1"/>
  <c r="GH41" i="17"/>
  <c r="GB81" i="17" s="1"/>
  <c r="BL43" i="17"/>
  <c r="ED43" i="17"/>
  <c r="LD43" i="17"/>
  <c r="PL43" i="17"/>
  <c r="DB43" i="17"/>
  <c r="MF43" i="17"/>
  <c r="MT43" i="17"/>
  <c r="OJ41" i="17"/>
  <c r="OD81" i="17" s="1"/>
  <c r="NV41" i="17"/>
  <c r="NP81" i="17" s="1"/>
  <c r="HJ41" i="17"/>
  <c r="HD81" i="17" s="1"/>
  <c r="JN40" i="17"/>
  <c r="AF70" i="6"/>
  <c r="AE68" i="6"/>
  <c r="GV43" i="17" l="1"/>
  <c r="GV46" i="17" s="1"/>
  <c r="HA46" i="17" s="1"/>
  <c r="AX43" i="17"/>
  <c r="RP35" i="17"/>
  <c r="RJ80" i="17" s="1"/>
  <c r="RX78" i="17"/>
  <c r="TF19" i="17"/>
  <c r="SD35" i="17"/>
  <c r="RX80" i="17" s="1"/>
  <c r="SR21" i="17"/>
  <c r="SL78" i="17" s="1"/>
  <c r="SR31" i="17"/>
  <c r="SW31" i="17" s="1"/>
  <c r="SO34" i="17"/>
  <c r="SR34" i="17" s="1"/>
  <c r="SW34" i="17" s="1"/>
  <c r="SR30" i="17"/>
  <c r="SW30" i="17" s="1"/>
  <c r="JN41" i="17"/>
  <c r="JH81" i="17" s="1"/>
  <c r="HJ43" i="17"/>
  <c r="NV43" i="17"/>
  <c r="OJ43" i="17"/>
  <c r="GH43" i="17"/>
  <c r="BZ43" i="17"/>
  <c r="NH43" i="17"/>
  <c r="MT46" i="17"/>
  <c r="MT47" i="17"/>
  <c r="MY47" i="17" s="1"/>
  <c r="MF47" i="17"/>
  <c r="MK47" i="17" s="1"/>
  <c r="MF46" i="17"/>
  <c r="DB46" i="17"/>
  <c r="DB47" i="17"/>
  <c r="DG47" i="17" s="1"/>
  <c r="PL46" i="17"/>
  <c r="PQ46" i="17" s="1"/>
  <c r="PL47" i="17"/>
  <c r="PQ47" i="17" s="1"/>
  <c r="LD47" i="17"/>
  <c r="LI47" i="17" s="1"/>
  <c r="LD46" i="17"/>
  <c r="LI46" i="17" s="1"/>
  <c r="ED46" i="17"/>
  <c r="ED47" i="17"/>
  <c r="EI47" i="17" s="1"/>
  <c r="BL47" i="17"/>
  <c r="BQ47" i="17" s="1"/>
  <c r="BL46" i="17"/>
  <c r="FT46" i="17"/>
  <c r="FT47" i="17"/>
  <c r="FY47" i="17" s="1"/>
  <c r="OX47" i="17"/>
  <c r="PC47" i="17" s="1"/>
  <c r="OX46" i="17"/>
  <c r="FF47" i="17"/>
  <c r="FK47" i="17" s="1"/>
  <c r="FF46" i="17"/>
  <c r="FK46" i="17" s="1"/>
  <c r="LR47" i="17"/>
  <c r="LW47" i="17" s="1"/>
  <c r="LR46" i="17"/>
  <c r="LW46" i="17" s="1"/>
  <c r="CN46" i="17"/>
  <c r="CN47" i="17"/>
  <c r="CS47" i="17" s="1"/>
  <c r="ER47" i="17"/>
  <c r="EW47" i="17" s="1"/>
  <c r="ER46" i="17"/>
  <c r="KB46" i="17"/>
  <c r="KB47" i="17"/>
  <c r="KG47" i="17" s="1"/>
  <c r="HX47" i="17"/>
  <c r="IC47" i="17" s="1"/>
  <c r="HX46" i="17"/>
  <c r="QN46" i="17"/>
  <c r="QN47" i="17"/>
  <c r="QS47" i="17" s="1"/>
  <c r="DP46" i="17"/>
  <c r="DP47" i="17"/>
  <c r="DU47" i="17" s="1"/>
  <c r="AX47" i="17"/>
  <c r="BC47" i="17" s="1"/>
  <c r="AX46" i="17"/>
  <c r="BC46" i="17" s="1"/>
  <c r="KP47" i="17"/>
  <c r="KU47" i="17" s="1"/>
  <c r="KP46" i="17"/>
  <c r="KU46" i="17" s="1"/>
  <c r="RB46" i="17"/>
  <c r="RB47" i="17"/>
  <c r="RG47" i="17" s="1"/>
  <c r="AG70" i="6"/>
  <c r="AH70" i="6" s="1"/>
  <c r="AF68" i="6"/>
  <c r="AE66" i="6"/>
  <c r="GV47" i="17" l="1"/>
  <c r="HA47" i="17" s="1"/>
  <c r="RP37" i="17"/>
  <c r="RP40" i="17" s="1"/>
  <c r="RP41" i="17" s="1"/>
  <c r="RJ81" i="17" s="1"/>
  <c r="KU48" i="17"/>
  <c r="LW48" i="17"/>
  <c r="HA48" i="17"/>
  <c r="FK48" i="17"/>
  <c r="SW35" i="17"/>
  <c r="PQ48" i="17"/>
  <c r="TF21" i="17"/>
  <c r="BC48" i="17"/>
  <c r="LI48" i="17"/>
  <c r="TC34" i="17"/>
  <c r="TF34" i="17" s="1"/>
  <c r="JN43" i="17"/>
  <c r="SR35" i="17"/>
  <c r="SL80" i="17" s="1"/>
  <c r="SD37" i="17"/>
  <c r="SD40" i="17" s="1"/>
  <c r="RB48" i="17"/>
  <c r="QV82" i="17" s="1"/>
  <c r="KP48" i="17"/>
  <c r="KJ82" i="17" s="1"/>
  <c r="QN48" i="17"/>
  <c r="QH82" i="17" s="1"/>
  <c r="HX48" i="17"/>
  <c r="HR82" i="17" s="1"/>
  <c r="KB48" i="17"/>
  <c r="JV82" i="17" s="1"/>
  <c r="ER48" i="17"/>
  <c r="EL82" i="17" s="1"/>
  <c r="CN48" i="17"/>
  <c r="CH82" i="17" s="1"/>
  <c r="LR48" i="17"/>
  <c r="LL82" i="17" s="1"/>
  <c r="GV48" i="17"/>
  <c r="GP82" i="17" s="1"/>
  <c r="FF48" i="17"/>
  <c r="EZ82" i="17" s="1"/>
  <c r="DB48" i="17"/>
  <c r="CV82" i="17" s="1"/>
  <c r="MF48" i="17"/>
  <c r="LZ82" i="17" s="1"/>
  <c r="MT48" i="17"/>
  <c r="MN82" i="17" s="1"/>
  <c r="AX48" i="17"/>
  <c r="AR82" i="17" s="1"/>
  <c r="DP48" i="17"/>
  <c r="DJ82" i="17" s="1"/>
  <c r="OX48" i="17"/>
  <c r="OR82" i="17" s="1"/>
  <c r="FT48" i="17"/>
  <c r="FN82" i="17" s="1"/>
  <c r="BL48" i="17"/>
  <c r="BF82" i="17" s="1"/>
  <c r="ED48" i="17"/>
  <c r="DX82" i="17" s="1"/>
  <c r="LD48" i="17"/>
  <c r="KX82" i="17" s="1"/>
  <c r="PL48" i="17"/>
  <c r="PF82" i="17" s="1"/>
  <c r="NH46" i="17"/>
  <c r="NH47" i="17"/>
  <c r="NM47" i="17" s="1"/>
  <c r="BZ47" i="17"/>
  <c r="CE47" i="17" s="1"/>
  <c r="BZ46" i="17"/>
  <c r="CE46" i="17" s="1"/>
  <c r="GH46" i="17"/>
  <c r="GH47" i="17"/>
  <c r="GM47" i="17" s="1"/>
  <c r="OJ46" i="17"/>
  <c r="OJ47" i="17"/>
  <c r="OO47" i="17" s="1"/>
  <c r="NV46" i="17"/>
  <c r="NV47" i="17"/>
  <c r="OA47" i="17" s="1"/>
  <c r="HJ46" i="17"/>
  <c r="HJ47" i="17"/>
  <c r="HO47" i="17" s="1"/>
  <c r="AG68" i="6"/>
  <c r="AH68" i="6" s="1"/>
  <c r="AF66" i="6"/>
  <c r="AE64" i="6"/>
  <c r="AE62" i="6"/>
  <c r="SZ78" i="17" l="1"/>
  <c r="TM21" i="17"/>
  <c r="RP43" i="17"/>
  <c r="RP47" i="17" s="1"/>
  <c r="RU47" i="17" s="1"/>
  <c r="SD41" i="17"/>
  <c r="RX81" i="17" s="1"/>
  <c r="CE48" i="17"/>
  <c r="TF35" i="17"/>
  <c r="SZ80" i="17" s="1"/>
  <c r="SR37" i="17"/>
  <c r="SR40" i="17" s="1"/>
  <c r="SW40" i="17" s="1"/>
  <c r="SW41" i="17" s="1"/>
  <c r="NV48" i="17"/>
  <c r="NP82" i="17" s="1"/>
  <c r="GH48" i="17"/>
  <c r="GB82" i="17" s="1"/>
  <c r="NH48" i="17"/>
  <c r="NB82" i="17" s="1"/>
  <c r="PL50" i="17"/>
  <c r="LD50" i="17"/>
  <c r="LC59" i="17" s="1"/>
  <c r="ED50" i="17"/>
  <c r="BL50" i="17"/>
  <c r="FT50" i="17"/>
  <c r="OX50" i="17"/>
  <c r="DP50" i="17"/>
  <c r="AX50" i="17"/>
  <c r="AW59" i="17" s="1"/>
  <c r="RP46" i="17"/>
  <c r="JN47" i="17"/>
  <c r="JS47" i="17" s="1"/>
  <c r="JN46" i="17"/>
  <c r="MT50" i="17"/>
  <c r="MF50" i="17"/>
  <c r="DB50" i="17"/>
  <c r="FF50" i="17"/>
  <c r="GV50" i="17"/>
  <c r="LR50" i="17"/>
  <c r="CN50" i="17"/>
  <c r="ER50" i="17"/>
  <c r="KB50" i="17"/>
  <c r="HX50" i="17"/>
  <c r="QN50" i="17"/>
  <c r="KP50" i="17"/>
  <c r="RB50" i="17"/>
  <c r="HJ48" i="17"/>
  <c r="HD82" i="17" s="1"/>
  <c r="OJ48" i="17"/>
  <c r="OD82" i="17" s="1"/>
  <c r="BZ48" i="17"/>
  <c r="BT82" i="17" s="1"/>
  <c r="AG66" i="6"/>
  <c r="AH66" i="6" s="1"/>
  <c r="AF62" i="6"/>
  <c r="AF64" i="6"/>
  <c r="CK54" i="17" l="1"/>
  <c r="CK56" i="17"/>
  <c r="CK55" i="17"/>
  <c r="CR55" i="17" s="1"/>
  <c r="CN55" i="17" s="1"/>
  <c r="CK53" i="17"/>
  <c r="CR53" i="17" s="1"/>
  <c r="CN53" i="17" s="1"/>
  <c r="CK57" i="17"/>
  <c r="CY56" i="17"/>
  <c r="CY53" i="17"/>
  <c r="DF53" i="17" s="1"/>
  <c r="DB53" i="17" s="1"/>
  <c r="CY57" i="17"/>
  <c r="DF57" i="17" s="1"/>
  <c r="DB57" i="17" s="1"/>
  <c r="CY55" i="17"/>
  <c r="CY54" i="17"/>
  <c r="OU57" i="17"/>
  <c r="PB57" i="17" s="1"/>
  <c r="OX57" i="17" s="1"/>
  <c r="OU55" i="17"/>
  <c r="PB55" i="17" s="1"/>
  <c r="OX55" i="17" s="1"/>
  <c r="OU54" i="17"/>
  <c r="OU56" i="17"/>
  <c r="OU53" i="17"/>
  <c r="HU57" i="17"/>
  <c r="IB57" i="17" s="1"/>
  <c r="HX57" i="17" s="1"/>
  <c r="HU56" i="17"/>
  <c r="HU55" i="17"/>
  <c r="HU54" i="17"/>
  <c r="IB54" i="17" s="1"/>
  <c r="HX54" i="17" s="1"/>
  <c r="HU53" i="17"/>
  <c r="MC57" i="17"/>
  <c r="MC56" i="17"/>
  <c r="MC54" i="17"/>
  <c r="MC53" i="17"/>
  <c r="MJ53" i="17" s="1"/>
  <c r="MF53" i="17" s="1"/>
  <c r="MC55" i="17"/>
  <c r="FQ57" i="17"/>
  <c r="FQ55" i="17"/>
  <c r="FX55" i="17" s="1"/>
  <c r="FT55" i="17" s="1"/>
  <c r="FQ53" i="17"/>
  <c r="FX53" i="17" s="1"/>
  <c r="FT53" i="17" s="1"/>
  <c r="FQ56" i="17"/>
  <c r="FQ54" i="17"/>
  <c r="JY57" i="17"/>
  <c r="KF57" i="17" s="1"/>
  <c r="KB57" i="17" s="1"/>
  <c r="JY56" i="17"/>
  <c r="KF56" i="17" s="1"/>
  <c r="KB56" i="17" s="1"/>
  <c r="JY55" i="17"/>
  <c r="JY54" i="17"/>
  <c r="JY53" i="17"/>
  <c r="KF53" i="17" s="1"/>
  <c r="KB53" i="17" s="1"/>
  <c r="MQ53" i="17"/>
  <c r="MX53" i="17" s="1"/>
  <c r="MT53" i="17" s="1"/>
  <c r="MQ54" i="17"/>
  <c r="MQ57" i="17"/>
  <c r="MQ56" i="17"/>
  <c r="MX56" i="17" s="1"/>
  <c r="MT56" i="17" s="1"/>
  <c r="MQ55" i="17"/>
  <c r="MX55" i="17" s="1"/>
  <c r="MT55" i="17" s="1"/>
  <c r="BI57" i="17"/>
  <c r="BI56" i="17"/>
  <c r="BI55" i="17"/>
  <c r="BP55" i="17" s="1"/>
  <c r="BL55" i="17" s="1"/>
  <c r="BI54" i="17"/>
  <c r="BP54" i="17" s="1"/>
  <c r="BL54" i="17" s="1"/>
  <c r="BI53" i="17"/>
  <c r="QY57" i="17"/>
  <c r="QY55" i="17"/>
  <c r="RF55" i="17" s="1"/>
  <c r="RB55" i="17" s="1"/>
  <c r="QY54" i="17"/>
  <c r="RF54" i="17" s="1"/>
  <c r="RB54" i="17" s="1"/>
  <c r="QY53" i="17"/>
  <c r="QY56" i="17"/>
  <c r="EO56" i="17"/>
  <c r="EV56" i="17" s="1"/>
  <c r="ER56" i="17" s="1"/>
  <c r="EO55" i="17"/>
  <c r="EV55" i="17" s="1"/>
  <c r="ER55" i="17" s="1"/>
  <c r="EO53" i="17"/>
  <c r="EO57" i="17"/>
  <c r="EO54" i="17"/>
  <c r="DM55" i="17"/>
  <c r="DM53" i="17"/>
  <c r="DM56" i="17"/>
  <c r="DM57" i="17"/>
  <c r="DT57" i="17" s="1"/>
  <c r="DP57" i="17" s="1"/>
  <c r="DM54" i="17"/>
  <c r="DT54" i="17" s="1"/>
  <c r="DP54" i="17" s="1"/>
  <c r="EA56" i="17"/>
  <c r="EA54" i="17"/>
  <c r="EA53" i="17"/>
  <c r="EH53" i="17" s="1"/>
  <c r="ED53" i="17" s="1"/>
  <c r="EA57" i="17"/>
  <c r="EH57" i="17" s="1"/>
  <c r="ED57" i="17" s="1"/>
  <c r="EA55" i="17"/>
  <c r="SD43" i="17"/>
  <c r="SD47" i="17" s="1"/>
  <c r="SI47" i="17" s="1"/>
  <c r="TM35" i="17"/>
  <c r="SR41" i="17"/>
  <c r="SL81" i="17" s="1"/>
  <c r="H24" i="17"/>
  <c r="SD46" i="17"/>
  <c r="RF57" i="17"/>
  <c r="RB57" i="17" s="1"/>
  <c r="RF53" i="17"/>
  <c r="RB53" i="17" s="1"/>
  <c r="RF56" i="17"/>
  <c r="RB56" i="17" s="1"/>
  <c r="KM57" i="17"/>
  <c r="KT57" i="17" s="1"/>
  <c r="KP57" i="17" s="1"/>
  <c r="KU57" i="17" s="1"/>
  <c r="KM56" i="17"/>
  <c r="KT56" i="17" s="1"/>
  <c r="KP56" i="17" s="1"/>
  <c r="KU56" i="17" s="1"/>
  <c r="KM54" i="17"/>
  <c r="KT54" i="17" s="1"/>
  <c r="KP54" i="17" s="1"/>
  <c r="KU54" i="17" s="1"/>
  <c r="KM55" i="17"/>
  <c r="KT55" i="17" s="1"/>
  <c r="KP55" i="17" s="1"/>
  <c r="KU55" i="17" s="1"/>
  <c r="KM53" i="17"/>
  <c r="KT53" i="17" s="1"/>
  <c r="KP53" i="17" s="1"/>
  <c r="KU53" i="17" s="1"/>
  <c r="QK57" i="17"/>
  <c r="QR57" i="17" s="1"/>
  <c r="QN57" i="17" s="1"/>
  <c r="QK54" i="17"/>
  <c r="QR54" i="17" s="1"/>
  <c r="QN54" i="17" s="1"/>
  <c r="QK56" i="17"/>
  <c r="QR56" i="17" s="1"/>
  <c r="QN56" i="17" s="1"/>
  <c r="QK53" i="17"/>
  <c r="QR53" i="17" s="1"/>
  <c r="QN53" i="17" s="1"/>
  <c r="QK55" i="17"/>
  <c r="QR55" i="17" s="1"/>
  <c r="QN55" i="17" s="1"/>
  <c r="IB56" i="17"/>
  <c r="HX56" i="17" s="1"/>
  <c r="IB53" i="17"/>
  <c r="HX53" i="17" s="1"/>
  <c r="IB55" i="17"/>
  <c r="HX55" i="17" s="1"/>
  <c r="KF54" i="17"/>
  <c r="KB54" i="17" s="1"/>
  <c r="KF55" i="17"/>
  <c r="KB55" i="17" s="1"/>
  <c r="EV53" i="17"/>
  <c r="ER53" i="17" s="1"/>
  <c r="EV57" i="17"/>
  <c r="ER57" i="17" s="1"/>
  <c r="EV54" i="17"/>
  <c r="ER54" i="17" s="1"/>
  <c r="CR57" i="17"/>
  <c r="CN57" i="17" s="1"/>
  <c r="CR56" i="17"/>
  <c r="CN56" i="17" s="1"/>
  <c r="CR54" i="17"/>
  <c r="CN54" i="17" s="1"/>
  <c r="LO57" i="17"/>
  <c r="LV57" i="17" s="1"/>
  <c r="LR57" i="17" s="1"/>
  <c r="LW57" i="17" s="1"/>
  <c r="LO55" i="17"/>
  <c r="LV55" i="17" s="1"/>
  <c r="LR55" i="17" s="1"/>
  <c r="LW55" i="17" s="1"/>
  <c r="LO56" i="17"/>
  <c r="LV56" i="17" s="1"/>
  <c r="LR56" i="17" s="1"/>
  <c r="LW56" i="17" s="1"/>
  <c r="LO54" i="17"/>
  <c r="LV54" i="17" s="1"/>
  <c r="LR54" i="17" s="1"/>
  <c r="LW54" i="17" s="1"/>
  <c r="LO53" i="17"/>
  <c r="LV53" i="17" s="1"/>
  <c r="LR53" i="17" s="1"/>
  <c r="LW53" i="17" s="1"/>
  <c r="GS57" i="17"/>
  <c r="GZ57" i="17" s="1"/>
  <c r="GV57" i="17" s="1"/>
  <c r="HA57" i="17" s="1"/>
  <c r="GS55" i="17"/>
  <c r="GZ55" i="17" s="1"/>
  <c r="GV55" i="17" s="1"/>
  <c r="HA55" i="17" s="1"/>
  <c r="GS56" i="17"/>
  <c r="GZ56" i="17" s="1"/>
  <c r="GV56" i="17" s="1"/>
  <c r="HA56" i="17" s="1"/>
  <c r="GS54" i="17"/>
  <c r="GZ54" i="17" s="1"/>
  <c r="GV54" i="17" s="1"/>
  <c r="HA54" i="17" s="1"/>
  <c r="GS53" i="17"/>
  <c r="GZ53" i="17" s="1"/>
  <c r="GV53" i="17" s="1"/>
  <c r="HA53" i="17" s="1"/>
  <c r="FC55" i="17"/>
  <c r="FJ55" i="17" s="1"/>
  <c r="FF55" i="17" s="1"/>
  <c r="FK55" i="17" s="1"/>
  <c r="FC56" i="17"/>
  <c r="FJ56" i="17" s="1"/>
  <c r="FF56" i="17" s="1"/>
  <c r="FK56" i="17" s="1"/>
  <c r="FC54" i="17"/>
  <c r="FJ54" i="17" s="1"/>
  <c r="FF54" i="17" s="1"/>
  <c r="FK54" i="17" s="1"/>
  <c r="FC57" i="17"/>
  <c r="FJ57" i="17" s="1"/>
  <c r="FF57" i="17" s="1"/>
  <c r="FK57" i="17" s="1"/>
  <c r="FC53" i="17"/>
  <c r="FJ53" i="17" s="1"/>
  <c r="FF53" i="17" s="1"/>
  <c r="FK53" i="17" s="1"/>
  <c r="DF54" i="17"/>
  <c r="DB54" i="17" s="1"/>
  <c r="DF56" i="17"/>
  <c r="DB56" i="17" s="1"/>
  <c r="DF55" i="17"/>
  <c r="DB55" i="17" s="1"/>
  <c r="MJ57" i="17"/>
  <c r="MF57" i="17" s="1"/>
  <c r="MJ56" i="17"/>
  <c r="MF56" i="17" s="1"/>
  <c r="MJ55" i="17"/>
  <c r="MF55" i="17" s="1"/>
  <c r="MJ54" i="17"/>
  <c r="MF54" i="17" s="1"/>
  <c r="MX57" i="17"/>
  <c r="MT57" i="17" s="1"/>
  <c r="MX54" i="17"/>
  <c r="MT54" i="17" s="1"/>
  <c r="RP48" i="17"/>
  <c r="RJ82" i="17" s="1"/>
  <c r="NH50" i="17"/>
  <c r="GH50" i="17"/>
  <c r="NV50" i="17"/>
  <c r="BZ50" i="17"/>
  <c r="OJ50" i="17"/>
  <c r="HJ50" i="17"/>
  <c r="JN48" i="17"/>
  <c r="JH82" i="17" s="1"/>
  <c r="AU54" i="17"/>
  <c r="BB54" i="17" s="1"/>
  <c r="AX54" i="17" s="1"/>
  <c r="BC54" i="17" s="1"/>
  <c r="AU55" i="17"/>
  <c r="BB55" i="17" s="1"/>
  <c r="AX55" i="17" s="1"/>
  <c r="BC55" i="17" s="1"/>
  <c r="AU56" i="17"/>
  <c r="BB56" i="17" s="1"/>
  <c r="AX56" i="17" s="1"/>
  <c r="BC56" i="17" s="1"/>
  <c r="AU57" i="17"/>
  <c r="BB57" i="17" s="1"/>
  <c r="AX57" i="17" s="1"/>
  <c r="BC57" i="17" s="1"/>
  <c r="AU53" i="17"/>
  <c r="BB53" i="17" s="1"/>
  <c r="AX53" i="17" s="1"/>
  <c r="BC53" i="17" s="1"/>
  <c r="DT56" i="17"/>
  <c r="DP56" i="17" s="1"/>
  <c r="DT53" i="17"/>
  <c r="DP53" i="17" s="1"/>
  <c r="DT55" i="17"/>
  <c r="DP55" i="17" s="1"/>
  <c r="PB56" i="17"/>
  <c r="OX56" i="17" s="1"/>
  <c r="PB54" i="17"/>
  <c r="OX54" i="17" s="1"/>
  <c r="PB53" i="17"/>
  <c r="OX53" i="17" s="1"/>
  <c r="FX56" i="17"/>
  <c r="FT56" i="17" s="1"/>
  <c r="FX54" i="17"/>
  <c r="FT54" i="17" s="1"/>
  <c r="FX57" i="17"/>
  <c r="FT57" i="17" s="1"/>
  <c r="BP57" i="17"/>
  <c r="BL57" i="17" s="1"/>
  <c r="BP53" i="17"/>
  <c r="BL53" i="17" s="1"/>
  <c r="BP56" i="17"/>
  <c r="BL56" i="17" s="1"/>
  <c r="EH56" i="17"/>
  <c r="ED56" i="17" s="1"/>
  <c r="EH54" i="17"/>
  <c r="ED54" i="17" s="1"/>
  <c r="EH55" i="17"/>
  <c r="ED55" i="17" s="1"/>
  <c r="LA57" i="17"/>
  <c r="LH57" i="17" s="1"/>
  <c r="LD57" i="17" s="1"/>
  <c r="LI57" i="17" s="1"/>
  <c r="LA55" i="17"/>
  <c r="LH55" i="17" s="1"/>
  <c r="LD55" i="17" s="1"/>
  <c r="LI55" i="17" s="1"/>
  <c r="LA54" i="17"/>
  <c r="LH54" i="17" s="1"/>
  <c r="LD54" i="17" s="1"/>
  <c r="LI54" i="17" s="1"/>
  <c r="LA56" i="17"/>
  <c r="LH56" i="17" s="1"/>
  <c r="LD56" i="17" s="1"/>
  <c r="LI56" i="17" s="1"/>
  <c r="LA53" i="17"/>
  <c r="LH53" i="17" s="1"/>
  <c r="LD53" i="17" s="1"/>
  <c r="LI53" i="17" s="1"/>
  <c r="PI57" i="17"/>
  <c r="PP57" i="17" s="1"/>
  <c r="PL57" i="17" s="1"/>
  <c r="PQ57" i="17" s="1"/>
  <c r="PI53" i="17"/>
  <c r="PP53" i="17" s="1"/>
  <c r="PL53" i="17" s="1"/>
  <c r="PQ53" i="17" s="1"/>
  <c r="PI55" i="17"/>
  <c r="PP55" i="17" s="1"/>
  <c r="PL55" i="17" s="1"/>
  <c r="PQ55" i="17" s="1"/>
  <c r="PI56" i="17"/>
  <c r="PP56" i="17" s="1"/>
  <c r="PL56" i="17" s="1"/>
  <c r="PQ56" i="17" s="1"/>
  <c r="PI54" i="17"/>
  <c r="PP54" i="17" s="1"/>
  <c r="PL54" i="17" s="1"/>
  <c r="PQ54" i="17" s="1"/>
  <c r="H20" i="9"/>
  <c r="AE2" i="6"/>
  <c r="AG64" i="6"/>
  <c r="AH64" i="6" s="1"/>
  <c r="AG62" i="6"/>
  <c r="AH62" i="6" s="1"/>
  <c r="AE58" i="6"/>
  <c r="AE56" i="6"/>
  <c r="NS57" i="17" l="1"/>
  <c r="NS54" i="17"/>
  <c r="NS56" i="17"/>
  <c r="NZ56" i="17" s="1"/>
  <c r="NV56" i="17" s="1"/>
  <c r="NS55" i="17"/>
  <c r="NS53" i="17"/>
  <c r="HG53" i="17"/>
  <c r="HG56" i="17"/>
  <c r="HN56" i="17" s="1"/>
  <c r="HJ56" i="17" s="1"/>
  <c r="HG55" i="17"/>
  <c r="HG57" i="17"/>
  <c r="HG54" i="17"/>
  <c r="GE54" i="17"/>
  <c r="GE57" i="17"/>
  <c r="GE53" i="17"/>
  <c r="GE56" i="17"/>
  <c r="GE55" i="17"/>
  <c r="GL55" i="17" s="1"/>
  <c r="GH55" i="17" s="1"/>
  <c r="OG57" i="17"/>
  <c r="OG54" i="17"/>
  <c r="OG56" i="17"/>
  <c r="OG55" i="17"/>
  <c r="ON55" i="17" s="1"/>
  <c r="OJ55" i="17" s="1"/>
  <c r="OG53" i="17"/>
  <c r="NE53" i="17"/>
  <c r="NE56" i="17"/>
  <c r="NE55" i="17"/>
  <c r="NL55" i="17" s="1"/>
  <c r="NH55" i="17" s="1"/>
  <c r="NE54" i="17"/>
  <c r="NE57" i="17"/>
  <c r="SR43" i="17"/>
  <c r="SR46" i="17" s="1"/>
  <c r="SW46" i="17" s="1"/>
  <c r="PQ59" i="17"/>
  <c r="HA59" i="17"/>
  <c r="BC59" i="17"/>
  <c r="FK59" i="17"/>
  <c r="KU59" i="17"/>
  <c r="LI59" i="17"/>
  <c r="LW59" i="17"/>
  <c r="HX59" i="17"/>
  <c r="KB59" i="17"/>
  <c r="OX59" i="17"/>
  <c r="OR83" i="17" s="1"/>
  <c r="MF59" i="17"/>
  <c r="LZ83" i="17" s="1"/>
  <c r="DB59" i="17"/>
  <c r="CV83" i="17" s="1"/>
  <c r="DP59" i="17"/>
  <c r="DJ83" i="17" s="1"/>
  <c r="FF59" i="17"/>
  <c r="EZ83" i="17" s="1"/>
  <c r="ER59" i="17"/>
  <c r="EL83" i="17" s="1"/>
  <c r="QN59" i="17"/>
  <c r="QH83" i="17" s="1"/>
  <c r="KP59" i="17"/>
  <c r="KJ83" i="17" s="1"/>
  <c r="RB59" i="17"/>
  <c r="QV83" i="17" s="1"/>
  <c r="LD59" i="17"/>
  <c r="KX83" i="17" s="1"/>
  <c r="GV59" i="17"/>
  <c r="GP83" i="17" s="1"/>
  <c r="ED59" i="17"/>
  <c r="DX83" i="17" s="1"/>
  <c r="BL59" i="17"/>
  <c r="BF83" i="17" s="1"/>
  <c r="FT59" i="17"/>
  <c r="FN83" i="17" s="1"/>
  <c r="LR59" i="17"/>
  <c r="LL83" i="17" s="1"/>
  <c r="PL59" i="17"/>
  <c r="PF83" i="17" s="1"/>
  <c r="AX59" i="17"/>
  <c r="AR83" i="17" s="1"/>
  <c r="MT59" i="17"/>
  <c r="MN83" i="17" s="1"/>
  <c r="CN59" i="17"/>
  <c r="CH83" i="17" s="1"/>
  <c r="SD48" i="17"/>
  <c r="RX82" i="17" s="1"/>
  <c r="JN50" i="17"/>
  <c r="RP50" i="17"/>
  <c r="HN53" i="17"/>
  <c r="HJ53" i="17" s="1"/>
  <c r="HN54" i="17"/>
  <c r="HJ54" i="17" s="1"/>
  <c r="HN57" i="17"/>
  <c r="HJ57" i="17" s="1"/>
  <c r="HN55" i="17"/>
  <c r="HJ55" i="17" s="1"/>
  <c r="ON54" i="17"/>
  <c r="OJ54" i="17" s="1"/>
  <c r="ON53" i="17"/>
  <c r="OJ53" i="17" s="1"/>
  <c r="ON56" i="17"/>
  <c r="OJ56" i="17" s="1"/>
  <c r="ON57" i="17"/>
  <c r="OJ57" i="17" s="1"/>
  <c r="BW55" i="17"/>
  <c r="CD55" i="17" s="1"/>
  <c r="BZ55" i="17" s="1"/>
  <c r="CE55" i="17" s="1"/>
  <c r="BW56" i="17"/>
  <c r="CD56" i="17" s="1"/>
  <c r="BZ56" i="17" s="1"/>
  <c r="CE56" i="17" s="1"/>
  <c r="BW54" i="17"/>
  <c r="CD54" i="17" s="1"/>
  <c r="BZ54" i="17" s="1"/>
  <c r="CE54" i="17" s="1"/>
  <c r="BW57" i="17"/>
  <c r="CD57" i="17" s="1"/>
  <c r="BZ57" i="17" s="1"/>
  <c r="CE57" i="17" s="1"/>
  <c r="BW53" i="17"/>
  <c r="CD53" i="17" s="1"/>
  <c r="BZ53" i="17" s="1"/>
  <c r="CE53" i="17" s="1"/>
  <c r="H26" i="17"/>
  <c r="NZ57" i="17"/>
  <c r="NV57" i="17" s="1"/>
  <c r="NZ55" i="17"/>
  <c r="NV55" i="17" s="1"/>
  <c r="NZ53" i="17"/>
  <c r="NV53" i="17" s="1"/>
  <c r="NZ54" i="17"/>
  <c r="NV54" i="17" s="1"/>
  <c r="GL56" i="17"/>
  <c r="GH56" i="17" s="1"/>
  <c r="GL53" i="17"/>
  <c r="GH53" i="17" s="1"/>
  <c r="GL57" i="17"/>
  <c r="GH57" i="17" s="1"/>
  <c r="GL54" i="17"/>
  <c r="GH54" i="17" s="1"/>
  <c r="NL57" i="17"/>
  <c r="NH57" i="17" s="1"/>
  <c r="NL56" i="17"/>
  <c r="NH56" i="17" s="1"/>
  <c r="NL53" i="17"/>
  <c r="NH53" i="17" s="1"/>
  <c r="NL54" i="17"/>
  <c r="NH54" i="17" s="1"/>
  <c r="AF2" i="6"/>
  <c r="G20" i="9"/>
  <c r="AF58" i="6"/>
  <c r="AF56" i="6"/>
  <c r="AE54" i="6"/>
  <c r="JK57" i="17" l="1"/>
  <c r="JK56" i="17"/>
  <c r="JK55" i="17"/>
  <c r="JK54" i="17"/>
  <c r="JR54" i="17" s="1"/>
  <c r="JN54" i="17" s="1"/>
  <c r="JK53" i="17"/>
  <c r="RM57" i="17"/>
  <c r="RM55" i="17"/>
  <c r="RM54" i="17"/>
  <c r="RM53" i="17"/>
  <c r="RM56" i="17"/>
  <c r="SR47" i="17"/>
  <c r="SW47" i="17" s="1"/>
  <c r="SW48" i="17" s="1"/>
  <c r="DA59" i="17"/>
  <c r="DB70" i="17" s="1"/>
  <c r="KA59" i="17"/>
  <c r="KB70" i="17" s="1"/>
  <c r="JV83" i="17"/>
  <c r="CE59" i="17"/>
  <c r="HW59" i="17"/>
  <c r="HX70" i="17" s="1"/>
  <c r="HR83" i="17"/>
  <c r="ME59" i="17"/>
  <c r="MF70" i="17" s="1"/>
  <c r="GH59" i="17"/>
  <c r="OW59" i="17"/>
  <c r="OX70" i="17" s="1"/>
  <c r="LQ59" i="17"/>
  <c r="QM59" i="17"/>
  <c r="QN70" i="17" s="1"/>
  <c r="QN71" i="17" s="1"/>
  <c r="LR61" i="17"/>
  <c r="NV59" i="17"/>
  <c r="MS59" i="17"/>
  <c r="MT70" i="17" s="1"/>
  <c r="BZ59" i="17"/>
  <c r="BT83" i="17" s="1"/>
  <c r="OJ59" i="17"/>
  <c r="OD83" i="17" s="1"/>
  <c r="CM59" i="17"/>
  <c r="CN70" i="17" s="1"/>
  <c r="PK59" i="17"/>
  <c r="FS59" i="17"/>
  <c r="FT70" i="17" s="1"/>
  <c r="RA59" i="17"/>
  <c r="RB70" i="17" s="1"/>
  <c r="BK59" i="17"/>
  <c r="BL70" i="17" s="1"/>
  <c r="EQ59" i="17"/>
  <c r="ER70" i="17" s="1"/>
  <c r="FE59" i="17"/>
  <c r="NH59" i="17"/>
  <c r="NB83" i="17" s="1"/>
  <c r="HJ59" i="17"/>
  <c r="HD83" i="17" s="1"/>
  <c r="EC59" i="17"/>
  <c r="ED70" i="17" s="1"/>
  <c r="GU59" i="17"/>
  <c r="KO59" i="17"/>
  <c r="DO59" i="17"/>
  <c r="DP70" i="17" s="1"/>
  <c r="KP61" i="17"/>
  <c r="OX61" i="17"/>
  <c r="CN61" i="17"/>
  <c r="LD61" i="17"/>
  <c r="SD50" i="17"/>
  <c r="AX61" i="17"/>
  <c r="FF61" i="17"/>
  <c r="GV61" i="17"/>
  <c r="RB61" i="17"/>
  <c r="QN61" i="17"/>
  <c r="MF61" i="17"/>
  <c r="B79" i="17"/>
  <c r="H37" i="17"/>
  <c r="HX61" i="17"/>
  <c r="DB61" i="17"/>
  <c r="DP61" i="17"/>
  <c r="ED61" i="17"/>
  <c r="JR53" i="17"/>
  <c r="JN53" i="17" s="1"/>
  <c r="JR55" i="17"/>
  <c r="JN55" i="17" s="1"/>
  <c r="JR57" i="17"/>
  <c r="JN57" i="17" s="1"/>
  <c r="JR56" i="17"/>
  <c r="JN56" i="17" s="1"/>
  <c r="KB61" i="17"/>
  <c r="BL61" i="17"/>
  <c r="PL61" i="17"/>
  <c r="ER61" i="17"/>
  <c r="MT61" i="17"/>
  <c r="FT61" i="17"/>
  <c r="RT53" i="17"/>
  <c r="RP53" i="17" s="1"/>
  <c r="RT56" i="17"/>
  <c r="RP56" i="17" s="1"/>
  <c r="RT57" i="17"/>
  <c r="RP57" i="17" s="1"/>
  <c r="RT54" i="17"/>
  <c r="RP54" i="17" s="1"/>
  <c r="RT55" i="17"/>
  <c r="RP55" i="17" s="1"/>
  <c r="AG2" i="6"/>
  <c r="AG58" i="6"/>
  <c r="AH58" i="6" s="1"/>
  <c r="AG56" i="6"/>
  <c r="AH56" i="6" s="1"/>
  <c r="AF54" i="6"/>
  <c r="AE52" i="6"/>
  <c r="AE50" i="6"/>
  <c r="SA57" i="17" l="1"/>
  <c r="SA56" i="17"/>
  <c r="SA55" i="17"/>
  <c r="SA54" i="17"/>
  <c r="SA53" i="17"/>
  <c r="SH53" i="17" s="1"/>
  <c r="SD53" i="17" s="1"/>
  <c r="FT71" i="17"/>
  <c r="FN86" i="17" s="1"/>
  <c r="MF71" i="17"/>
  <c r="LZ86" i="17" s="1"/>
  <c r="ED71" i="17"/>
  <c r="DX86" i="17" s="1"/>
  <c r="ER71" i="17"/>
  <c r="EL86" i="17" s="1"/>
  <c r="MT71" i="17"/>
  <c r="MN86" i="17" s="1"/>
  <c r="KB71" i="17"/>
  <c r="JV86" i="17" s="1"/>
  <c r="DP71" i="17"/>
  <c r="DJ86" i="17" s="1"/>
  <c r="BL71" i="17"/>
  <c r="BF86" i="17" s="1"/>
  <c r="CN71" i="17"/>
  <c r="CH86" i="17" s="1"/>
  <c r="OX71" i="17"/>
  <c r="OR86" i="17" s="1"/>
  <c r="HX71" i="17"/>
  <c r="HR86" i="17" s="1"/>
  <c r="DB71" i="17"/>
  <c r="CV86" i="17" s="1"/>
  <c r="RB71" i="17"/>
  <c r="QV86" i="17" s="1"/>
  <c r="SR48" i="17"/>
  <c r="SL82" i="17" s="1"/>
  <c r="MT63" i="17"/>
  <c r="MT65" i="17" s="1"/>
  <c r="DB63" i="17"/>
  <c r="DB65" i="17" s="1"/>
  <c r="FF63" i="17"/>
  <c r="FF65" i="17" s="1"/>
  <c r="FF72" i="17" s="1"/>
  <c r="CN63" i="17"/>
  <c r="CN65" i="17" s="1"/>
  <c r="NV61" i="17"/>
  <c r="NP83" i="17"/>
  <c r="QN63" i="17"/>
  <c r="QN65" i="17" s="1"/>
  <c r="AX63" i="17"/>
  <c r="AX65" i="17" s="1"/>
  <c r="AX72" i="17" s="1"/>
  <c r="OX63" i="17"/>
  <c r="OX65" i="17" s="1"/>
  <c r="LR63" i="17"/>
  <c r="LR65" i="17" s="1"/>
  <c r="LR72" i="17" s="1"/>
  <c r="GG59" i="17"/>
  <c r="GH70" i="17" s="1"/>
  <c r="GB83" i="17"/>
  <c r="ED63" i="17"/>
  <c r="ED65" i="17" s="1"/>
  <c r="KP63" i="17"/>
  <c r="KP65" i="17" s="1"/>
  <c r="KP72" i="17" s="1"/>
  <c r="QH86" i="17"/>
  <c r="BL63" i="17"/>
  <c r="BL65" i="17" s="1"/>
  <c r="DP63" i="17"/>
  <c r="DP65" i="17" s="1"/>
  <c r="GV63" i="17"/>
  <c r="GV65" i="17" s="1"/>
  <c r="GV72" i="17" s="1"/>
  <c r="LD63" i="17"/>
  <c r="LD65" i="17" s="1"/>
  <c r="LD72" i="17" s="1"/>
  <c r="SR50" i="17"/>
  <c r="SO57" i="17" s="1"/>
  <c r="SV57" i="17" s="1"/>
  <c r="SR57" i="17" s="1"/>
  <c r="SW57" i="17" s="1"/>
  <c r="RP59" i="17"/>
  <c r="RJ83" i="17" s="1"/>
  <c r="OI59" i="17"/>
  <c r="OJ70" i="17" s="1"/>
  <c r="JN59" i="17"/>
  <c r="JH83" i="17" s="1"/>
  <c r="NG59" i="17"/>
  <c r="NH70" i="17" s="1"/>
  <c r="HI59" i="17"/>
  <c r="HJ70" i="17" s="1"/>
  <c r="BY59" i="17"/>
  <c r="NU59" i="17"/>
  <c r="NV70" i="17" s="1"/>
  <c r="BZ61" i="17"/>
  <c r="SH54" i="17"/>
  <c r="SD54" i="17" s="1"/>
  <c r="SH55" i="17"/>
  <c r="SD55" i="17" s="1"/>
  <c r="SH57" i="17"/>
  <c r="SD57" i="17" s="1"/>
  <c r="SH56" i="17"/>
  <c r="SD56" i="17" s="1"/>
  <c r="PL63" i="17"/>
  <c r="KB63" i="17"/>
  <c r="NH61" i="17"/>
  <c r="MF63" i="17"/>
  <c r="RB63" i="17"/>
  <c r="RB65" i="17" s="1"/>
  <c r="GH61" i="17"/>
  <c r="HJ61" i="17"/>
  <c r="FT63" i="17"/>
  <c r="FT65" i="17" s="1"/>
  <c r="ER63" i="17"/>
  <c r="OJ61" i="17"/>
  <c r="HX63" i="17"/>
  <c r="H40" i="17"/>
  <c r="AH2" i="6"/>
  <c r="AG54" i="6"/>
  <c r="AH54" i="6" s="1"/>
  <c r="AF52" i="6"/>
  <c r="AF50" i="6"/>
  <c r="AE48" i="6"/>
  <c r="HJ71" i="17" l="1"/>
  <c r="HD86" i="17" s="1"/>
  <c r="NH71" i="17"/>
  <c r="NB86" i="17" s="1"/>
  <c r="GH71" i="17"/>
  <c r="GB86" i="17" s="1"/>
  <c r="NV71" i="17"/>
  <c r="NP86" i="17" s="1"/>
  <c r="OJ71" i="17"/>
  <c r="OD86" i="17" s="1"/>
  <c r="KU20" i="17"/>
  <c r="KU21" i="17" s="1"/>
  <c r="FT67" i="17"/>
  <c r="QN67" i="17"/>
  <c r="OX67" i="17"/>
  <c r="DB67" i="17"/>
  <c r="RB67" i="17"/>
  <c r="MT67" i="17"/>
  <c r="EL84" i="17"/>
  <c r="PQ63" i="17"/>
  <c r="PF84" i="17"/>
  <c r="HR84" i="17"/>
  <c r="HJ63" i="17"/>
  <c r="HJ65" i="17" s="1"/>
  <c r="NH63" i="17"/>
  <c r="NH65" i="17" s="1"/>
  <c r="LI63" i="17"/>
  <c r="KX84" i="17"/>
  <c r="DJ84" i="17"/>
  <c r="DX84" i="17"/>
  <c r="NV63" i="17"/>
  <c r="NV65" i="17" s="1"/>
  <c r="CH84" i="17"/>
  <c r="BZ63" i="17"/>
  <c r="BZ65" i="17" s="1"/>
  <c r="BZ72" i="17" s="1"/>
  <c r="HA20" i="17"/>
  <c r="HA21" i="17" s="1"/>
  <c r="KU63" i="17"/>
  <c r="KJ84" i="17"/>
  <c r="OR84" i="17"/>
  <c r="QH84" i="17"/>
  <c r="ER65" i="17"/>
  <c r="FK20" i="17"/>
  <c r="FK21" i="17" s="1"/>
  <c r="CV84" i="17"/>
  <c r="MN84" i="17"/>
  <c r="JV84" i="17"/>
  <c r="HA63" i="17"/>
  <c r="GP84" i="17"/>
  <c r="BL67" i="17"/>
  <c r="PL65" i="17"/>
  <c r="PL72" i="17" s="1"/>
  <c r="LW20" i="17"/>
  <c r="LW21" i="17" s="1"/>
  <c r="BC20" i="17"/>
  <c r="BC21" i="17" s="1"/>
  <c r="HX65" i="17"/>
  <c r="FK63" i="17"/>
  <c r="EZ84" i="17"/>
  <c r="QV84" i="17"/>
  <c r="FN84" i="17"/>
  <c r="LZ84" i="17"/>
  <c r="SO56" i="17"/>
  <c r="SV56" i="17" s="1"/>
  <c r="SR56" i="17" s="1"/>
  <c r="SW56" i="17" s="1"/>
  <c r="LI20" i="17"/>
  <c r="LI21" i="17" s="1"/>
  <c r="DP67" i="17"/>
  <c r="BF84" i="17"/>
  <c r="ED67" i="17"/>
  <c r="LW63" i="17"/>
  <c r="LL84" i="17"/>
  <c r="BC63" i="17"/>
  <c r="AR84" i="17"/>
  <c r="CN67" i="17"/>
  <c r="MF65" i="17"/>
  <c r="KB65" i="17"/>
  <c r="SO54" i="17"/>
  <c r="SV54" i="17" s="1"/>
  <c r="SR54" i="17" s="1"/>
  <c r="SW54" i="17" s="1"/>
  <c r="SO55" i="17"/>
  <c r="SV55" i="17" s="1"/>
  <c r="SR55" i="17" s="1"/>
  <c r="SW55" i="17" s="1"/>
  <c r="SO53" i="17"/>
  <c r="SV53" i="17" s="1"/>
  <c r="SR53" i="17" s="1"/>
  <c r="SD59" i="17"/>
  <c r="RX83" i="17" s="1"/>
  <c r="RO59" i="17"/>
  <c r="RP70" i="17" s="1"/>
  <c r="JM59" i="17"/>
  <c r="JN70" i="17" s="1"/>
  <c r="RP61" i="17"/>
  <c r="H41" i="17"/>
  <c r="OJ63" i="17"/>
  <c r="OJ65" i="17" s="1"/>
  <c r="GH63" i="17"/>
  <c r="GH65" i="17" s="1"/>
  <c r="JN61" i="17"/>
  <c r="AG52" i="6"/>
  <c r="AH52" i="6" s="1"/>
  <c r="AG50" i="6"/>
  <c r="AH50" i="6" s="1"/>
  <c r="AF48" i="6"/>
  <c r="AE46" i="6"/>
  <c r="FK65" i="17" l="1"/>
  <c r="FK72" i="17" s="1"/>
  <c r="JN71" i="17"/>
  <c r="JH86" i="17" s="1"/>
  <c r="RP71" i="17"/>
  <c r="RJ86" i="17" s="1"/>
  <c r="KU65" i="17"/>
  <c r="KU72" i="17" s="1"/>
  <c r="BC65" i="17"/>
  <c r="BC72" i="17" s="1"/>
  <c r="OJ67" i="17"/>
  <c r="OJ68" i="17" s="1"/>
  <c r="OJ69" i="17" s="1"/>
  <c r="LW65" i="17"/>
  <c r="LW72" i="17" s="1"/>
  <c r="GH67" i="17"/>
  <c r="NV67" i="17"/>
  <c r="NH67" i="17"/>
  <c r="HJ67" i="17"/>
  <c r="CN68" i="17"/>
  <c r="CN69" i="17" s="1"/>
  <c r="ED68" i="17"/>
  <c r="ED69" i="17" s="1"/>
  <c r="DP68" i="17"/>
  <c r="DP69" i="17" s="1"/>
  <c r="BL68" i="17"/>
  <c r="BL69" i="17" s="1"/>
  <c r="KK92" i="17"/>
  <c r="KJ92" i="17" s="1"/>
  <c r="KK97" i="17"/>
  <c r="KJ97" i="17" s="1"/>
  <c r="KK91" i="17"/>
  <c r="KK99" i="17"/>
  <c r="KJ99" i="17" s="1"/>
  <c r="KK94" i="17"/>
  <c r="KJ94" i="17" s="1"/>
  <c r="KK96" i="17"/>
  <c r="KJ96" i="17" s="1"/>
  <c r="KK95" i="17"/>
  <c r="KJ95" i="17" s="1"/>
  <c r="KK98" i="17"/>
  <c r="KJ98" i="17" s="1"/>
  <c r="KJ87" i="17"/>
  <c r="KK88" i="17" s="1"/>
  <c r="KK93" i="17"/>
  <c r="KJ93" i="17" s="1"/>
  <c r="CE63" i="17"/>
  <c r="BT84" i="17"/>
  <c r="PF87" i="17"/>
  <c r="PG88" i="17" s="1"/>
  <c r="PG97" i="17"/>
  <c r="PF97" i="17" s="1"/>
  <c r="PG96" i="17"/>
  <c r="PF96" i="17" s="1"/>
  <c r="PG92" i="17"/>
  <c r="PF92" i="17" s="1"/>
  <c r="PG99" i="17"/>
  <c r="PF99" i="17" s="1"/>
  <c r="PG91" i="17"/>
  <c r="PG94" i="17"/>
  <c r="PF94" i="17" s="1"/>
  <c r="PG95" i="17"/>
  <c r="PF95" i="17" s="1"/>
  <c r="PG93" i="17"/>
  <c r="PF93" i="17" s="1"/>
  <c r="PG98" i="17"/>
  <c r="PF98" i="17" s="1"/>
  <c r="KB67" i="17"/>
  <c r="LM97" i="17"/>
  <c r="LL97" i="17" s="1"/>
  <c r="LM96" i="17"/>
  <c r="LL96" i="17" s="1"/>
  <c r="LL87" i="17"/>
  <c r="LM88" i="17" s="1"/>
  <c r="LM92" i="17"/>
  <c r="LL92" i="17" s="1"/>
  <c r="LM94" i="17"/>
  <c r="LL94" i="17" s="1"/>
  <c r="LM95" i="17"/>
  <c r="LL95" i="17" s="1"/>
  <c r="LM91" i="17"/>
  <c r="LM98" i="17"/>
  <c r="LL98" i="17" s="1"/>
  <c r="LM99" i="17"/>
  <c r="LL99" i="17" s="1"/>
  <c r="LM93" i="17"/>
  <c r="LL93" i="17" s="1"/>
  <c r="HX67" i="17"/>
  <c r="GP87" i="17"/>
  <c r="GQ88" i="17" s="1"/>
  <c r="GQ98" i="17"/>
  <c r="GP98" i="17" s="1"/>
  <c r="GQ91" i="17"/>
  <c r="GQ96" i="17"/>
  <c r="GP96" i="17" s="1"/>
  <c r="GQ99" i="17"/>
  <c r="GP99" i="17" s="1"/>
  <c r="GQ97" i="17"/>
  <c r="GP97" i="17" s="1"/>
  <c r="GQ94" i="17"/>
  <c r="GP94" i="17" s="1"/>
  <c r="GQ93" i="17"/>
  <c r="GP93" i="17" s="1"/>
  <c r="GQ95" i="17"/>
  <c r="GP95" i="17" s="1"/>
  <c r="GQ92" i="17"/>
  <c r="GP92" i="17" s="1"/>
  <c r="ER67" i="17"/>
  <c r="NP84" i="17"/>
  <c r="HD84" i="17"/>
  <c r="RB68" i="17"/>
  <c r="RB69" i="17" s="1"/>
  <c r="OX68" i="17"/>
  <c r="OX69" i="17" s="1"/>
  <c r="FT68" i="17"/>
  <c r="FT69" i="17" s="1"/>
  <c r="SR59" i="17"/>
  <c r="SL83" i="17" s="1"/>
  <c r="SW53" i="17"/>
  <c r="SW59" i="17" s="1"/>
  <c r="PQ20" i="17"/>
  <c r="PQ21" i="17" s="1"/>
  <c r="PQ65" i="17" s="1"/>
  <c r="PQ72" i="17" s="1"/>
  <c r="HA65" i="17"/>
  <c r="HA72" i="17" s="1"/>
  <c r="KY92" i="17"/>
  <c r="KX92" i="17" s="1"/>
  <c r="KY97" i="17"/>
  <c r="KX97" i="17" s="1"/>
  <c r="KY96" i="17"/>
  <c r="KX96" i="17" s="1"/>
  <c r="KY95" i="17"/>
  <c r="KX95" i="17" s="1"/>
  <c r="KY99" i="17"/>
  <c r="KX99" i="17" s="1"/>
  <c r="KY93" i="17"/>
  <c r="KX93" i="17" s="1"/>
  <c r="KY98" i="17"/>
  <c r="KX98" i="17" s="1"/>
  <c r="KX87" i="17"/>
  <c r="KY88" i="17" s="1"/>
  <c r="KY94" i="17"/>
  <c r="KX94" i="17" s="1"/>
  <c r="KY91" i="17"/>
  <c r="OD84" i="17"/>
  <c r="MF67" i="17"/>
  <c r="GB84" i="17"/>
  <c r="AS94" i="17"/>
  <c r="AR94" i="17" s="1"/>
  <c r="AS92" i="17"/>
  <c r="AR92" i="17" s="1"/>
  <c r="AS93" i="17"/>
  <c r="AR93" i="17" s="1"/>
  <c r="AR87" i="17"/>
  <c r="AS88" i="17" s="1"/>
  <c r="AS95" i="17"/>
  <c r="AR95" i="17" s="1"/>
  <c r="AS99" i="17"/>
  <c r="AR99" i="17" s="1"/>
  <c r="AS98" i="17"/>
  <c r="AR98" i="17" s="1"/>
  <c r="AS91" i="17"/>
  <c r="AS97" i="17"/>
  <c r="AR97" i="17" s="1"/>
  <c r="AS96" i="17"/>
  <c r="AR96" i="17" s="1"/>
  <c r="FA98" i="17"/>
  <c r="EZ98" i="17" s="1"/>
  <c r="FA96" i="17"/>
  <c r="EZ96" i="17" s="1"/>
  <c r="FA94" i="17"/>
  <c r="EZ94" i="17" s="1"/>
  <c r="FA95" i="17"/>
  <c r="EZ95" i="17" s="1"/>
  <c r="FA97" i="17"/>
  <c r="EZ97" i="17" s="1"/>
  <c r="FA99" i="17"/>
  <c r="EZ99" i="17" s="1"/>
  <c r="FA93" i="17"/>
  <c r="EZ93" i="17" s="1"/>
  <c r="FA91" i="17"/>
  <c r="FA92" i="17"/>
  <c r="EZ92" i="17" s="1"/>
  <c r="EZ87" i="17"/>
  <c r="FA88" i="17" s="1"/>
  <c r="CE20" i="17"/>
  <c r="CE21" i="17" s="1"/>
  <c r="LI65" i="17"/>
  <c r="LI72" i="17" s="1"/>
  <c r="NB84" i="17"/>
  <c r="MT68" i="17"/>
  <c r="MT69" i="17" s="1"/>
  <c r="DB68" i="17"/>
  <c r="DB69" i="17" s="1"/>
  <c r="QN68" i="17"/>
  <c r="QN69" i="17" s="1"/>
  <c r="SC59" i="17"/>
  <c r="SD70" i="17" s="1"/>
  <c r="SQ59" i="17"/>
  <c r="SD61" i="17"/>
  <c r="JN63" i="17"/>
  <c r="JN65" i="17" s="1"/>
  <c r="B81" i="17"/>
  <c r="H43" i="17"/>
  <c r="RP63" i="17"/>
  <c r="RP65" i="17" s="1"/>
  <c r="AG48" i="6"/>
  <c r="AH48" i="6" s="1"/>
  <c r="AF46" i="6"/>
  <c r="AE44" i="6"/>
  <c r="SD71" i="17" l="1"/>
  <c r="RX86" i="17" s="1"/>
  <c r="SR61" i="17"/>
  <c r="SR63" i="17" s="1"/>
  <c r="SR65" i="17" s="1"/>
  <c r="SR72" i="17" s="1"/>
  <c r="OD85" i="17"/>
  <c r="OE96" i="17" s="1"/>
  <c r="OD96" i="17" s="1"/>
  <c r="OJ72" i="17"/>
  <c r="RP67" i="17"/>
  <c r="JN67" i="17"/>
  <c r="SD63" i="17"/>
  <c r="SD65" i="17" s="1"/>
  <c r="MN85" i="17"/>
  <c r="MT72" i="17"/>
  <c r="MY69" i="17" s="1"/>
  <c r="AR91" i="17"/>
  <c r="AS100" i="17"/>
  <c r="AS101" i="17" s="1"/>
  <c r="FN85" i="17"/>
  <c r="FT72" i="17"/>
  <c r="QV85" i="17"/>
  <c r="RB72" i="17"/>
  <c r="RG69" i="17" s="1"/>
  <c r="DJ85" i="17"/>
  <c r="DP72" i="17"/>
  <c r="CH85" i="17"/>
  <c r="CN72" i="17"/>
  <c r="CS69" i="17" s="1"/>
  <c r="NH68" i="17"/>
  <c r="NH69" i="17" s="1"/>
  <c r="MF68" i="17"/>
  <c r="MF69" i="17" s="1"/>
  <c r="GP91" i="17"/>
  <c r="GQ100" i="17"/>
  <c r="GQ101" i="17" s="1"/>
  <c r="HX68" i="17"/>
  <c r="HX69" i="17" s="1"/>
  <c r="LL91" i="17"/>
  <c r="LM100" i="17"/>
  <c r="LM101" i="17" s="1"/>
  <c r="KB68" i="17"/>
  <c r="KB69" i="17" s="1"/>
  <c r="JH84" i="17"/>
  <c r="EZ91" i="17"/>
  <c r="FA100" i="17"/>
  <c r="FA101" i="17" s="1"/>
  <c r="KX91" i="17"/>
  <c r="KY100" i="17"/>
  <c r="KY101" i="17" s="1"/>
  <c r="OR85" i="17"/>
  <c r="OX72" i="17"/>
  <c r="PC69" i="17" s="1"/>
  <c r="PF91" i="17"/>
  <c r="PG100" i="17"/>
  <c r="PG101" i="17" s="1"/>
  <c r="BU93" i="17"/>
  <c r="BT93" i="17" s="1"/>
  <c r="BU91" i="17"/>
  <c r="BU92" i="17"/>
  <c r="BT92" i="17" s="1"/>
  <c r="BU94" i="17"/>
  <c r="BT94" i="17" s="1"/>
  <c r="BU97" i="17"/>
  <c r="BT97" i="17" s="1"/>
  <c r="BU95" i="17"/>
  <c r="BT95" i="17" s="1"/>
  <c r="BU99" i="17"/>
  <c r="BT99" i="17" s="1"/>
  <c r="BU98" i="17"/>
  <c r="BT98" i="17" s="1"/>
  <c r="BT87" i="17"/>
  <c r="BU88" i="17" s="1"/>
  <c r="BU96" i="17"/>
  <c r="BT96" i="17" s="1"/>
  <c r="DX85" i="17"/>
  <c r="ED72" i="17"/>
  <c r="HJ68" i="17"/>
  <c r="HJ69" i="17" s="1"/>
  <c r="CV85" i="17"/>
  <c r="DB72" i="17"/>
  <c r="DG69" i="17" s="1"/>
  <c r="RJ84" i="17"/>
  <c r="QH85" i="17"/>
  <c r="QN72" i="17"/>
  <c r="ER68" i="17"/>
  <c r="ER69" i="17" s="1"/>
  <c r="CE65" i="17"/>
  <c r="CE72" i="17" s="1"/>
  <c r="KJ91" i="17"/>
  <c r="KK100" i="17"/>
  <c r="KK101" i="17" s="1"/>
  <c r="BF85" i="17"/>
  <c r="BL72" i="17"/>
  <c r="BQ69" i="17" s="1"/>
  <c r="NV68" i="17"/>
  <c r="NV69" i="17" s="1"/>
  <c r="GH68" i="17"/>
  <c r="GH69" i="17" s="1"/>
  <c r="H46" i="17"/>
  <c r="H47" i="17"/>
  <c r="M47" i="17" s="1"/>
  <c r="AG46" i="6"/>
  <c r="AH46" i="6" s="1"/>
  <c r="AF44" i="6"/>
  <c r="AE42" i="6"/>
  <c r="OE97" i="17" l="1"/>
  <c r="OD97" i="17" s="1"/>
  <c r="OE95" i="17"/>
  <c r="OD95" i="17" s="1"/>
  <c r="OE91" i="17"/>
  <c r="OD91" i="17" s="1"/>
  <c r="OD87" i="17"/>
  <c r="OE88" i="17" s="1"/>
  <c r="OE94" i="17"/>
  <c r="OD94" i="17" s="1"/>
  <c r="OE98" i="17"/>
  <c r="OD98" i="17" s="1"/>
  <c r="OE92" i="17"/>
  <c r="OD92" i="17" s="1"/>
  <c r="OE93" i="17"/>
  <c r="OD93" i="17" s="1"/>
  <c r="OE99" i="17"/>
  <c r="OD99" i="17" s="1"/>
  <c r="OO24" i="17"/>
  <c r="OO33" i="17"/>
  <c r="OO19" i="17"/>
  <c r="OO32" i="17"/>
  <c r="OO25" i="17"/>
  <c r="OO18" i="17"/>
  <c r="OO34" i="17"/>
  <c r="OO30" i="17"/>
  <c r="OO31" i="17"/>
  <c r="OO40" i="17"/>
  <c r="OO41" i="17" s="1"/>
  <c r="OO46" i="17"/>
  <c r="OO48" i="17" s="1"/>
  <c r="OO53" i="17"/>
  <c r="OO55" i="17"/>
  <c r="OO57" i="17"/>
  <c r="OO54" i="17"/>
  <c r="OO56" i="17"/>
  <c r="OO71" i="17"/>
  <c r="OO20" i="17"/>
  <c r="OO63" i="17"/>
  <c r="OO69" i="17"/>
  <c r="SW20" i="17"/>
  <c r="SW21" i="17" s="1"/>
  <c r="BG92" i="17"/>
  <c r="BF92" i="17" s="1"/>
  <c r="BG93" i="17"/>
  <c r="BF93" i="17" s="1"/>
  <c r="BG99" i="17"/>
  <c r="BF99" i="17" s="1"/>
  <c r="BG96" i="17"/>
  <c r="BF96" i="17" s="1"/>
  <c r="BG95" i="17"/>
  <c r="BF95" i="17" s="1"/>
  <c r="BF87" i="17"/>
  <c r="BG88" i="17" s="1"/>
  <c r="BG91" i="17"/>
  <c r="BG97" i="17"/>
  <c r="BF97" i="17" s="1"/>
  <c r="BG94" i="17"/>
  <c r="BF94" i="17" s="1"/>
  <c r="BG98" i="17"/>
  <c r="BF98" i="17" s="1"/>
  <c r="CW95" i="17"/>
  <c r="CV95" i="17" s="1"/>
  <c r="CW98" i="17"/>
  <c r="CV98" i="17" s="1"/>
  <c r="CW94" i="17"/>
  <c r="CV94" i="17" s="1"/>
  <c r="CW93" i="17"/>
  <c r="CV93" i="17" s="1"/>
  <c r="CW91" i="17"/>
  <c r="CW97" i="17"/>
  <c r="CV97" i="17" s="1"/>
  <c r="CW99" i="17"/>
  <c r="CV99" i="17" s="1"/>
  <c r="CV87" i="17"/>
  <c r="CW88" i="17" s="1"/>
  <c r="CW92" i="17"/>
  <c r="CV92" i="17" s="1"/>
  <c r="CW96" i="17"/>
  <c r="CV96" i="17" s="1"/>
  <c r="EI20" i="17"/>
  <c r="EI33" i="17"/>
  <c r="EI32" i="17"/>
  <c r="EI19" i="17"/>
  <c r="EI24" i="17"/>
  <c r="EI25" i="17"/>
  <c r="EI18" i="17"/>
  <c r="EI30" i="17"/>
  <c r="EI31" i="17"/>
  <c r="EI34" i="17"/>
  <c r="EI40" i="17"/>
  <c r="EI41" i="17" s="1"/>
  <c r="EI46" i="17"/>
  <c r="EI48" i="17" s="1"/>
  <c r="EI55" i="17"/>
  <c r="EI53" i="17"/>
  <c r="EI57" i="17"/>
  <c r="EI54" i="17"/>
  <c r="EI56" i="17"/>
  <c r="EI71" i="17"/>
  <c r="EI63" i="17"/>
  <c r="OS99" i="17"/>
  <c r="OR99" i="17" s="1"/>
  <c r="OS94" i="17"/>
  <c r="OR94" i="17" s="1"/>
  <c r="OS93" i="17"/>
  <c r="OR93" i="17" s="1"/>
  <c r="OS97" i="17"/>
  <c r="OR97" i="17" s="1"/>
  <c r="OS95" i="17"/>
  <c r="OR95" i="17" s="1"/>
  <c r="OS98" i="17"/>
  <c r="OR98" i="17" s="1"/>
  <c r="OS91" i="17"/>
  <c r="OS92" i="17"/>
  <c r="OR92" i="17" s="1"/>
  <c r="OR87" i="17"/>
  <c r="OS88" i="17" s="1"/>
  <c r="OS96" i="17"/>
  <c r="OR96" i="17" s="1"/>
  <c r="NB85" i="17"/>
  <c r="NH72" i="17"/>
  <c r="NM69" i="17" s="1"/>
  <c r="DU20" i="17"/>
  <c r="DU33" i="17"/>
  <c r="DU32" i="17"/>
  <c r="DU19" i="17"/>
  <c r="DU24" i="17"/>
  <c r="DU25" i="17"/>
  <c r="DU18" i="17"/>
  <c r="DU30" i="17"/>
  <c r="DU31" i="17"/>
  <c r="DU34" i="17"/>
  <c r="DU40" i="17"/>
  <c r="DU41" i="17" s="1"/>
  <c r="DU46" i="17"/>
  <c r="DU48" i="17" s="1"/>
  <c r="DU55" i="17"/>
  <c r="DU56" i="17"/>
  <c r="DU54" i="17"/>
  <c r="DU57" i="17"/>
  <c r="DU53" i="17"/>
  <c r="DU71" i="17"/>
  <c r="DU63" i="17"/>
  <c r="FY20" i="17"/>
  <c r="FY33" i="17"/>
  <c r="FY32" i="17"/>
  <c r="FY24" i="17"/>
  <c r="FY19" i="17"/>
  <c r="FY18" i="17"/>
  <c r="FY25" i="17"/>
  <c r="FY30" i="17"/>
  <c r="FY34" i="17"/>
  <c r="FY31" i="17"/>
  <c r="FY40" i="17"/>
  <c r="FY41" i="17" s="1"/>
  <c r="FY46" i="17"/>
  <c r="FY48" i="17" s="1"/>
  <c r="FY56" i="17"/>
  <c r="FY54" i="17"/>
  <c r="FY55" i="17"/>
  <c r="FY53" i="17"/>
  <c r="FY57" i="17"/>
  <c r="FY71" i="17"/>
  <c r="FY63" i="17"/>
  <c r="MO96" i="17"/>
  <c r="MN96" i="17" s="1"/>
  <c r="MO98" i="17"/>
  <c r="MN98" i="17" s="1"/>
  <c r="MO97" i="17"/>
  <c r="MN97" i="17" s="1"/>
  <c r="MO99" i="17"/>
  <c r="MN99" i="17" s="1"/>
  <c r="MO91" i="17"/>
  <c r="MN87" i="17"/>
  <c r="MO88" i="17" s="1"/>
  <c r="MO95" i="17"/>
  <c r="MN95" i="17" s="1"/>
  <c r="MO94" i="17"/>
  <c r="MN94" i="17" s="1"/>
  <c r="MO93" i="17"/>
  <c r="MN93" i="17" s="1"/>
  <c r="MO92" i="17"/>
  <c r="MN92" i="17" s="1"/>
  <c r="DY98" i="17"/>
  <c r="DX98" i="17" s="1"/>
  <c r="DY91" i="17"/>
  <c r="DY97" i="17"/>
  <c r="DX97" i="17" s="1"/>
  <c r="DY93" i="17"/>
  <c r="DX93" i="17" s="1"/>
  <c r="DY99" i="17"/>
  <c r="DX99" i="17" s="1"/>
  <c r="DY96" i="17"/>
  <c r="DX96" i="17" s="1"/>
  <c r="DY94" i="17"/>
  <c r="DX94" i="17" s="1"/>
  <c r="DY92" i="17"/>
  <c r="DX92" i="17" s="1"/>
  <c r="DX87" i="17"/>
  <c r="DY88" i="17" s="1"/>
  <c r="DY95" i="17"/>
  <c r="DX95" i="17" s="1"/>
  <c r="CS20" i="17"/>
  <c r="CS33" i="17"/>
  <c r="CS32" i="17"/>
  <c r="CS24" i="17"/>
  <c r="CS19" i="17"/>
  <c r="CS25" i="17"/>
  <c r="CS18" i="17"/>
  <c r="CS30" i="17"/>
  <c r="CS31" i="17"/>
  <c r="CS34" i="17"/>
  <c r="CS40" i="17"/>
  <c r="CS41" i="17" s="1"/>
  <c r="CS46" i="17"/>
  <c r="CS48" i="17" s="1"/>
  <c r="CS57" i="17"/>
  <c r="CS54" i="17"/>
  <c r="CS56" i="17"/>
  <c r="CS55" i="17"/>
  <c r="CS53" i="17"/>
  <c r="CS71" i="17"/>
  <c r="CS63" i="17"/>
  <c r="DK98" i="17"/>
  <c r="DJ98" i="17" s="1"/>
  <c r="DK91" i="17"/>
  <c r="DK95" i="17"/>
  <c r="DJ95" i="17" s="1"/>
  <c r="DK94" i="17"/>
  <c r="DJ94" i="17" s="1"/>
  <c r="DK99" i="17"/>
  <c r="DJ99" i="17" s="1"/>
  <c r="DK93" i="17"/>
  <c r="DJ93" i="17" s="1"/>
  <c r="DK92" i="17"/>
  <c r="DJ92" i="17" s="1"/>
  <c r="DK96" i="17"/>
  <c r="DJ96" i="17" s="1"/>
  <c r="DK97" i="17"/>
  <c r="DJ97" i="17" s="1"/>
  <c r="DJ87" i="17"/>
  <c r="DK88" i="17" s="1"/>
  <c r="RG20" i="17"/>
  <c r="RG18" i="17"/>
  <c r="RG33" i="17"/>
  <c r="RG24" i="17"/>
  <c r="RG25" i="17"/>
  <c r="RG32" i="17"/>
  <c r="RG31" i="17"/>
  <c r="RG30" i="17"/>
  <c r="RG34" i="17"/>
  <c r="RG19" i="17"/>
  <c r="RG40" i="17"/>
  <c r="RG41" i="17" s="1"/>
  <c r="RG46" i="17"/>
  <c r="RG48" i="17" s="1"/>
  <c r="RG57" i="17"/>
  <c r="RG55" i="17"/>
  <c r="RG54" i="17"/>
  <c r="RG53" i="17"/>
  <c r="RG56" i="17"/>
  <c r="RG71" i="17"/>
  <c r="RG63" i="17"/>
  <c r="FO99" i="17"/>
  <c r="FN99" i="17" s="1"/>
  <c r="FO94" i="17"/>
  <c r="FN94" i="17" s="1"/>
  <c r="FO96" i="17"/>
  <c r="FN96" i="17" s="1"/>
  <c r="FO95" i="17"/>
  <c r="FN95" i="17" s="1"/>
  <c r="FN87" i="17"/>
  <c r="FO88" i="17" s="1"/>
  <c r="FO98" i="17"/>
  <c r="FN98" i="17" s="1"/>
  <c r="FO92" i="17"/>
  <c r="FN92" i="17" s="1"/>
  <c r="FO93" i="17"/>
  <c r="FN93" i="17" s="1"/>
  <c r="FO97" i="17"/>
  <c r="FN97" i="17" s="1"/>
  <c r="FO91" i="17"/>
  <c r="JN68" i="17"/>
  <c r="JN69" i="17" s="1"/>
  <c r="SW63" i="17"/>
  <c r="SL84" i="17"/>
  <c r="NP85" i="17"/>
  <c r="NV72" i="17"/>
  <c r="OA69" i="17" s="1"/>
  <c r="EL85" i="17"/>
  <c r="ER72" i="17"/>
  <c r="EW69" i="17" s="1"/>
  <c r="QI97" i="17"/>
  <c r="QH97" i="17" s="1"/>
  <c r="QI98" i="17"/>
  <c r="QH98" i="17" s="1"/>
  <c r="QH87" i="17"/>
  <c r="QI88" i="17" s="1"/>
  <c r="QI94" i="17"/>
  <c r="QH94" i="17" s="1"/>
  <c r="QI95" i="17"/>
  <c r="QH95" i="17" s="1"/>
  <c r="QI96" i="17"/>
  <c r="QH96" i="17" s="1"/>
  <c r="QI92" i="17"/>
  <c r="QH92" i="17" s="1"/>
  <c r="QI93" i="17"/>
  <c r="QH93" i="17" s="1"/>
  <c r="QI91" i="17"/>
  <c r="QI99" i="17"/>
  <c r="QH99" i="17" s="1"/>
  <c r="HD85" i="17"/>
  <c r="HJ72" i="17"/>
  <c r="HO69" i="17" s="1"/>
  <c r="EI69" i="17"/>
  <c r="JV85" i="17"/>
  <c r="KB72" i="17"/>
  <c r="KG69" i="17" s="1"/>
  <c r="HR85" i="17"/>
  <c r="HX72" i="17"/>
  <c r="LZ85" i="17"/>
  <c r="MF72" i="17"/>
  <c r="MK69" i="17" s="1"/>
  <c r="CI92" i="17"/>
  <c r="CH92" i="17" s="1"/>
  <c r="CI91" i="17"/>
  <c r="CI95" i="17"/>
  <c r="CH95" i="17" s="1"/>
  <c r="CH87" i="17"/>
  <c r="CI88" i="17" s="1"/>
  <c r="CI96" i="17"/>
  <c r="CH96" i="17" s="1"/>
  <c r="CI93" i="17"/>
  <c r="CH93" i="17" s="1"/>
  <c r="CI99" i="17"/>
  <c r="CH99" i="17" s="1"/>
  <c r="CI94" i="17"/>
  <c r="CH94" i="17" s="1"/>
  <c r="CI98" i="17"/>
  <c r="CH98" i="17" s="1"/>
  <c r="CI97" i="17"/>
  <c r="CH97" i="17" s="1"/>
  <c r="DU69" i="17"/>
  <c r="QW94" i="17"/>
  <c r="QV94" i="17" s="1"/>
  <c r="QW98" i="17"/>
  <c r="QV98" i="17" s="1"/>
  <c r="QW96" i="17"/>
  <c r="QV96" i="17" s="1"/>
  <c r="QV87" i="17"/>
  <c r="QW88" i="17" s="1"/>
  <c r="QW93" i="17"/>
  <c r="QV93" i="17" s="1"/>
  <c r="QW91" i="17"/>
  <c r="QW92" i="17"/>
  <c r="QV92" i="17" s="1"/>
  <c r="QW97" i="17"/>
  <c r="QV97" i="17" s="1"/>
  <c r="QW95" i="17"/>
  <c r="QV95" i="17" s="1"/>
  <c r="QW99" i="17"/>
  <c r="QV99" i="17" s="1"/>
  <c r="FY69" i="17"/>
  <c r="SD67" i="17"/>
  <c r="QS20" i="17"/>
  <c r="QS25" i="17"/>
  <c r="QS18" i="17"/>
  <c r="QS24" i="17"/>
  <c r="QS32" i="17"/>
  <c r="QS34" i="17"/>
  <c r="QS31" i="17"/>
  <c r="QS19" i="17"/>
  <c r="QS30" i="17"/>
  <c r="QS33" i="17"/>
  <c r="QS40" i="17"/>
  <c r="QS41" i="17" s="1"/>
  <c r="QS46" i="17"/>
  <c r="QS48" i="17" s="1"/>
  <c r="QS55" i="17"/>
  <c r="QS57" i="17"/>
  <c r="QS53" i="17"/>
  <c r="QS56" i="17"/>
  <c r="QS54" i="17"/>
  <c r="QS71" i="17"/>
  <c r="QS63" i="17"/>
  <c r="GB85" i="17"/>
  <c r="GH72" i="17"/>
  <c r="GM69" i="17" s="1"/>
  <c r="BQ20" i="17"/>
  <c r="BQ32" i="17"/>
  <c r="BQ33" i="17"/>
  <c r="BQ24" i="17"/>
  <c r="BQ19" i="17"/>
  <c r="BQ25" i="17"/>
  <c r="BQ18" i="17"/>
  <c r="BQ34" i="17"/>
  <c r="BQ30" i="17"/>
  <c r="BQ31" i="17"/>
  <c r="BQ40" i="17"/>
  <c r="BQ41" i="17" s="1"/>
  <c r="BQ46" i="17"/>
  <c r="BQ48" i="17" s="1"/>
  <c r="BQ56" i="17"/>
  <c r="BQ54" i="17"/>
  <c r="BQ57" i="17"/>
  <c r="BQ53" i="17"/>
  <c r="BQ55" i="17"/>
  <c r="BQ71" i="17"/>
  <c r="BQ63" i="17"/>
  <c r="QS69" i="17"/>
  <c r="DG20" i="17"/>
  <c r="DG33" i="17"/>
  <c r="DG32" i="17"/>
  <c r="DG24" i="17"/>
  <c r="DG19" i="17"/>
  <c r="DG18" i="17"/>
  <c r="DG25" i="17"/>
  <c r="DG30" i="17"/>
  <c r="DG34" i="17"/>
  <c r="DG31" i="17"/>
  <c r="DG40" i="17"/>
  <c r="DG41" i="17" s="1"/>
  <c r="DG46" i="17"/>
  <c r="DG48" i="17" s="1"/>
  <c r="DG53" i="17"/>
  <c r="DG54" i="17"/>
  <c r="DG55" i="17"/>
  <c r="DG57" i="17"/>
  <c r="DG56" i="17"/>
  <c r="DG71" i="17"/>
  <c r="DG63" i="17"/>
  <c r="BT91" i="17"/>
  <c r="BU100" i="17"/>
  <c r="BU101" i="17" s="1"/>
  <c r="PC20" i="17"/>
  <c r="PC24" i="17"/>
  <c r="PC32" i="17"/>
  <c r="PC33" i="17"/>
  <c r="PC19" i="17"/>
  <c r="PC18" i="17"/>
  <c r="PC25" i="17"/>
  <c r="PC34" i="17"/>
  <c r="PC30" i="17"/>
  <c r="PC31" i="17"/>
  <c r="PC40" i="17"/>
  <c r="PC41" i="17" s="1"/>
  <c r="PC46" i="17"/>
  <c r="PC48" i="17" s="1"/>
  <c r="PC55" i="17"/>
  <c r="PC56" i="17"/>
  <c r="PC53" i="17"/>
  <c r="PC54" i="17"/>
  <c r="PC57" i="17"/>
  <c r="PC71" i="17"/>
  <c r="PC63" i="17"/>
  <c r="MY20" i="17"/>
  <c r="MY32" i="17"/>
  <c r="MY33" i="17"/>
  <c r="MY24" i="17"/>
  <c r="MY19" i="17"/>
  <c r="MY25" i="17"/>
  <c r="MY18" i="17"/>
  <c r="MY31" i="17"/>
  <c r="MY30" i="17"/>
  <c r="MY34" i="17"/>
  <c r="MY40" i="17"/>
  <c r="MY41" i="17" s="1"/>
  <c r="MY46" i="17"/>
  <c r="MY48" i="17" s="1"/>
  <c r="MY56" i="17"/>
  <c r="MY54" i="17"/>
  <c r="MY55" i="17"/>
  <c r="MY57" i="17"/>
  <c r="MY53" i="17"/>
  <c r="MY71" i="17"/>
  <c r="MY63" i="17"/>
  <c r="RX84" i="17"/>
  <c r="RP68" i="17"/>
  <c r="RP69" i="17" s="1"/>
  <c r="H48" i="17"/>
  <c r="AG44" i="6"/>
  <c r="AH44" i="6" s="1"/>
  <c r="AF42" i="6"/>
  <c r="AE40" i="6"/>
  <c r="OO21" i="17" l="1"/>
  <c r="OO26" i="17"/>
  <c r="OE100" i="17"/>
  <c r="OE101" i="17" s="1"/>
  <c r="SW65" i="17"/>
  <c r="SW72" i="17" s="1"/>
  <c r="OO59" i="17"/>
  <c r="OO35" i="17"/>
  <c r="MY21" i="17"/>
  <c r="PC26" i="17"/>
  <c r="PC35" i="17"/>
  <c r="QS26" i="17"/>
  <c r="FY26" i="17"/>
  <c r="DU59" i="17"/>
  <c r="DU26" i="17"/>
  <c r="MY26" i="17"/>
  <c r="BQ59" i="17"/>
  <c r="BQ26" i="17"/>
  <c r="RG59" i="17"/>
  <c r="RG35" i="17"/>
  <c r="RG26" i="17"/>
  <c r="CS59" i="17"/>
  <c r="FY59" i="17"/>
  <c r="FY35" i="17"/>
  <c r="CS26" i="17"/>
  <c r="EI59" i="17"/>
  <c r="QS21" i="17"/>
  <c r="RJ85" i="17"/>
  <c r="RP72" i="17"/>
  <c r="DG21" i="17"/>
  <c r="BQ21" i="17"/>
  <c r="GM20" i="17"/>
  <c r="GM33" i="17"/>
  <c r="GM32" i="17"/>
  <c r="GM19" i="17"/>
  <c r="GM18" i="17"/>
  <c r="GM25" i="17"/>
  <c r="GM26" i="17" s="1"/>
  <c r="GM30" i="17"/>
  <c r="GM34" i="17"/>
  <c r="GM31" i="17"/>
  <c r="GM40" i="17"/>
  <c r="GM41" i="17" s="1"/>
  <c r="GM46" i="17"/>
  <c r="GM48" i="17" s="1"/>
  <c r="GM54" i="17"/>
  <c r="GM55" i="17"/>
  <c r="GM53" i="17"/>
  <c r="GM56" i="17"/>
  <c r="GM57" i="17"/>
  <c r="GM71" i="17"/>
  <c r="GM63" i="17"/>
  <c r="SD68" i="17"/>
  <c r="SD69" i="17" s="1"/>
  <c r="QV91" i="17"/>
  <c r="QW100" i="17"/>
  <c r="QW101" i="17" s="1"/>
  <c r="IC20" i="17"/>
  <c r="IC33" i="17"/>
  <c r="IC32" i="17"/>
  <c r="IC19" i="17"/>
  <c r="IC24" i="17"/>
  <c r="IC25" i="17"/>
  <c r="IC30" i="17"/>
  <c r="IC18" i="17"/>
  <c r="IC31" i="17"/>
  <c r="IC34" i="17"/>
  <c r="IC40" i="17"/>
  <c r="IC41" i="17" s="1"/>
  <c r="IC46" i="17"/>
  <c r="IC48" i="17" s="1"/>
  <c r="IC53" i="17"/>
  <c r="IC56" i="17"/>
  <c r="IC54" i="17"/>
  <c r="IC57" i="17"/>
  <c r="IC55" i="17"/>
  <c r="IC71" i="17"/>
  <c r="IC63" i="17"/>
  <c r="JW91" i="17"/>
  <c r="JW97" i="17"/>
  <c r="JV97" i="17" s="1"/>
  <c r="JW95" i="17"/>
  <c r="JV95" i="17" s="1"/>
  <c r="JV87" i="17"/>
  <c r="JW88" i="17" s="1"/>
  <c r="JW96" i="17"/>
  <c r="JV96" i="17" s="1"/>
  <c r="JW99" i="17"/>
  <c r="JV99" i="17" s="1"/>
  <c r="JW93" i="17"/>
  <c r="JV93" i="17" s="1"/>
  <c r="JW94" i="17"/>
  <c r="JV94" i="17" s="1"/>
  <c r="JW98" i="17"/>
  <c r="JV98" i="17" s="1"/>
  <c r="JW92" i="17"/>
  <c r="JV92" i="17" s="1"/>
  <c r="HE92" i="17"/>
  <c r="HD92" i="17" s="1"/>
  <c r="HE98" i="17"/>
  <c r="HD98" i="17" s="1"/>
  <c r="HE99" i="17"/>
  <c r="HD99" i="17" s="1"/>
  <c r="HE93" i="17"/>
  <c r="HD93" i="17" s="1"/>
  <c r="HE91" i="17"/>
  <c r="HE96" i="17"/>
  <c r="HD96" i="17" s="1"/>
  <c r="HE94" i="17"/>
  <c r="HD94" i="17" s="1"/>
  <c r="HE97" i="17"/>
  <c r="HD97" i="17" s="1"/>
  <c r="HE95" i="17"/>
  <c r="HD95" i="17" s="1"/>
  <c r="HD87" i="17"/>
  <c r="HE88" i="17" s="1"/>
  <c r="EW32" i="17"/>
  <c r="EW33" i="17"/>
  <c r="EW24" i="17"/>
  <c r="EW19" i="17"/>
  <c r="EW20" i="17"/>
  <c r="EW30" i="17"/>
  <c r="EW25" i="17"/>
  <c r="EW34" i="17"/>
  <c r="EW18" i="17"/>
  <c r="EW31" i="17"/>
  <c r="EW40" i="17"/>
  <c r="EW41" i="17" s="1"/>
  <c r="EW46" i="17"/>
  <c r="EW48" i="17" s="1"/>
  <c r="EW57" i="17"/>
  <c r="EW56" i="17"/>
  <c r="EW53" i="17"/>
  <c r="EW54" i="17"/>
  <c r="EW55" i="17"/>
  <c r="EW71" i="17"/>
  <c r="EW63" i="17"/>
  <c r="NQ96" i="17"/>
  <c r="NP96" i="17" s="1"/>
  <c r="NQ91" i="17"/>
  <c r="NQ94" i="17"/>
  <c r="NP94" i="17" s="1"/>
  <c r="NQ97" i="17"/>
  <c r="NP97" i="17" s="1"/>
  <c r="NQ98" i="17"/>
  <c r="NP98" i="17" s="1"/>
  <c r="NQ93" i="17"/>
  <c r="NP93" i="17" s="1"/>
  <c r="NQ95" i="17"/>
  <c r="NP95" i="17" s="1"/>
  <c r="NQ99" i="17"/>
  <c r="NP99" i="17" s="1"/>
  <c r="NQ92" i="17"/>
  <c r="NP92" i="17" s="1"/>
  <c r="NP87" i="17"/>
  <c r="NQ88" i="17" s="1"/>
  <c r="JH85" i="17"/>
  <c r="JN72" i="17"/>
  <c r="JS69" i="17" s="1"/>
  <c r="DJ91" i="17"/>
  <c r="DK100" i="17"/>
  <c r="DK101" i="17" s="1"/>
  <c r="MN91" i="17"/>
  <c r="MO100" i="17"/>
  <c r="MO101" i="17" s="1"/>
  <c r="DU35" i="17"/>
  <c r="EI26" i="17"/>
  <c r="MY59" i="17"/>
  <c r="MY35" i="17"/>
  <c r="PC59" i="17"/>
  <c r="DG59" i="17"/>
  <c r="GC99" i="17"/>
  <c r="GB99" i="17" s="1"/>
  <c r="GC93" i="17"/>
  <c r="GB93" i="17" s="1"/>
  <c r="GB87" i="17"/>
  <c r="GC88" i="17" s="1"/>
  <c r="GC97" i="17"/>
  <c r="GB97" i="17" s="1"/>
  <c r="GC96" i="17"/>
  <c r="GB96" i="17" s="1"/>
  <c r="GC98" i="17"/>
  <c r="GB98" i="17" s="1"/>
  <c r="GC91" i="17"/>
  <c r="GC95" i="17"/>
  <c r="GB95" i="17" s="1"/>
  <c r="GC92" i="17"/>
  <c r="GB92" i="17" s="1"/>
  <c r="GC94" i="17"/>
  <c r="GB94" i="17" s="1"/>
  <c r="QS59" i="17"/>
  <c r="QS35" i="17"/>
  <c r="MK20" i="17"/>
  <c r="MK33" i="17"/>
  <c r="MK32" i="17"/>
  <c r="MK19" i="17"/>
  <c r="MK24" i="17"/>
  <c r="MK25" i="17"/>
  <c r="MK18" i="17"/>
  <c r="MK30" i="17"/>
  <c r="MK34" i="17"/>
  <c r="MK31" i="17"/>
  <c r="MK40" i="17"/>
  <c r="MK41" i="17" s="1"/>
  <c r="MK46" i="17"/>
  <c r="MK48" i="17" s="1"/>
  <c r="MK55" i="17"/>
  <c r="MK56" i="17"/>
  <c r="MK54" i="17"/>
  <c r="MK53" i="17"/>
  <c r="MK57" i="17"/>
  <c r="MK71" i="17"/>
  <c r="MK63" i="17"/>
  <c r="HS98" i="17"/>
  <c r="HR98" i="17" s="1"/>
  <c r="HS92" i="17"/>
  <c r="HR92" i="17" s="1"/>
  <c r="HS97" i="17"/>
  <c r="HR97" i="17" s="1"/>
  <c r="HS99" i="17"/>
  <c r="HR99" i="17" s="1"/>
  <c r="HS93" i="17"/>
  <c r="HR93" i="17" s="1"/>
  <c r="HS96" i="17"/>
  <c r="HR96" i="17" s="1"/>
  <c r="HR87" i="17"/>
  <c r="HS88" i="17" s="1"/>
  <c r="HS94" i="17"/>
  <c r="HR94" i="17" s="1"/>
  <c r="HS95" i="17"/>
  <c r="HR95" i="17" s="1"/>
  <c r="HS91" i="17"/>
  <c r="RG21" i="17"/>
  <c r="CS35" i="17"/>
  <c r="DU21" i="17"/>
  <c r="NM20" i="17"/>
  <c r="NM33" i="17"/>
  <c r="NM32" i="17"/>
  <c r="NM24" i="17"/>
  <c r="NM19" i="17"/>
  <c r="NM25" i="17"/>
  <c r="NM18" i="17"/>
  <c r="NM34" i="17"/>
  <c r="NM30" i="17"/>
  <c r="NM31" i="17"/>
  <c r="NM40" i="17"/>
  <c r="NM41" i="17" s="1"/>
  <c r="NM46" i="17"/>
  <c r="NM48" i="17" s="1"/>
  <c r="NM53" i="17"/>
  <c r="NM55" i="17"/>
  <c r="NM57" i="17"/>
  <c r="NM56" i="17"/>
  <c r="NM54" i="17"/>
  <c r="NM71" i="17"/>
  <c r="NM63" i="17"/>
  <c r="EI35" i="17"/>
  <c r="PC21" i="17"/>
  <c r="DG35" i="17"/>
  <c r="DG26" i="17"/>
  <c r="BQ35" i="17"/>
  <c r="MA97" i="17"/>
  <c r="LZ97" i="17" s="1"/>
  <c r="MA99" i="17"/>
  <c r="LZ99" i="17" s="1"/>
  <c r="MA96" i="17"/>
  <c r="LZ96" i="17" s="1"/>
  <c r="MA93" i="17"/>
  <c r="LZ93" i="17" s="1"/>
  <c r="MA94" i="17"/>
  <c r="LZ94" i="17" s="1"/>
  <c r="MA95" i="17"/>
  <c r="LZ95" i="17" s="1"/>
  <c r="MA91" i="17"/>
  <c r="LZ87" i="17"/>
  <c r="MA88" i="17" s="1"/>
  <c r="MA92" i="17"/>
  <c r="LZ92" i="17" s="1"/>
  <c r="MA98" i="17"/>
  <c r="LZ98" i="17" s="1"/>
  <c r="IC69" i="17"/>
  <c r="EM91" i="17"/>
  <c r="EM95" i="17"/>
  <c r="EL95" i="17" s="1"/>
  <c r="EM97" i="17"/>
  <c r="EL97" i="17" s="1"/>
  <c r="EM98" i="17"/>
  <c r="EL98" i="17" s="1"/>
  <c r="EM96" i="17"/>
  <c r="EL96" i="17" s="1"/>
  <c r="EM92" i="17"/>
  <c r="EL92" i="17" s="1"/>
  <c r="EM93" i="17"/>
  <c r="EL93" i="17" s="1"/>
  <c r="EM94" i="17"/>
  <c r="EL94" i="17" s="1"/>
  <c r="EM99" i="17"/>
  <c r="EL99" i="17" s="1"/>
  <c r="EL87" i="17"/>
  <c r="EM88" i="17" s="1"/>
  <c r="SM99" i="17"/>
  <c r="SL99" i="17" s="1"/>
  <c r="SM97" i="17"/>
  <c r="SL97" i="17" s="1"/>
  <c r="SM91" i="17"/>
  <c r="SL87" i="17"/>
  <c r="SM88" i="17" s="1"/>
  <c r="SM92" i="17"/>
  <c r="SL92" i="17" s="1"/>
  <c r="SM96" i="17"/>
  <c r="SL96" i="17" s="1"/>
  <c r="SM94" i="17"/>
  <c r="SL94" i="17" s="1"/>
  <c r="SM98" i="17"/>
  <c r="SL98" i="17" s="1"/>
  <c r="SM93" i="17"/>
  <c r="SL93" i="17" s="1"/>
  <c r="SM95" i="17"/>
  <c r="SL95" i="17" s="1"/>
  <c r="FN91" i="17"/>
  <c r="FO100" i="17"/>
  <c r="FO101" i="17" s="1"/>
  <c r="CS21" i="17"/>
  <c r="DX91" i="17"/>
  <c r="DY100" i="17"/>
  <c r="DY101" i="17" s="1"/>
  <c r="FY21" i="17"/>
  <c r="NC94" i="17"/>
  <c r="NB94" i="17" s="1"/>
  <c r="NC97" i="17"/>
  <c r="NB97" i="17" s="1"/>
  <c r="NB87" i="17"/>
  <c r="NC88" i="17" s="1"/>
  <c r="NC91" i="17"/>
  <c r="NC96" i="17"/>
  <c r="NB96" i="17" s="1"/>
  <c r="NC92" i="17"/>
  <c r="NB92" i="17" s="1"/>
  <c r="NC95" i="17"/>
  <c r="NB95" i="17" s="1"/>
  <c r="NC98" i="17"/>
  <c r="NB98" i="17" s="1"/>
  <c r="NC93" i="17"/>
  <c r="NB93" i="17" s="1"/>
  <c r="NC99" i="17"/>
  <c r="NB99" i="17" s="1"/>
  <c r="EI21" i="17"/>
  <c r="CH91" i="17"/>
  <c r="CI100" i="17"/>
  <c r="CI101" i="17" s="1"/>
  <c r="KG20" i="17"/>
  <c r="KG33" i="17"/>
  <c r="KG32" i="17"/>
  <c r="KG24" i="17"/>
  <c r="KG19" i="17"/>
  <c r="KG25" i="17"/>
  <c r="KG18" i="17"/>
  <c r="KG31" i="17"/>
  <c r="KG30" i="17"/>
  <c r="KG34" i="17"/>
  <c r="KG40" i="17"/>
  <c r="KG41" i="17" s="1"/>
  <c r="KG46" i="17"/>
  <c r="KG48" i="17" s="1"/>
  <c r="KG56" i="17"/>
  <c r="KG55" i="17"/>
  <c r="KG54" i="17"/>
  <c r="KG53" i="17"/>
  <c r="KG57" i="17"/>
  <c r="KG71" i="17"/>
  <c r="KG63" i="17"/>
  <c r="HO20" i="17"/>
  <c r="HO33" i="17"/>
  <c r="HO32" i="17"/>
  <c r="HO24" i="17"/>
  <c r="HO19" i="17"/>
  <c r="HO18" i="17"/>
  <c r="HO25" i="17"/>
  <c r="HO30" i="17"/>
  <c r="HO31" i="17"/>
  <c r="HO34" i="17"/>
  <c r="HO40" i="17"/>
  <c r="HO41" i="17" s="1"/>
  <c r="HO46" i="17"/>
  <c r="HO48" i="17" s="1"/>
  <c r="HO56" i="17"/>
  <c r="HO54" i="17"/>
  <c r="HO55" i="17"/>
  <c r="HO53" i="17"/>
  <c r="HO57" i="17"/>
  <c r="HO71" i="17"/>
  <c r="HO63" i="17"/>
  <c r="QH91" i="17"/>
  <c r="QI100" i="17"/>
  <c r="QI101" i="17" s="1"/>
  <c r="OA20" i="17"/>
  <c r="OA33" i="17"/>
  <c r="OA32" i="17"/>
  <c r="OA24" i="17"/>
  <c r="OA19" i="17"/>
  <c r="OA25" i="17"/>
  <c r="OA18" i="17"/>
  <c r="OA30" i="17"/>
  <c r="OA31" i="17"/>
  <c r="OA34" i="17"/>
  <c r="OA40" i="17"/>
  <c r="OA41" i="17" s="1"/>
  <c r="OA46" i="17"/>
  <c r="OA48" i="17" s="1"/>
  <c r="OA57" i="17"/>
  <c r="OA53" i="17"/>
  <c r="OA56" i="17"/>
  <c r="OA55" i="17"/>
  <c r="OA54" i="17"/>
  <c r="OA71" i="17"/>
  <c r="OA63" i="17"/>
  <c r="OR91" i="17"/>
  <c r="OS100" i="17"/>
  <c r="OS101" i="17" s="1"/>
  <c r="CV91" i="17"/>
  <c r="CW100" i="17"/>
  <c r="CW101" i="17" s="1"/>
  <c r="BF91" i="17"/>
  <c r="BG100" i="17"/>
  <c r="BG101" i="17" s="1"/>
  <c r="B82" i="17"/>
  <c r="H50" i="17"/>
  <c r="AG42" i="6"/>
  <c r="AH42" i="6" s="1"/>
  <c r="AF40" i="6"/>
  <c r="AE38" i="6"/>
  <c r="EI65" i="17" l="1"/>
  <c r="EI72" i="17" s="1"/>
  <c r="CS65" i="17"/>
  <c r="CS72" i="17" s="1"/>
  <c r="BQ65" i="17"/>
  <c r="BQ72" i="17" s="1"/>
  <c r="DU65" i="17"/>
  <c r="DU72" i="17" s="1"/>
  <c r="KG21" i="17"/>
  <c r="OO65" i="17"/>
  <c r="OO72" i="17" s="1"/>
  <c r="QS65" i="17"/>
  <c r="QS72" i="17" s="1"/>
  <c r="RG65" i="17"/>
  <c r="RG72" i="17" s="1"/>
  <c r="KG59" i="17"/>
  <c r="FY65" i="17"/>
  <c r="FY72" i="17" s="1"/>
  <c r="PC65" i="17"/>
  <c r="PC72" i="17" s="1"/>
  <c r="OA26" i="17"/>
  <c r="EW21" i="17"/>
  <c r="OA59" i="17"/>
  <c r="HO21" i="17"/>
  <c r="NM35" i="17"/>
  <c r="MK26" i="17"/>
  <c r="MY65" i="17"/>
  <c r="MY72" i="17" s="1"/>
  <c r="MK35" i="17"/>
  <c r="IC26" i="17"/>
  <c r="DG65" i="17"/>
  <c r="DG72" i="17" s="1"/>
  <c r="OA35" i="17"/>
  <c r="HO59" i="17"/>
  <c r="HO35" i="17"/>
  <c r="HO26" i="17"/>
  <c r="KG26" i="17"/>
  <c r="LZ91" i="17"/>
  <c r="MA100" i="17"/>
  <c r="MA101" i="17" s="1"/>
  <c r="NM21" i="17"/>
  <c r="GB91" i="17"/>
  <c r="GC100" i="17"/>
  <c r="GC101" i="17" s="1"/>
  <c r="EW35" i="17"/>
  <c r="HD91" i="17"/>
  <c r="HE100" i="17"/>
  <c r="HE101" i="17" s="1"/>
  <c r="GM21" i="17"/>
  <c r="NB91" i="17"/>
  <c r="NC100" i="17"/>
  <c r="NC101" i="17" s="1"/>
  <c r="HR91" i="17"/>
  <c r="HS100" i="17"/>
  <c r="HS101" i="17" s="1"/>
  <c r="NP91" i="17"/>
  <c r="NQ100" i="17"/>
  <c r="NQ101" i="17" s="1"/>
  <c r="IC59" i="17"/>
  <c r="RU20" i="17"/>
  <c r="RU32" i="17"/>
  <c r="RU33" i="17"/>
  <c r="RU24" i="17"/>
  <c r="RU25" i="17"/>
  <c r="RU18" i="17"/>
  <c r="RU19" i="17"/>
  <c r="RU31" i="17"/>
  <c r="RU30" i="17"/>
  <c r="RU34" i="17"/>
  <c r="RU40" i="17"/>
  <c r="RU41" i="17" s="1"/>
  <c r="RU46" i="17"/>
  <c r="RU48" i="17" s="1"/>
  <c r="RU53" i="17"/>
  <c r="RU55" i="17"/>
  <c r="RU57" i="17"/>
  <c r="RU56" i="17"/>
  <c r="RU54" i="17"/>
  <c r="RU71" i="17"/>
  <c r="RU63" i="17"/>
  <c r="NM59" i="17"/>
  <c r="JS20" i="17"/>
  <c r="JS33" i="17"/>
  <c r="JS32" i="17"/>
  <c r="JS24" i="17"/>
  <c r="JS25" i="17"/>
  <c r="JS19" i="17"/>
  <c r="JS18" i="17"/>
  <c r="JS30" i="17"/>
  <c r="JS31" i="17"/>
  <c r="JS34" i="17"/>
  <c r="JS40" i="17"/>
  <c r="JS41" i="17" s="1"/>
  <c r="JS46" i="17"/>
  <c r="JS48" i="17" s="1"/>
  <c r="JS53" i="17"/>
  <c r="JS55" i="17"/>
  <c r="JS54" i="17"/>
  <c r="JS57" i="17"/>
  <c r="JS56" i="17"/>
  <c r="JS71" i="17"/>
  <c r="JS63" i="17"/>
  <c r="JV91" i="17"/>
  <c r="JW100" i="17"/>
  <c r="JW101" i="17" s="1"/>
  <c r="IC21" i="17"/>
  <c r="RX85" i="17"/>
  <c r="SD72" i="17"/>
  <c r="SI69" i="17" s="1"/>
  <c r="GM35" i="17"/>
  <c r="RK96" i="17"/>
  <c r="RJ96" i="17" s="1"/>
  <c r="RK98" i="17"/>
  <c r="RJ98" i="17" s="1"/>
  <c r="RK97" i="17"/>
  <c r="RJ97" i="17" s="1"/>
  <c r="RK95" i="17"/>
  <c r="RJ95" i="17" s="1"/>
  <c r="RK99" i="17"/>
  <c r="RJ99" i="17" s="1"/>
  <c r="RJ87" i="17"/>
  <c r="RK88" i="17" s="1"/>
  <c r="RK91" i="17"/>
  <c r="RK92" i="17"/>
  <c r="RJ92" i="17" s="1"/>
  <c r="RK94" i="17"/>
  <c r="RJ94" i="17" s="1"/>
  <c r="RK93" i="17"/>
  <c r="RJ93" i="17" s="1"/>
  <c r="OA21" i="17"/>
  <c r="KG35" i="17"/>
  <c r="SL91" i="17"/>
  <c r="SM100" i="17"/>
  <c r="SM101" i="17" s="1"/>
  <c r="EL91" i="17"/>
  <c r="EM100" i="17"/>
  <c r="EM101" i="17" s="1"/>
  <c r="NM26" i="17"/>
  <c r="MK59" i="17"/>
  <c r="MK21" i="17"/>
  <c r="JI96" i="17"/>
  <c r="JH96" i="17" s="1"/>
  <c r="JI97" i="17"/>
  <c r="JH97" i="17" s="1"/>
  <c r="JI99" i="17"/>
  <c r="JH99" i="17" s="1"/>
  <c r="JI91" i="17"/>
  <c r="JI92" i="17"/>
  <c r="JH92" i="17" s="1"/>
  <c r="JH87" i="17"/>
  <c r="JI88" i="17" s="1"/>
  <c r="JI95" i="17"/>
  <c r="JH95" i="17" s="1"/>
  <c r="JI93" i="17"/>
  <c r="JH93" i="17" s="1"/>
  <c r="JI94" i="17"/>
  <c r="JH94" i="17" s="1"/>
  <c r="JI98" i="17"/>
  <c r="JH98" i="17" s="1"/>
  <c r="EW59" i="17"/>
  <c r="EW26" i="17"/>
  <c r="IC35" i="17"/>
  <c r="GM59" i="17"/>
  <c r="RU69" i="17"/>
  <c r="E56" i="17"/>
  <c r="L56" i="17" s="1"/>
  <c r="H56" i="17" s="1"/>
  <c r="E55" i="17"/>
  <c r="L55" i="17" s="1"/>
  <c r="H55" i="17" s="1"/>
  <c r="E54" i="17"/>
  <c r="L54" i="17" s="1"/>
  <c r="H54" i="17" s="1"/>
  <c r="E53" i="17"/>
  <c r="L53" i="17" s="1"/>
  <c r="H53" i="17" s="1"/>
  <c r="E57" i="17"/>
  <c r="L57" i="17" s="1"/>
  <c r="H57" i="17" s="1"/>
  <c r="AG40" i="6"/>
  <c r="AH40" i="6" s="1"/>
  <c r="AF38" i="6"/>
  <c r="KG65" i="17" l="1"/>
  <c r="KG72" i="17" s="1"/>
  <c r="OA65" i="17"/>
  <c r="OA72" i="17" s="1"/>
  <c r="IC65" i="17"/>
  <c r="IC72" i="17" s="1"/>
  <c r="MK65" i="17"/>
  <c r="MK72" i="17" s="1"/>
  <c r="JS26" i="17"/>
  <c r="RU26" i="17"/>
  <c r="HO65" i="17"/>
  <c r="HO72" i="17" s="1"/>
  <c r="GM65" i="17"/>
  <c r="GM72" i="17" s="1"/>
  <c r="JS35" i="17"/>
  <c r="JS21" i="17"/>
  <c r="NM65" i="17"/>
  <c r="NM72" i="17" s="1"/>
  <c r="RJ91" i="17"/>
  <c r="RK100" i="17"/>
  <c r="RK101" i="17" s="1"/>
  <c r="SI20" i="17"/>
  <c r="SI24" i="17"/>
  <c r="SI25" i="17"/>
  <c r="SI32" i="17"/>
  <c r="SI18" i="17"/>
  <c r="SI19" i="17"/>
  <c r="SI33" i="17"/>
  <c r="SI30" i="17"/>
  <c r="SI31" i="17"/>
  <c r="SI34" i="17"/>
  <c r="SI40" i="17"/>
  <c r="SI41" i="17" s="1"/>
  <c r="SI46" i="17"/>
  <c r="SI48" i="17" s="1"/>
  <c r="SI53" i="17"/>
  <c r="SI56" i="17"/>
  <c r="SI57" i="17"/>
  <c r="SI55" i="17"/>
  <c r="SI54" i="17"/>
  <c r="SI71" i="17"/>
  <c r="SI63" i="17"/>
  <c r="RU21" i="17"/>
  <c r="RY91" i="17"/>
  <c r="RX87" i="17"/>
  <c r="RY88" i="17" s="1"/>
  <c r="RY97" i="17"/>
  <c r="RX97" i="17" s="1"/>
  <c r="RY93" i="17"/>
  <c r="RX93" i="17" s="1"/>
  <c r="RY94" i="17"/>
  <c r="RX94" i="17" s="1"/>
  <c r="RY99" i="17"/>
  <c r="RX99" i="17" s="1"/>
  <c r="RY98" i="17"/>
  <c r="RX98" i="17" s="1"/>
  <c r="RY96" i="17"/>
  <c r="RX96" i="17" s="1"/>
  <c r="RY95" i="17"/>
  <c r="RX95" i="17" s="1"/>
  <c r="RY92" i="17"/>
  <c r="RX92" i="17" s="1"/>
  <c r="RU59" i="17"/>
  <c r="RU35" i="17"/>
  <c r="JS59" i="17"/>
  <c r="JH91" i="17"/>
  <c r="JI100" i="17"/>
  <c r="JI101" i="17" s="1"/>
  <c r="EW65" i="17"/>
  <c r="EW72" i="17" s="1"/>
  <c r="H59" i="17"/>
  <c r="AG38" i="6"/>
  <c r="JS65" i="17" l="1"/>
  <c r="JS72" i="17" s="1"/>
  <c r="SI35" i="17"/>
  <c r="RU65" i="17"/>
  <c r="RU72" i="17" s="1"/>
  <c r="SI26" i="17"/>
  <c r="SI59" i="17"/>
  <c r="SI21" i="17"/>
  <c r="RX91" i="17"/>
  <c r="RY100" i="17"/>
  <c r="RY101" i="17" s="1"/>
  <c r="G59" i="17"/>
  <c r="H70" i="17" s="1"/>
  <c r="H61" i="17"/>
  <c r="B83" i="17"/>
  <c r="AH38" i="6"/>
  <c r="H71" i="17" l="1"/>
  <c r="B86" i="17" s="1"/>
  <c r="SI65" i="17"/>
  <c r="SI72" i="17" s="1"/>
  <c r="H63" i="17"/>
  <c r="H65" i="17" s="1"/>
  <c r="H67" i="17" l="1"/>
  <c r="B84" i="17"/>
  <c r="H68" i="17" l="1"/>
  <c r="H69" i="17" s="1"/>
  <c r="D4" i="16"/>
  <c r="F4" i="16"/>
  <c r="C4" i="16"/>
  <c r="B85" i="17" l="1"/>
  <c r="H72" i="17"/>
  <c r="M69" i="17" s="1"/>
  <c r="H48" i="9"/>
  <c r="PZ24" i="17"/>
  <c r="AE60" i="6"/>
  <c r="X72" i="6"/>
  <c r="PZ25" i="17"/>
  <c r="Y72" i="6"/>
  <c r="H83" i="9"/>
  <c r="H54" i="9" s="1"/>
  <c r="M20" i="17" l="1"/>
  <c r="M33" i="17"/>
  <c r="M32" i="17"/>
  <c r="M19" i="17"/>
  <c r="M25" i="17"/>
  <c r="M18" i="17"/>
  <c r="M30" i="17"/>
  <c r="M31" i="17"/>
  <c r="M34" i="17"/>
  <c r="M24" i="17"/>
  <c r="M40" i="17"/>
  <c r="M41" i="17" s="1"/>
  <c r="M46" i="17"/>
  <c r="M48" i="17" s="1"/>
  <c r="M57" i="17"/>
  <c r="M53" i="17"/>
  <c r="M55" i="17"/>
  <c r="M56" i="17"/>
  <c r="M54" i="17"/>
  <c r="M71" i="17"/>
  <c r="M63" i="17"/>
  <c r="TF24" i="17"/>
  <c r="QE24" i="17"/>
  <c r="TF25" i="17"/>
  <c r="QE25" i="17"/>
  <c r="PZ26" i="17"/>
  <c r="PT79" i="17" s="1"/>
  <c r="AF60" i="6"/>
  <c r="AF72" i="6" s="1"/>
  <c r="AE72" i="6"/>
  <c r="G48" i="9"/>
  <c r="H19" i="9"/>
  <c r="H89" i="9" s="1"/>
  <c r="M26" i="17" l="1"/>
  <c r="M21" i="17"/>
  <c r="QE26" i="17"/>
  <c r="M35" i="17"/>
  <c r="M59" i="17"/>
  <c r="TF26" i="17"/>
  <c r="TM26" i="17" s="1"/>
  <c r="AG60" i="6"/>
  <c r="AG72" i="6" s="1"/>
  <c r="PZ37" i="17"/>
  <c r="H29" i="15"/>
  <c r="H100" i="9"/>
  <c r="M65" i="17" l="1"/>
  <c r="M72" i="17" s="1"/>
  <c r="TF37" i="17"/>
  <c r="TF40" i="17" s="1"/>
  <c r="SZ79" i="17"/>
  <c r="AH60" i="6"/>
  <c r="AH72" i="6" s="1"/>
  <c r="H31" i="15"/>
  <c r="H103" i="9"/>
  <c r="H104" i="9" s="1"/>
  <c r="H32" i="15" s="1"/>
  <c r="PZ40" i="17"/>
  <c r="QE40" i="17" s="1"/>
  <c r="QE41" i="17" s="1"/>
  <c r="TM37" i="17" l="1"/>
  <c r="TF41" i="17"/>
  <c r="H106" i="9"/>
  <c r="H33" i="15" s="1"/>
  <c r="PZ41" i="17"/>
  <c r="PT81" i="17" s="1"/>
  <c r="TF43" i="17" l="1"/>
  <c r="SZ81" i="17"/>
  <c r="TM41" i="17"/>
  <c r="H109" i="9"/>
  <c r="H110" i="9"/>
  <c r="PZ43" i="17"/>
  <c r="TM43" i="17" l="1"/>
  <c r="TF46" i="17"/>
  <c r="TF47" i="17"/>
  <c r="TK47" i="17" s="1"/>
  <c r="H111" i="9"/>
  <c r="H113" i="9" s="1"/>
  <c r="PZ47" i="17"/>
  <c r="QE47" i="17" s="1"/>
  <c r="PZ46" i="17"/>
  <c r="QE46" i="17" s="1"/>
  <c r="E118" i="9" l="1"/>
  <c r="E119" i="9"/>
  <c r="L119" i="9" s="1"/>
  <c r="H119" i="9" s="1"/>
  <c r="E117" i="9"/>
  <c r="L117" i="9" s="1"/>
  <c r="H117" i="9" s="1"/>
  <c r="E116" i="9"/>
  <c r="L116" i="9" s="1"/>
  <c r="H116" i="9" s="1"/>
  <c r="E120" i="9"/>
  <c r="QE48" i="17"/>
  <c r="TF48" i="17"/>
  <c r="L120" i="9"/>
  <c r="H120" i="9" s="1"/>
  <c r="L118" i="9"/>
  <c r="H118" i="9" s="1"/>
  <c r="H35" i="15"/>
  <c r="H34" i="15"/>
  <c r="PZ48" i="17"/>
  <c r="PT82" i="17" s="1"/>
  <c r="TF50" i="17" l="1"/>
  <c r="SZ82" i="17"/>
  <c r="H122" i="9"/>
  <c r="H36" i="15" s="1"/>
  <c r="PZ50" i="17"/>
  <c r="TM50" i="17" s="1"/>
  <c r="TC57" i="17" l="1"/>
  <c r="TC56" i="17"/>
  <c r="TJ56" i="17" s="1"/>
  <c r="TF56" i="17" s="1"/>
  <c r="TC55" i="17"/>
  <c r="TC54" i="17"/>
  <c r="TJ54" i="17" s="1"/>
  <c r="TF54" i="17" s="1"/>
  <c r="TC53" i="17"/>
  <c r="H124" i="9"/>
  <c r="G122" i="9"/>
  <c r="TJ53" i="17"/>
  <c r="TF53" i="17" s="1"/>
  <c r="TJ57" i="17"/>
  <c r="TF57" i="17" s="1"/>
  <c r="TJ55" i="17"/>
  <c r="TF55" i="17" s="1"/>
  <c r="PW54" i="17"/>
  <c r="QD54" i="17" s="1"/>
  <c r="PZ54" i="17" s="1"/>
  <c r="QE54" i="17" s="1"/>
  <c r="PW57" i="17"/>
  <c r="QD57" i="17" s="1"/>
  <c r="PZ57" i="17" s="1"/>
  <c r="QE57" i="17" s="1"/>
  <c r="PW53" i="17"/>
  <c r="QD53" i="17" s="1"/>
  <c r="PZ53" i="17" s="1"/>
  <c r="QE53" i="17" s="1"/>
  <c r="PW55" i="17"/>
  <c r="QD55" i="17" s="1"/>
  <c r="PZ55" i="17" s="1"/>
  <c r="QE55" i="17" s="1"/>
  <c r="PW56" i="17"/>
  <c r="QD56" i="17" s="1"/>
  <c r="PZ56" i="17" s="1"/>
  <c r="QE56" i="17" s="1"/>
  <c r="AO72" i="6" l="1"/>
  <c r="AO56" i="6"/>
  <c r="AP56" i="6" s="1"/>
  <c r="AO48" i="6"/>
  <c r="AO32" i="6"/>
  <c r="AO20" i="6"/>
  <c r="AO12" i="6"/>
  <c r="AP12" i="6" s="1"/>
  <c r="AO68" i="6"/>
  <c r="AO54" i="6"/>
  <c r="AO46" i="6"/>
  <c r="AO30" i="6"/>
  <c r="AP30" i="6" s="1"/>
  <c r="AO18" i="6"/>
  <c r="AO8" i="6"/>
  <c r="AO66" i="6"/>
  <c r="AO52" i="6"/>
  <c r="AP52" i="6" s="1"/>
  <c r="AO38" i="6"/>
  <c r="AO26" i="6"/>
  <c r="AO16" i="6"/>
  <c r="AO2" i="6"/>
  <c r="AO64" i="6"/>
  <c r="AO50" i="6"/>
  <c r="AO36" i="6"/>
  <c r="AO24" i="6"/>
  <c r="AO14" i="6"/>
  <c r="H133" i="9"/>
  <c r="AO4" i="6"/>
  <c r="AO70" i="6"/>
  <c r="AP70" i="6" s="1"/>
  <c r="AO62" i="6"/>
  <c r="AO58" i="6"/>
  <c r="AO34" i="6"/>
  <c r="AO40" i="6"/>
  <c r="AP40" i="6" s="1"/>
  <c r="AO28" i="6"/>
  <c r="AO6" i="6"/>
  <c r="AP6" i="6" s="1"/>
  <c r="AO42" i="6"/>
  <c r="AP42" i="6" s="1"/>
  <c r="AO44" i="6"/>
  <c r="AP44" i="6" s="1"/>
  <c r="AO22" i="6"/>
  <c r="AO10" i="6"/>
  <c r="AP10" i="6" s="1"/>
  <c r="AO60" i="6"/>
  <c r="AP68" i="6"/>
  <c r="AP16" i="6"/>
  <c r="AP46" i="6"/>
  <c r="AP54" i="6"/>
  <c r="H134" i="9"/>
  <c r="QE59" i="17"/>
  <c r="AP24" i="6"/>
  <c r="AP66" i="6"/>
  <c r="AP58" i="6"/>
  <c r="AP50" i="6"/>
  <c r="AP34" i="6"/>
  <c r="AP26" i="6"/>
  <c r="AP18" i="6"/>
  <c r="AP64" i="6"/>
  <c r="AP32" i="6"/>
  <c r="AP62" i="6"/>
  <c r="AP38" i="6"/>
  <c r="AP36" i="6"/>
  <c r="AP14" i="6"/>
  <c r="AP60" i="6"/>
  <c r="AP28" i="6"/>
  <c r="AP20" i="6"/>
  <c r="AP4" i="6"/>
  <c r="AP22" i="6"/>
  <c r="AI70" i="6"/>
  <c r="AJ70" i="6" s="1"/>
  <c r="AK70" i="6" s="1"/>
  <c r="N38" i="16" s="1"/>
  <c r="H126" i="9"/>
  <c r="H38" i="15" s="1"/>
  <c r="TF59" i="17"/>
  <c r="SZ83" i="17" s="1"/>
  <c r="PZ59" i="17"/>
  <c r="AI66" i="6"/>
  <c r="AJ66" i="6" s="1"/>
  <c r="AK66" i="6" s="1"/>
  <c r="N36" i="16" s="1"/>
  <c r="AI16" i="6"/>
  <c r="AJ16" i="6" s="1"/>
  <c r="AK16" i="6" s="1"/>
  <c r="N11" i="16" s="1"/>
  <c r="AI40" i="6"/>
  <c r="AJ40" i="6" s="1"/>
  <c r="AK40" i="6" s="1"/>
  <c r="N23" i="16" s="1"/>
  <c r="AI68" i="6"/>
  <c r="AJ68" i="6" s="1"/>
  <c r="AK68" i="6" s="1"/>
  <c r="N37" i="16" s="1"/>
  <c r="AI14" i="6"/>
  <c r="AJ14" i="6" s="1"/>
  <c r="AK14" i="6" s="1"/>
  <c r="N10" i="16" s="1"/>
  <c r="AI58" i="6"/>
  <c r="AJ58" i="6" s="1"/>
  <c r="AK58" i="6" s="1"/>
  <c r="AI54" i="6"/>
  <c r="AJ54" i="6" s="1"/>
  <c r="AK54" i="6" s="1"/>
  <c r="N30" i="16" s="1"/>
  <c r="AI4" i="6"/>
  <c r="AJ4" i="6" s="1"/>
  <c r="AK4" i="6" s="1"/>
  <c r="AI60" i="6"/>
  <c r="AJ60" i="6" s="1"/>
  <c r="AK60" i="6" s="1"/>
  <c r="N33" i="16" s="1"/>
  <c r="AI8" i="6"/>
  <c r="AJ8" i="6" s="1"/>
  <c r="AK8" i="6" s="1"/>
  <c r="N7" i="16" s="1"/>
  <c r="AI32" i="6"/>
  <c r="AJ32" i="6" s="1"/>
  <c r="AK32" i="6" s="1"/>
  <c r="N19" i="16" s="1"/>
  <c r="H37" i="15"/>
  <c r="AI6" i="6"/>
  <c r="AJ6" i="6" s="1"/>
  <c r="AK6" i="6" s="1"/>
  <c r="AI18" i="6"/>
  <c r="AJ18" i="6" s="1"/>
  <c r="AK18" i="6" s="1"/>
  <c r="N12" i="16" s="1"/>
  <c r="AI22" i="6"/>
  <c r="AJ22" i="6" s="1"/>
  <c r="AK22" i="6" s="1"/>
  <c r="N14" i="16" s="1"/>
  <c r="AI12" i="6"/>
  <c r="AJ12" i="6" s="1"/>
  <c r="AK12" i="6" s="1"/>
  <c r="N9" i="16" s="1"/>
  <c r="AI24" i="6"/>
  <c r="AJ24" i="6" s="1"/>
  <c r="AK24" i="6" s="1"/>
  <c r="N15" i="16" s="1"/>
  <c r="AI48" i="6"/>
  <c r="AJ48" i="6" s="1"/>
  <c r="AK48" i="6" s="1"/>
  <c r="N27" i="16" s="1"/>
  <c r="AI36" i="6"/>
  <c r="AJ36" i="6" s="1"/>
  <c r="AK36" i="6" s="1"/>
  <c r="N21" i="16" s="1"/>
  <c r="AI46" i="6"/>
  <c r="AJ46" i="6" s="1"/>
  <c r="AK46" i="6" s="1"/>
  <c r="N26" i="16" s="1"/>
  <c r="AI56" i="6"/>
  <c r="AJ56" i="6" s="1"/>
  <c r="AK56" i="6" s="1"/>
  <c r="N31" i="16" s="1"/>
  <c r="AI20" i="6"/>
  <c r="AJ20" i="6" s="1"/>
  <c r="AK20" i="6" s="1"/>
  <c r="N13" i="16" s="1"/>
  <c r="AI34" i="6"/>
  <c r="AJ34" i="6" s="1"/>
  <c r="AK34" i="6" s="1"/>
  <c r="N20" i="16" s="1"/>
  <c r="AI42" i="6"/>
  <c r="AJ42" i="6" s="1"/>
  <c r="AK42" i="6" s="1"/>
  <c r="N24" i="16" s="1"/>
  <c r="AI26" i="6"/>
  <c r="AJ26" i="6" s="1"/>
  <c r="AK26" i="6" s="1"/>
  <c r="N16" i="16" s="1"/>
  <c r="AI52" i="6"/>
  <c r="AJ52" i="6" s="1"/>
  <c r="AK52" i="6" s="1"/>
  <c r="N29" i="16" s="1"/>
  <c r="AI28" i="6"/>
  <c r="AJ28" i="6" s="1"/>
  <c r="AK28" i="6" s="1"/>
  <c r="N17" i="16" s="1"/>
  <c r="AI62" i="6"/>
  <c r="AJ62" i="6" s="1"/>
  <c r="AK62" i="6" s="1"/>
  <c r="AI64" i="6"/>
  <c r="AJ64" i="6" s="1"/>
  <c r="AK64" i="6" s="1"/>
  <c r="N35" i="16" s="1"/>
  <c r="AI10" i="6"/>
  <c r="AJ10" i="6" s="1"/>
  <c r="AK10" i="6" s="1"/>
  <c r="AI50" i="6"/>
  <c r="AJ50" i="6" s="1"/>
  <c r="AK50" i="6" s="1"/>
  <c r="N28" i="16" s="1"/>
  <c r="AI44" i="6"/>
  <c r="AJ44" i="6" s="1"/>
  <c r="AK44" i="6" s="1"/>
  <c r="N25" i="16" s="1"/>
  <c r="AI30" i="6"/>
  <c r="AJ30" i="6" s="1"/>
  <c r="AK30" i="6" s="1"/>
  <c r="N18" i="16" s="1"/>
  <c r="AI38" i="6"/>
  <c r="AJ38" i="6" s="1"/>
  <c r="AK38" i="6" s="1"/>
  <c r="N22" i="16" s="1"/>
  <c r="AI2" i="6"/>
  <c r="AJ2" i="6" s="1"/>
  <c r="AK2" i="6" s="1"/>
  <c r="N4" i="16" s="1"/>
  <c r="AP2" i="6" l="1"/>
  <c r="K4" i="16"/>
  <c r="L4" i="16" s="1"/>
  <c r="TM59" i="17"/>
  <c r="PT83" i="17"/>
  <c r="AP48" i="6"/>
  <c r="K27" i="16"/>
  <c r="AP8" i="6"/>
  <c r="K7" i="16"/>
  <c r="PZ61" i="17"/>
  <c r="H128" i="9"/>
  <c r="H130" i="9" s="1"/>
  <c r="PY59" i="17"/>
  <c r="AL24" i="6"/>
  <c r="FT73" i="17" s="1"/>
  <c r="AL66" i="6"/>
  <c r="RP73" i="17" s="1"/>
  <c r="AL44" i="6"/>
  <c r="LR73" i="17" s="1"/>
  <c r="AL62" i="6"/>
  <c r="QN73" i="17" s="1"/>
  <c r="AL42" i="6"/>
  <c r="LD73" i="17" s="1"/>
  <c r="AL46" i="6"/>
  <c r="MF73" i="17" s="1"/>
  <c r="AL12" i="6"/>
  <c r="CN73" i="17" s="1"/>
  <c r="AL4" i="6"/>
  <c r="G5" i="16" s="1"/>
  <c r="AL68" i="6"/>
  <c r="SD73" i="17" s="1"/>
  <c r="AL60" i="6"/>
  <c r="PZ73" i="17" s="1"/>
  <c r="AL14" i="6"/>
  <c r="DB73" i="17" s="1"/>
  <c r="AL50" i="6"/>
  <c r="NH73" i="17" s="1"/>
  <c r="AL28" i="6"/>
  <c r="GV73" i="17" s="1"/>
  <c r="AL34" i="6"/>
  <c r="G20" i="16" s="1"/>
  <c r="AL36" i="6"/>
  <c r="JN73" i="17" s="1"/>
  <c r="AL22" i="6"/>
  <c r="FF73" i="17" s="1"/>
  <c r="AL32" i="6"/>
  <c r="HX73" i="17" s="1"/>
  <c r="AL54" i="6"/>
  <c r="OJ73" i="17" s="1"/>
  <c r="AL40" i="6"/>
  <c r="KP73" i="17" s="1"/>
  <c r="AL30" i="6"/>
  <c r="HJ73" i="17" s="1"/>
  <c r="AL64" i="6"/>
  <c r="RB73" i="17" s="1"/>
  <c r="AL70" i="6"/>
  <c r="SR73" i="17" s="1"/>
  <c r="AL38" i="6"/>
  <c r="KB73" i="17" s="1"/>
  <c r="AL52" i="6"/>
  <c r="NV73" i="17" s="1"/>
  <c r="AL20" i="6"/>
  <c r="ER73" i="17" s="1"/>
  <c r="AL48" i="6"/>
  <c r="MT73" i="17" s="1"/>
  <c r="AL18" i="6"/>
  <c r="ED73" i="17" s="1"/>
  <c r="AL8" i="6"/>
  <c r="BL73" i="17" s="1"/>
  <c r="AL58" i="6"/>
  <c r="PL73" i="17" s="1"/>
  <c r="AL16" i="6"/>
  <c r="DP73" i="17" s="1"/>
  <c r="AL10" i="6"/>
  <c r="BZ73" i="17" s="1"/>
  <c r="AL56" i="6"/>
  <c r="OX73" i="17" s="1"/>
  <c r="AL6" i="6"/>
  <c r="AX73" i="17" s="1"/>
  <c r="AL26" i="6"/>
  <c r="GH73" i="17" s="1"/>
  <c r="H40" i="15"/>
  <c r="AI72" i="6"/>
  <c r="AM42" i="6"/>
  <c r="AM34" i="6"/>
  <c r="AK72" i="6"/>
  <c r="AL2" i="6"/>
  <c r="H73" i="17" s="1"/>
  <c r="AJ72" i="6"/>
  <c r="N39" i="16" l="1"/>
  <c r="N40" i="16" s="1"/>
  <c r="AM62" i="6"/>
  <c r="AM52" i="6"/>
  <c r="AN52" i="6" s="1"/>
  <c r="AM4" i="6"/>
  <c r="AM68" i="6"/>
  <c r="AN68" i="6" s="1"/>
  <c r="AM24" i="6"/>
  <c r="AM28" i="6"/>
  <c r="AN28" i="6" s="1"/>
  <c r="AM36" i="6"/>
  <c r="AN36" i="6" s="1"/>
  <c r="AM40" i="6"/>
  <c r="AN40" i="6" s="1"/>
  <c r="AM10" i="6"/>
  <c r="AM14" i="6"/>
  <c r="AN14" i="6" s="1"/>
  <c r="AM44" i="6"/>
  <c r="AN44" i="6" s="1"/>
  <c r="AM12" i="6"/>
  <c r="AN12" i="6" s="1"/>
  <c r="AM18" i="6"/>
  <c r="H39" i="15"/>
  <c r="PZ63" i="17"/>
  <c r="PZ65" i="17" s="1"/>
  <c r="PZ72" i="17" s="1"/>
  <c r="AP72" i="6"/>
  <c r="H42" i="15" s="1"/>
  <c r="AM38" i="6"/>
  <c r="AN38" i="6" s="1"/>
  <c r="H131" i="9"/>
  <c r="H132" i="9" s="1"/>
  <c r="H135" i="9" s="1"/>
  <c r="AM56" i="6"/>
  <c r="AN56" i="6" s="1"/>
  <c r="AM30" i="6"/>
  <c r="AN30" i="6" s="1"/>
  <c r="AM22" i="6"/>
  <c r="AN22" i="6" s="1"/>
  <c r="AM50" i="6"/>
  <c r="AM54" i="6"/>
  <c r="AN54" i="6" s="1"/>
  <c r="AM66" i="6"/>
  <c r="AN66" i="6" s="1"/>
  <c r="G11" i="16"/>
  <c r="I11" i="16" s="1"/>
  <c r="G27" i="16"/>
  <c r="G38" i="16"/>
  <c r="I38" i="16" s="1"/>
  <c r="G30" i="16"/>
  <c r="I30" i="16" s="1"/>
  <c r="G7" i="16"/>
  <c r="I7" i="16" s="1"/>
  <c r="AM70" i="6"/>
  <c r="AN70" i="6" s="1"/>
  <c r="G8" i="16"/>
  <c r="I8" i="16" s="1"/>
  <c r="G12" i="16"/>
  <c r="I12" i="16" s="1"/>
  <c r="G22" i="16"/>
  <c r="I22" i="16" s="1"/>
  <c r="G23" i="16"/>
  <c r="I23" i="16" s="1"/>
  <c r="G21" i="16"/>
  <c r="I21" i="16" s="1"/>
  <c r="G10" i="16"/>
  <c r="I10" i="16" s="1"/>
  <c r="G9" i="16"/>
  <c r="I9" i="16" s="1"/>
  <c r="G25" i="16"/>
  <c r="I25" i="16" s="1"/>
  <c r="G33" i="16"/>
  <c r="I33" i="16" s="1"/>
  <c r="G26" i="16"/>
  <c r="I26" i="16" s="1"/>
  <c r="G36" i="16"/>
  <c r="I36" i="16" s="1"/>
  <c r="G6" i="16"/>
  <c r="I6" i="16" s="1"/>
  <c r="G32" i="16"/>
  <c r="I32" i="16" s="1"/>
  <c r="G13" i="16"/>
  <c r="I13" i="16" s="1"/>
  <c r="G35" i="16"/>
  <c r="I35" i="16" s="1"/>
  <c r="G19" i="16"/>
  <c r="I19" i="16" s="1"/>
  <c r="G17" i="16"/>
  <c r="I17" i="16" s="1"/>
  <c r="G37" i="16"/>
  <c r="I37" i="16" s="1"/>
  <c r="G24" i="16"/>
  <c r="I24" i="16" s="1"/>
  <c r="G15" i="16"/>
  <c r="I15" i="16" s="1"/>
  <c r="G16" i="16"/>
  <c r="I16" i="16" s="1"/>
  <c r="AM46" i="6"/>
  <c r="AN46" i="6" s="1"/>
  <c r="AM60" i="6"/>
  <c r="AN60" i="6" s="1"/>
  <c r="G31" i="16"/>
  <c r="I31" i="16" s="1"/>
  <c r="G29" i="16"/>
  <c r="I29" i="16" s="1"/>
  <c r="G18" i="16"/>
  <c r="I18" i="16" s="1"/>
  <c r="G14" i="16"/>
  <c r="I14" i="16" s="1"/>
  <c r="G28" i="16"/>
  <c r="I28" i="16" s="1"/>
  <c r="G34" i="16"/>
  <c r="I34" i="16" s="1"/>
  <c r="AM16" i="6"/>
  <c r="AN16" i="6" s="1"/>
  <c r="AM48" i="6"/>
  <c r="AN48" i="6" s="1"/>
  <c r="AM6" i="6"/>
  <c r="AN6" i="6" s="1"/>
  <c r="AM32" i="6"/>
  <c r="AN32" i="6" s="1"/>
  <c r="AM64" i="6"/>
  <c r="AN64" i="6" s="1"/>
  <c r="AM20" i="6"/>
  <c r="AN20" i="6" s="1"/>
  <c r="AM8" i="6"/>
  <c r="AN8" i="6" s="1"/>
  <c r="AM58" i="6"/>
  <c r="AN58" i="6" s="1"/>
  <c r="I5" i="16"/>
  <c r="I27" i="16"/>
  <c r="I20" i="16"/>
  <c r="AM26" i="6"/>
  <c r="AN26" i="6" s="1"/>
  <c r="AM2" i="6"/>
  <c r="G4" i="16"/>
  <c r="O4" i="16" s="1"/>
  <c r="AL72" i="6"/>
  <c r="AK73" i="6"/>
  <c r="AN24" i="6"/>
  <c r="AN50" i="6"/>
  <c r="AN62" i="6"/>
  <c r="AN34" i="6"/>
  <c r="AQ34" i="6" s="1"/>
  <c r="AN18" i="6"/>
  <c r="AN4" i="6"/>
  <c r="AQ4" i="6" s="1"/>
  <c r="AN42" i="6"/>
  <c r="AN10" i="6"/>
  <c r="QE20" i="17" l="1"/>
  <c r="QE21" i="17" s="1"/>
  <c r="QE63" i="17"/>
  <c r="PT84" i="17"/>
  <c r="AQ32" i="6"/>
  <c r="HX74" i="17" s="1"/>
  <c r="AQ70" i="6"/>
  <c r="SR74" i="17" s="1"/>
  <c r="AQ64" i="6"/>
  <c r="RB74" i="17" s="1"/>
  <c r="AQ16" i="6"/>
  <c r="DP74" i="17" s="1"/>
  <c r="AQ8" i="6"/>
  <c r="BL74" i="17" s="1"/>
  <c r="AQ18" i="6"/>
  <c r="ED74" i="17" s="1"/>
  <c r="AQ12" i="6"/>
  <c r="CN74" i="17" s="1"/>
  <c r="AQ30" i="6"/>
  <c r="HJ74" i="17" s="1"/>
  <c r="AQ6" i="6"/>
  <c r="AX74" i="17" s="1"/>
  <c r="AQ38" i="6"/>
  <c r="KB74" i="17" s="1"/>
  <c r="AQ60" i="6"/>
  <c r="PZ74" i="17" s="1"/>
  <c r="AQ20" i="6"/>
  <c r="ER74" i="17" s="1"/>
  <c r="AQ66" i="6"/>
  <c r="RP74" i="17" s="1"/>
  <c r="AQ22" i="6"/>
  <c r="FF74" i="17" s="1"/>
  <c r="AQ44" i="6"/>
  <c r="LR74" i="17" s="1"/>
  <c r="AQ24" i="6"/>
  <c r="FT74" i="17" s="1"/>
  <c r="AQ58" i="6"/>
  <c r="PL74" i="17" s="1"/>
  <c r="AQ10" i="6"/>
  <c r="BZ74" i="17" s="1"/>
  <c r="AQ42" i="6"/>
  <c r="LD74" i="17" s="1"/>
  <c r="AQ46" i="6"/>
  <c r="MF74" i="17" s="1"/>
  <c r="AQ52" i="6"/>
  <c r="NV74" i="17" s="1"/>
  <c r="AQ40" i="6"/>
  <c r="KP74" i="17" s="1"/>
  <c r="AQ68" i="6"/>
  <c r="SD74" i="17" s="1"/>
  <c r="AQ48" i="6"/>
  <c r="MT74" i="17" s="1"/>
  <c r="AQ14" i="6"/>
  <c r="DB74" i="17" s="1"/>
  <c r="AQ36" i="6"/>
  <c r="JN74" i="17" s="1"/>
  <c r="AQ26" i="6"/>
  <c r="GH74" i="17" s="1"/>
  <c r="AQ56" i="6"/>
  <c r="OX74" i="17" s="1"/>
  <c r="AQ62" i="6"/>
  <c r="QN74" i="17" s="1"/>
  <c r="AQ28" i="6"/>
  <c r="GV74" i="17" s="1"/>
  <c r="AQ50" i="6"/>
  <c r="NH74" i="17" s="1"/>
  <c r="AQ54" i="6"/>
  <c r="OJ74" i="17" s="1"/>
  <c r="C18" i="16"/>
  <c r="C16" i="16"/>
  <c r="H16" i="16" s="1"/>
  <c r="Q16" i="16" s="1"/>
  <c r="C14" i="16"/>
  <c r="C17" i="16"/>
  <c r="J17" i="16" s="1"/>
  <c r="C20" i="16"/>
  <c r="J20" i="16" s="1"/>
  <c r="C21" i="16"/>
  <c r="C30" i="16"/>
  <c r="P30" i="16" s="1"/>
  <c r="C23" i="16"/>
  <c r="J23" i="16" s="1"/>
  <c r="C10" i="16"/>
  <c r="P10" i="16" s="1"/>
  <c r="C19" i="16"/>
  <c r="C38" i="16"/>
  <c r="J38" i="16" s="1"/>
  <c r="C22" i="16"/>
  <c r="J22" i="16" s="1"/>
  <c r="C8" i="16"/>
  <c r="J8" i="16" s="1"/>
  <c r="C26" i="16"/>
  <c r="D32" i="16"/>
  <c r="D34" i="16"/>
  <c r="C11" i="16"/>
  <c r="J11" i="16" s="1"/>
  <c r="C13" i="16"/>
  <c r="C7" i="16"/>
  <c r="J7" i="16" s="1"/>
  <c r="C32" i="16"/>
  <c r="J32" i="16" s="1"/>
  <c r="C25" i="16"/>
  <c r="J25" i="16" s="1"/>
  <c r="C15" i="16"/>
  <c r="C37" i="16"/>
  <c r="J37" i="16" s="1"/>
  <c r="C36" i="16"/>
  <c r="P36" i="16" s="1"/>
  <c r="C24" i="16"/>
  <c r="P24" i="16" s="1"/>
  <c r="C34" i="16"/>
  <c r="J34" i="16" s="1"/>
  <c r="C28" i="16"/>
  <c r="J28" i="16" s="1"/>
  <c r="C35" i="16"/>
  <c r="J35" i="16" s="1"/>
  <c r="C29" i="16"/>
  <c r="J29" i="16" s="1"/>
  <c r="C5" i="16"/>
  <c r="C33" i="16"/>
  <c r="J33" i="16" s="1"/>
  <c r="C9" i="16"/>
  <c r="P9" i="16" s="1"/>
  <c r="C27" i="16"/>
  <c r="J27" i="16" s="1"/>
  <c r="C6" i="16"/>
  <c r="C31" i="16"/>
  <c r="J31" i="16" s="1"/>
  <c r="F38" i="16"/>
  <c r="C12" i="16"/>
  <c r="J12" i="16" s="1"/>
  <c r="D37" i="16"/>
  <c r="D36" i="16"/>
  <c r="F37" i="16"/>
  <c r="F36" i="16"/>
  <c r="D13" i="16"/>
  <c r="F11" i="16"/>
  <c r="D15" i="16"/>
  <c r="D38" i="16"/>
  <c r="D24" i="16"/>
  <c r="D17" i="16"/>
  <c r="D8" i="16"/>
  <c r="D12" i="16"/>
  <c r="D7" i="16"/>
  <c r="D14" i="16"/>
  <c r="D16" i="16"/>
  <c r="D20" i="16"/>
  <c r="D21" i="16"/>
  <c r="D19" i="16"/>
  <c r="D26" i="16"/>
  <c r="D23" i="16"/>
  <c r="D18" i="16"/>
  <c r="D11" i="16"/>
  <c r="D22" i="16"/>
  <c r="D6" i="16"/>
  <c r="F13" i="16"/>
  <c r="D10" i="16"/>
  <c r="F26" i="16"/>
  <c r="F19" i="16"/>
  <c r="F8" i="16"/>
  <c r="F25" i="16"/>
  <c r="F29" i="16"/>
  <c r="F34" i="16"/>
  <c r="D30" i="16"/>
  <c r="F21" i="16"/>
  <c r="F9" i="16"/>
  <c r="D27" i="16"/>
  <c r="D9" i="16"/>
  <c r="F23" i="16"/>
  <c r="F5" i="16"/>
  <c r="D28" i="16"/>
  <c r="D29" i="16"/>
  <c r="D25" i="16"/>
  <c r="F17" i="16"/>
  <c r="F22" i="16"/>
  <c r="F18" i="16"/>
  <c r="F27" i="16"/>
  <c r="F12" i="16"/>
  <c r="D5" i="16"/>
  <c r="F15" i="16"/>
  <c r="F30" i="16"/>
  <c r="F20" i="16"/>
  <c r="D35" i="16"/>
  <c r="F32" i="16"/>
  <c r="F31" i="16"/>
  <c r="F6" i="16"/>
  <c r="F16" i="16"/>
  <c r="E5" i="16"/>
  <c r="F14" i="16"/>
  <c r="F24" i="16"/>
  <c r="F35" i="16"/>
  <c r="D31" i="16"/>
  <c r="F28" i="16"/>
  <c r="F33" i="16"/>
  <c r="D33" i="16"/>
  <c r="F10" i="16"/>
  <c r="F7" i="16"/>
  <c r="E21" i="16"/>
  <c r="E10" i="16"/>
  <c r="E25" i="16"/>
  <c r="E14" i="16"/>
  <c r="E19" i="16"/>
  <c r="E29" i="16"/>
  <c r="E13" i="16"/>
  <c r="E6" i="16"/>
  <c r="E30" i="16"/>
  <c r="E37" i="16"/>
  <c r="E32" i="16"/>
  <c r="E27" i="16"/>
  <c r="E20" i="16"/>
  <c r="E31" i="16"/>
  <c r="E24" i="16"/>
  <c r="E18" i="16"/>
  <c r="E16" i="16"/>
  <c r="E26" i="16"/>
  <c r="E34" i="16"/>
  <c r="E22" i="16"/>
  <c r="E33" i="16"/>
  <c r="E36" i="16"/>
  <c r="E9" i="16"/>
  <c r="E38" i="16"/>
  <c r="E15" i="16"/>
  <c r="E8" i="16"/>
  <c r="E28" i="16"/>
  <c r="E7" i="16"/>
  <c r="E17" i="16"/>
  <c r="E11" i="16"/>
  <c r="E35" i="16"/>
  <c r="E23" i="16"/>
  <c r="E12" i="16"/>
  <c r="J24" i="16"/>
  <c r="J30" i="16"/>
  <c r="J21" i="16"/>
  <c r="J16" i="16"/>
  <c r="J5" i="16"/>
  <c r="J13" i="16"/>
  <c r="J6" i="16"/>
  <c r="J26" i="16"/>
  <c r="J14" i="16"/>
  <c r="P7" i="16"/>
  <c r="O16" i="16"/>
  <c r="P6" i="16"/>
  <c r="P34" i="16"/>
  <c r="P15" i="16"/>
  <c r="P26" i="16"/>
  <c r="P21" i="16"/>
  <c r="I4" i="16"/>
  <c r="J4" i="16" s="1"/>
  <c r="H4" i="16"/>
  <c r="AM72" i="6"/>
  <c r="G39" i="16"/>
  <c r="AN2" i="6"/>
  <c r="P32" i="16" l="1"/>
  <c r="P27" i="16"/>
  <c r="P38" i="16"/>
  <c r="P31" i="16"/>
  <c r="P28" i="16"/>
  <c r="P33" i="16"/>
  <c r="J36" i="16"/>
  <c r="J9" i="16"/>
  <c r="M4" i="16"/>
  <c r="Q4" i="16"/>
  <c r="P22" i="16"/>
  <c r="P17" i="16"/>
  <c r="P23" i="16"/>
  <c r="P11" i="16"/>
  <c r="QE65" i="17"/>
  <c r="QE72" i="17" s="1"/>
  <c r="PU96" i="17"/>
  <c r="PT96" i="17" s="1"/>
  <c r="PU99" i="17"/>
  <c r="PT99" i="17" s="1"/>
  <c r="PU97" i="17"/>
  <c r="PT97" i="17" s="1"/>
  <c r="PU93" i="17"/>
  <c r="PT93" i="17" s="1"/>
  <c r="PT87" i="17"/>
  <c r="PU88" i="17" s="1"/>
  <c r="PU94" i="17"/>
  <c r="PT94" i="17" s="1"/>
  <c r="PU98" i="17"/>
  <c r="PT98" i="17" s="1"/>
  <c r="PU95" i="17"/>
  <c r="PT95" i="17" s="1"/>
  <c r="PU91" i="17"/>
  <c r="PU92" i="17"/>
  <c r="PT92" i="17" s="1"/>
  <c r="AQ2" i="6"/>
  <c r="H74" i="17" s="1"/>
  <c r="O31" i="16"/>
  <c r="H31" i="16"/>
  <c r="Q31" i="16" s="1"/>
  <c r="O33" i="16"/>
  <c r="H33" i="16"/>
  <c r="Q33" i="16" s="1"/>
  <c r="O28" i="16"/>
  <c r="H28" i="16"/>
  <c r="Q28" i="16" s="1"/>
  <c r="O37" i="16"/>
  <c r="H37" i="16"/>
  <c r="Q37" i="16" s="1"/>
  <c r="P37" i="16"/>
  <c r="L7" i="16"/>
  <c r="O7" i="16"/>
  <c r="H7" i="16"/>
  <c r="Q7" i="16" s="1"/>
  <c r="O38" i="16"/>
  <c r="H38" i="16"/>
  <c r="O30" i="16"/>
  <c r="H30" i="16"/>
  <c r="Q30" i="16" s="1"/>
  <c r="O14" i="16"/>
  <c r="H14" i="16"/>
  <c r="Q14" i="16" s="1"/>
  <c r="P14" i="16"/>
  <c r="E39" i="16"/>
  <c r="E40" i="16" s="1"/>
  <c r="O6" i="16"/>
  <c r="H6" i="16"/>
  <c r="C39" i="16"/>
  <c r="O5" i="16"/>
  <c r="H5" i="16"/>
  <c r="P5" i="16"/>
  <c r="O34" i="16"/>
  <c r="H34" i="16"/>
  <c r="Q34" i="16" s="1"/>
  <c r="H15" i="16"/>
  <c r="Q15" i="16" s="1"/>
  <c r="O15" i="16"/>
  <c r="O13" i="16"/>
  <c r="H13" i="16"/>
  <c r="Q13" i="16" s="1"/>
  <c r="P13" i="16"/>
  <c r="O26" i="16"/>
  <c r="H26" i="16"/>
  <c r="Q26" i="16" s="1"/>
  <c r="O19" i="16"/>
  <c r="H19" i="16"/>
  <c r="Q19" i="16" s="1"/>
  <c r="P19" i="16"/>
  <c r="O21" i="16"/>
  <c r="H21" i="16"/>
  <c r="Q21" i="16" s="1"/>
  <c r="D39" i="16"/>
  <c r="D40" i="16" s="1"/>
  <c r="O12" i="16"/>
  <c r="H12" i="16"/>
  <c r="Q12" i="16" s="1"/>
  <c r="P12" i="16"/>
  <c r="L27" i="16"/>
  <c r="O27" i="16"/>
  <c r="H27" i="16"/>
  <c r="O29" i="16"/>
  <c r="H29" i="16"/>
  <c r="Q29" i="16" s="1"/>
  <c r="P29" i="16"/>
  <c r="O24" i="16"/>
  <c r="H24" i="16"/>
  <c r="Q24" i="16" s="1"/>
  <c r="O25" i="16"/>
  <c r="H25" i="16"/>
  <c r="Q25" i="16" s="1"/>
  <c r="P25" i="16"/>
  <c r="H11" i="16"/>
  <c r="Q11" i="16" s="1"/>
  <c r="O11" i="16"/>
  <c r="O8" i="16"/>
  <c r="H8" i="16"/>
  <c r="Q8" i="16" s="1"/>
  <c r="P8" i="16"/>
  <c r="H10" i="16"/>
  <c r="Q10" i="16" s="1"/>
  <c r="O10" i="16"/>
  <c r="O20" i="16"/>
  <c r="H20" i="16"/>
  <c r="Q20" i="16" s="1"/>
  <c r="P20" i="16"/>
  <c r="O18" i="16"/>
  <c r="P18" i="16"/>
  <c r="H18" i="16"/>
  <c r="Q18" i="16" s="1"/>
  <c r="J19" i="16"/>
  <c r="F39" i="16"/>
  <c r="F40" i="16" s="1"/>
  <c r="O9" i="16"/>
  <c r="H9" i="16"/>
  <c r="Q9" i="16" s="1"/>
  <c r="O35" i="16"/>
  <c r="P35" i="16"/>
  <c r="H35" i="16"/>
  <c r="Q35" i="16" s="1"/>
  <c r="O36" i="16"/>
  <c r="H36" i="16"/>
  <c r="Q36" i="16" s="1"/>
  <c r="O32" i="16"/>
  <c r="H32" i="16"/>
  <c r="Q32" i="16" s="1"/>
  <c r="H22" i="16"/>
  <c r="Q22" i="16" s="1"/>
  <c r="O22" i="16"/>
  <c r="O23" i="16"/>
  <c r="H23" i="16"/>
  <c r="Q23" i="16" s="1"/>
  <c r="H17" i="16"/>
  <c r="Q17" i="16" s="1"/>
  <c r="O17" i="16"/>
  <c r="J18" i="16"/>
  <c r="J10" i="16"/>
  <c r="J15" i="16"/>
  <c r="P4" i="16"/>
  <c r="P16" i="16"/>
  <c r="G40" i="16"/>
  <c r="I39" i="16"/>
  <c r="I40" i="16" s="1"/>
  <c r="AN72" i="6"/>
  <c r="M27" i="16" l="1"/>
  <c r="Q27" i="16"/>
  <c r="Q39" i="16" s="1"/>
  <c r="M7" i="16"/>
  <c r="AQ72" i="6"/>
  <c r="H136" i="9" s="1"/>
  <c r="J39" i="16"/>
  <c r="PT91" i="17"/>
  <c r="PU100" i="17"/>
  <c r="PU101" i="17" s="1"/>
  <c r="H41" i="15"/>
  <c r="H43" i="15" s="1"/>
  <c r="I43" i="15" s="1"/>
  <c r="H39" i="16"/>
  <c r="P39" i="16"/>
  <c r="O39" i="16"/>
  <c r="C40" i="16"/>
  <c r="K32" i="16"/>
  <c r="L32" i="16" s="1"/>
  <c r="M32" i="16" s="1"/>
  <c r="K38" i="16"/>
  <c r="L38" i="16" s="1"/>
  <c r="M38" i="16" s="1"/>
  <c r="K5" i="16"/>
  <c r="L5" i="16" s="1"/>
  <c r="M5" i="16" s="1"/>
  <c r="K14" i="16"/>
  <c r="L14" i="16" s="1"/>
  <c r="M14" i="16" s="1"/>
  <c r="K8" i="16"/>
  <c r="L8" i="16" s="1"/>
  <c r="M8" i="16" s="1"/>
  <c r="K20" i="16"/>
  <c r="L20" i="16" s="1"/>
  <c r="M20" i="16" s="1"/>
  <c r="K17" i="16"/>
  <c r="L17" i="16" s="1"/>
  <c r="M17" i="16" s="1"/>
  <c r="K23" i="16"/>
  <c r="L23" i="16" s="1"/>
  <c r="M23" i="16" s="1"/>
  <c r="K24" i="16"/>
  <c r="L24" i="16" s="1"/>
  <c r="M24" i="16" s="1"/>
  <c r="K30" i="16"/>
  <c r="L30" i="16" s="1"/>
  <c r="M30" i="16" s="1"/>
  <c r="K6" i="16"/>
  <c r="L6" i="16" s="1"/>
  <c r="M6" i="16" s="1"/>
  <c r="K33" i="16"/>
  <c r="L33" i="16" s="1"/>
  <c r="M33" i="16" s="1"/>
  <c r="K25" i="16"/>
  <c r="L25" i="16" s="1"/>
  <c r="M25" i="16" s="1"/>
  <c r="K21" i="16"/>
  <c r="L21" i="16" s="1"/>
  <c r="M21" i="16" s="1"/>
  <c r="K9" i="16"/>
  <c r="L9" i="16" s="1"/>
  <c r="M9" i="16" s="1"/>
  <c r="K16" i="16"/>
  <c r="L16" i="16" s="1"/>
  <c r="M16" i="16" s="1"/>
  <c r="K10" i="16"/>
  <c r="L10" i="16" s="1"/>
  <c r="M10" i="16" s="1"/>
  <c r="K39" i="16"/>
  <c r="K13" i="16"/>
  <c r="L13" i="16" s="1"/>
  <c r="M13" i="16" s="1"/>
  <c r="K26" i="16"/>
  <c r="L26" i="16" s="1"/>
  <c r="M26" i="16" s="1"/>
  <c r="K37" i="16"/>
  <c r="L37" i="16" s="1"/>
  <c r="M37" i="16" s="1"/>
  <c r="K34" i="16"/>
  <c r="L34" i="16" s="1"/>
  <c r="M34" i="16" s="1"/>
  <c r="K36" i="16"/>
  <c r="L36" i="16" s="1"/>
  <c r="M36" i="16" s="1"/>
  <c r="K15" i="16"/>
  <c r="L15" i="16" s="1"/>
  <c r="M15" i="16" s="1"/>
  <c r="K29" i="16"/>
  <c r="L29" i="16" s="1"/>
  <c r="M29" i="16" s="1"/>
  <c r="K18" i="16"/>
  <c r="L18" i="16" s="1"/>
  <c r="M18" i="16" s="1"/>
  <c r="K28" i="16"/>
  <c r="L28" i="16" s="1"/>
  <c r="M28" i="16" s="1"/>
  <c r="K35" i="16"/>
  <c r="L35" i="16" s="1"/>
  <c r="M35" i="16" s="1"/>
  <c r="K22" i="16"/>
  <c r="L22" i="16" s="1"/>
  <c r="M22" i="16" s="1"/>
  <c r="K12" i="16"/>
  <c r="L12" i="16" s="1"/>
  <c r="M12" i="16" s="1"/>
  <c r="K11" i="16"/>
  <c r="L11" i="16" s="1"/>
  <c r="M11" i="16" s="1"/>
  <c r="K19" i="16"/>
  <c r="L19" i="16" s="1"/>
  <c r="M19" i="16" s="1"/>
  <c r="K31" i="16"/>
  <c r="L31" i="16" s="1"/>
  <c r="M31" i="16" s="1"/>
  <c r="H40" i="16" l="1"/>
  <c r="J40" i="16"/>
  <c r="K40" i="16"/>
  <c r="R39" i="16"/>
  <c r="C93" i="17"/>
  <c r="B93" i="17" s="1"/>
  <c r="C98" i="17"/>
  <c r="B98" i="17" s="1"/>
  <c r="C97" i="17"/>
  <c r="B97" i="17" s="1"/>
  <c r="C92" i="17"/>
  <c r="B92" i="17" s="1"/>
  <c r="C99" i="17"/>
  <c r="B99" i="17" s="1"/>
  <c r="C91" i="17"/>
  <c r="C95" i="17"/>
  <c r="B95" i="17" s="1"/>
  <c r="C94" i="17"/>
  <c r="B94" i="17" s="1"/>
  <c r="C96" i="17"/>
  <c r="B96" i="17" s="1"/>
  <c r="B87" i="17"/>
  <c r="M39" i="16"/>
  <c r="L39" i="16"/>
  <c r="L40" i="16" l="1"/>
  <c r="O41" i="16"/>
  <c r="M40" i="16"/>
  <c r="C88" i="17"/>
  <c r="H44" i="15"/>
  <c r="H45" i="15" s="1"/>
  <c r="B91" i="17"/>
  <c r="C100" i="17"/>
  <c r="C101" i="17" s="1"/>
  <c r="TE59" i="17" l="1"/>
  <c r="TF70" i="17" s="1"/>
  <c r="TF61" i="17"/>
  <c r="TM61" i="17" l="1"/>
  <c r="TF63" i="17"/>
  <c r="SZ84" i="17" l="1"/>
  <c r="TF65" i="17"/>
  <c r="TM66" i="17" l="1"/>
  <c r="TF71" i="17"/>
  <c r="TF67" i="17"/>
  <c r="TF68" i="17" s="1"/>
  <c r="TF69" i="17" s="1"/>
  <c r="SZ86" i="17" l="1"/>
  <c r="TF72" i="17"/>
  <c r="TK71" i="17" s="1"/>
  <c r="SZ85" i="17"/>
  <c r="TF73" i="17"/>
  <c r="TK69" i="17" l="1"/>
  <c r="TK20" i="17"/>
  <c r="TK32" i="17"/>
  <c r="TK18" i="17"/>
  <c r="TK30" i="17"/>
  <c r="TK31" i="17"/>
  <c r="TK33" i="17"/>
  <c r="TK19" i="17"/>
  <c r="TK34" i="17"/>
  <c r="TK25" i="17"/>
  <c r="TK24" i="17"/>
  <c r="TK40" i="17"/>
  <c r="TK41" i="17" s="1"/>
  <c r="TK46" i="17"/>
  <c r="TK48" i="17" s="1"/>
  <c r="TK57" i="17"/>
  <c r="TK53" i="17"/>
  <c r="TK54" i="17"/>
  <c r="TK55" i="17"/>
  <c r="TK56" i="17"/>
  <c r="TK63" i="17"/>
  <c r="SZ87" i="17"/>
  <c r="TA95" i="17"/>
  <c r="SZ95" i="17" s="1"/>
  <c r="TA98" i="17"/>
  <c r="SZ98" i="17" s="1"/>
  <c r="TA94" i="17"/>
  <c r="SZ94" i="17" s="1"/>
  <c r="TA93" i="17"/>
  <c r="SZ93" i="17" s="1"/>
  <c r="TA91" i="17"/>
  <c r="SZ91" i="17" s="1"/>
  <c r="TA92" i="17"/>
  <c r="SZ92" i="17" s="1"/>
  <c r="TA99" i="17"/>
  <c r="SZ99" i="17" s="1"/>
  <c r="TA96" i="17"/>
  <c r="SZ96" i="17" s="1"/>
  <c r="TA97" i="17"/>
  <c r="SZ97" i="17" s="1"/>
  <c r="H137" i="9"/>
  <c r="TF74" i="17"/>
  <c r="TK26" i="17" l="1"/>
  <c r="TK35" i="17"/>
  <c r="TK59" i="17"/>
  <c r="TK21" i="17"/>
  <c r="TA100" i="17"/>
  <c r="TA101" i="17" s="1"/>
  <c r="TA88" i="17"/>
  <c r="TK65" i="17" l="1"/>
  <c r="TK72" i="17" s="1"/>
</calcChain>
</file>

<file path=xl/comments1.xml><?xml version="1.0" encoding="utf-8"?>
<comments xmlns="http://schemas.openxmlformats.org/spreadsheetml/2006/main">
  <authors>
    <author>Guillermo Andres Mutis Gaitan</author>
  </authors>
  <commentList>
    <comment ref="C12" authorId="0">
      <text>
        <r>
          <rPr>
            <sz val="9"/>
            <color indexed="81"/>
            <rFont val="Tahoma"/>
            <family val="2"/>
          </rPr>
          <t xml:space="preserve">Para desplazarse desde la capital hacia el municipio una vez a la semana ida y vuelta (4 semanas/mes)
</t>
        </r>
      </text>
    </comment>
  </commentList>
</comments>
</file>

<file path=xl/comments2.xml><?xml version="1.0" encoding="utf-8"?>
<comments xmlns="http://schemas.openxmlformats.org/spreadsheetml/2006/main">
  <authors>
    <author>Mutis</author>
  </authors>
  <commentList>
    <comment ref="E4" authorId="0">
      <text>
        <r>
          <rPr>
            <sz val="9"/>
            <color indexed="81"/>
            <rFont val="Tahoma"/>
            <family val="2"/>
          </rPr>
          <t>Se calcula para aquellos salarios inferiores a 2 SMMLV</t>
        </r>
      </text>
    </comment>
    <comment ref="I4" authorId="0">
      <text>
        <r>
          <rPr>
            <sz val="9"/>
            <color indexed="81"/>
            <rFont val="Tahoma"/>
            <family val="2"/>
          </rPr>
          <t>La base es el salario básico mas auxilio de transporte</t>
        </r>
      </text>
    </comment>
    <comment ref="L4" authorId="0">
      <text>
        <r>
          <rPr>
            <sz val="9"/>
            <color indexed="81"/>
            <rFont val="Tahoma"/>
            <family val="2"/>
          </rPr>
          <t>La base es el salario básico mas auxilio de transporte</t>
        </r>
      </text>
    </comment>
    <comment ref="F5" authorId="0">
      <text>
        <r>
          <rPr>
            <sz val="9"/>
            <color indexed="81"/>
            <rFont val="Tahoma"/>
            <family val="2"/>
          </rPr>
          <t>8,5% del salario</t>
        </r>
      </text>
    </comment>
    <comment ref="G5" authorId="0">
      <text>
        <r>
          <rPr>
            <sz val="9"/>
            <color indexed="81"/>
            <rFont val="Tahoma"/>
            <family val="2"/>
          </rPr>
          <t>12% sobre el salario</t>
        </r>
      </text>
    </comment>
    <comment ref="I5" authorId="0">
      <text>
        <r>
          <rPr>
            <sz val="9"/>
            <color indexed="81"/>
            <rFont val="Tahoma"/>
            <family val="2"/>
          </rPr>
          <t>Un salario mensual por cada año trabajado, o proporcionalmente</t>
        </r>
      </text>
    </comment>
    <comment ref="K5" authorId="0">
      <text>
        <r>
          <rPr>
            <sz val="9"/>
            <color indexed="81"/>
            <rFont val="Tahoma"/>
            <family val="2"/>
          </rPr>
          <t>15 días hábiles de vacaciones al año</t>
        </r>
      </text>
    </comment>
    <comment ref="L5" authorId="0">
      <text>
        <r>
          <rPr>
            <sz val="9"/>
            <color indexed="81"/>
            <rFont val="Tahoma"/>
            <family val="2"/>
          </rPr>
          <t xml:space="preserve">Pago de medio salario cada semestre </t>
        </r>
      </text>
    </comment>
  </commentList>
</comments>
</file>

<file path=xl/sharedStrings.xml><?xml version="1.0" encoding="utf-8"?>
<sst xmlns="http://schemas.openxmlformats.org/spreadsheetml/2006/main" count="6623" uniqueCount="1647">
  <si>
    <t>SALARIOS DE REFERENCIA</t>
  </si>
  <si>
    <t>DEPARTAMENTO ADMINISTRATIVO DE LA FUNCIÓN PÚBLICA</t>
  </si>
  <si>
    <t>Decreto No. 0853 de 25 de abril de 2012</t>
  </si>
  <si>
    <t>PERFIL</t>
  </si>
  <si>
    <t>Directivo</t>
  </si>
  <si>
    <t>TABLA PARA CALCULAR SALARIOS CON PRESTACIONES SOCIALES - SOLO INCLUYEN LOS FACTORES QUE LA LEY EXIGE</t>
  </si>
  <si>
    <t>Personal requerido para el Proyecto</t>
  </si>
  <si>
    <t>Salario de Referencia del Departamento Administrativo de la Función Pública</t>
  </si>
  <si>
    <t>SALARIO</t>
  </si>
  <si>
    <t>SUBSIDIO TRANSPORTE</t>
  </si>
  <si>
    <t>SALUD</t>
  </si>
  <si>
    <t>PENSION</t>
  </si>
  <si>
    <t>ARL</t>
  </si>
  <si>
    <t>CESANTIAS</t>
  </si>
  <si>
    <t>INTERESES CESANTIAS</t>
  </si>
  <si>
    <t>VACACIONES</t>
  </si>
  <si>
    <t>PRIMA</t>
  </si>
  <si>
    <t>SUBOTAL</t>
  </si>
  <si>
    <t>Factor Prestacional</t>
  </si>
  <si>
    <t>Dotación
(Proporc.
Mensual)</t>
  </si>
  <si>
    <t>TOTAL MENSUAL</t>
  </si>
  <si>
    <t>Factor prestacional
(incluye 
dotación)</t>
  </si>
  <si>
    <t>meses</t>
  </si>
  <si>
    <t>Meses de trabajo con 100% dedicación mensual</t>
  </si>
  <si>
    <t>Personas Requeridas</t>
  </si>
  <si>
    <t>Total a Pagar</t>
  </si>
  <si>
    <t xml:space="preserve">TOTAL PAGOS MENSUALES </t>
  </si>
  <si>
    <t>ITEM</t>
  </si>
  <si>
    <t>Salario Mínimo</t>
  </si>
  <si>
    <t>Auxilio Transporte</t>
  </si>
  <si>
    <t>Dotación (3 vestidos y zapatos al año) Vr. Ud. $105.000</t>
  </si>
  <si>
    <t>Días hábiles legales en el mes.</t>
  </si>
  <si>
    <t xml:space="preserve">Promotor de Derechos </t>
  </si>
  <si>
    <t>SMMLV</t>
  </si>
  <si>
    <t>CODIGO</t>
  </si>
  <si>
    <t>GRUPOS</t>
  </si>
  <si>
    <t>Costo Transp. P.D.</t>
  </si>
  <si>
    <t>Costo Transp. Supervisión</t>
  </si>
  <si>
    <t>Costo Celular</t>
  </si>
  <si>
    <t>Internet</t>
  </si>
  <si>
    <t>Costo Materiales</t>
  </si>
  <si>
    <t>Costo Refrigerios</t>
  </si>
  <si>
    <t>Costo Chalecos</t>
  </si>
  <si>
    <t>SUBTOTAL COSTO DIRECTO UDS</t>
  </si>
  <si>
    <t>ANTIOQUIA</t>
  </si>
  <si>
    <t>Medellín</t>
  </si>
  <si>
    <t>Amagá</t>
  </si>
  <si>
    <t>Amalfi</t>
  </si>
  <si>
    <t>Andes</t>
  </si>
  <si>
    <t>Anorí</t>
  </si>
  <si>
    <t>Apartadó</t>
  </si>
  <si>
    <t>Arboletes </t>
  </si>
  <si>
    <t>Barbosa</t>
  </si>
  <si>
    <t>Bello</t>
  </si>
  <si>
    <t>Betulia</t>
  </si>
  <si>
    <t>Briceño</t>
  </si>
  <si>
    <t>Buriticá</t>
  </si>
  <si>
    <t>Cáceres</t>
  </si>
  <si>
    <t>Caicedo</t>
  </si>
  <si>
    <t>Caldas (ANT)</t>
  </si>
  <si>
    <t>Cañasgordas</t>
  </si>
  <si>
    <t>Carepa</t>
  </si>
  <si>
    <t>Carolina</t>
  </si>
  <si>
    <t>Caucasia</t>
  </si>
  <si>
    <t>Chigorodó</t>
  </si>
  <si>
    <t>Cisneros</t>
  </si>
  <si>
    <t>Concordia</t>
  </si>
  <si>
    <t>Copacabana</t>
  </si>
  <si>
    <t>Dabeiba</t>
  </si>
  <si>
    <t>El Bagre</t>
  </si>
  <si>
    <t>Entrerrios</t>
  </si>
  <si>
    <t>Envigado</t>
  </si>
  <si>
    <t>Fredonia</t>
  </si>
  <si>
    <t>Frontino</t>
  </si>
  <si>
    <t>Giraldo</t>
  </si>
  <si>
    <t>Girardota</t>
  </si>
  <si>
    <t>Itagui</t>
  </si>
  <si>
    <t>Ituango</t>
  </si>
  <si>
    <t>Jardín</t>
  </si>
  <si>
    <t>La Estrella</t>
  </si>
  <si>
    <t>Maceo</t>
  </si>
  <si>
    <t>Murindó</t>
  </si>
  <si>
    <t>Mutatá</t>
  </si>
  <si>
    <t>Nechí</t>
  </si>
  <si>
    <t>Necoclí</t>
  </si>
  <si>
    <t>Olaya</t>
  </si>
  <si>
    <t>Peque</t>
  </si>
  <si>
    <t>Puerto Berrío</t>
  </si>
  <si>
    <t>Puerto Triunfo</t>
  </si>
  <si>
    <t>Remedios</t>
  </si>
  <si>
    <t>Sabaneta</t>
  </si>
  <si>
    <t>Salgar</t>
  </si>
  <si>
    <t>San Juan de Urabá</t>
  </si>
  <si>
    <t>San Pedro de Uraba</t>
  </si>
  <si>
    <t>San Roque</t>
  </si>
  <si>
    <t>Santafé de Antioquia</t>
  </si>
  <si>
    <t>Santo Domingo</t>
  </si>
  <si>
    <t>Segovia</t>
  </si>
  <si>
    <t>Támesis</t>
  </si>
  <si>
    <t>Tarazá</t>
  </si>
  <si>
    <t>Turbo</t>
  </si>
  <si>
    <t>Urrao</t>
  </si>
  <si>
    <t>Valdivia</t>
  </si>
  <si>
    <t>Venecia</t>
  </si>
  <si>
    <t>Vigía del Fuerte</t>
  </si>
  <si>
    <t>Yalí</t>
  </si>
  <si>
    <t>Yarumal</t>
  </si>
  <si>
    <t>Yondó</t>
  </si>
  <si>
    <t>Zaragoza</t>
  </si>
  <si>
    <t>ANTIOQUIA ZONA 2</t>
  </si>
  <si>
    <t>Abejorral</t>
  </si>
  <si>
    <t>Argelia</t>
  </si>
  <si>
    <t>Cocorná </t>
  </si>
  <si>
    <t>El Carmen de Viboral</t>
  </si>
  <si>
    <t>El Santuario</t>
  </si>
  <si>
    <t>Granada</t>
  </si>
  <si>
    <t>Guarne</t>
  </si>
  <si>
    <t>La Ceja</t>
  </si>
  <si>
    <t>La Unión</t>
  </si>
  <si>
    <t>Marinilla</t>
  </si>
  <si>
    <t>Nariño</t>
  </si>
  <si>
    <t>Retiro</t>
  </si>
  <si>
    <t>Rionegro</t>
  </si>
  <si>
    <t>San Carlos</t>
  </si>
  <si>
    <t>San Luis</t>
  </si>
  <si>
    <t>San Rafael</t>
  </si>
  <si>
    <t>San Vicente</t>
  </si>
  <si>
    <t>Sonson</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</si>
  <si>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</si>
  <si>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</si>
  <si>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</si>
  <si>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</si>
  <si>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</si>
  <si>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</si>
  <si>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</si>
  <si>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</si>
  <si>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</si>
  <si>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</si>
  <si>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</si>
  <si>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</si>
  <si>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</si>
  <si>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</si>
  <si>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</si>
  <si>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</si>
  <si>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Sabanalarga (ATL)</t>
  </si>
  <si>
    <t>Santa Lucía</t>
  </si>
  <si>
    <t>Santo Tomás</t>
  </si>
  <si>
    <t>Soledad</t>
  </si>
  <si>
    <t>Suan</t>
  </si>
  <si>
    <t>Tubará</t>
  </si>
  <si>
    <t>Usiacurí</t>
  </si>
  <si>
    <t>Cartagena</t>
  </si>
  <si>
    <t xml:space="preserve">Achí  </t>
  </si>
  <si>
    <t>Altos del Rosario</t>
  </si>
  <si>
    <t>Arjona</t>
  </si>
  <si>
    <t>Arroyohondo</t>
  </si>
  <si>
    <t>Barranco de Loba </t>
  </si>
  <si>
    <t>Calamar</t>
  </si>
  <si>
    <t>Cantagallo</t>
  </si>
  <si>
    <t>Clemencia</t>
  </si>
  <si>
    <t>El Carmen de Bolívar</t>
  </si>
  <si>
    <t>Magangué</t>
  </si>
  <si>
    <t>Mahates</t>
  </si>
  <si>
    <t>María La Baja</t>
  </si>
  <si>
    <t>Mompós</t>
  </si>
  <si>
    <t>Montecristo</t>
  </si>
  <si>
    <t>Morales (BOL)</t>
  </si>
  <si>
    <t>San Cristóbal</t>
  </si>
  <si>
    <t>San Jacinto</t>
  </si>
  <si>
    <t>San Juan Nepomuceno</t>
  </si>
  <si>
    <t>San Pablo</t>
  </si>
  <si>
    <t>Santa Catalina </t>
  </si>
  <si>
    <t>Santa Rosa</t>
  </si>
  <si>
    <t>Santa Rosa del Sur</t>
  </si>
  <si>
    <t>Simití</t>
  </si>
  <si>
    <t>Soplaviento</t>
  </si>
  <si>
    <t>Talaigua Nuevo</t>
  </si>
  <si>
    <t>Tiquisio</t>
  </si>
  <si>
    <t>Turbaco</t>
  </si>
  <si>
    <t>Villanueva (BOL)</t>
  </si>
  <si>
    <t>BOYACA</t>
  </si>
  <si>
    <t>Tunja</t>
  </si>
  <si>
    <t>Aquitania</t>
  </si>
  <si>
    <t>Chiquinquirá</t>
  </si>
  <si>
    <t>Cómbita</t>
  </si>
  <si>
    <t>Corrales</t>
  </si>
  <si>
    <t>Covarachía</t>
  </si>
  <si>
    <t>Cucaita</t>
  </si>
  <si>
    <t>Cuítiva</t>
  </si>
  <si>
    <t>Duitama</t>
  </si>
  <si>
    <t>El Cocuy</t>
  </si>
  <si>
    <t>El Espino</t>
  </si>
  <si>
    <t>Firavitoba</t>
  </si>
  <si>
    <t>Floresta</t>
  </si>
  <si>
    <t>Gachantivá</t>
  </si>
  <si>
    <t>Gameza</t>
  </si>
  <si>
    <t>Garagoa</t>
  </si>
  <si>
    <t>Guateque</t>
  </si>
  <si>
    <t>Moniquirá</t>
  </si>
  <si>
    <t>Muzo</t>
  </si>
  <si>
    <t>Paipa</t>
  </si>
  <si>
    <t>Paz de Río</t>
  </si>
  <si>
    <t>Pesca</t>
  </si>
  <si>
    <t>Puerto Boyacá</t>
  </si>
  <si>
    <t>Samacá</t>
  </si>
  <si>
    <t>Santa Rosa de Viterbo</t>
  </si>
  <si>
    <t>Santana</t>
  </si>
  <si>
    <t>Socotá</t>
  </si>
  <si>
    <t>Sogamoso</t>
  </si>
  <si>
    <t>Tipacoque</t>
  </si>
  <si>
    <t>Toca</t>
  </si>
  <si>
    <t>Villa de Leyva</t>
  </si>
  <si>
    <t>CALDAS</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</si>
  <si>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</si>
  <si>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</si>
  <si>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</si>
  <si>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</si>
  <si>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</si>
  <si>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</si>
  <si>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</si>
  <si>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</si>
  <si>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</si>
  <si>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</si>
  <si>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</si>
  <si>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</si>
  <si>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</si>
  <si>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</si>
  <si>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</si>
  <si>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</si>
  <si>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</si>
  <si>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</si>
  <si>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</si>
  <si>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 (CAL)</t>
  </si>
  <si>
    <t>Salamina</t>
  </si>
  <si>
    <t>Samaná </t>
  </si>
  <si>
    <t>San José</t>
  </si>
  <si>
    <t>Supía</t>
  </si>
  <si>
    <t>Victoria</t>
  </si>
  <si>
    <t>Villamaría</t>
  </si>
  <si>
    <t>Viterbo</t>
  </si>
  <si>
    <t>Florencia</t>
  </si>
  <si>
    <t>Belén de Los Andaquies</t>
  </si>
  <si>
    <t>Cartagena del Chairá</t>
  </si>
  <si>
    <t>El Doncello</t>
  </si>
  <si>
    <t>El Paujil</t>
  </si>
  <si>
    <t>La Montañita</t>
  </si>
  <si>
    <t>Milán</t>
  </si>
  <si>
    <t>Puerto Rico</t>
  </si>
  <si>
    <t>San José del Fragua</t>
  </si>
  <si>
    <t>San Vicente del Caguán</t>
  </si>
  <si>
    <t>Solano</t>
  </si>
  <si>
    <t>Solita</t>
  </si>
  <si>
    <t>Valparaíso (CAQ)</t>
  </si>
  <si>
    <t>CAUCA</t>
  </si>
  <si>
    <t>Popayán</t>
  </si>
  <si>
    <t>Almaguer</t>
  </si>
  <si>
    <t>Argelia (CAU)</t>
  </si>
  <si>
    <t>Balboa</t>
  </si>
  <si>
    <t>Bolívar (CAU)</t>
  </si>
  <si>
    <t xml:space="preserve">Buenos Aires  </t>
  </si>
  <si>
    <t>Cajibío</t>
  </si>
  <si>
    <t>Caldono</t>
  </si>
  <si>
    <t xml:space="preserve">Caloto </t>
  </si>
  <si>
    <t>Corinto</t>
  </si>
  <si>
    <t>El Tambo</t>
  </si>
  <si>
    <t xml:space="preserve">Guachené </t>
  </si>
  <si>
    <t>Guapi</t>
  </si>
  <si>
    <t>Inzá</t>
  </si>
  <si>
    <t>La Vega</t>
  </si>
  <si>
    <t>López</t>
  </si>
  <si>
    <t>Mercaderes </t>
  </si>
  <si>
    <t>Miranda</t>
  </si>
  <si>
    <t>Morales</t>
  </si>
  <si>
    <t>Paez</t>
  </si>
  <si>
    <t>Patía</t>
  </si>
  <si>
    <t>Piamonte</t>
  </si>
  <si>
    <t>Piendamó</t>
  </si>
  <si>
    <t>Puerto Tejada</t>
  </si>
  <si>
    <t>Santander de Quilichao </t>
  </si>
  <si>
    <t>Silvia</t>
  </si>
  <si>
    <t>Sotara</t>
  </si>
  <si>
    <t>Suárez</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</si>
  <si>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</si>
  <si>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</si>
  <si>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</si>
  <si>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</si>
  <si>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</si>
  <si>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</si>
  <si>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</si>
  <si>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</si>
  <si>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</si>
  <si>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</si>
  <si>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</si>
  <si>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</si>
  <si>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</si>
  <si>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</si>
  <si>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</si>
  <si>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</si>
  <si>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</si>
  <si>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</si>
  <si>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La Jagua de Ibirico</t>
  </si>
  <si>
    <t>La Paz</t>
  </si>
  <si>
    <t>Manaure</t>
  </si>
  <si>
    <t>Pailitas</t>
  </si>
  <si>
    <t>Pelaya</t>
  </si>
  <si>
    <t>Pueblo Bello</t>
  </si>
  <si>
    <t>Río de Oro</t>
  </si>
  <si>
    <t>San Alberto</t>
  </si>
  <si>
    <t>San Diego</t>
  </si>
  <si>
    <t>San Martín</t>
  </si>
  <si>
    <t>Tamalameque</t>
  </si>
  <si>
    <t>Montería</t>
  </si>
  <si>
    <t>Ayapel </t>
  </si>
  <si>
    <t>Buenavista (COR)</t>
  </si>
  <si>
    <t>Canalete</t>
  </si>
  <si>
    <t>Cereté</t>
  </si>
  <si>
    <t>Chimá</t>
  </si>
  <si>
    <t>Chinú</t>
  </si>
  <si>
    <t>Ciénaga de Oro</t>
  </si>
  <si>
    <t>Cotorra</t>
  </si>
  <si>
    <t>La Apartada</t>
  </si>
  <si>
    <t xml:space="preserve">Lorica  </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</si>
  <si>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</si>
  <si>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</si>
  <si>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</si>
  <si>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</si>
  <si>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</si>
  <si>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</si>
  <si>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</si>
  <si>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</si>
  <si>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</si>
  <si>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</si>
  <si>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</si>
  <si>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</si>
  <si>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</si>
  <si>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Carlos (COR)</t>
  </si>
  <si>
    <t xml:space="preserve">San José de Uré </t>
  </si>
  <si>
    <t>San Pelayo </t>
  </si>
  <si>
    <t>Tierralta</t>
  </si>
  <si>
    <t>Tuchín</t>
  </si>
  <si>
    <t>Valencia</t>
  </si>
  <si>
    <t>CUNDINAMARCA</t>
  </si>
  <si>
    <t>Agua de Dios</t>
  </si>
  <si>
    <t>Apulo</t>
  </si>
  <si>
    <t>Cabrera</t>
  </si>
  <si>
    <t>Cajicá</t>
  </si>
  <si>
    <t>Caqueza</t>
  </si>
  <si>
    <t>Chía</t>
  </si>
  <si>
    <t>Chocontá</t>
  </si>
  <si>
    <t>Cogua</t>
  </si>
  <si>
    <t>Cucunubá</t>
  </si>
  <si>
    <t>El Colegio</t>
  </si>
  <si>
    <t>El Rosal</t>
  </si>
  <si>
    <t>Facatativá</t>
  </si>
  <si>
    <t>Funza</t>
  </si>
  <si>
    <t>Fusagasugá</t>
  </si>
  <si>
    <t>Gama</t>
  </si>
  <si>
    <t>Girardot</t>
  </si>
  <si>
    <t>Guaduas</t>
  </si>
  <si>
    <t>Guatavita</t>
  </si>
  <si>
    <t>La Calera</t>
  </si>
  <si>
    <t>La Mesa</t>
  </si>
  <si>
    <t>La Palma</t>
  </si>
  <si>
    <t>Madrid</t>
  </si>
  <si>
    <t>Mosquera</t>
  </si>
  <si>
    <t>Pacho</t>
  </si>
  <si>
    <t>Pasca</t>
  </si>
  <si>
    <t>Puerto Salgar</t>
  </si>
  <si>
    <t>San Francisco (CUN)</t>
  </si>
  <si>
    <t>San Juan de Río Seco</t>
  </si>
  <si>
    <t>Sibaté</t>
  </si>
  <si>
    <t>Simijaca</t>
  </si>
  <si>
    <t>Soacha </t>
  </si>
  <si>
    <t>Sopó</t>
  </si>
  <si>
    <t>Sutatausa</t>
  </si>
  <si>
    <t>Tenjo</t>
  </si>
  <si>
    <t>Tocaima</t>
  </si>
  <si>
    <t>Tocancipá</t>
  </si>
  <si>
    <t>Útica</t>
  </si>
  <si>
    <t>Villa de San Diego de Ubate</t>
  </si>
  <si>
    <t>Villeta</t>
  </si>
  <si>
    <t>Viotá</t>
  </si>
  <si>
    <t>Yacopí</t>
  </si>
  <si>
    <t>Zipaquirá</t>
  </si>
  <si>
    <t>Quibdó</t>
  </si>
  <si>
    <t>Acandí</t>
  </si>
  <si>
    <t>Alto Baudo</t>
  </si>
  <si>
    <t>Bahía Solano</t>
  </si>
  <si>
    <t>Bajo Baudó </t>
  </si>
  <si>
    <t>Bojaya</t>
  </si>
  <si>
    <t xml:space="preserve">Condoto  </t>
  </si>
  <si>
    <t>El Litoral del San Juan</t>
  </si>
  <si>
    <t>Istmina </t>
  </si>
  <si>
    <t>Medio Atrato</t>
  </si>
  <si>
    <t>Medio Baudó</t>
  </si>
  <si>
    <t>Riosucio  (CHO)</t>
  </si>
  <si>
    <t>Sipí</t>
  </si>
  <si>
    <t xml:space="preserve">Tadó  </t>
  </si>
  <si>
    <t>Unguía</t>
  </si>
  <si>
    <t>HUILA</t>
  </si>
  <si>
    <t>Neiva</t>
  </si>
  <si>
    <t>Acevedo</t>
  </si>
  <si>
    <t>Aipe</t>
  </si>
  <si>
    <t>Algeciras</t>
  </si>
  <si>
    <t>Campoalegre</t>
  </si>
  <si>
    <t>Garzón</t>
  </si>
  <si>
    <t>Gigante</t>
  </si>
  <si>
    <t>Guadalupe (HUI)</t>
  </si>
  <si>
    <t>Iquira</t>
  </si>
  <si>
    <t>Isnos</t>
  </si>
  <si>
    <t>La Plata</t>
  </si>
  <si>
    <t>Nátaga</t>
  </si>
  <si>
    <t>Palermo</t>
  </si>
  <si>
    <t>Palestina (HUI)</t>
  </si>
  <si>
    <t>Pitalito</t>
  </si>
  <si>
    <t>Rivera</t>
  </si>
  <si>
    <t>San Agustín</t>
  </si>
  <si>
    <t>Suaza</t>
  </si>
  <si>
    <t>Tarqui</t>
  </si>
  <si>
    <t>Timaná</t>
  </si>
  <si>
    <t>LA GUAJIRA</t>
  </si>
  <si>
    <t xml:space="preserve">Riohacha  </t>
  </si>
  <si>
    <t>Albania (GUA)</t>
  </si>
  <si>
    <t xml:space="preserve">Barrancas  </t>
  </si>
  <si>
    <t>Dibulla</t>
  </si>
  <si>
    <t xml:space="preserve">Fonseca  </t>
  </si>
  <si>
    <t>Hatonuevo</t>
  </si>
  <si>
    <t>Maicao </t>
  </si>
  <si>
    <t>Manaure (GUA)</t>
  </si>
  <si>
    <t>San Juan del Cesar</t>
  </si>
  <si>
    <t>Uribia</t>
  </si>
  <si>
    <t>Urumita</t>
  </si>
  <si>
    <t>Villanueva </t>
  </si>
  <si>
    <t>MAGDALENA</t>
  </si>
  <si>
    <t>Santa Marta</t>
  </si>
  <si>
    <t>Algarrobo</t>
  </si>
  <si>
    <t>Aracataca </t>
  </si>
  <si>
    <t>Ariguaní </t>
  </si>
  <si>
    <t>Cerro San Antonio </t>
  </si>
  <si>
    <t xml:space="preserve">Chivolo </t>
  </si>
  <si>
    <t>Ciénaga</t>
  </si>
  <si>
    <t>Concordia (MAG)</t>
  </si>
  <si>
    <t>El Banco</t>
  </si>
  <si>
    <t>El Piñon </t>
  </si>
  <si>
    <t>El Retén</t>
  </si>
  <si>
    <t>Fundación </t>
  </si>
  <si>
    <t>Guamal</t>
  </si>
  <si>
    <t>Nueva Granada</t>
  </si>
  <si>
    <t>Pedraza </t>
  </si>
  <si>
    <t>Pivijay </t>
  </si>
  <si>
    <t>Plato </t>
  </si>
  <si>
    <t>Puebloviejo</t>
  </si>
  <si>
    <t>Remolino</t>
  </si>
  <si>
    <t>Salamina (MAG)</t>
  </si>
  <si>
    <t>San Sebastián de Buenavista</t>
  </si>
  <si>
    <t>San Zenón</t>
  </si>
  <si>
    <t>Santa Ana </t>
  </si>
  <si>
    <t>Santa Bárbara de Pinto</t>
  </si>
  <si>
    <t>Sitionuevo</t>
  </si>
  <si>
    <t>Tenerife </t>
  </si>
  <si>
    <t>Zapayán</t>
  </si>
  <si>
    <t>Zona Bananera</t>
  </si>
  <si>
    <t>META</t>
  </si>
  <si>
    <t>Villavicencio</t>
  </si>
  <si>
    <t>Acacías</t>
  </si>
  <si>
    <t>Cumaral </t>
  </si>
  <si>
    <t>Granada (MET)</t>
  </si>
  <si>
    <t>La Macarena</t>
  </si>
  <si>
    <t>Mesetas</t>
  </si>
  <si>
    <t>Puerto Gaitán</t>
  </si>
  <si>
    <t>Puerto Lleras</t>
  </si>
  <si>
    <t>Puerto López</t>
  </si>
  <si>
    <t>Puerto Rico (MET)</t>
  </si>
  <si>
    <t>San Martín (MET)</t>
  </si>
  <si>
    <t>Uribe</t>
  </si>
  <si>
    <t>Vistahermosa</t>
  </si>
  <si>
    <t>NARIÑO</t>
  </si>
  <si>
    <t>Pasto </t>
  </si>
  <si>
    <t>Albán (NAR)</t>
  </si>
  <si>
    <t>Aldana</t>
  </si>
  <si>
    <t>Ancuyá</t>
  </si>
  <si>
    <t>Arboleda</t>
  </si>
  <si>
    <t>Barbacoas</t>
  </si>
  <si>
    <t>Belén (NAR)</t>
  </si>
  <si>
    <t>Buesaco</t>
  </si>
  <si>
    <t>Chachagüí</t>
  </si>
  <si>
    <t>Colón</t>
  </si>
  <si>
    <t>Consaca</t>
  </si>
  <si>
    <t>Contadero</t>
  </si>
  <si>
    <t>Córdoba (NAR)</t>
  </si>
  <si>
    <t>Cuaspud</t>
  </si>
  <si>
    <t>Cumbal</t>
  </si>
  <si>
    <t>Cumbitara</t>
  </si>
  <si>
    <t>El Charco </t>
  </si>
  <si>
    <t>El Tablón de Gómez</t>
  </si>
  <si>
    <t>El Tambo (NAR)</t>
  </si>
  <si>
    <t>Funes</t>
  </si>
  <si>
    <t>Guachucal</t>
  </si>
  <si>
    <t>Guaitarilla</t>
  </si>
  <si>
    <t>Gualmatán</t>
  </si>
  <si>
    <t>Iles</t>
  </si>
  <si>
    <t>Imués</t>
  </si>
  <si>
    <t>Ipiales</t>
  </si>
  <si>
    <t>La Unión (NAR)</t>
  </si>
  <si>
    <t>Leiva</t>
  </si>
  <si>
    <t>Linares</t>
  </si>
  <si>
    <t>Los Andes </t>
  </si>
  <si>
    <t>Magüi</t>
  </si>
  <si>
    <t>Mallama</t>
  </si>
  <si>
    <t>Mosquera (NAR)</t>
  </si>
  <si>
    <t>Nariño (NAR)</t>
  </si>
  <si>
    <t>Olaya Herrera </t>
  </si>
  <si>
    <t>Ospina</t>
  </si>
  <si>
    <t>Policarpa</t>
  </si>
  <si>
    <t>Potosí</t>
  </si>
  <si>
    <t>Providencia</t>
  </si>
  <si>
    <t>Puerres</t>
  </si>
  <si>
    <t>Pupiales</t>
  </si>
  <si>
    <t>Ricaurte (NAR)</t>
  </si>
  <si>
    <t>Roberto Payán</t>
  </si>
  <si>
    <t>Samaniego</t>
  </si>
  <si>
    <t>San Andres de Tumaco</t>
  </si>
  <si>
    <t>San Bernardo (NAR)</t>
  </si>
  <si>
    <t>San Pablo (NAR)</t>
  </si>
  <si>
    <t>Sandoná</t>
  </si>
  <si>
    <t>Santa Bárbara (NAR)</t>
  </si>
  <si>
    <t>Santacruz</t>
  </si>
  <si>
    <t>Sapuyes</t>
  </si>
  <si>
    <t>Taminango</t>
  </si>
  <si>
    <t>Tangua</t>
  </si>
  <si>
    <t>Túquerres</t>
  </si>
  <si>
    <t>Yacuanquer</t>
  </si>
  <si>
    <t>NORTE DE SANTANDER</t>
  </si>
  <si>
    <t>Cúcuta </t>
  </si>
  <si>
    <t>Abrego </t>
  </si>
  <si>
    <t>Cachirá </t>
  </si>
  <si>
    <t>Convención</t>
  </si>
  <si>
    <t>El Carmen</t>
  </si>
  <si>
    <t>El Tarra</t>
  </si>
  <si>
    <t>El Zulia</t>
  </si>
  <si>
    <t>Hacarí</t>
  </si>
  <si>
    <t>Los Patios</t>
  </si>
  <si>
    <t>Lourdes</t>
  </si>
  <si>
    <t>Ocaña</t>
  </si>
  <si>
    <t>Pamplona</t>
  </si>
  <si>
    <t>Puerto Santander</t>
  </si>
  <si>
    <t>San Calixto </t>
  </si>
  <si>
    <t>Sardinata</t>
  </si>
  <si>
    <t>Teorama</t>
  </si>
  <si>
    <t>Tibú</t>
  </si>
  <si>
    <t>Villa del Rosario</t>
  </si>
  <si>
    <t>Armenia (QUI)</t>
  </si>
  <si>
    <t>Buenavista (QUI)</t>
  </si>
  <si>
    <t>Calarca</t>
  </si>
  <si>
    <t>Circasia</t>
  </si>
  <si>
    <t>Córdoba</t>
  </si>
  <si>
    <t>Filandia</t>
  </si>
  <si>
    <t>Génova</t>
  </si>
  <si>
    <t>La Tebaida</t>
  </si>
  <si>
    <t>Montenegro</t>
  </si>
  <si>
    <t>Pijao</t>
  </si>
  <si>
    <t>Quimbaya</t>
  </si>
  <si>
    <t>Salento</t>
  </si>
  <si>
    <t>RISARALDA</t>
  </si>
  <si>
    <t>Pereira</t>
  </si>
  <si>
    <t>Belén de Umbría</t>
  </si>
  <si>
    <t>Dosquebradas</t>
  </si>
  <si>
    <t>La Virginia</t>
  </si>
  <si>
    <t>Mistrató</t>
  </si>
  <si>
    <t>Quinchía</t>
  </si>
  <si>
    <t>Santa Rosa de Cabal</t>
  </si>
  <si>
    <t>Santuario</t>
  </si>
  <si>
    <t>SANTANDER</t>
  </si>
  <si>
    <t>Bucaramanga</t>
  </si>
  <si>
    <t>Barbosa (SAN)</t>
  </si>
  <si>
    <t>Barichara</t>
  </si>
  <si>
    <t>Barrancabermeja</t>
  </si>
  <si>
    <t>Charalá</t>
  </si>
  <si>
    <t>Cimitarra</t>
  </si>
  <si>
    <t>Floridablanca</t>
  </si>
  <si>
    <t>Girón</t>
  </si>
  <si>
    <t>Lebríja</t>
  </si>
  <si>
    <t>Málaga</t>
  </si>
  <si>
    <t>Oiba</t>
  </si>
  <si>
    <t>Piedecuesta</t>
  </si>
  <si>
    <t>Puerto Wilches</t>
  </si>
  <si>
    <t>Rionegro (SAN)</t>
  </si>
  <si>
    <t>Sabana de Torres</t>
  </si>
  <si>
    <t>San Gil</t>
  </si>
  <si>
    <t>San Vicente de Chucurí</t>
  </si>
  <si>
    <t>Socorro</t>
  </si>
  <si>
    <t>Suratá</t>
  </si>
  <si>
    <t>Tona</t>
  </si>
  <si>
    <t>Vélez</t>
  </si>
  <si>
    <t>Zapatoca</t>
  </si>
  <si>
    <t>SUCRE</t>
  </si>
  <si>
    <t>Sincelejo</t>
  </si>
  <si>
    <t>Buenavista (Sucre)</t>
  </si>
  <si>
    <t>Caimito</t>
  </si>
  <si>
    <t>Chalán</t>
  </si>
  <si>
    <t>Coloso</t>
  </si>
  <si>
    <t>Corozal</t>
  </si>
  <si>
    <t>Coveñas</t>
  </si>
  <si>
    <t>El Roble</t>
  </si>
  <si>
    <t>Galeras</t>
  </si>
  <si>
    <t>Guaranda</t>
  </si>
  <si>
    <t>La Unión (SUC)</t>
  </si>
  <si>
    <t>Los Palmitos</t>
  </si>
  <si>
    <t>Majagual</t>
  </si>
  <si>
    <t>Morroa</t>
  </si>
  <si>
    <t>Ovejas</t>
  </si>
  <si>
    <t>Palmito</t>
  </si>
  <si>
    <t>Sampués</t>
  </si>
  <si>
    <t>San Benito Abad</t>
  </si>
  <si>
    <t>San Juan de Betulia</t>
  </si>
  <si>
    <t>San Luis de Sincé</t>
  </si>
  <si>
    <t>San Marcos</t>
  </si>
  <si>
    <t>San Onofre</t>
  </si>
  <si>
    <t>San Pedro (SUC)</t>
  </si>
  <si>
    <t>Santiago de Tolú</t>
  </si>
  <si>
    <t>Sucre (M)</t>
  </si>
  <si>
    <t>Tolú Viejo</t>
  </si>
  <si>
    <t>TOLIMA</t>
  </si>
  <si>
    <t>Ibagué</t>
  </si>
  <si>
    <t>Alpujarra</t>
  </si>
  <si>
    <t>Ataco</t>
  </si>
  <si>
    <t>Cajamarca</t>
  </si>
  <si>
    <t>Chaparral</t>
  </si>
  <si>
    <t>Coyaima</t>
  </si>
  <si>
    <t>Dolores</t>
  </si>
  <si>
    <t>Espinal</t>
  </si>
  <si>
    <t>Flandes</t>
  </si>
  <si>
    <t>Fresno</t>
  </si>
  <si>
    <t>Guamo</t>
  </si>
  <si>
    <t>Honda</t>
  </si>
  <si>
    <t>Lérida</t>
  </si>
  <si>
    <t>Líbano</t>
  </si>
  <si>
    <t>Mariquita</t>
  </si>
  <si>
    <t>Melgar</t>
  </si>
  <si>
    <t>Natagaima</t>
  </si>
  <si>
    <t>Ortega</t>
  </si>
  <si>
    <t>Planadas</t>
  </si>
  <si>
    <t>Purificación</t>
  </si>
  <si>
    <t>Rioblanco</t>
  </si>
  <si>
    <t>Roncesvalles</t>
  </si>
  <si>
    <t>Rovira</t>
  </si>
  <si>
    <t>Saldaña</t>
  </si>
  <si>
    <t>San Antonio</t>
  </si>
  <si>
    <t>VALLE DEL CAUCA</t>
  </si>
  <si>
    <t>Cali</t>
  </si>
  <si>
    <t>Alcalá</t>
  </si>
  <si>
    <t>Andalucía</t>
  </si>
  <si>
    <t>Ansermanuevo</t>
  </si>
  <si>
    <t>Argelia (VAL)</t>
  </si>
  <si>
    <t>Bolívar</t>
  </si>
  <si>
    <t>Buenaventura</t>
  </si>
  <si>
    <t>Bugalagrande</t>
  </si>
  <si>
    <t>Caicedonia</t>
  </si>
  <si>
    <t>Calima</t>
  </si>
  <si>
    <t>Candelaria (VAL)</t>
  </si>
  <si>
    <t>Cartago</t>
  </si>
  <si>
    <t>Dagua</t>
  </si>
  <si>
    <t>El Águila</t>
  </si>
  <si>
    <t>El Cairo</t>
  </si>
  <si>
    <t>El Cerrito</t>
  </si>
  <si>
    <t>El Dovio</t>
  </si>
  <si>
    <t>Florida</t>
  </si>
  <si>
    <t>Ginebra</t>
  </si>
  <si>
    <t>Guacarí</t>
  </si>
  <si>
    <t>Guadalajara de Buga</t>
  </si>
  <si>
    <t>Jamundí</t>
  </si>
  <si>
    <t>La Cumbre</t>
  </si>
  <si>
    <t>La Unión (VAL)</t>
  </si>
  <si>
    <t>La Victoria (VAL)</t>
  </si>
  <si>
    <t>Obando</t>
  </si>
  <si>
    <t>Palmira</t>
  </si>
  <si>
    <t>Pradera</t>
  </si>
  <si>
    <t>Restrepo (VAL)</t>
  </si>
  <si>
    <t>Riofrío</t>
  </si>
  <si>
    <t>Roldanillo</t>
  </si>
  <si>
    <t>San Pedro (VAL)</t>
  </si>
  <si>
    <t>Sevilla</t>
  </si>
  <si>
    <t>Toro</t>
  </si>
  <si>
    <t>Trujillo</t>
  </si>
  <si>
    <t>Tuluá</t>
  </si>
  <si>
    <t>Ulloa</t>
  </si>
  <si>
    <t>Versalles</t>
  </si>
  <si>
    <t>Vijes</t>
  </si>
  <si>
    <t>Yotoco</t>
  </si>
  <si>
    <t>Yumbo</t>
  </si>
  <si>
    <t>Zarzal</t>
  </si>
  <si>
    <t>ARAUCA</t>
  </si>
  <si>
    <t>Arauca (ARA)</t>
  </si>
  <si>
    <t>Arauquita</t>
  </si>
  <si>
    <t>Fortul</t>
  </si>
  <si>
    <t>Saravena</t>
  </si>
  <si>
    <t>Tame</t>
  </si>
  <si>
    <t>CASANARE</t>
  </si>
  <si>
    <t>Yopal</t>
  </si>
  <si>
    <t>Aguazul</t>
  </si>
  <si>
    <t>Chameza</t>
  </si>
  <si>
    <t>Maní</t>
  </si>
  <si>
    <t>Monterrey</t>
  </si>
  <si>
    <t>Paz de Ariporo</t>
  </si>
  <si>
    <t>Pore</t>
  </si>
  <si>
    <t>Tauramena</t>
  </si>
  <si>
    <t>Trinidad</t>
  </si>
  <si>
    <t>Villanueva (CAS)</t>
  </si>
  <si>
    <t>PUTUMAYO</t>
  </si>
  <si>
    <t>Mocoa</t>
  </si>
  <si>
    <t>Colón (PUT)</t>
  </si>
  <si>
    <t>Leguízamo</t>
  </si>
  <si>
    <t>Orito</t>
  </si>
  <si>
    <t>Puerto Asís</t>
  </si>
  <si>
    <t>Puerto Caicedo</t>
  </si>
  <si>
    <t>Puerto Guzmán</t>
  </si>
  <si>
    <t>San Miguel (PUT)</t>
  </si>
  <si>
    <t>Sibundoy</t>
  </si>
  <si>
    <t>Valle del Guamuez</t>
  </si>
  <si>
    <t>Villagarzón</t>
  </si>
  <si>
    <t>ARCHIPIELAGO DE SAN ANDRES</t>
  </si>
  <si>
    <t>Providencia (SAN)</t>
  </si>
  <si>
    <t>San Andrés (SAN)</t>
  </si>
  <si>
    <t>AMAZONAS</t>
  </si>
  <si>
    <t>Leticia</t>
  </si>
  <si>
    <t>La Chorrera (ANM)</t>
  </si>
  <si>
    <t>El Encanto (AMA)</t>
  </si>
  <si>
    <t>La Pedrera (ANM)</t>
  </si>
  <si>
    <t>Puerto Alegría (ANM)</t>
  </si>
  <si>
    <t>Puerto Nariño</t>
  </si>
  <si>
    <t>Puerto Santander (AMA)</t>
  </si>
  <si>
    <t>Tarapacá (ANM)</t>
  </si>
  <si>
    <t>GUAINIA</t>
  </si>
  <si>
    <t>Inírida</t>
  </si>
  <si>
    <t>Barranco Minas (ANM)</t>
  </si>
  <si>
    <t>GUAVIARE</t>
  </si>
  <si>
    <t>San José del Guaviare</t>
  </si>
  <si>
    <t>Calamar (GUA)</t>
  </si>
  <si>
    <t>El Retorno</t>
  </si>
  <si>
    <t>Miraflores (GUA)</t>
  </si>
  <si>
    <t>Mitú</t>
  </si>
  <si>
    <t>VICHADA</t>
  </si>
  <si>
    <t>Puerto Carreño</t>
  </si>
  <si>
    <t>Cumaribo</t>
  </si>
  <si>
    <t>BOGOTÁ D.C.</t>
  </si>
  <si>
    <t>NNA por Grupos</t>
  </si>
  <si>
    <t>Codigo DEP</t>
  </si>
  <si>
    <t>NOM DEPTO</t>
  </si>
  <si>
    <t>NOM MUN</t>
  </si>
  <si>
    <t xml:space="preserve">Código Mun </t>
  </si>
  <si>
    <t>Antioquia</t>
  </si>
  <si>
    <t>Abriaquí</t>
  </si>
  <si>
    <t>Alejandría</t>
  </si>
  <si>
    <t>Angelópolis</t>
  </si>
  <si>
    <t>Angostura</t>
  </si>
  <si>
    <t>Anza</t>
  </si>
  <si>
    <t>Armenia</t>
  </si>
  <si>
    <t>Belmira</t>
  </si>
  <si>
    <t>Betania</t>
  </si>
  <si>
    <t>Ciudad Bolívar</t>
  </si>
  <si>
    <t>Campamento</t>
  </si>
  <si>
    <t>Caracolí</t>
  </si>
  <si>
    <t>Caramanta</t>
  </si>
  <si>
    <t>Concepción</t>
  </si>
  <si>
    <t>Don Matías</t>
  </si>
  <si>
    <t>Ebéjico</t>
  </si>
  <si>
    <t>Gómez Plata</t>
  </si>
  <si>
    <t>Guadalupe</t>
  </si>
  <si>
    <t>Guatapé</t>
  </si>
  <si>
    <t>Heliconia</t>
  </si>
  <si>
    <t>Hispania</t>
  </si>
  <si>
    <t>Jericó</t>
  </si>
  <si>
    <t>La Pintada</t>
  </si>
  <si>
    <t>Liborina</t>
  </si>
  <si>
    <t>Montebello</t>
  </si>
  <si>
    <t>Peñol</t>
  </si>
  <si>
    <t>Pueblorrico</t>
  </si>
  <si>
    <t>Puerto Nare</t>
  </si>
  <si>
    <t>Sabanalarga</t>
  </si>
  <si>
    <t>San Andrés de Cuerquía</t>
  </si>
  <si>
    <t>San Francisco</t>
  </si>
  <si>
    <t>San Jerónimo</t>
  </si>
  <si>
    <t>San José de La Montaña</t>
  </si>
  <si>
    <t>San Pedro</t>
  </si>
  <si>
    <t>Santa Bárbara</t>
  </si>
  <si>
    <t>Santa Rosa de Osos</t>
  </si>
  <si>
    <t>Sopetrán</t>
  </si>
  <si>
    <t>Tarso</t>
  </si>
  <si>
    <t>Titiribí</t>
  </si>
  <si>
    <t>Toledo</t>
  </si>
  <si>
    <t>Uramita</t>
  </si>
  <si>
    <t>Valparaíso</t>
  </si>
  <si>
    <t>Vegachí</t>
  </si>
  <si>
    <t>Yolombó</t>
  </si>
  <si>
    <t>Atlántico</t>
  </si>
  <si>
    <t>Arenal</t>
  </si>
  <si>
    <t>Cicuco</t>
  </si>
  <si>
    <t>El Guamo</t>
  </si>
  <si>
    <t>El Peñón</t>
  </si>
  <si>
    <t>Hatillo de Loba</t>
  </si>
  <si>
    <t>Margarita</t>
  </si>
  <si>
    <t>Norosí</t>
  </si>
  <si>
    <t>Pinillos</t>
  </si>
  <si>
    <t>Regidor</t>
  </si>
  <si>
    <t>Río Viejo</t>
  </si>
  <si>
    <t>San Estanislao</t>
  </si>
  <si>
    <t>San Fernando</t>
  </si>
  <si>
    <t>San Jacinto del Cauca</t>
  </si>
  <si>
    <t>San Martín de Loba</t>
  </si>
  <si>
    <t>Turbaná</t>
  </si>
  <si>
    <t>Zambrano</t>
  </si>
  <si>
    <t>Boyacá</t>
  </si>
  <si>
    <t>Almeida</t>
  </si>
  <si>
    <t>Arcabuco</t>
  </si>
  <si>
    <t>Belén</t>
  </si>
  <si>
    <t>Berbeo</t>
  </si>
  <si>
    <t>Betéitiva</t>
  </si>
  <si>
    <t>Boavita</t>
  </si>
  <si>
    <t>Buenavista</t>
  </si>
  <si>
    <t>Busbanzá</t>
  </si>
  <si>
    <t>Caldas</t>
  </si>
  <si>
    <t>Campohermoso</t>
  </si>
  <si>
    <t>Cerinza</t>
  </si>
  <si>
    <t>Chinavita</t>
  </si>
  <si>
    <t>Chiscas</t>
  </si>
  <si>
    <t>Chita</t>
  </si>
  <si>
    <t>Chitaraque</t>
  </si>
  <si>
    <t>Chivatá</t>
  </si>
  <si>
    <t>Ciénega</t>
  </si>
  <si>
    <t>Coper</t>
  </si>
  <si>
    <t>Cubará</t>
  </si>
  <si>
    <t>Chíquiza</t>
  </si>
  <si>
    <t>Chivor</t>
  </si>
  <si>
    <t>Guacamayas</t>
  </si>
  <si>
    <t>Guayatá</t>
  </si>
  <si>
    <t>Güicán</t>
  </si>
  <si>
    <t>Iza</t>
  </si>
  <si>
    <t>Jenesano</t>
  </si>
  <si>
    <t>Labranzagrande</t>
  </si>
  <si>
    <t>La Capilla</t>
  </si>
  <si>
    <t>La Victoria</t>
  </si>
  <si>
    <t>La Uvita</t>
  </si>
  <si>
    <t>Macanal</t>
  </si>
  <si>
    <t>Maripí</t>
  </si>
  <si>
    <t>Miraflores</t>
  </si>
  <si>
    <t>Mongua</t>
  </si>
  <si>
    <t>Monguí</t>
  </si>
  <si>
    <t>Motavita</t>
  </si>
  <si>
    <t>Nobsa</t>
  </si>
  <si>
    <t>Nuevo Colón</t>
  </si>
  <si>
    <t>Oicatá</t>
  </si>
  <si>
    <t>Otanche</t>
  </si>
  <si>
    <t>Pachavita</t>
  </si>
  <si>
    <t>Páez</t>
  </si>
  <si>
    <t>Pajarito</t>
  </si>
  <si>
    <t>Panqueba</t>
  </si>
  <si>
    <t>Pauna</t>
  </si>
  <si>
    <t>Paya</t>
  </si>
  <si>
    <t>Pisba</t>
  </si>
  <si>
    <t>Quípama</t>
  </si>
  <si>
    <t>Ramiriquí</t>
  </si>
  <si>
    <t>Ráquira</t>
  </si>
  <si>
    <t>Rondón</t>
  </si>
  <si>
    <t>Saboyá</t>
  </si>
  <si>
    <t>Sáchica</t>
  </si>
  <si>
    <t>San Eduardo</t>
  </si>
  <si>
    <t>San José de Pare</t>
  </si>
  <si>
    <t>San Luis de Gaceno</t>
  </si>
  <si>
    <t>San Mateo</t>
  </si>
  <si>
    <t>San Miguel de Sema</t>
  </si>
  <si>
    <t>San Pablo de Borbur</t>
  </si>
  <si>
    <t>Santa María</t>
  </si>
  <si>
    <t>Santa Sofía</t>
  </si>
  <si>
    <t>Sativanorte</t>
  </si>
  <si>
    <t>Sativasur</t>
  </si>
  <si>
    <t>Siachoque</t>
  </si>
  <si>
    <t>Soatá</t>
  </si>
  <si>
    <t>Socha</t>
  </si>
  <si>
    <t>Somondoco</t>
  </si>
  <si>
    <t>Sora</t>
  </si>
  <si>
    <t>Sotaquirá</t>
  </si>
  <si>
    <t>Soracá</t>
  </si>
  <si>
    <t>Susacón</t>
  </si>
  <si>
    <t>Sutamarchán</t>
  </si>
  <si>
    <t>Sutatenza</t>
  </si>
  <si>
    <t>Tasco</t>
  </si>
  <si>
    <t>Tenza</t>
  </si>
  <si>
    <t>Tibaná</t>
  </si>
  <si>
    <t>Tibasosa</t>
  </si>
  <si>
    <t>Tinjacá</t>
  </si>
  <si>
    <t>Togüí</t>
  </si>
  <si>
    <t>Tópaga</t>
  </si>
  <si>
    <t>Tota</t>
  </si>
  <si>
    <t>Tununguá</t>
  </si>
  <si>
    <t>Turmequé</t>
  </si>
  <si>
    <t>Tuta</t>
  </si>
  <si>
    <t>Tutazá</t>
  </si>
  <si>
    <t>Umbita</t>
  </si>
  <si>
    <t>Ventaquemada</t>
  </si>
  <si>
    <t>Viracachá</t>
  </si>
  <si>
    <t>Zetaquira</t>
  </si>
  <si>
    <t>Caquetá</t>
  </si>
  <si>
    <t>Albania</t>
  </si>
  <si>
    <t>Curillo</t>
  </si>
  <si>
    <t>Morelia</t>
  </si>
  <si>
    <t>Cauca</t>
  </si>
  <si>
    <t>Jambaló</t>
  </si>
  <si>
    <t>La Sierra</t>
  </si>
  <si>
    <t>Padilla</t>
  </si>
  <si>
    <t>Puracé</t>
  </si>
  <si>
    <t>Rosas</t>
  </si>
  <si>
    <t>San Sebastián</t>
  </si>
  <si>
    <t>Santa Rosa </t>
  </si>
  <si>
    <t>Sucre</t>
  </si>
  <si>
    <t>Cesar</t>
  </si>
  <si>
    <t>González</t>
  </si>
  <si>
    <t>La Gloria</t>
  </si>
  <si>
    <t>Cundinamarca</t>
  </si>
  <si>
    <t>Albán</t>
  </si>
  <si>
    <t>Anapoima</t>
  </si>
  <si>
    <t>Anolaima</t>
  </si>
  <si>
    <t>Arbeláez</t>
  </si>
  <si>
    <t>Beltrán</t>
  </si>
  <si>
    <t>Bituima</t>
  </si>
  <si>
    <t>Bojacá</t>
  </si>
  <si>
    <t>Cachipay</t>
  </si>
  <si>
    <t>Caparrapí</t>
  </si>
  <si>
    <t>Carmen de Carupa</t>
  </si>
  <si>
    <t>Chaguaní</t>
  </si>
  <si>
    <t>Chipaque</t>
  </si>
  <si>
    <t>Choachí</t>
  </si>
  <si>
    <t>Cota</t>
  </si>
  <si>
    <t>Fomeque</t>
  </si>
  <si>
    <t>Fosca</t>
  </si>
  <si>
    <t>Fúquene</t>
  </si>
  <si>
    <t>Gachala</t>
  </si>
  <si>
    <t>Gachancipá</t>
  </si>
  <si>
    <t>Gachetá</t>
  </si>
  <si>
    <t>Guachetá</t>
  </si>
  <si>
    <t>Guasca</t>
  </si>
  <si>
    <t>Guataquí</t>
  </si>
  <si>
    <t>Guayabal de Siquima</t>
  </si>
  <si>
    <t>Guayabetal</t>
  </si>
  <si>
    <t>Gutiérrez</t>
  </si>
  <si>
    <t>Jerusalén</t>
  </si>
  <si>
    <t>Junín</t>
  </si>
  <si>
    <t>La Peña</t>
  </si>
  <si>
    <t>Lenguazaque</t>
  </si>
  <si>
    <t>Macheta</t>
  </si>
  <si>
    <t>Manta</t>
  </si>
  <si>
    <t>Medina</t>
  </si>
  <si>
    <t>Nemocón</t>
  </si>
  <si>
    <t>Nilo</t>
  </si>
  <si>
    <t>Nimaima</t>
  </si>
  <si>
    <t>Nocaima</t>
  </si>
  <si>
    <t>Paime</t>
  </si>
  <si>
    <t>Pandi</t>
  </si>
  <si>
    <t>Paratebueno</t>
  </si>
  <si>
    <t>Pulí</t>
  </si>
  <si>
    <t>Quebradanegra</t>
  </si>
  <si>
    <t>Quetame</t>
  </si>
  <si>
    <t>Quipile</t>
  </si>
  <si>
    <t>Ricaurte</t>
  </si>
  <si>
    <t>San Antonio del Tequendama</t>
  </si>
  <si>
    <t>San Bernardo</t>
  </si>
  <si>
    <t>San Cayetano</t>
  </si>
  <si>
    <t>Sasaima</t>
  </si>
  <si>
    <t>Sesquilé</t>
  </si>
  <si>
    <t>Silvania</t>
  </si>
  <si>
    <t xml:space="preserve">Subachoque </t>
  </si>
  <si>
    <t>Suesca</t>
  </si>
  <si>
    <t>Supatá</t>
  </si>
  <si>
    <t>Susa</t>
  </si>
  <si>
    <t>Tabio</t>
  </si>
  <si>
    <t>Tausa</t>
  </si>
  <si>
    <t>Tena</t>
  </si>
  <si>
    <t>Tibacuy</t>
  </si>
  <si>
    <t>Tibirita</t>
  </si>
  <si>
    <t>Topaipí</t>
  </si>
  <si>
    <t>Ubalá</t>
  </si>
  <si>
    <t>Ubaque</t>
  </si>
  <si>
    <t>Une</t>
  </si>
  <si>
    <t>Vergara</t>
  </si>
  <si>
    <t>Vianí</t>
  </si>
  <si>
    <t>Villagómez</t>
  </si>
  <si>
    <t>Villapinzón</t>
  </si>
  <si>
    <t>Zipacón</t>
  </si>
  <si>
    <t>Chocó</t>
  </si>
  <si>
    <t>Atrato</t>
  </si>
  <si>
    <t>Bagadó </t>
  </si>
  <si>
    <t>El Cantón del San Pablo</t>
  </si>
  <si>
    <t>Carmen del Darien</t>
  </si>
  <si>
    <t>Cértegui</t>
  </si>
  <si>
    <t>El Carmen de Atrato</t>
  </si>
  <si>
    <t>Juradó</t>
  </si>
  <si>
    <t>Lloró </t>
  </si>
  <si>
    <t>Medio San Juan</t>
  </si>
  <si>
    <t xml:space="preserve">Nóvita  </t>
  </si>
  <si>
    <t>Nuquí</t>
  </si>
  <si>
    <t>Río Iro</t>
  </si>
  <si>
    <t>Río Quito</t>
  </si>
  <si>
    <t>San José del Palmar</t>
  </si>
  <si>
    <t>Unión Panamericana</t>
  </si>
  <si>
    <t>Huila</t>
  </si>
  <si>
    <t>Agrado</t>
  </si>
  <si>
    <t>Altamira</t>
  </si>
  <si>
    <t>Baraya</t>
  </si>
  <si>
    <t>Colombia</t>
  </si>
  <si>
    <t>Elías</t>
  </si>
  <si>
    <t>Hobo</t>
  </si>
  <si>
    <t>La Argentina</t>
  </si>
  <si>
    <t>Oporapa</t>
  </si>
  <si>
    <t>Paicol</t>
  </si>
  <si>
    <t>Pital</t>
  </si>
  <si>
    <t>Saladoblanco</t>
  </si>
  <si>
    <t>Tesalia</t>
  </si>
  <si>
    <t>Tello</t>
  </si>
  <si>
    <t>Teruel</t>
  </si>
  <si>
    <t>Villavieja</t>
  </si>
  <si>
    <t>Yaguará</t>
  </si>
  <si>
    <t>La Guajira</t>
  </si>
  <si>
    <t>Distracción</t>
  </si>
  <si>
    <t>El Molino</t>
  </si>
  <si>
    <t>La Jagua del Pilar</t>
  </si>
  <si>
    <t>Magdalena</t>
  </si>
  <si>
    <t>Pijiño del Carmen</t>
  </si>
  <si>
    <t>Sabanas de San Angel</t>
  </si>
  <si>
    <t>Meta</t>
  </si>
  <si>
    <t>Barranca de Upía</t>
  </si>
  <si>
    <t>Cabuyaro</t>
  </si>
  <si>
    <t>Castilla la Nueva</t>
  </si>
  <si>
    <t>Cubarral</t>
  </si>
  <si>
    <t>El Calvario</t>
  </si>
  <si>
    <t>El Castillo</t>
  </si>
  <si>
    <t>El Dorado</t>
  </si>
  <si>
    <t>Fuente de Oro</t>
  </si>
  <si>
    <t>Mapiripán</t>
  </si>
  <si>
    <t>Lejanías</t>
  </si>
  <si>
    <t>Puerto Concordia</t>
  </si>
  <si>
    <t>Restrepo</t>
  </si>
  <si>
    <t>San Carlos de Guaroa</t>
  </si>
  <si>
    <t>San Juan de Arama</t>
  </si>
  <si>
    <t>San Juanito</t>
  </si>
  <si>
    <t>El Peñol</t>
  </si>
  <si>
    <t>El Rosario</t>
  </si>
  <si>
    <t>La Cruz</t>
  </si>
  <si>
    <t>La Florida</t>
  </si>
  <si>
    <t>La Llanada</t>
  </si>
  <si>
    <t>La Tola</t>
  </si>
  <si>
    <t>Francisco Pizarro</t>
  </si>
  <si>
    <t>San Lorenzo</t>
  </si>
  <si>
    <t>San Pedro de Cartago</t>
  </si>
  <si>
    <t>Norte de Santander</t>
  </si>
  <si>
    <t>Arboledas</t>
  </si>
  <si>
    <t>Bochalema</t>
  </si>
  <si>
    <t>Bucarasica</t>
  </si>
  <si>
    <t>Cácota</t>
  </si>
  <si>
    <t>Chinácota</t>
  </si>
  <si>
    <t>Chitagá</t>
  </si>
  <si>
    <t>Cucutilla</t>
  </si>
  <si>
    <t>Durania</t>
  </si>
  <si>
    <t>Gramalote</t>
  </si>
  <si>
    <t>Herrán</t>
  </si>
  <si>
    <t>Labateca</t>
  </si>
  <si>
    <t>La Esperanza</t>
  </si>
  <si>
    <t>La Playa</t>
  </si>
  <si>
    <t>Mutiscua</t>
  </si>
  <si>
    <t>Pamplonita</t>
  </si>
  <si>
    <t>Ragonvalia</t>
  </si>
  <si>
    <t>Salazar</t>
  </si>
  <si>
    <t>Santiago</t>
  </si>
  <si>
    <t>Silos</t>
  </si>
  <si>
    <t>Villa Caro</t>
  </si>
  <si>
    <t>Quindío</t>
  </si>
  <si>
    <t>Risaralda</t>
  </si>
  <si>
    <t>Apía</t>
  </si>
  <si>
    <t>Guática</t>
  </si>
  <si>
    <t>La Celia</t>
  </si>
  <si>
    <t>Marsella</t>
  </si>
  <si>
    <t>Pueblo Rico</t>
  </si>
  <si>
    <t>Santander</t>
  </si>
  <si>
    <t>Aguada</t>
  </si>
  <si>
    <t>Aratoca</t>
  </si>
  <si>
    <t xml:space="preserve">Bolívar </t>
  </si>
  <si>
    <t>California</t>
  </si>
  <si>
    <t>Capitanejo</t>
  </si>
  <si>
    <t>Carcasí</t>
  </si>
  <si>
    <t>Cepitá</t>
  </si>
  <si>
    <t>Cerrito</t>
  </si>
  <si>
    <t>Charta</t>
  </si>
  <si>
    <t>Chima</t>
  </si>
  <si>
    <t>Chipatá</t>
  </si>
  <si>
    <t>Confines</t>
  </si>
  <si>
    <t>Contratación</t>
  </si>
  <si>
    <t>Coromoro</t>
  </si>
  <si>
    <t>Curití</t>
  </si>
  <si>
    <t>El Carmen de Chucurí</t>
  </si>
  <si>
    <t>El Guacamayo</t>
  </si>
  <si>
    <t>El Playón</t>
  </si>
  <si>
    <t>Encino</t>
  </si>
  <si>
    <t>Enciso</t>
  </si>
  <si>
    <t>Florián</t>
  </si>
  <si>
    <t>Galán</t>
  </si>
  <si>
    <t>Gambita</t>
  </si>
  <si>
    <t>Guaca</t>
  </si>
  <si>
    <t>Guapotá</t>
  </si>
  <si>
    <t>Guavatá</t>
  </si>
  <si>
    <t>Güepsa</t>
  </si>
  <si>
    <t>Hato</t>
  </si>
  <si>
    <t>Jesús María</t>
  </si>
  <si>
    <t>Jordán</t>
  </si>
  <si>
    <t>La Belleza</t>
  </si>
  <si>
    <t>Landázuri</t>
  </si>
  <si>
    <t>Los Santos</t>
  </si>
  <si>
    <t>Macaravita</t>
  </si>
  <si>
    <t>Matanza</t>
  </si>
  <si>
    <t>Mogotes</t>
  </si>
  <si>
    <t>Molagavita</t>
  </si>
  <si>
    <t>Ocamonte</t>
  </si>
  <si>
    <t>Onzaga</t>
  </si>
  <si>
    <t>Palmar</t>
  </si>
  <si>
    <t>Palmas del Socorro</t>
  </si>
  <si>
    <t>Páramo</t>
  </si>
  <si>
    <t>Pinchote</t>
  </si>
  <si>
    <t>Puente Nacional</t>
  </si>
  <si>
    <t>Puerto Parra</t>
  </si>
  <si>
    <t>San Andrés</t>
  </si>
  <si>
    <t>San Benito</t>
  </si>
  <si>
    <t>San Joaquín</t>
  </si>
  <si>
    <t>San José de Miranda</t>
  </si>
  <si>
    <t>San Miguel</t>
  </si>
  <si>
    <t>Santa Helena del Opón</t>
  </si>
  <si>
    <t>Simacota</t>
  </si>
  <si>
    <t>Suaita</t>
  </si>
  <si>
    <t>Valle de San José</t>
  </si>
  <si>
    <t>Vetas</t>
  </si>
  <si>
    <t>Villanueva</t>
  </si>
  <si>
    <t>Tolima</t>
  </si>
  <si>
    <t>Alvarado</t>
  </si>
  <si>
    <t>Ambalema</t>
  </si>
  <si>
    <t>Anzoátegui</t>
  </si>
  <si>
    <t>Armero</t>
  </si>
  <si>
    <t>Carmen de Apicalá</t>
  </si>
  <si>
    <t>Casabianca</t>
  </si>
  <si>
    <t>Coello</t>
  </si>
  <si>
    <t>Cunday</t>
  </si>
  <si>
    <t>Falan</t>
  </si>
  <si>
    <t>Herveo</t>
  </si>
  <si>
    <t>Icononzo</t>
  </si>
  <si>
    <t>Murillo</t>
  </si>
  <si>
    <t>Palocabildo</t>
  </si>
  <si>
    <t>Piedras</t>
  </si>
  <si>
    <t>Prado</t>
  </si>
  <si>
    <t>San Luis (TOL)</t>
  </si>
  <si>
    <t>Santa Isabel</t>
  </si>
  <si>
    <t>Valle de San Juan</t>
  </si>
  <si>
    <t>Venadillo</t>
  </si>
  <si>
    <t>Villahermosa</t>
  </si>
  <si>
    <t>Villarrica</t>
  </si>
  <si>
    <t>Valle Del Cauca</t>
  </si>
  <si>
    <t>Arauca</t>
  </si>
  <si>
    <t>Cravo Norte</t>
  </si>
  <si>
    <t>Puerto Rondón</t>
  </si>
  <si>
    <t>Casanare</t>
  </si>
  <si>
    <t>Hato Corozal</t>
  </si>
  <si>
    <t>La Salina</t>
  </si>
  <si>
    <t>Nunchía</t>
  </si>
  <si>
    <t>Orocué</t>
  </si>
  <si>
    <t>Recetor</t>
  </si>
  <si>
    <t>Sácama</t>
  </si>
  <si>
    <t>San Luis de Palenque</t>
  </si>
  <si>
    <t>Támara</t>
  </si>
  <si>
    <t>Putumayo</t>
  </si>
  <si>
    <t>Santiago (PUT)</t>
  </si>
  <si>
    <t>Amazonas</t>
  </si>
  <si>
    <t>La Victoria (ANM)</t>
  </si>
  <si>
    <t>Miriti - Paraná (ANM)</t>
  </si>
  <si>
    <t>Puerto Arica (ANM)</t>
  </si>
  <si>
    <t>Guainía</t>
  </si>
  <si>
    <t>Mapiripana (ANM)</t>
  </si>
  <si>
    <t>San Felipe (ANM)</t>
  </si>
  <si>
    <t>Puerto Colombia (ANM)</t>
  </si>
  <si>
    <t>La Guadalupe (ANM)</t>
  </si>
  <si>
    <t>Cacahual (ANM)</t>
  </si>
  <si>
    <t>Pana Pana (ANM)</t>
  </si>
  <si>
    <t>Morichal (ANM)</t>
  </si>
  <si>
    <t>Guaviare</t>
  </si>
  <si>
    <t>Vaupés</t>
  </si>
  <si>
    <t>Caruru</t>
  </si>
  <si>
    <t>Pacoa (ANM)</t>
  </si>
  <si>
    <t>Taraira</t>
  </si>
  <si>
    <t>Papunaua (ANM)</t>
  </si>
  <si>
    <t>Yavaraté (ANM)</t>
  </si>
  <si>
    <t>Vichada</t>
  </si>
  <si>
    <t>La Primavera</t>
  </si>
  <si>
    <t>Santa Rosalía</t>
  </si>
  <si>
    <t>TOTAL</t>
  </si>
  <si>
    <t>Total general</t>
  </si>
  <si>
    <t xml:space="preserve">Grupos por promotor de derechos </t>
  </si>
  <si>
    <t>Meses</t>
  </si>
  <si>
    <t xml:space="preserve">ASIGNACIÓN BASICA MENSUAL </t>
  </si>
  <si>
    <t xml:space="preserve">% DEDICACIÓN TALENTO HUMANO </t>
  </si>
  <si>
    <t>----</t>
  </si>
  <si>
    <t>Promotor de Derechos</t>
  </si>
  <si>
    <t>EQUIPO DE TRABAJO BASE</t>
  </si>
  <si>
    <t>Valor mes
 (honorarios o salarios mensuales)</t>
  </si>
  <si>
    <t xml:space="preserve">PÓLIZAS
</t>
  </si>
  <si>
    <t>CONCEPTO</t>
  </si>
  <si>
    <t>COBERTURA</t>
  </si>
  <si>
    <t>VALOR A CUBRIR</t>
  </si>
  <si>
    <t>Prima</t>
  </si>
  <si>
    <t>Garantía de Seriedad de la oferta</t>
  </si>
  <si>
    <t>Cumplimiento</t>
  </si>
  <si>
    <t>Salarios, Prestaciones</t>
  </si>
  <si>
    <t>Calidad de los Servicios</t>
  </si>
  <si>
    <t>Responsabilidad civil extracontractual</t>
  </si>
  <si>
    <t>TOTAL POLIZAS</t>
  </si>
  <si>
    <t>Costo Total Por Zona</t>
  </si>
  <si>
    <t>PLAZO</t>
  </si>
  <si>
    <t xml:space="preserve"> </t>
  </si>
  <si>
    <t>CATEGORIA DE COSTO</t>
  </si>
  <si>
    <t xml:space="preserve">CARGO </t>
  </si>
  <si>
    <t>% En el proyecto</t>
  </si>
  <si>
    <t>Valor Total en el proyecto</t>
  </si>
  <si>
    <t>TABLA DE VIATICOS ICBF - 2011</t>
  </si>
  <si>
    <t>DENOMINACION DEL CARGO</t>
  </si>
  <si>
    <t>GRADO</t>
  </si>
  <si>
    <t>ASIGNACION</t>
  </si>
  <si>
    <t>100%</t>
  </si>
  <si>
    <r>
      <t>50%</t>
    </r>
    <r>
      <rPr>
        <b/>
        <sz val="10"/>
        <rFont val="Arial"/>
        <family val="2"/>
      </rPr>
      <t>50%</t>
    </r>
  </si>
  <si>
    <t>DIRECTOR GENERAL</t>
  </si>
  <si>
    <t>0015</t>
  </si>
  <si>
    <t xml:space="preserve">SECRETARIO GENERAL </t>
  </si>
  <si>
    <t>0037</t>
  </si>
  <si>
    <t>DIRECTOR TECNICO</t>
  </si>
  <si>
    <t>0100</t>
  </si>
  <si>
    <t>SUBDIRECTOR</t>
  </si>
  <si>
    <t>0150</t>
  </si>
  <si>
    <t>ASESOR</t>
  </si>
  <si>
    <t>JEFE DE OFICINA CONTROL INTERNO</t>
  </si>
  <si>
    <t>JEFE OFICINA CONTROL INTERNO DISCIPLINARIO</t>
  </si>
  <si>
    <t>JEFE DE OFICINA JURIDICA</t>
  </si>
  <si>
    <t>JEFE DE OFICINA DE PRENSA</t>
  </si>
  <si>
    <t>DIRECTOR REGIONAL</t>
  </si>
  <si>
    <t>PROFESIONAL ESPECIALIZADO</t>
  </si>
  <si>
    <t>PROFESIONAL UNIVERSITARIO</t>
  </si>
  <si>
    <t>DEFENSOR DE FAMILIA</t>
  </si>
  <si>
    <t>TECNICO ADMINISTRATIVO</t>
  </si>
  <si>
    <t>TECNICO OPERATIVO</t>
  </si>
  <si>
    <t>SECRETARIO EJECUTIVO</t>
  </si>
  <si>
    <t>AUXILIAR ADMINISTRATIVO</t>
  </si>
  <si>
    <t xml:space="preserve">SECRETARIO </t>
  </si>
  <si>
    <t>SECRETARIO</t>
  </si>
  <si>
    <t>OPERARIO CALIFICADO</t>
  </si>
  <si>
    <t>CONDUCTOR MECANICO</t>
  </si>
  <si>
    <t>AUXILIAR DE SERVICIOS GENERALES</t>
  </si>
  <si>
    <t>GASTO DE TRANSPORTE LOCAL: Se reconocera un valor de $32,136 por cada desplazamiento del lugar de residencia u oficina al Aeropuerto El Dorado - Bogotá. Y viceversa para un total de $64,272.
- Cuando las comisiones se cumplan a las ciudades de: CALI, PASTO, BARRANQUILLA, BUCARAMANGA, LETICIA Y ARMENIA, se les reconocerá la suma de $128,544                                                                                                                                                                                                        - A la ciudad de Medellín siempre y cuando el arribo sea por el aeropuerto de Rionegro o sea el valor de $149,968                                                                                                                                                                                               - Cuando la Comiisón es por via terrestre se le reconocera un valor de $21,424, por el transporte a Terminales Terrestres más el valor de los pasajes intermunicipales( del cuál se debe traer los tiquetes para legalizar el valr del transporte).</t>
  </si>
  <si>
    <t>Fuente de costos transporte:</t>
  </si>
  <si>
    <t>Modelo Control y Supervisión de Estándares</t>
  </si>
  <si>
    <t>DEPARTAMENTO</t>
  </si>
  <si>
    <t>Hasta 2 horas</t>
  </si>
  <si>
    <t>Entre 2 y 8 Horas</t>
  </si>
  <si>
    <t>Bogotá</t>
  </si>
  <si>
    <t>Valle del cauca</t>
  </si>
  <si>
    <t>Valle</t>
  </si>
  <si>
    <t>Transporte 2013</t>
  </si>
  <si>
    <t xml:space="preserve">TRANSPORTE </t>
  </si>
  <si>
    <t>Antioquia zona 1</t>
  </si>
  <si>
    <t>Antioquia zona 2</t>
  </si>
  <si>
    <t>La guajira</t>
  </si>
  <si>
    <t>Norte de santander</t>
  </si>
  <si>
    <t xml:space="preserve">TRANSPORTE PROMOTORES DE DERECHOS </t>
  </si>
  <si>
    <t>PROMOTORES</t>
  </si>
  <si>
    <t>Celular</t>
  </si>
  <si>
    <t>Costo Total</t>
  </si>
  <si>
    <t xml:space="preserve">Costo Mes </t>
  </si>
  <si>
    <t xml:space="preserve">Costo Unidad </t>
  </si>
  <si>
    <t>Cantidad Requerida</t>
  </si>
  <si>
    <t>Materiales</t>
  </si>
  <si>
    <t>Refrigerios</t>
  </si>
  <si>
    <t>Chalecos</t>
  </si>
  <si>
    <t>TOTAL OTROS COSTOS</t>
  </si>
  <si>
    <t>OTROS COSTOS</t>
  </si>
  <si>
    <t>POLIZAS</t>
  </si>
  <si>
    <t>IVA</t>
  </si>
  <si>
    <t>GMF
 (4/1000)</t>
  </si>
  <si>
    <t>PARAFISCALES</t>
  </si>
  <si>
    <t>Código 
Dpto</t>
  </si>
  <si>
    <t xml:space="preserve">Código Municipio </t>
  </si>
  <si>
    <t>Departamento
/ zona</t>
  </si>
  <si>
    <t>Cantidad Mpios</t>
  </si>
  <si>
    <t>Coordinador Metodológico</t>
  </si>
  <si>
    <t>Asesor</t>
  </si>
  <si>
    <t xml:space="preserve">Profesional </t>
  </si>
  <si>
    <t>Técnico</t>
  </si>
  <si>
    <t xml:space="preserve">Asistencial </t>
  </si>
  <si>
    <t>Profesional  1</t>
  </si>
  <si>
    <t>Técnico 1</t>
  </si>
  <si>
    <t>Jericó (BOY)</t>
  </si>
  <si>
    <t>Porcentaje</t>
  </si>
  <si>
    <t xml:space="preserve">Administración  </t>
  </si>
  <si>
    <t>Costo Transporte mes por Promotor</t>
  </si>
  <si>
    <t>IMPUESTOS</t>
  </si>
  <si>
    <t xml:space="preserve">TOTAL IMPUESTOS </t>
  </si>
  <si>
    <t>GRAVAMEN MOVIMIENTO FINANCIERO</t>
  </si>
  <si>
    <t>TRANSPORTE DE SUPERVISIÓN DEL OPERADOR</t>
  </si>
  <si>
    <t>REFRIGERIO MAKRO</t>
  </si>
  <si>
    <t>BEBIDA</t>
  </si>
  <si>
    <t>Producto</t>
  </si>
  <si>
    <t>Marca</t>
  </si>
  <si>
    <t>Empaque</t>
  </si>
  <si>
    <t>c.c/gr</t>
  </si>
  <si>
    <t>Cantidad</t>
  </si>
  <si>
    <t>Valor</t>
  </si>
  <si>
    <t>Valor Unitario</t>
  </si>
  <si>
    <t>Jugo deNaranja</t>
  </si>
  <si>
    <t>colanta</t>
  </si>
  <si>
    <t>flexible</t>
  </si>
  <si>
    <t>Nectar surtido</t>
  </si>
  <si>
    <t xml:space="preserve">CALIFORNIA </t>
  </si>
  <si>
    <t>Tetrapack</t>
  </si>
  <si>
    <t>Refresco</t>
  </si>
  <si>
    <t>ACOMPAÑANTE</t>
  </si>
  <si>
    <t>gr</t>
  </si>
  <si>
    <t xml:space="preserve">Galletas </t>
  </si>
  <si>
    <t>Festival</t>
  </si>
  <si>
    <t>Noel</t>
  </si>
  <si>
    <t>semillas</t>
  </si>
  <si>
    <t>alpina</t>
  </si>
  <si>
    <t>Del Valle</t>
  </si>
  <si>
    <t>jumex</t>
  </si>
  <si>
    <t>Canoa</t>
  </si>
  <si>
    <t>Chupy fruit</t>
  </si>
  <si>
    <t>Yogur</t>
  </si>
  <si>
    <t>Vaso</t>
  </si>
  <si>
    <t>Gelatina</t>
  </si>
  <si>
    <t>Leche</t>
  </si>
  <si>
    <t>Kumis</t>
  </si>
  <si>
    <t>Sarsal</t>
  </si>
  <si>
    <t>Muu</t>
  </si>
  <si>
    <t>Colombina</t>
  </si>
  <si>
    <t xml:space="preserve">de leche </t>
  </si>
  <si>
    <t>Saltin</t>
  </si>
  <si>
    <t xml:space="preserve">Festival </t>
  </si>
  <si>
    <t>TOSH</t>
  </si>
  <si>
    <t xml:space="preserve">REFRIGERIO ÉXITO </t>
  </si>
  <si>
    <t>COTIZACION 1</t>
  </si>
  <si>
    <t>COTIZACION 2</t>
  </si>
  <si>
    <t>PROMEDIO</t>
  </si>
  <si>
    <t xml:space="preserve">Valor Refrigerio </t>
  </si>
  <si>
    <t>CONSOLIDADO BEBIDAS</t>
  </si>
  <si>
    <t>FORMATO SOLICITUD DE COTIZACION  -  KIT ESCOLAR</t>
  </si>
  <si>
    <t xml:space="preserve">EMPRESA :TIENDA ESCOLAR </t>
  </si>
  <si>
    <t>CONTACTO:</t>
  </si>
  <si>
    <t>TEL:</t>
  </si>
  <si>
    <t>CARGO:</t>
  </si>
  <si>
    <t>E-MAIL:</t>
  </si>
  <si>
    <t>CEL:</t>
  </si>
  <si>
    <t xml:space="preserve">ITEM </t>
  </si>
  <si>
    <t>UNIDADES</t>
  </si>
  <si>
    <t>VALOR UNITARIO SIN IVA</t>
  </si>
  <si>
    <t>IVA UNITARIO</t>
  </si>
  <si>
    <t>TOTALUNITARIO</t>
  </si>
  <si>
    <t>TOTAL SIN IVA</t>
  </si>
  <si>
    <t>IVA TOTAL</t>
  </si>
  <si>
    <t>VALOR TOTAL</t>
  </si>
  <si>
    <t>VINILO</t>
  </si>
  <si>
    <t>TEMPERAS</t>
  </si>
  <si>
    <t>CUADERNO DE 100 HOJAS</t>
  </si>
  <si>
    <t>PINCEL No. 6</t>
  </si>
  <si>
    <t xml:space="preserve">CARTULINA COLORES TAMAÑO 1/8 </t>
  </si>
  <si>
    <t xml:space="preserve">CARTULINA  BLANCA  1/8 </t>
  </si>
  <si>
    <t>LAPIZ DE MADERA 2h</t>
  </si>
  <si>
    <t xml:space="preserve">BORRADOR DE NATA </t>
  </si>
  <si>
    <t>TAJALAPIZ  PLASTICO</t>
  </si>
  <si>
    <t>COLORES</t>
  </si>
  <si>
    <t xml:space="preserve">BLOCK PAPEL  EDAD MEDIA </t>
  </si>
  <si>
    <t>BLOCK PAPEL ROMANO  IRIS</t>
  </si>
  <si>
    <t>TIJERAS</t>
  </si>
  <si>
    <t>CRAYONES</t>
  </si>
  <si>
    <t xml:space="preserve">PLASTILINA </t>
  </si>
  <si>
    <t>PLIEGO DE PAPEL  KRAF-SEDA-PERIODICO</t>
  </si>
  <si>
    <t xml:space="preserve">COLBON X 200 gramos </t>
  </si>
  <si>
    <t>PLIEGO  CARTULINA</t>
  </si>
  <si>
    <t>ROMPECABEZAS</t>
  </si>
  <si>
    <t xml:space="preserve">REGLA PLASTICA </t>
  </si>
  <si>
    <t>CARTUCHERA</t>
  </si>
  <si>
    <t xml:space="preserve">EMPRESA : EL FARO </t>
  </si>
  <si>
    <t xml:space="preserve">CONTACTO: MILENA QUINTERO </t>
  </si>
  <si>
    <t>TEL:3759300</t>
  </si>
  <si>
    <t xml:space="preserve">CARGO: coordinadora canal institucional </t>
  </si>
  <si>
    <t>TOTAL UNITARIO</t>
  </si>
  <si>
    <t>VINILO FRASCO X 80cc.</t>
  </si>
  <si>
    <t>CUADERNO DE 100 HOJAS GRAPADO</t>
  </si>
  <si>
    <t>CARTULINA COLORES TAMAÑO 1/8 PAQUETE X 10 UNIDADES</t>
  </si>
  <si>
    <t>CARTULINA  BLANCA  1/8 PAQUETE X 10 UNIDADES</t>
  </si>
  <si>
    <t>LAPIZ DE MADERA 2h MINA NEGRA</t>
  </si>
  <si>
    <t>BORRADOR DE NATA  MEDIANA</t>
  </si>
  <si>
    <t>COLORES CAJA X 6 UNIDADES CORTOS</t>
  </si>
  <si>
    <t>BLOCK PAPEL   EDAD MEDIA X 25 HOJAS</t>
  </si>
  <si>
    <t>BLOCK PAPEL ROMANO  IRIS X 35 HOJAS</t>
  </si>
  <si>
    <t>TIJERAS PUNTA ROMA</t>
  </si>
  <si>
    <t>CRAYONES CAJA X 6 UNIDADES</t>
  </si>
  <si>
    <t>PLASTILINA X 8 UNIDADES CORTA</t>
  </si>
  <si>
    <t xml:space="preserve">COLBON  X 200 GRAMOS </t>
  </si>
  <si>
    <t>PLIEGO DE CARTULINA</t>
  </si>
  <si>
    <t>REGLA PLASTICA</t>
  </si>
  <si>
    <t>EMPRESA :  ÉXITO .COM</t>
  </si>
  <si>
    <t>TOTAL . UNITARIO</t>
  </si>
  <si>
    <t xml:space="preserve">COLBON  X200 GRAMOS </t>
  </si>
  <si>
    <t>EMPRESA : PAPELERIA LOD LAGOS -BOGOTA</t>
  </si>
  <si>
    <t>CONTACTO:PABLO MUÑOZ</t>
  </si>
  <si>
    <t>TEL:3103301760</t>
  </si>
  <si>
    <t>TOTAL  UNITARIO</t>
  </si>
  <si>
    <t>FORMATO SOLICITUD DE COTIZACION  -  SERVICO DE INTERNET</t>
  </si>
  <si>
    <t xml:space="preserve">OBSERVACION </t>
  </si>
  <si>
    <t xml:space="preserve">EMPRESA </t>
  </si>
  <si>
    <t xml:space="preserve">PLAN </t>
  </si>
  <si>
    <t>No de Certificaciones</t>
  </si>
  <si>
    <t xml:space="preserve">VALOR UNITARIO  SIN IVA </t>
  </si>
  <si>
    <t>TOTAL COSTO CERT. UNITARIO</t>
  </si>
  <si>
    <t>SERVICIO DE INTERNET</t>
  </si>
  <si>
    <t>Servicio mensual por cada uno de los miembros del talento humano requerido</t>
  </si>
  <si>
    <t>TIGO</t>
  </si>
  <si>
    <t>2 GB</t>
  </si>
  <si>
    <t>3 GB</t>
  </si>
  <si>
    <t>MOVISTAR</t>
  </si>
  <si>
    <t>3GB</t>
  </si>
  <si>
    <t>CLARO</t>
  </si>
  <si>
    <t>FORMATO SOLICITUD DE COTIZACION  -  SERVICO DE CELULARES</t>
  </si>
  <si>
    <t>VALOR UNITARIO POR CERTIFICACIÓN SIN IVA (2)</t>
  </si>
  <si>
    <t xml:space="preserve">SERVICIO DE CELULAR </t>
  </si>
  <si>
    <t>Servicio mensual por cada Coordinador (General, De Garantía de Derechos y Metodológico), por un valor mensual de $51.500 mensuales por cada servicio con plan</t>
  </si>
  <si>
    <t xml:space="preserve"> 200 minutos por destino </t>
  </si>
  <si>
    <t xml:space="preserve">180 minutos multi destino </t>
  </si>
  <si>
    <t>135 minutos  a otros operadores</t>
  </si>
  <si>
    <t xml:space="preserve">FORMATO SOLICITUD DE COTIZACION  -  CHALECOS </t>
  </si>
  <si>
    <t>VALOR UNITARIO SIN IVA (2)</t>
  </si>
  <si>
    <t>CHALECOS INSTITUCIONALES</t>
  </si>
  <si>
    <t xml:space="preserve">Los chalecos a suministrar  deberán cumplir con las siguientes especificaciones:• Tela anti fluido,• Color 150341 TCX (Verde), • Tejido plano• Composición en poliéster 100%• Peso en gr/m2: 131, +/-6 • Repelencia al agua mínimo 90 • Cambio dimensional máximo 3• Solidez del color al lavado, cambio de color: mínimo 4; manchado: mínimo 3 • Pilling 7.000 ciclos (formación de motas) mínimo 4; Resistencia al rasgado: trama min 30, urdimbre mínimo 15. Características tela interna o forro: • Tejido: punto, color negro • composición en poliéster: 100% • peso en gr/m2 120 +/-7  • Resistencia al estallido mínimo 385 • Resistencia al enganche (transversal y longitudinal) mínimo 4 •• Solidez del color al lavado : cambio de color mínimo 4; manchado mínimo 3 • formación de motas () 7.000 ciclos:• Mínimo 2 Los logos de ICBF : Uno en la parte De atrás y otro al lado izquierdo 
</t>
  </si>
  <si>
    <t>1.CONFECCIONES MONTHELIER LTDA</t>
  </si>
  <si>
    <t xml:space="preserve">En dril , forrado en malla pool, cremallera en frente  plástica de diente grueso, dos bolsillos externos de parche con tapa cuadrada de cierre con velcro,  dos  bordados tamaño 10 x 10 cms  a color , 1 bordado espalda tamaño media carta a color.
Ver fotografía </t>
  </si>
  <si>
    <t xml:space="preserve">2.DISEÑOS SOFIA SARMIENTO </t>
  </si>
  <si>
    <t>3. CREACIONES TANYE</t>
  </si>
  <si>
    <r>
      <rPr>
        <b/>
        <sz val="10"/>
        <color theme="1"/>
        <rFont val="Arial Narrow"/>
        <family val="2"/>
      </rPr>
      <t>NOTA (1)</t>
    </r>
    <r>
      <rPr>
        <sz val="10"/>
        <color theme="1"/>
        <rFont val="Arial Narrow"/>
        <family val="2"/>
      </rPr>
      <t xml:space="preserve"> :Por favor diligenciar solo las celdas en</t>
    </r>
    <r>
      <rPr>
        <b/>
        <sz val="10"/>
        <color theme="1"/>
        <rFont val="Arial Narrow"/>
        <family val="2"/>
      </rPr>
      <t xml:space="preserve"> AMARILLO.</t>
    </r>
  </si>
  <si>
    <r>
      <rPr>
        <b/>
        <sz val="10"/>
        <color theme="1"/>
        <rFont val="Arial Narrow"/>
        <family val="2"/>
      </rPr>
      <t>NOTA(2)</t>
    </r>
    <r>
      <rPr>
        <sz val="10"/>
        <color theme="1"/>
        <rFont val="Arial Narrow"/>
        <family val="2"/>
      </rPr>
      <t>: El valor a cotizar debe ser un total incluyendo todos los aspectos que se requieren en el documento "Ficha Tecnica" anexo.</t>
    </r>
  </si>
  <si>
    <t xml:space="preserve">Precio mas alto </t>
  </si>
  <si>
    <t xml:space="preserve">Precio mas bajo </t>
  </si>
  <si>
    <t xml:space="preserve">Promedio </t>
  </si>
  <si>
    <t>Media geometrica</t>
  </si>
  <si>
    <t>Internet 2G</t>
  </si>
  <si>
    <t>Internet 3G</t>
  </si>
  <si>
    <t xml:space="preserve">Chaleco en tela anti fluido </t>
  </si>
  <si>
    <t xml:space="preserve">Chaleco forrado en malla pool </t>
  </si>
  <si>
    <t>Los indices desde el 2015 se pueden modificar de acuerdo con lo criterios elegidos para tal fin (casillas en amarillo)</t>
  </si>
  <si>
    <t>AÑO</t>
  </si>
  <si>
    <t>IPC</t>
  </si>
  <si>
    <t>FACTOR</t>
  </si>
  <si>
    <t>IPA</t>
  </si>
  <si>
    <t>IPT</t>
  </si>
  <si>
    <t>Ind. a utilizar</t>
  </si>
  <si>
    <t>Parametros para el 2014</t>
  </si>
  <si>
    <t>Meta Inflacionaria</t>
  </si>
  <si>
    <t>Promedio últimos años</t>
  </si>
  <si>
    <t>5 años</t>
  </si>
  <si>
    <t>2 años</t>
  </si>
  <si>
    <t>Media geométrica últimos años</t>
  </si>
  <si>
    <t>3 años</t>
  </si>
  <si>
    <t xml:space="preserve"> IPC</t>
  </si>
  <si>
    <t>ICTC</t>
  </si>
  <si>
    <t>Fuente: DANE</t>
  </si>
  <si>
    <t>MES</t>
  </si>
  <si>
    <t>Enero</t>
  </si>
  <si>
    <t>Febrero</t>
  </si>
  <si>
    <t>Marzo</t>
  </si>
  <si>
    <t>Abril</t>
  </si>
  <si>
    <t>Mayo</t>
  </si>
  <si>
    <t>Junio</t>
  </si>
  <si>
    <t>Julio</t>
  </si>
  <si>
    <t>Agosto</t>
  </si>
  <si>
    <t>Septiembre</t>
  </si>
  <si>
    <t>Octubre</t>
  </si>
  <si>
    <t>Noviembre</t>
  </si>
  <si>
    <t>Diciembre</t>
  </si>
  <si>
    <t>IPC Anual</t>
  </si>
  <si>
    <t>Colombia, Indice de Costos del Transporte de Carga (ICTC)</t>
  </si>
  <si>
    <t>(variaciones porcentuales)</t>
  </si>
  <si>
    <t>2009 - 2012</t>
  </si>
  <si>
    <t>Trimestre</t>
  </si>
  <si>
    <t>Base Diciembre de 2008 = 100,00</t>
  </si>
  <si>
    <t>Primer trimestre</t>
  </si>
  <si>
    <t>Segundo trimestre</t>
  </si>
  <si>
    <t>Tercer trimestre</t>
  </si>
  <si>
    <t>Cuarto trimestre</t>
  </si>
  <si>
    <t>En año corrido</t>
  </si>
  <si>
    <t>Publicación: Octubre 19 de 2012</t>
  </si>
  <si>
    <t>NOTA: La diferencia en la suma de las variables, obedece al sistema de aproximación en el nivel de dígitos en el índice.</t>
  </si>
  <si>
    <t>Colombia, variación mensual del Indice de Precios al Consumidor</t>
  </si>
  <si>
    <t>(IPC) por grupos de bienes y servicios</t>
  </si>
  <si>
    <t>2011 - 2012</t>
  </si>
  <si>
    <t>Variaciones mensuales 2011</t>
  </si>
  <si>
    <t>Mes</t>
  </si>
  <si>
    <t>Año corrido</t>
  </si>
  <si>
    <t>Total IPC</t>
  </si>
  <si>
    <t>Alimentos</t>
  </si>
  <si>
    <t>Vivienda</t>
  </si>
  <si>
    <t>Vestuario</t>
  </si>
  <si>
    <t>Salud</t>
  </si>
  <si>
    <t>Educación</t>
  </si>
  <si>
    <t>Esparcimiento</t>
  </si>
  <si>
    <t>Transporte</t>
  </si>
  <si>
    <t>Comunicaciones</t>
  </si>
  <si>
    <t>Otros gastos</t>
  </si>
  <si>
    <t>Variaciones mensuales 2012</t>
  </si>
  <si>
    <t>Colombia, Indice de Precios al Consumidor (IPC)</t>
  </si>
  <si>
    <t>1997 - 2012</t>
  </si>
  <si>
    <t>AÑO 2012, MES 12</t>
  </si>
  <si>
    <t>* Entre octubre de 2006 y septiembre de 2007 se realizó la Encuesta de Ingresos y Gastos en el macro de la Gran Encuesta Integrada de Hogares, teniendo una cobertura de 42733 hogares para las 24 principales ciudades del país, lo cual permitió determinar cambios en los hábitos de consumo y la estructura del gasto de la población colombiana. Con los resultados de esta encuesta, bajo el trabajo de un grupo interdisciplinario de especialistas y la asesoría de la entidad estadística del Canadá, se desarrollo una nueva metodología para calcular el IPC, que es aplicada a partir de enero de 2009. Se creó una nueva canasta con una estructura de dos niveles, uno fijo y uno flexible, que permite actualizar la  canasta de bienes y servicios, por cambios en el consumo final en un periodo relativamente. Además de la ampliación de la canasta, el nuevo IPC-08 amplió su cobertura geográfica a 24 ciudades.</t>
  </si>
  <si>
    <t>Parametros Clave</t>
  </si>
  <si>
    <t xml:space="preserve">Cotización de Refrigerios </t>
  </si>
  <si>
    <t>Cotización  Internet y Celular</t>
  </si>
  <si>
    <t>Cotización Chalecos</t>
  </si>
  <si>
    <t>Promotores de derecho por Coordinador Metodológico</t>
  </si>
  <si>
    <t xml:space="preserve">PRECIOS INSUMOS DE COSTOS </t>
  </si>
  <si>
    <t xml:space="preserve">1. PARAMETROS DEL PROGRAMA </t>
  </si>
  <si>
    <t>SELECCIONE EL AÑO PARA PROYECTAR PRECIOS</t>
  </si>
  <si>
    <t>IPC ------&gt;</t>
  </si>
  <si>
    <t>IPA ------&gt;</t>
  </si>
  <si>
    <t>IPT------&gt;</t>
  </si>
  <si>
    <t>COSTO CUPO MES NNA</t>
  </si>
  <si>
    <t>SMMLV--&gt;</t>
  </si>
  <si>
    <t>ATLÁNTICO</t>
  </si>
  <si>
    <t>CÓRDOBA</t>
  </si>
  <si>
    <t>CHOCÓ</t>
  </si>
  <si>
    <t>QUINDÍO</t>
  </si>
  <si>
    <t>BOLÍVAR</t>
  </si>
  <si>
    <t>BOYACÁ</t>
  </si>
  <si>
    <t>CAQUETÁ</t>
  </si>
  <si>
    <t>SAN ANDRÉS</t>
  </si>
  <si>
    <t>GUAINÍA</t>
  </si>
  <si>
    <t>VAUPÉS</t>
  </si>
  <si>
    <t>BOGOTÁ</t>
  </si>
  <si>
    <t xml:space="preserve">Una persona de Tiempo completo por cada 8 Promotores de Derecho </t>
  </si>
  <si>
    <t>VALOR TOTAL TALENTO HUMANO</t>
  </si>
  <si>
    <t>VALOR TOTAL TRANSPORTE</t>
  </si>
  <si>
    <t>TALENTO HUMANO</t>
  </si>
  <si>
    <t>SUBTOTAL 1 (TALENTO HUMANO + TRANSPORTE + OTROS COSTOS)</t>
  </si>
  <si>
    <t>SUBTOTAL 3= (SUBTOTAL 2 + IMPUESTOS)</t>
  </si>
  <si>
    <t>SUBTOTAL 4 =  (SUBTOTAL 3 + POLIZAS)</t>
  </si>
  <si>
    <t>TABLA DE CONTENIDO</t>
  </si>
  <si>
    <t>Salarios de Referencia</t>
  </si>
  <si>
    <t xml:space="preserve">Componentes de costos de Talento Humano </t>
  </si>
  <si>
    <t>Resumen de Costos</t>
  </si>
  <si>
    <t xml:space="preserve">CONCEPTO DE COSTOS </t>
  </si>
  <si>
    <t xml:space="preserve">VALOR </t>
  </si>
  <si>
    <t>Indice</t>
  </si>
  <si>
    <t>Hostórico de Indices de Precios al Consumidor (IPC), Indice de Precios de Alimentos (IPA), Indice de Costos de Transporte de Carga (ICTC), Indice de Precios de Transporte (IPT) y, Salario Mínimo Mensual Legal Vigente (SMMLV)</t>
  </si>
  <si>
    <t>Indice de precios al Consumidor  ----------------------------&gt;</t>
  </si>
  <si>
    <t>Indice de Precios de Salarios ----------------------------------&gt;</t>
  </si>
  <si>
    <t>Indice de Precios de Alimentos  -------------------------------&gt;</t>
  </si>
  <si>
    <t>Indice de Precios de Transporte  -----------------------------&gt;</t>
  </si>
  <si>
    <t>3. FUENTES: DANE</t>
  </si>
  <si>
    <t xml:space="preserve">2. PARAMETROS PARA PROYECCIÓN DE PRECIOS </t>
  </si>
  <si>
    <t>Códigos de Municipios</t>
  </si>
  <si>
    <t>Cotización de Papeleria</t>
  </si>
  <si>
    <t>ICA Actividad econÓmica 8532</t>
  </si>
  <si>
    <t>Una persona por cada 100 Niños y Adolescentes a atender</t>
  </si>
  <si>
    <t>Dias hábiles</t>
  </si>
  <si>
    <t>Encuentros vivenciales al mes</t>
  </si>
  <si>
    <t>Costos por Departamentos y detalle</t>
  </si>
  <si>
    <t>Meta Social</t>
  </si>
  <si>
    <t>% Part Costo Total</t>
  </si>
  <si>
    <t>TOTAL ADMINISTRACIÓN</t>
  </si>
  <si>
    <t xml:space="preserve">ADMINISTRACIÓN </t>
  </si>
  <si>
    <t xml:space="preserve">TOTAL ADMINISTRACIÓN </t>
  </si>
  <si>
    <t xml:space="preserve">VALOR TOTAL </t>
  </si>
  <si>
    <t>GMF</t>
  </si>
  <si>
    <t>COMP DE COSTO</t>
  </si>
  <si>
    <t>Talento humano</t>
  </si>
  <si>
    <t>Otros costos</t>
  </si>
  <si>
    <t>Administración</t>
  </si>
  <si>
    <t xml:space="preserve">Impuestos </t>
  </si>
  <si>
    <t>Polizas</t>
  </si>
  <si>
    <t>VALOR</t>
  </si>
  <si>
    <t>Componente de Costos de Mayor a Menor Representatividad en $</t>
  </si>
  <si>
    <t>TOTAL PAÍS</t>
  </si>
  <si>
    <t>PARAMETROS GENERALES</t>
  </si>
  <si>
    <t>Resumen de Costos Por Departamento</t>
  </si>
  <si>
    <t xml:space="preserve">Regional </t>
  </si>
  <si>
    <t>NARIÑO ZONA 1</t>
  </si>
  <si>
    <t xml:space="preserve">SUBTOTAL DE COSTOS CON ADMINISTRACIÓN </t>
  </si>
  <si>
    <t>Valor de Aporte ICBF</t>
  </si>
  <si>
    <t>Cobertura 
2014</t>
  </si>
  <si>
    <t>VISITAS DE SUPERVISIÓN MENSUALES A CADA PROMOTOR DE DERECHOS</t>
  </si>
  <si>
    <t>CANTIDAD DE VISITAS * MES</t>
  </si>
  <si>
    <t xml:space="preserve">PRECIOS DE REFERENCIA PARA REALIZAR LOS CALCULOS DE TRANSPORTE </t>
  </si>
  <si>
    <t>Grupos</t>
  </si>
  <si>
    <t>Coordinadores Metodologicos</t>
  </si>
  <si>
    <t>Promotores de Derechos</t>
  </si>
  <si>
    <t>Validación</t>
  </si>
  <si>
    <t>ADMINISTRACIÓN</t>
  </si>
  <si>
    <t>SUBTOTAL 2 = (SUBTOTAL 1 + ADMINISTRACIÓN)</t>
  </si>
  <si>
    <t xml:space="preserve">NARIÑO </t>
  </si>
  <si>
    <t>COSTO CUPO NNA ACTIVIDAD DE CIERRE</t>
  </si>
  <si>
    <t>SUBTOTAL COSTO REGIONALIZADO POR ACTIVIDAD DE CIERRE</t>
  </si>
  <si>
    <t>Transporte 2014</t>
  </si>
  <si>
    <t>Visitas Mensuales del Coordinador Metodológico al Promotor de Derechos</t>
  </si>
  <si>
    <t>Dias de Transporte de Promotores en Zonas Diferentes a Capital</t>
  </si>
  <si>
    <t>TOTAL GRCB</t>
  </si>
  <si>
    <t>Costos Totales Ajustados</t>
  </si>
  <si>
    <t>TOTAL COSTOS POR ACTIVIDAD DE CIERRE</t>
  </si>
  <si>
    <t>TOTAL COSTOS POR RECONOCIMIENTO RR.HH EN ETAPA ALISTAMIENTO</t>
  </si>
  <si>
    <t>TOTAL COSTOS FINALES</t>
  </si>
  <si>
    <t>TOTAL COSTOS FINALES AJUSTADOS (Redondeado)</t>
  </si>
  <si>
    <t>Diferencia por Ajuste en Decimales</t>
  </si>
  <si>
    <t>SUBTOTAL COSTO REGIONALIZADO POR ENCUENTROS VIVENCIALES</t>
  </si>
  <si>
    <t>COSTO CUPO RR.HH reconocido etapa de ALISTAMIENTO</t>
  </si>
  <si>
    <t>SUBTOTAL COSTOS RR.HH RECONOCIDO EN ETAPA ALISTAMIENTO</t>
  </si>
  <si>
    <t>TOTAL COSTOS</t>
  </si>
  <si>
    <t>OTROS PARAMETROS</t>
  </si>
  <si>
    <t>Recursos Actividad de Cierre a Valor de Encuentro Vivencial</t>
  </si>
  <si>
    <t>% Reconocido de RR.HH Etapa de Alistamiento</t>
  </si>
  <si>
    <t>Meses de RR.HH reconocidos en Etapa de Alistamiento</t>
  </si>
  <si>
    <t>COSTO TOTAL DE ENCUENTROS VIVENCIALES</t>
  </si>
  <si>
    <t>COSTO TOTAL  ACTIVIDAD DE CIERRE</t>
  </si>
  <si>
    <t>COSTO TOTAL RR.HH RECONOCIDO EN ETAPA ALISTAMIENTO</t>
  </si>
  <si>
    <t>COSTOS TOTALES</t>
  </si>
  <si>
    <t>Transporte de Referencia</t>
  </si>
  <si>
    <t>Tiempo de ejecución (mes) 2014--&gt;</t>
  </si>
  <si>
    <t>Actividad de Cierre</t>
  </si>
  <si>
    <t>Costos RR.HH Etapa Alistamiento</t>
  </si>
  <si>
    <t>COSTO PROMEDIO DE ENCUENTROS VIVENCIALES * NNA * MES</t>
  </si>
  <si>
    <t>COSTO PROMEDIO POR ACTIVIDAD DE CIERRE * NNA (1 Vez. Incluye Administración, Impuestos, Polizas y GMF)</t>
  </si>
  <si>
    <t>COSTO TOTAL POR ACTIVIDAD DE CIERRE</t>
  </si>
  <si>
    <t>COSTO PROMEDIO * NNA DE RR.HH Etapa Alistamiento (Incluido Administración, Impuestos, Polizas y GMF)</t>
  </si>
  <si>
    <t>COSTO TOTAL DE RR.HH Etapa Alistamiento</t>
  </si>
  <si>
    <t>Ajuste redondeo</t>
  </si>
  <si>
    <t>% DE COSTOS DE TALENTO HUMANO PARA E.V.</t>
  </si>
  <si>
    <t xml:space="preserve">COSTO CUPO RR.HH reconocido etapa de ALISTAMIENTO </t>
  </si>
  <si>
    <t>RESUMEN DE COSTOS DEL PROGRAMA GENERACIONES CON BIENESTAR
(Modalidad RURALES)</t>
  </si>
  <si>
    <t>COSTO CUPO MES DE ENCUENTROS VIVENCIALES</t>
  </si>
  <si>
    <t xml:space="preserve">COSTO CUPO DE LA ACTIVIDAD DE CIERRE </t>
  </si>
  <si>
    <t>COSTO PROMEDIO * NNA DE RR.HH Alistamiento (Incluye Administ., Impuestos, Polizas y GMF)</t>
  </si>
  <si>
    <t>COSTO TOTALES REGIONALES DE ENCUENTROS VIVENCIALES = (SUBTOTAL 4 + GMF)</t>
  </si>
  <si>
    <t>COSTO TOTALES DE ENCUENTROS VIVENCIALES = (SUBTOTAL 4 + GMF)</t>
  </si>
  <si>
    <t>ESTUDIO DE COSTOS DEL PROGRAMA GENERACIONES
 RURALES CON BIENESTAR</t>
  </si>
  <si>
    <t>RESUMEN DE COSTOS TOTALES - GENERACIONES RURALES (Redondeado)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</si>
</sst>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7">
    <numFmt numFmtId="44" formatCode="_-&quot;$&quot;* #,##0.00_-;\-&quot;$&quot;* #,##0.00_-;_-&quot;$&quot;* &quot;-&quot;??_-;_-@_-"/>
    <numFmt numFmtId="164" formatCode="_(&quot;$&quot;\ * #,##0.00_);_(&quot;$&quot;\ * \(#,##0.00\);_(&quot;$&quot;\ * &quot;-&quot;??_);_(@_)"/>
    <numFmt numFmtId="165" formatCode="_(* #,##0.00_);_(* \(#,##0.00\);_(* &quot;-&quot;??_);_(@_)"/>
    <numFmt numFmtId="166" formatCode="_(&quot;$&quot;\ * #,##0_);_(&quot;$&quot;\ * \(#,##0\);_(&quot;$&quot;\ * &quot;-&quot;??_);_(@_)"/>
    <numFmt numFmtId="167" formatCode="_-* #,##0.00\ &quot;€&quot;_-;\-* #,##0.00\ &quot;€&quot;_-;_-* &quot;-&quot;??\ &quot;€&quot;_-;_-@_-"/>
    <numFmt numFmtId="168" formatCode="_ [$€-2]\ * #,##0.00_ ;_ [$€-2]\ * \-#,##0.00_ ;_ [$€-2]\ * &quot;-&quot;??_ "/>
    <numFmt numFmtId="169" formatCode="[$-F800]dddd\,\ mmmm\ dd\,\ yyyy"/>
    <numFmt numFmtId="170" formatCode="_-* #,##0.00\ _€_-;\-* #,##0.00\ _€_-;_-* &quot;-&quot;??\ _€_-;_-@_-"/>
    <numFmt numFmtId="171" formatCode="_ * #,##0.00_ ;_ * \-#,##0.00_ ;_ * &quot;-&quot;??_ ;_ @_ "/>
    <numFmt numFmtId="172" formatCode="_ &quot;$&quot;\ * #,##0.00_ ;_ &quot;$&quot;\ * \-#,##0.00_ ;_ &quot;$&quot;\ * &quot;-&quot;??_ ;_ @_ "/>
    <numFmt numFmtId="173" formatCode="#,##0_ ;[Red]\-#,##0\ "/>
    <numFmt numFmtId="174" formatCode="_ * #,##0.0_ ;_ * \-#,##0.0_ ;_ * &quot;-&quot;??_ ;_ @_ "/>
    <numFmt numFmtId="175" formatCode="&quot;$&quot;\ #,##0"/>
    <numFmt numFmtId="176" formatCode="_(* #,##0.000_);_(* \(#,##0.000\);_(* &quot;-&quot;??_);_(@_)"/>
    <numFmt numFmtId="177" formatCode="_ &quot;$&quot;\ * #,##0_ ;_ &quot;$&quot;\ * \-#,##0_ ;_ &quot;$&quot;\ * &quot;-&quot;??_ ;_ @_ "/>
    <numFmt numFmtId="178" formatCode="&quot;$&quot;\ #,##0.00"/>
    <numFmt numFmtId="179" formatCode="_-* #,##0\ _€_-;\-* #,##0\ _€_-;_-* &quot;-&quot;??\ _€_-;_-@_-"/>
    <numFmt numFmtId="180" formatCode="_(* #,##0_);_(* \(#,##0\);_(* &quot;-&quot;??_);_(@_)"/>
    <numFmt numFmtId="181" formatCode="&quot;Desde &quot;###"/>
    <numFmt numFmtId="182" formatCode="&quot;Hasta &quot;###"/>
    <numFmt numFmtId="183" formatCode="0\ &quot;meses&quot;"/>
    <numFmt numFmtId="184" formatCode="_(* #,##0.0000_);_(* \(#,##0.0000\);_(* &quot;-&quot;??_);_(@_)"/>
    <numFmt numFmtId="185" formatCode="0\ &quot;meses más&quot;"/>
    <numFmt numFmtId="186" formatCode="_(&quot;$&quot;\ * #,##0.000000_);_(&quot;$&quot;\ * \(#,##0.000000\);_(&quot;$&quot;\ * &quot;-&quot;??_);_(@_)"/>
    <numFmt numFmtId="187" formatCode="#,##0.00000"/>
    <numFmt numFmtId="188" formatCode="_(&quot;$&quot;\ * #,##0.0000_);_(&quot;$&quot;\ * \(#,##0.0000\);_(&quot;$&quot;\ * &quot;-&quot;??_);_(@_)"/>
    <numFmt numFmtId="189" formatCode="0.0%"/>
    <numFmt numFmtId="190" formatCode="_ * #,##0_ ;_ * \-#,##0_ ;_ * &quot;-&quot;??_ ;_ @_ "/>
    <numFmt numFmtId="191" formatCode="0.000"/>
    <numFmt numFmtId="192" formatCode="0.000000%"/>
    <numFmt numFmtId="193" formatCode="0.0000"/>
    <numFmt numFmtId="194" formatCode=";;;"/>
    <numFmt numFmtId="195" formatCode="_-&quot;$&quot;* #,##0_-;\-&quot;$&quot;* #,##0_-;_-&quot;$&quot;* &quot;-&quot;??_-;_-@_-"/>
    <numFmt numFmtId="196" formatCode="_-&quot;$&quot;* #,##0.00000000000000_-;\-&quot;$&quot;* #,##0.00000000000000_-;_-&quot;$&quot;* &quot;-&quot;??_-;_-@_-"/>
    <numFmt numFmtId="197" formatCode="0.00\ &quot;meses&quot;"/>
    <numFmt numFmtId="198" formatCode="_(&quot;$&quot;\ * #,##0.0_);_(&quot;$&quot;\ * \(#,##0.0\);_(&quot;$&quot;\ * &quot;-&quot;??_);_(@_)"/>
    <numFmt numFmtId="199" formatCode="0.00\ &quot;meses más&quot;"/>
  </numFmts>
  <fonts count="9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name val="Arial"/>
      <family val="2"/>
    </font>
    <font>
      <sz val="8"/>
      <name val="Arial"/>
      <family val="2"/>
    </font>
    <font>
      <b/>
      <sz val="8"/>
      <name val="Arial"/>
      <family val="2"/>
    </font>
    <font>
      <u/>
      <sz val="11"/>
      <color theme="10"/>
      <name val="Calibri"/>
      <family val="2"/>
    </font>
    <font>
      <u/>
      <sz val="10"/>
      <color theme="10"/>
      <name val="Arial"/>
      <family val="2"/>
    </font>
    <font>
      <sz val="11"/>
      <color theme="1"/>
      <name val="Arial"/>
      <family val="2"/>
    </font>
    <font>
      <sz val="10"/>
      <name val="Zurich BT"/>
      <family val="2"/>
    </font>
    <font>
      <sz val="10"/>
      <color theme="1"/>
      <name val="Zurich BT"/>
      <family val="2"/>
    </font>
    <font>
      <sz val="10"/>
      <color theme="1"/>
      <name val="Arial"/>
      <family val="2"/>
    </font>
    <font>
      <sz val="11"/>
      <color indexed="8"/>
      <name val="Calibri"/>
      <family val="2"/>
    </font>
    <font>
      <sz val="10"/>
      <color indexed="9"/>
      <name val="Arial"/>
      <family val="2"/>
    </font>
    <font>
      <b/>
      <sz val="14"/>
      <color theme="1"/>
      <name val="Calibri"/>
      <family val="2"/>
      <scheme val="minor"/>
    </font>
    <font>
      <b/>
      <sz val="9"/>
      <name val="Arial"/>
      <family val="2"/>
    </font>
    <font>
      <sz val="9"/>
      <name val="Arial"/>
      <family val="2"/>
    </font>
    <font>
      <sz val="11"/>
      <name val="Arial"/>
      <family val="2"/>
    </font>
    <font>
      <b/>
      <sz val="10"/>
      <name val="Arial"/>
      <family val="2"/>
    </font>
    <font>
      <sz val="9"/>
      <color indexed="81"/>
      <name val="Tahoma"/>
      <family val="2"/>
    </font>
    <font>
      <sz val="11"/>
      <name val="Arial Narrow"/>
      <family val="2"/>
    </font>
    <font>
      <sz val="10"/>
      <color rgb="FF000000"/>
      <name val="Calibri"/>
      <family val="2"/>
      <scheme val="minor"/>
    </font>
    <font>
      <b/>
      <sz val="11"/>
      <name val="Arial"/>
      <family val="2"/>
    </font>
    <font>
      <b/>
      <sz val="11"/>
      <name val="Arial Narrow"/>
      <family val="2"/>
    </font>
    <font>
      <b/>
      <sz val="10"/>
      <name val="Arial Narrow"/>
      <family val="2"/>
    </font>
    <font>
      <sz val="10"/>
      <name val="Arial Narrow"/>
      <family val="2"/>
    </font>
    <font>
      <b/>
      <sz val="11"/>
      <color theme="1"/>
      <name val="Arial Narrow"/>
      <family val="2"/>
    </font>
    <font>
      <sz val="11"/>
      <color theme="1"/>
      <name val="Arial Narrow"/>
      <family val="2"/>
    </font>
    <font>
      <sz val="11"/>
      <color rgb="FF000000"/>
      <name val="Arial Narrow"/>
      <family val="2"/>
    </font>
    <font>
      <b/>
      <sz val="11"/>
      <color theme="1"/>
      <name val="Arial"/>
      <family val="2"/>
    </font>
    <font>
      <b/>
      <sz val="12"/>
      <color theme="1"/>
      <name val="Arial"/>
      <family val="2"/>
    </font>
    <font>
      <b/>
      <sz val="11"/>
      <color rgb="FFFF0000"/>
      <name val="Arial"/>
      <family val="2"/>
    </font>
    <font>
      <sz val="10"/>
      <name val="Zurich BT"/>
    </font>
    <font>
      <b/>
      <sz val="10"/>
      <color rgb="FF000000"/>
      <name val="Arial"/>
      <family val="2"/>
    </font>
    <font>
      <sz val="10"/>
      <color rgb="FF000000"/>
      <name val="Arial"/>
      <family val="2"/>
    </font>
    <font>
      <b/>
      <sz val="10"/>
      <color theme="1"/>
      <name val="Arial"/>
      <family val="2"/>
    </font>
    <font>
      <b/>
      <sz val="18"/>
      <color theme="1"/>
      <name val="Arial"/>
      <family val="2"/>
    </font>
    <font>
      <b/>
      <sz val="48"/>
      <color theme="1"/>
      <name val="Comic Sans MS"/>
      <family val="4"/>
    </font>
    <font>
      <b/>
      <sz val="16"/>
      <name val="Arial"/>
      <family val="2"/>
    </font>
    <font>
      <sz val="11"/>
      <color theme="0" tint="-0.14999847407452621"/>
      <name val="Arial"/>
      <family val="2"/>
    </font>
    <font>
      <sz val="10"/>
      <color indexed="8"/>
      <name val="Zurich BT"/>
      <family val="2"/>
    </font>
    <font>
      <sz val="16"/>
      <name val="Arial"/>
      <family val="2"/>
    </font>
    <font>
      <b/>
      <sz val="10"/>
      <color indexed="47"/>
      <name val="Arial"/>
      <family val="2"/>
    </font>
    <font>
      <b/>
      <sz val="14"/>
      <name val="Arial"/>
      <family val="2"/>
    </font>
    <font>
      <b/>
      <sz val="9"/>
      <color theme="1"/>
      <name val="Calibri"/>
      <family val="2"/>
      <scheme val="minor"/>
    </font>
    <font>
      <b/>
      <sz val="10"/>
      <color theme="1"/>
      <name val="Arial Narrow"/>
      <family val="2"/>
    </font>
    <font>
      <b/>
      <sz val="10"/>
      <color rgb="FF000000"/>
      <name val="Calibri"/>
      <family val="2"/>
      <scheme val="minor"/>
    </font>
    <font>
      <sz val="10"/>
      <color theme="1"/>
      <name val="Arial Narrow"/>
      <family val="2"/>
    </font>
    <font>
      <sz val="11"/>
      <color theme="0"/>
      <name val="Arial Narrow"/>
      <family val="2"/>
    </font>
    <font>
      <sz val="11"/>
      <color rgb="FFFF0000"/>
      <name val="Arial Narrow"/>
      <family val="2"/>
    </font>
    <font>
      <b/>
      <sz val="10"/>
      <color rgb="FF000000"/>
      <name val="Arial Narrow"/>
      <family val="2"/>
    </font>
    <font>
      <u/>
      <sz val="10"/>
      <color theme="10"/>
      <name val="Arial Narrow"/>
      <family val="2"/>
    </font>
    <font>
      <b/>
      <sz val="14"/>
      <color rgb="FFFF0000"/>
      <name val="Calibri"/>
      <family val="2"/>
      <scheme val="minor"/>
    </font>
    <font>
      <sz val="11"/>
      <color indexed="18"/>
      <name val="Calibri"/>
      <family val="2"/>
      <scheme val="minor"/>
    </font>
    <font>
      <b/>
      <sz val="14"/>
      <color indexed="18"/>
      <name val="Calibri"/>
      <family val="2"/>
      <scheme val="minor"/>
    </font>
    <font>
      <sz val="12"/>
      <name val="Arial Narrow"/>
      <family val="2"/>
    </font>
    <font>
      <sz val="9"/>
      <name val="Arial Narrow"/>
      <family val="2"/>
    </font>
    <font>
      <b/>
      <sz val="12"/>
      <color theme="1"/>
      <name val="Arial Narrow"/>
      <family val="2"/>
    </font>
    <font>
      <b/>
      <sz val="14"/>
      <color theme="1"/>
      <name val="Arial Narrow"/>
      <family val="2"/>
    </font>
    <font>
      <b/>
      <sz val="12"/>
      <name val="Arial Narrow"/>
      <family val="2"/>
    </font>
    <font>
      <sz val="9"/>
      <color theme="1"/>
      <name val="Arial Narrow"/>
      <family val="2"/>
    </font>
    <font>
      <sz val="7"/>
      <name val="Arial Narrow"/>
      <family val="2"/>
    </font>
    <font>
      <sz val="12"/>
      <color theme="1"/>
      <name val="Arial Narrow"/>
      <family val="2"/>
    </font>
    <font>
      <b/>
      <u/>
      <sz val="11"/>
      <color theme="1"/>
      <name val="Arial Narrow"/>
      <family val="2"/>
    </font>
    <font>
      <b/>
      <u/>
      <sz val="10"/>
      <color theme="1"/>
      <name val="Arial Narrow"/>
      <family val="2"/>
    </font>
    <font>
      <sz val="6"/>
      <color theme="0"/>
      <name val="Arial Narrow"/>
      <family val="2"/>
    </font>
    <font>
      <sz val="11"/>
      <color indexed="8"/>
      <name val="Arial Narrow"/>
      <family val="2"/>
    </font>
    <font>
      <sz val="12"/>
      <color indexed="8"/>
      <name val="Arial Narrow"/>
      <family val="2"/>
    </font>
    <font>
      <b/>
      <sz val="12"/>
      <color indexed="8"/>
      <name val="Arial Narrow"/>
      <family val="2"/>
    </font>
    <font>
      <b/>
      <sz val="12"/>
      <color rgb="FFFF0000"/>
      <name val="Arial Narrow"/>
      <family val="2"/>
    </font>
    <font>
      <b/>
      <sz val="12"/>
      <color indexed="10"/>
      <name val="Arial Narrow"/>
      <family val="2"/>
    </font>
    <font>
      <sz val="6"/>
      <color theme="1"/>
      <name val="Arial Narrow"/>
      <family val="2"/>
    </font>
    <font>
      <u/>
      <sz val="16"/>
      <color theme="10"/>
      <name val="Arial"/>
      <family val="2"/>
    </font>
    <font>
      <b/>
      <sz val="11"/>
      <color indexed="18"/>
      <name val="Calibri"/>
      <family val="2"/>
      <scheme val="minor"/>
    </font>
    <font>
      <b/>
      <u/>
      <sz val="16"/>
      <color indexed="18"/>
      <name val="Calibri"/>
      <family val="2"/>
      <scheme val="minor"/>
    </font>
    <font>
      <b/>
      <u/>
      <sz val="14"/>
      <color theme="1"/>
      <name val="Arial Narrow"/>
      <family val="2"/>
    </font>
    <font>
      <sz val="10"/>
      <color rgb="FFFF0000"/>
      <name val="Arial Narrow"/>
      <family val="2"/>
    </font>
    <font>
      <sz val="10"/>
      <color rgb="FFFF0000"/>
      <name val="Arial"/>
      <family val="2"/>
    </font>
    <font>
      <b/>
      <sz val="14"/>
      <color theme="1"/>
      <name val="Arial"/>
      <family val="2"/>
    </font>
    <font>
      <sz val="8"/>
      <name val="Arial Narrow"/>
      <family val="2"/>
    </font>
    <font>
      <b/>
      <sz val="8"/>
      <color theme="1"/>
      <name val="Arial Narrow"/>
      <family val="2"/>
    </font>
    <font>
      <sz val="8"/>
      <color indexed="18"/>
      <name val="Calibri"/>
      <family val="2"/>
      <scheme val="minor"/>
    </font>
    <font>
      <sz val="11"/>
      <color theme="0"/>
      <name val="Calibri"/>
      <family val="2"/>
      <scheme val="minor"/>
    </font>
    <font>
      <sz val="10"/>
      <color theme="0" tint="-0.14999847407452621"/>
      <name val="Arial Narrow"/>
      <family val="2"/>
    </font>
    <font>
      <b/>
      <sz val="10"/>
      <color theme="0" tint="-0.14999847407452621"/>
      <name val="Arial Narrow"/>
      <family val="2"/>
    </font>
    <font>
      <sz val="10"/>
      <color theme="1"/>
      <name val="Zurich BT"/>
    </font>
    <font>
      <sz val="11"/>
      <color theme="0" tint="-0.14999847407452621"/>
      <name val="Arial Narrow"/>
      <family val="2"/>
    </font>
    <font>
      <sz val="16"/>
      <color theme="1"/>
      <name val="Arial Narrow"/>
      <family val="2"/>
    </font>
    <font>
      <b/>
      <sz val="11"/>
      <color rgb="FFFF0000"/>
      <name val="Arial Narrow"/>
      <family val="2"/>
    </font>
    <font>
      <b/>
      <sz val="16"/>
      <color theme="1"/>
      <name val="Arial Narrow"/>
      <family val="2"/>
    </font>
  </fonts>
  <fills count="2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5D9F1"/>
        <bgColor indexed="64"/>
      </patternFill>
    </fill>
    <fill>
      <patternFill patternType="solid">
        <fgColor theme="6" tint="0.59999389629810485"/>
        <bgColor indexed="64"/>
      </patternFill>
    </fill>
    <fill>
      <patternFill patternType="solid">
        <fgColor indexed="22"/>
        <bgColor indexed="64"/>
      </patternFill>
    </fill>
    <fill>
      <patternFill patternType="solid">
        <fgColor theme="6" tint="0.79998168889431442"/>
        <bgColor indexed="64"/>
      </patternFill>
    </fill>
    <fill>
      <patternFill patternType="solid">
        <fgColor rgb="FFFFFFFF"/>
        <bgColor indexed="64"/>
      </patternFill>
    </fill>
    <fill>
      <patternFill patternType="solid">
        <fgColor indexed="47"/>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s>
  <borders count="78">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9"/>
      </right>
      <top style="double">
        <color indexed="9"/>
      </top>
      <bottom style="medium">
        <color indexed="64"/>
      </bottom>
      <diagonal/>
    </border>
    <border>
      <left style="thin">
        <color indexed="9"/>
      </left>
      <right style="thin">
        <color indexed="9"/>
      </right>
      <top style="double">
        <color indexed="9"/>
      </top>
      <bottom style="medium">
        <color indexed="64"/>
      </bottom>
      <diagonal/>
    </border>
    <border>
      <left style="thin">
        <color indexed="9"/>
      </left>
      <right style="medium">
        <color indexed="64"/>
      </right>
      <top style="double">
        <color indexed="9"/>
      </top>
      <bottom style="medium">
        <color indexed="64"/>
      </bottom>
      <diagonal/>
    </border>
  </borders>
  <cellStyleXfs count="134">
    <xf numFmtId="0" fontId="0" fillId="0" borderId="0"/>
    <xf numFmtId="0" fontId="2"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1" fillId="0" borderId="0"/>
    <xf numFmtId="167" fontId="3" fillId="0" borderId="0" applyFont="0" applyFill="0" applyBorder="0" applyAlignment="0" applyProtection="0"/>
    <xf numFmtId="168" fontId="3" fillId="0" borderId="0" applyFont="0" applyFill="0" applyBorder="0" applyAlignment="0" applyProtection="0"/>
    <xf numFmtId="0" fontId="8" fillId="0" borderId="0" applyNumberFormat="0" applyFill="0" applyBorder="0" applyAlignment="0" applyProtection="0">
      <alignment vertical="top"/>
      <protection locked="0"/>
    </xf>
    <xf numFmtId="166" fontId="9" fillId="0" borderId="0" applyFont="0" applyFill="0" applyBorder="0" applyAlignment="0" applyProtection="0"/>
    <xf numFmtId="165" fontId="1" fillId="0" borderId="0" applyFont="0" applyFill="0" applyBorder="0" applyAlignment="0" applyProtection="0"/>
    <xf numFmtId="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10" fillId="0" borderId="0" applyFont="0" applyFill="0" applyBorder="0" applyAlignment="0" applyProtection="0"/>
    <xf numFmtId="165" fontId="11" fillId="0" borderId="0" applyFont="0" applyFill="0" applyBorder="0" applyAlignment="0" applyProtection="0"/>
    <xf numFmtId="169" fontId="3" fillId="0" borderId="0" applyFont="0" applyFill="0" applyBorder="0" applyAlignment="0" applyProtection="0"/>
    <xf numFmtId="0" fontId="3" fillId="0" borderId="0" applyFont="0" applyFill="0" applyBorder="0" applyAlignment="0" applyProtection="0"/>
    <xf numFmtId="16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70" fontId="3" fillId="0" borderId="0" applyFont="0" applyFill="0" applyBorder="0" applyAlignment="0" applyProtection="0"/>
    <xf numFmtId="165" fontId="3" fillId="0" borderId="0" applyFont="0" applyFill="0" applyBorder="0" applyAlignment="0" applyProtection="0"/>
    <xf numFmtId="170" fontId="1" fillId="0" borderId="0" applyFont="0" applyFill="0" applyBorder="0" applyAlignment="0" applyProtection="0"/>
    <xf numFmtId="165" fontId="9" fillId="0" borderId="0" applyFont="0" applyFill="0" applyBorder="0" applyAlignment="0" applyProtection="0"/>
    <xf numFmtId="164" fontId="1" fillId="0" borderId="0" applyFont="0" applyFill="0" applyBorder="0" applyAlignment="0" applyProtection="0"/>
    <xf numFmtId="172" fontId="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3" fontId="3" fillId="0" borderId="0" applyFont="0" applyFill="0" applyBorder="0" applyAlignment="0" applyProtection="0"/>
    <xf numFmtId="164" fontId="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9" fillId="0" borderId="0"/>
    <xf numFmtId="0" fontId="14" fillId="0" borderId="0">
      <alignment vertical="top"/>
    </xf>
    <xf numFmtId="171" fontId="3" fillId="0" borderId="0" applyFont="0" applyFill="0" applyBorder="0" applyAlignment="0" applyProtection="0"/>
    <xf numFmtId="171" fontId="3" fillId="0" borderId="0" applyFont="0" applyFill="0" applyBorder="0" applyAlignment="0" applyProtection="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9" fontId="1"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165" fontId="9" fillId="0" borderId="0" applyFont="0" applyFill="0" applyBorder="0" applyAlignment="0" applyProtection="0"/>
    <xf numFmtId="0" fontId="33" fillId="0" borderId="0"/>
    <xf numFmtId="9" fontId="33" fillId="0" borderId="0" applyFont="0" applyFill="0" applyBorder="0" applyAlignment="0" applyProtection="0"/>
    <xf numFmtId="0" fontId="13" fillId="0" borderId="0"/>
    <xf numFmtId="165" fontId="13" fillId="0" borderId="0" applyFont="0" applyFill="0" applyBorder="0" applyAlignment="0" applyProtection="0"/>
    <xf numFmtId="0" fontId="33" fillId="0" borderId="0"/>
    <xf numFmtId="0" fontId="41" fillId="0" borderId="0"/>
    <xf numFmtId="0" fontId="1" fillId="0" borderId="0"/>
    <xf numFmtId="0" fontId="3" fillId="0" borderId="0"/>
    <xf numFmtId="0" fontId="3" fillId="0" borderId="0"/>
    <xf numFmtId="9" fontId="1" fillId="0" borderId="0" applyFont="0" applyFill="0" applyBorder="0" applyAlignment="0" applyProtection="0"/>
    <xf numFmtId="0" fontId="3" fillId="0" borderId="0"/>
    <xf numFmtId="164" fontId="1" fillId="0" borderId="0" applyFont="0" applyFill="0" applyBorder="0" applyAlignment="0" applyProtection="0"/>
    <xf numFmtId="164" fontId="11" fillId="0" borderId="0" applyFont="0" applyFill="0" applyBorder="0" applyAlignment="0" applyProtection="0"/>
  </cellStyleXfs>
  <cellXfs count="1216">
    <xf numFmtId="0" fontId="0" fillId="0" borderId="0" xfId="0"/>
    <xf numFmtId="0" fontId="55" fillId="0" borderId="33" xfId="0" applyNumberFormat="1" applyFont="1" applyBorder="1" applyAlignment="1">
      <alignment horizontal="center" vertical="center" wrapText="1"/>
    </xf>
    <xf numFmtId="0" fontId="5" fillId="0" borderId="0" xfId="4" applyFont="1"/>
    <xf numFmtId="3" fontId="5" fillId="0" borderId="0" xfId="4" applyNumberFormat="1" applyFont="1"/>
    <xf numFmtId="0" fontId="7" fillId="0" borderId="0" xfId="5" applyAlignment="1" applyProtection="1">
      <alignment vertical="center"/>
    </xf>
    <xf numFmtId="0" fontId="3" fillId="0" borderId="0" xfId="4" applyFont="1" applyBorder="1" applyAlignment="1">
      <alignment vertical="center"/>
    </xf>
    <xf numFmtId="0" fontId="1" fillId="0" borderId="0" xfId="6"/>
    <xf numFmtId="0" fontId="3" fillId="0" borderId="0" xfId="4"/>
    <xf numFmtId="0" fontId="2" fillId="0" borderId="1" xfId="6" applyFont="1" applyBorder="1" applyAlignment="1">
      <alignment horizontal="center" vertical="center"/>
    </xf>
    <xf numFmtId="0" fontId="1" fillId="0" borderId="2" xfId="6" applyBorder="1"/>
    <xf numFmtId="0" fontId="1" fillId="0" borderId="3" xfId="6" applyBorder="1"/>
    <xf numFmtId="1" fontId="6" fillId="2" borderId="4" xfId="4" applyNumberFormat="1" applyFont="1" applyFill="1" applyBorder="1" applyAlignment="1">
      <alignment horizontal="center" vertical="center" wrapText="1"/>
    </xf>
    <xf numFmtId="3" fontId="6" fillId="0" borderId="0" xfId="4" applyNumberFormat="1"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166" fontId="0" fillId="0" borderId="8" xfId="3" applyNumberFormat="1" applyFont="1" applyBorder="1"/>
    <xf numFmtId="3" fontId="5" fillId="0" borderId="0" xfId="4" applyNumberFormat="1" applyFont="1" applyBorder="1" applyAlignment="1"/>
    <xf numFmtId="0" fontId="0" fillId="0" borderId="9" xfId="0" applyBorder="1"/>
    <xf numFmtId="0" fontId="0" fillId="0" borderId="10" xfId="0" applyBorder="1"/>
    <xf numFmtId="0" fontId="0" fillId="0" borderId="11" xfId="0" applyBorder="1"/>
    <xf numFmtId="166" fontId="0" fillId="0" borderId="12" xfId="3" applyNumberFormat="1" applyFont="1" applyBorder="1"/>
    <xf numFmtId="0" fontId="0" fillId="3" borderId="9" xfId="0" applyFill="1" applyBorder="1"/>
    <xf numFmtId="0" fontId="0" fillId="0" borderId="13" xfId="0" applyBorder="1"/>
    <xf numFmtId="0" fontId="0" fillId="0" borderId="14" xfId="0" applyBorder="1"/>
    <xf numFmtId="0" fontId="0" fillId="0" borderId="15" xfId="0" applyBorder="1"/>
    <xf numFmtId="166" fontId="0" fillId="0" borderId="16" xfId="3" applyNumberFormat="1" applyFont="1" applyBorder="1"/>
    <xf numFmtId="0" fontId="22" fillId="0" borderId="20" xfId="0" applyFont="1" applyBorder="1"/>
    <xf numFmtId="0" fontId="22" fillId="0" borderId="38" xfId="0" applyFont="1" applyBorder="1"/>
    <xf numFmtId="0" fontId="26" fillId="0" borderId="0" xfId="0" applyFont="1" applyFill="1" applyProtection="1"/>
    <xf numFmtId="0" fontId="26" fillId="0" borderId="0" xfId="0" applyFont="1" applyFill="1" applyAlignment="1" applyProtection="1">
      <alignment wrapText="1"/>
    </xf>
    <xf numFmtId="165" fontId="26" fillId="0" borderId="0" xfId="2" applyFont="1" applyFill="1" applyProtection="1"/>
    <xf numFmtId="166" fontId="26" fillId="0" borderId="0" xfId="3" applyNumberFormat="1" applyFont="1" applyFill="1" applyProtection="1"/>
    <xf numFmtId="0" fontId="27" fillId="0" borderId="0" xfId="6" applyFont="1"/>
    <xf numFmtId="0" fontId="28" fillId="0" borderId="0" xfId="6" applyFont="1"/>
    <xf numFmtId="0" fontId="28" fillId="0" borderId="0" xfId="6" applyFont="1" applyAlignment="1">
      <alignment horizontal="left" vertical="center"/>
    </xf>
    <xf numFmtId="165" fontId="21" fillId="7" borderId="24" xfId="10" applyNumberFormat="1" applyFont="1" applyFill="1" applyBorder="1" applyAlignment="1">
      <alignment horizontal="left" vertical="center" wrapText="1"/>
    </xf>
    <xf numFmtId="9" fontId="21" fillId="7" borderId="9" xfId="119" applyFont="1" applyFill="1" applyBorder="1" applyAlignment="1">
      <alignment horizontal="right" vertical="center" wrapText="1"/>
    </xf>
    <xf numFmtId="0" fontId="28" fillId="4" borderId="0" xfId="6" applyFont="1" applyFill="1"/>
    <xf numFmtId="0" fontId="28" fillId="0" borderId="0" xfId="6" applyFont="1" applyFill="1" applyBorder="1"/>
    <xf numFmtId="0" fontId="27" fillId="0" borderId="0" xfId="6" applyFont="1" applyFill="1" applyBorder="1" applyAlignment="1">
      <alignment horizontal="center" vertical="center"/>
    </xf>
    <xf numFmtId="180" fontId="27" fillId="0" borderId="0" xfId="11" applyNumberFormat="1" applyFont="1" applyFill="1" applyBorder="1"/>
    <xf numFmtId="0" fontId="28" fillId="0" borderId="0" xfId="6" applyFont="1" applyFill="1" applyBorder="1" applyAlignment="1">
      <alignment horizontal="left" vertical="center" indent="2"/>
    </xf>
    <xf numFmtId="166" fontId="28" fillId="0" borderId="0" xfId="38" applyNumberFormat="1" applyFont="1" applyFill="1" applyBorder="1" applyAlignment="1">
      <alignment vertical="center" wrapText="1"/>
    </xf>
    <xf numFmtId="10" fontId="24" fillId="6" borderId="17" xfId="114" applyNumberFormat="1" applyFont="1" applyFill="1" applyBorder="1" applyAlignment="1">
      <alignment horizontal="center" vertical="center" wrapText="1"/>
    </xf>
    <xf numFmtId="10" fontId="24" fillId="6" borderId="20" xfId="114" applyNumberFormat="1" applyFont="1" applyFill="1" applyBorder="1" applyAlignment="1">
      <alignment horizontal="center" vertical="center" wrapText="1"/>
    </xf>
    <xf numFmtId="0" fontId="24" fillId="0" borderId="23" xfId="4" applyFont="1" applyFill="1" applyBorder="1" applyAlignment="1">
      <alignment horizontal="left" vertical="center" wrapText="1"/>
    </xf>
    <xf numFmtId="0" fontId="24" fillId="0" borderId="24" xfId="4" applyFont="1" applyFill="1" applyBorder="1" applyAlignment="1">
      <alignment horizontal="left" vertical="center" wrapText="1"/>
    </xf>
    <xf numFmtId="166" fontId="28" fillId="4" borderId="25" xfId="3" applyNumberFormat="1" applyFont="1" applyFill="1" applyBorder="1" applyAlignment="1">
      <alignment horizontal="left" vertical="center"/>
    </xf>
    <xf numFmtId="166" fontId="21" fillId="0" borderId="26" xfId="3" applyNumberFormat="1" applyFont="1" applyBorder="1" applyAlignment="1">
      <alignment horizontal="left" vertical="center"/>
    </xf>
    <xf numFmtId="166" fontId="21" fillId="0" borderId="27" xfId="3" applyNumberFormat="1" applyFont="1" applyBorder="1" applyAlignment="1">
      <alignment horizontal="left" vertical="center"/>
    </xf>
    <xf numFmtId="170" fontId="21" fillId="0" borderId="23" xfId="36" applyFont="1" applyBorder="1" applyAlignment="1">
      <alignment horizontal="left" vertical="center"/>
    </xf>
    <xf numFmtId="166" fontId="21" fillId="0" borderId="28" xfId="3" applyNumberFormat="1" applyFont="1" applyBorder="1" applyAlignment="1">
      <alignment horizontal="left" vertical="center"/>
    </xf>
    <xf numFmtId="166" fontId="21" fillId="4" borderId="27" xfId="3" applyNumberFormat="1" applyFont="1" applyFill="1" applyBorder="1" applyAlignment="1">
      <alignment horizontal="left" vertical="center"/>
    </xf>
    <xf numFmtId="171" fontId="21" fillId="0" borderId="23" xfId="20" applyNumberFormat="1" applyFont="1" applyBorder="1" applyAlignment="1">
      <alignment horizontal="left" vertical="center"/>
    </xf>
    <xf numFmtId="174" fontId="21" fillId="7" borderId="23" xfId="20" applyNumberFormat="1" applyFont="1" applyFill="1" applyBorder="1" applyAlignment="1">
      <alignment horizontal="left" vertical="center"/>
    </xf>
    <xf numFmtId="166" fontId="21" fillId="0" borderId="23" xfId="37" applyNumberFormat="1" applyFont="1" applyBorder="1" applyAlignment="1">
      <alignment horizontal="left" vertical="center"/>
    </xf>
    <xf numFmtId="0" fontId="24" fillId="0" borderId="1" xfId="4" applyFont="1" applyFill="1" applyBorder="1" applyAlignment="1">
      <alignment horizontal="center" vertical="center" wrapText="1"/>
    </xf>
    <xf numFmtId="0" fontId="24" fillId="0" borderId="29" xfId="4" applyFont="1" applyFill="1" applyBorder="1" applyAlignment="1">
      <alignment horizontal="center" vertical="center" wrapText="1"/>
    </xf>
    <xf numFmtId="175" fontId="24" fillId="0" borderId="30" xfId="4" applyNumberFormat="1" applyFont="1" applyBorder="1" applyAlignment="1">
      <alignment vertical="center"/>
    </xf>
    <xf numFmtId="175" fontId="24" fillId="0" borderId="3" xfId="4" applyNumberFormat="1" applyFont="1" applyBorder="1" applyAlignment="1">
      <alignment vertical="center"/>
    </xf>
    <xf numFmtId="175" fontId="24" fillId="0" borderId="4" xfId="4" applyNumberFormat="1" applyFont="1" applyBorder="1" applyAlignment="1">
      <alignment vertical="center"/>
    </xf>
    <xf numFmtId="170" fontId="24" fillId="0" borderId="1" xfId="36" applyFont="1" applyBorder="1" applyAlignment="1">
      <alignment horizontal="right" vertical="center"/>
    </xf>
    <xf numFmtId="176" fontId="24" fillId="0" borderId="1" xfId="11" applyNumberFormat="1" applyFont="1" applyBorder="1" applyAlignment="1">
      <alignment vertical="center"/>
    </xf>
    <xf numFmtId="176" fontId="24" fillId="0" borderId="31" xfId="11" applyNumberFormat="1" applyFont="1" applyBorder="1" applyAlignment="1">
      <alignment vertical="center"/>
    </xf>
    <xf numFmtId="0" fontId="24" fillId="0" borderId="0" xfId="4" applyFont="1" applyFill="1" applyBorder="1" applyAlignment="1">
      <alignment horizontal="center" vertical="center" wrapText="1"/>
    </xf>
    <xf numFmtId="175" fontId="21" fillId="4" borderId="32" xfId="4" applyNumberFormat="1" applyFont="1" applyFill="1" applyBorder="1" applyAlignment="1">
      <alignment vertical="center"/>
    </xf>
    <xf numFmtId="175" fontId="21" fillId="4" borderId="0" xfId="4" applyNumberFormat="1" applyFont="1" applyFill="1" applyBorder="1" applyAlignment="1">
      <alignment vertical="center"/>
    </xf>
    <xf numFmtId="4" fontId="21" fillId="4" borderId="0" xfId="4" applyNumberFormat="1" applyFont="1" applyFill="1" applyBorder="1" applyAlignment="1">
      <alignment vertical="center"/>
    </xf>
    <xf numFmtId="0" fontId="24" fillId="0" borderId="18" xfId="4" applyFont="1" applyBorder="1" applyAlignment="1">
      <alignment horizontal="center" vertical="center"/>
    </xf>
    <xf numFmtId="0" fontId="24" fillId="0" borderId="33" xfId="4" applyFont="1" applyBorder="1" applyAlignment="1">
      <alignment horizontal="center" vertical="center"/>
    </xf>
    <xf numFmtId="0" fontId="21" fillId="4" borderId="0" xfId="4" applyFont="1" applyFill="1" applyBorder="1" applyAlignment="1">
      <alignment vertical="center"/>
    </xf>
    <xf numFmtId="0" fontId="21" fillId="4" borderId="0" xfId="4" applyFont="1" applyFill="1" applyAlignment="1">
      <alignment vertical="center"/>
    </xf>
    <xf numFmtId="0" fontId="21" fillId="0" borderId="5" xfId="4" applyFont="1" applyBorder="1" applyAlignment="1">
      <alignment horizontal="left" vertical="center" indent="2"/>
    </xf>
    <xf numFmtId="0" fontId="21" fillId="0" borderId="34" xfId="4" applyFont="1" applyBorder="1" applyAlignment="1">
      <alignment vertical="center"/>
    </xf>
    <xf numFmtId="0" fontId="21" fillId="0" borderId="9" xfId="4" applyFont="1" applyBorder="1" applyAlignment="1">
      <alignment horizontal="left" vertical="center" indent="2"/>
    </xf>
    <xf numFmtId="0" fontId="21" fillId="0" borderId="35" xfId="4" applyFont="1" applyBorder="1" applyAlignment="1">
      <alignment vertical="center"/>
    </xf>
    <xf numFmtId="178" fontId="21" fillId="4" borderId="0" xfId="4" applyNumberFormat="1" applyFont="1" applyFill="1" applyBorder="1" applyAlignment="1">
      <alignment vertical="center"/>
    </xf>
    <xf numFmtId="0" fontId="21" fillId="0" borderId="36" xfId="4" applyFont="1" applyBorder="1" applyAlignment="1">
      <alignment horizontal="left" vertical="center" indent="2"/>
    </xf>
    <xf numFmtId="0" fontId="21" fillId="0" borderId="37" xfId="4" applyFont="1" applyBorder="1" applyAlignment="1">
      <alignment vertical="center"/>
    </xf>
    <xf numFmtId="0" fontId="24" fillId="0" borderId="0" xfId="4" applyFont="1" applyFill="1" applyBorder="1" applyAlignment="1">
      <alignment vertical="center"/>
    </xf>
    <xf numFmtId="0" fontId="29" fillId="0" borderId="0" xfId="6" applyFont="1" applyFill="1" applyBorder="1" applyAlignment="1">
      <alignment horizontal="left" vertical="center"/>
    </xf>
    <xf numFmtId="175" fontId="27" fillId="0" borderId="4" xfId="4" applyNumberFormat="1" applyFont="1" applyBorder="1" applyAlignment="1">
      <alignment vertical="center"/>
    </xf>
    <xf numFmtId="166" fontId="25" fillId="0" borderId="0" xfId="3" applyNumberFormat="1" applyFont="1" applyFill="1" applyAlignment="1" applyProtection="1">
      <alignment horizontal="center"/>
    </xf>
    <xf numFmtId="0" fontId="24" fillId="6" borderId="18" xfId="4" applyFont="1" applyFill="1" applyBorder="1" applyAlignment="1">
      <alignment horizontal="center" vertical="center" wrapText="1"/>
    </xf>
    <xf numFmtId="0" fontId="24" fillId="6" borderId="19" xfId="4" applyFont="1" applyFill="1" applyBorder="1" applyAlignment="1">
      <alignment horizontal="center" vertical="center" wrapText="1"/>
    </xf>
    <xf numFmtId="0" fontId="24" fillId="6" borderId="17" xfId="4" applyFont="1" applyFill="1" applyBorder="1" applyAlignment="1">
      <alignment horizontal="center" vertical="center" wrapText="1"/>
    </xf>
    <xf numFmtId="0" fontId="24" fillId="6" borderId="21" xfId="4" applyFont="1" applyFill="1" applyBorder="1" applyAlignment="1">
      <alignment horizontal="center" vertical="center" wrapText="1"/>
    </xf>
    <xf numFmtId="0" fontId="24" fillId="6" borderId="22" xfId="4" applyFont="1" applyFill="1" applyBorder="1" applyAlignment="1">
      <alignment horizontal="center" vertical="center" wrapText="1"/>
    </xf>
    <xf numFmtId="10" fontId="24" fillId="6" borderId="3" xfId="114" applyNumberFormat="1" applyFont="1" applyFill="1" applyBorder="1" applyAlignment="1">
      <alignment horizontal="center" vertical="center" wrapText="1"/>
    </xf>
    <xf numFmtId="9" fontId="24" fillId="6" borderId="3" xfId="114" applyNumberFormat="1" applyFont="1" applyFill="1" applyBorder="1" applyAlignment="1">
      <alignment horizontal="center" vertical="center" wrapText="1"/>
    </xf>
    <xf numFmtId="0" fontId="24" fillId="6" borderId="20" xfId="4" applyFont="1" applyFill="1" applyBorder="1" applyAlignment="1">
      <alignment horizontal="center" vertical="center" wrapText="1"/>
    </xf>
    <xf numFmtId="0" fontId="24" fillId="6" borderId="17" xfId="6" applyFont="1" applyFill="1" applyBorder="1" applyAlignment="1">
      <alignment horizontal="center" vertical="center" wrapText="1"/>
    </xf>
    <xf numFmtId="0" fontId="24" fillId="6" borderId="20" xfId="6" applyFont="1" applyFill="1" applyBorder="1" applyAlignment="1">
      <alignment horizontal="center" vertical="center" wrapText="1"/>
    </xf>
    <xf numFmtId="0" fontId="9" fillId="4" borderId="0" xfId="85" applyFont="1" applyFill="1" applyBorder="1"/>
    <xf numFmtId="0" fontId="9" fillId="0" borderId="0" xfId="85" applyFont="1"/>
    <xf numFmtId="0" fontId="30" fillId="0" borderId="0" xfId="85" applyFont="1" applyBorder="1" applyAlignment="1" applyProtection="1">
      <alignment horizontal="right"/>
      <protection locked="0"/>
    </xf>
    <xf numFmtId="0" fontId="30" fillId="0" borderId="0" xfId="85" applyFont="1" applyBorder="1" applyAlignment="1" applyProtection="1">
      <alignment horizontal="center" vertical="center" wrapText="1"/>
      <protection locked="0"/>
    </xf>
    <xf numFmtId="0" fontId="12" fillId="4" borderId="0" xfId="85" applyFont="1" applyFill="1"/>
    <xf numFmtId="0" fontId="30" fillId="5" borderId="30" xfId="85" applyFont="1" applyFill="1" applyBorder="1" applyAlignment="1">
      <alignment horizontal="center" vertical="center" wrapText="1"/>
    </xf>
    <xf numFmtId="9" fontId="18" fillId="0" borderId="11" xfId="85" applyNumberFormat="1" applyFont="1" applyFill="1" applyBorder="1" applyAlignment="1">
      <alignment horizontal="center" vertical="top" wrapText="1"/>
    </xf>
    <xf numFmtId="0" fontId="30" fillId="0" borderId="0" xfId="85" applyFont="1"/>
    <xf numFmtId="0" fontId="32" fillId="4" borderId="45" xfId="120" applyNumberFormat="1" applyFont="1" applyFill="1" applyBorder="1" applyAlignment="1">
      <alignment horizontal="center" vertical="center"/>
    </xf>
    <xf numFmtId="0" fontId="30" fillId="0" borderId="45" xfId="85" applyFont="1" applyBorder="1"/>
    <xf numFmtId="9" fontId="3" fillId="4" borderId="11" xfId="122" applyNumberFormat="1" applyFont="1" applyFill="1" applyBorder="1" applyAlignment="1">
      <alignment horizontal="center" vertical="center"/>
    </xf>
    <xf numFmtId="10" fontId="35" fillId="7" borderId="11" xfId="118" applyNumberFormat="1" applyFont="1" applyFill="1" applyBorder="1" applyAlignment="1">
      <alignment horizontal="center" vertical="center" wrapText="1"/>
    </xf>
    <xf numFmtId="9" fontId="3" fillId="4" borderId="41" xfId="122" applyNumberFormat="1" applyFont="1" applyFill="1" applyBorder="1" applyAlignment="1">
      <alignment horizontal="center" vertical="center"/>
    </xf>
    <xf numFmtId="10" fontId="35" fillId="7" borderId="41" xfId="118" applyNumberFormat="1" applyFont="1" applyFill="1" applyBorder="1" applyAlignment="1">
      <alignment horizontal="center" vertical="center" wrapText="1"/>
    </xf>
    <xf numFmtId="0" fontId="9" fillId="0" borderId="0" xfId="85" applyFont="1" applyAlignment="1">
      <alignment horizontal="left" vertical="top" wrapText="1"/>
    </xf>
    <xf numFmtId="0" fontId="9" fillId="0" borderId="0" xfId="85" applyFont="1" applyBorder="1"/>
    <xf numFmtId="0" fontId="18" fillId="4" borderId="0" xfId="85" applyFont="1" applyFill="1" applyBorder="1"/>
    <xf numFmtId="49" fontId="17" fillId="4" borderId="0" xfId="85" applyNumberFormat="1" applyFont="1" applyFill="1" applyBorder="1" applyAlignment="1">
      <alignment horizontal="right"/>
    </xf>
    <xf numFmtId="0" fontId="23" fillId="4" borderId="0" xfId="85" applyFont="1" applyFill="1" applyBorder="1" applyAlignment="1">
      <alignment horizontal="center" vertical="center" wrapText="1"/>
    </xf>
    <xf numFmtId="166" fontId="18" fillId="4" borderId="0" xfId="54" applyNumberFormat="1" applyFont="1" applyFill="1" applyBorder="1" applyAlignment="1">
      <alignment horizontal="center"/>
    </xf>
    <xf numFmtId="0" fontId="38" fillId="0" borderId="0" xfId="85" applyFont="1" applyAlignment="1">
      <alignment vertical="center" wrapText="1"/>
    </xf>
    <xf numFmtId="165" fontId="9" fillId="0" borderId="11" xfId="85" applyNumberFormat="1" applyFont="1" applyFill="1" applyBorder="1" applyAlignment="1">
      <alignment horizontal="center"/>
    </xf>
    <xf numFmtId="0" fontId="30" fillId="11" borderId="29" xfId="85" applyFont="1" applyFill="1" applyBorder="1" applyAlignment="1"/>
    <xf numFmtId="0" fontId="30" fillId="11" borderId="45" xfId="85" applyFont="1" applyFill="1" applyBorder="1" applyAlignment="1"/>
    <xf numFmtId="0" fontId="30" fillId="11" borderId="62" xfId="85" applyFont="1" applyFill="1" applyBorder="1" applyAlignment="1"/>
    <xf numFmtId="166" fontId="23" fillId="4" borderId="0" xfId="54" applyNumberFormat="1" applyFont="1" applyFill="1" applyBorder="1" applyAlignment="1">
      <alignment horizontal="center"/>
    </xf>
    <xf numFmtId="0" fontId="9" fillId="0" borderId="45" xfId="85" applyFont="1" applyBorder="1"/>
    <xf numFmtId="0" fontId="30" fillId="5" borderId="1" xfId="85" applyFont="1" applyFill="1" applyBorder="1" applyAlignment="1">
      <alignment horizontal="center" vertical="center" wrapText="1"/>
    </xf>
    <xf numFmtId="0" fontId="9" fillId="0" borderId="10" xfId="85" applyFont="1" applyBorder="1"/>
    <xf numFmtId="166" fontId="23" fillId="4" borderId="0" xfId="85" applyNumberFormat="1" applyFont="1" applyFill="1" applyBorder="1" applyAlignment="1">
      <alignment horizontal="center"/>
    </xf>
    <xf numFmtId="0" fontId="19" fillId="4" borderId="0" xfId="121" applyFont="1" applyFill="1" applyBorder="1" applyAlignment="1">
      <alignment horizontal="center" vertical="center" wrapText="1"/>
    </xf>
    <xf numFmtId="166" fontId="3" fillId="4" borderId="46" xfId="54" applyNumberFormat="1" applyFont="1" applyFill="1" applyBorder="1" applyAlignment="1">
      <alignment horizontal="center" vertical="center" wrapText="1"/>
    </xf>
    <xf numFmtId="166" fontId="3" fillId="4" borderId="0" xfId="54" applyNumberFormat="1" applyFont="1" applyFill="1" applyBorder="1" applyAlignment="1">
      <alignment horizontal="center" vertical="center" wrapText="1"/>
    </xf>
    <xf numFmtId="180" fontId="40" fillId="0" borderId="0" xfId="120" applyNumberFormat="1" applyFont="1"/>
    <xf numFmtId="185" fontId="35" fillId="0" borderId="46" xfId="121" applyNumberFormat="1" applyFont="1" applyFill="1" applyBorder="1" applyAlignment="1">
      <alignment horizontal="right" vertical="center" wrapText="1"/>
    </xf>
    <xf numFmtId="166" fontId="3" fillId="4" borderId="56" xfId="54" applyNumberFormat="1" applyFont="1" applyFill="1" applyBorder="1" applyAlignment="1">
      <alignment horizontal="center" vertical="center" wrapText="1"/>
    </xf>
    <xf numFmtId="185" fontId="35" fillId="0" borderId="56" xfId="121" applyNumberFormat="1" applyFont="1" applyFill="1" applyBorder="1" applyAlignment="1">
      <alignment horizontal="right" vertical="center" wrapText="1"/>
    </xf>
    <xf numFmtId="0" fontId="9" fillId="0" borderId="0" xfId="85" applyAlignment="1">
      <alignment horizontal="left" vertical="top" wrapText="1"/>
    </xf>
    <xf numFmtId="0" fontId="18" fillId="4" borderId="0" xfId="85" applyFont="1" applyFill="1" applyBorder="1" applyAlignment="1">
      <alignment horizontal="left" vertical="top" wrapText="1"/>
    </xf>
    <xf numFmtId="0" fontId="30" fillId="11" borderId="29" xfId="85" applyFont="1" applyFill="1" applyBorder="1" applyAlignment="1">
      <alignment horizontal="left" indent="2"/>
    </xf>
    <xf numFmtId="0" fontId="9" fillId="0" borderId="35" xfId="85" applyFont="1" applyBorder="1"/>
    <xf numFmtId="0" fontId="1" fillId="0" borderId="0" xfId="103"/>
    <xf numFmtId="0" fontId="11" fillId="0" borderId="0" xfId="71"/>
    <xf numFmtId="1" fontId="16" fillId="0" borderId="11" xfId="131" applyNumberFormat="1" applyFont="1" applyBorder="1" applyAlignment="1">
      <alignment horizontal="center"/>
    </xf>
    <xf numFmtId="37" fontId="16" fillId="2" borderId="11" xfId="132" applyNumberFormat="1" applyFont="1" applyFill="1" applyBorder="1" applyAlignment="1">
      <alignment horizontal="center"/>
    </xf>
    <xf numFmtId="166" fontId="16" fillId="0" borderId="15" xfId="132" applyNumberFormat="1" applyFont="1" applyFill="1" applyBorder="1" applyAlignment="1">
      <alignment vertical="center"/>
    </xf>
    <xf numFmtId="166" fontId="16" fillId="0" borderId="68" xfId="132" applyNumberFormat="1" applyFont="1" applyBorder="1" applyAlignment="1">
      <alignment vertical="center"/>
    </xf>
    <xf numFmtId="49" fontId="16" fillId="0" borderId="11" xfId="131" applyNumberFormat="1" applyFont="1" applyBorder="1" applyAlignment="1">
      <alignment horizontal="center" vertical="center"/>
    </xf>
    <xf numFmtId="166" fontId="16" fillId="0" borderId="26" xfId="132" applyNumberFormat="1" applyFont="1" applyBorder="1" applyAlignment="1">
      <alignment vertical="center"/>
    </xf>
    <xf numFmtId="166" fontId="16" fillId="0" borderId="11" xfId="132" applyNumberFormat="1" applyFont="1" applyFill="1" applyBorder="1" applyAlignment="1">
      <alignment horizontal="center" vertical="center"/>
    </xf>
    <xf numFmtId="166" fontId="16" fillId="0" borderId="11" xfId="132" applyNumberFormat="1" applyFont="1" applyFill="1" applyBorder="1" applyAlignment="1">
      <alignment horizontal="center"/>
    </xf>
    <xf numFmtId="166" fontId="16" fillId="0" borderId="68" xfId="132" applyNumberFormat="1" applyFont="1" applyFill="1" applyBorder="1" applyAlignment="1">
      <alignment vertical="center"/>
    </xf>
    <xf numFmtId="1" fontId="16" fillId="0" borderId="11" xfId="131" applyNumberFormat="1" applyFont="1" applyBorder="1" applyAlignment="1">
      <alignment horizontal="center" vertical="center"/>
    </xf>
    <xf numFmtId="166" fontId="16" fillId="0" borderId="26" xfId="132" applyNumberFormat="1" applyFont="1" applyFill="1" applyBorder="1" applyAlignment="1">
      <alignment vertical="center"/>
    </xf>
    <xf numFmtId="166" fontId="16" fillId="0" borderId="15" xfId="132" applyNumberFormat="1" applyFont="1" applyFill="1" applyBorder="1" applyAlignment="1">
      <alignment vertical="center" wrapText="1"/>
    </xf>
    <xf numFmtId="37" fontId="16" fillId="14" borderId="11" xfId="132" applyNumberFormat="1" applyFont="1" applyFill="1" applyBorder="1" applyAlignment="1">
      <alignment horizontal="center"/>
    </xf>
    <xf numFmtId="166" fontId="16" fillId="0" borderId="26" xfId="132" applyNumberFormat="1" applyFont="1" applyFill="1" applyBorder="1" applyAlignment="1">
      <alignment vertical="center" wrapText="1"/>
    </xf>
    <xf numFmtId="166" fontId="16" fillId="0" borderId="11" xfId="132" applyNumberFormat="1" applyFont="1" applyFill="1" applyBorder="1" applyAlignment="1">
      <alignment horizontal="center" vertical="center" wrapText="1"/>
    </xf>
    <xf numFmtId="1" fontId="16" fillId="0" borderId="11" xfId="131" applyNumberFormat="1" applyFont="1" applyBorder="1" applyAlignment="1" applyProtection="1">
      <alignment horizontal="center" vertical="center"/>
    </xf>
    <xf numFmtId="37" fontId="16" fillId="2" borderId="11" xfId="132" applyNumberFormat="1" applyFont="1" applyFill="1" applyBorder="1" applyAlignment="1">
      <alignment horizontal="center" vertical="center"/>
    </xf>
    <xf numFmtId="166" fontId="16" fillId="0" borderId="11" xfId="132" applyNumberFormat="1" applyFont="1" applyFill="1" applyBorder="1" applyAlignment="1">
      <alignment horizontal="center" wrapText="1"/>
    </xf>
    <xf numFmtId="166" fontId="16" fillId="0" borderId="68" xfId="132" applyNumberFormat="1" applyFont="1" applyFill="1" applyBorder="1" applyAlignment="1">
      <alignment vertical="center" wrapText="1"/>
    </xf>
    <xf numFmtId="37" fontId="16" fillId="14" borderId="11" xfId="132" applyNumberFormat="1" applyFont="1" applyFill="1" applyBorder="1" applyAlignment="1">
      <alignment horizontal="center" vertical="center"/>
    </xf>
    <xf numFmtId="1" fontId="16" fillId="0" borderId="11" xfId="131" applyNumberFormat="1" applyFont="1" applyBorder="1" applyAlignment="1" applyProtection="1">
      <alignment horizontal="center"/>
    </xf>
    <xf numFmtId="166" fontId="2" fillId="0" borderId="68" xfId="132" applyNumberFormat="1" applyFont="1" applyBorder="1" applyAlignment="1"/>
    <xf numFmtId="166" fontId="2" fillId="0" borderId="26" xfId="132" applyNumberFormat="1" applyFont="1" applyBorder="1" applyAlignment="1"/>
    <xf numFmtId="0" fontId="7" fillId="0" borderId="0" xfId="9" applyFont="1" applyAlignment="1" applyProtection="1"/>
    <xf numFmtId="4" fontId="1" fillId="0" borderId="0" xfId="103" applyNumberFormat="1"/>
    <xf numFmtId="164" fontId="11" fillId="0" borderId="0" xfId="132" applyFont="1"/>
    <xf numFmtId="9" fontId="11" fillId="0" borderId="0" xfId="111" applyFont="1"/>
    <xf numFmtId="0" fontId="18" fillId="0" borderId="0" xfId="129" applyFont="1" applyFill="1" applyBorder="1"/>
    <xf numFmtId="166" fontId="11" fillId="0" borderId="0" xfId="132" applyNumberFormat="1" applyFont="1" applyFill="1" applyBorder="1"/>
    <xf numFmtId="0" fontId="18" fillId="0" borderId="39" xfId="129" applyFont="1" applyFill="1" applyBorder="1"/>
    <xf numFmtId="0" fontId="18" fillId="0" borderId="25" xfId="129" applyFont="1" applyFill="1" applyBorder="1"/>
    <xf numFmtId="0" fontId="18" fillId="0" borderId="40" xfId="129" applyFont="1" applyFill="1" applyBorder="1"/>
    <xf numFmtId="0" fontId="3" fillId="4" borderId="54" xfId="121" applyFont="1" applyFill="1" applyBorder="1" applyAlignment="1">
      <alignment horizontal="center" vertical="center"/>
    </xf>
    <xf numFmtId="0" fontId="3" fillId="4" borderId="52" xfId="121" applyFont="1" applyFill="1" applyBorder="1" applyAlignment="1">
      <alignment horizontal="center" vertical="center"/>
    </xf>
    <xf numFmtId="166" fontId="0" fillId="0" borderId="53" xfId="54" applyNumberFormat="1" applyFont="1" applyBorder="1" applyAlignment="1">
      <alignment horizontal="center"/>
    </xf>
    <xf numFmtId="175" fontId="9" fillId="0" borderId="24" xfId="85" applyNumberFormat="1" applyFont="1" applyFill="1" applyBorder="1" applyAlignment="1">
      <alignment horizontal="right"/>
    </xf>
    <xf numFmtId="0" fontId="18" fillId="0" borderId="11" xfId="85" applyFont="1" applyFill="1" applyBorder="1" applyAlignment="1">
      <alignment horizontal="left" vertical="top" wrapText="1"/>
    </xf>
    <xf numFmtId="0" fontId="9" fillId="0" borderId="11" xfId="85" applyFont="1" applyFill="1" applyBorder="1" applyAlignment="1">
      <alignment horizontal="left" vertical="top" wrapText="1"/>
    </xf>
    <xf numFmtId="0" fontId="30" fillId="5" borderId="3" xfId="85" applyFont="1" applyFill="1" applyBorder="1" applyAlignment="1">
      <alignment horizontal="center" vertical="center" wrapText="1"/>
    </xf>
    <xf numFmtId="0" fontId="16" fillId="2" borderId="25" xfId="131" applyFont="1" applyFill="1" applyBorder="1" applyAlignment="1">
      <alignment vertical="center"/>
    </xf>
    <xf numFmtId="0" fontId="16" fillId="2" borderId="25" xfId="131" applyFont="1" applyFill="1" applyBorder="1" applyAlignment="1">
      <alignment vertical="center" wrapText="1"/>
    </xf>
    <xf numFmtId="0" fontId="16" fillId="2" borderId="47" xfId="131" applyFont="1" applyFill="1" applyBorder="1" applyAlignment="1">
      <alignment vertical="center"/>
    </xf>
    <xf numFmtId="49" fontId="16" fillId="0" borderId="26" xfId="131" applyNumberFormat="1" applyFont="1" applyBorder="1" applyAlignment="1">
      <alignment horizontal="center" vertical="center"/>
    </xf>
    <xf numFmtId="1" fontId="16" fillId="0" borderId="26" xfId="131" applyNumberFormat="1" applyFont="1" applyBorder="1" applyAlignment="1">
      <alignment horizontal="center"/>
    </xf>
    <xf numFmtId="37" fontId="16" fillId="2" borderId="26" xfId="132" applyNumberFormat="1" applyFont="1" applyFill="1" applyBorder="1" applyAlignment="1">
      <alignment horizontal="center"/>
    </xf>
    <xf numFmtId="0" fontId="19" fillId="13" borderId="30" xfId="131" applyFont="1" applyFill="1" applyBorder="1" applyAlignment="1">
      <alignment horizontal="center" vertical="center" wrapText="1"/>
    </xf>
    <xf numFmtId="0" fontId="19" fillId="13" borderId="3" xfId="131" applyFont="1" applyFill="1" applyBorder="1" applyAlignment="1">
      <alignment horizontal="center" vertical="center" wrapText="1"/>
    </xf>
    <xf numFmtId="3" fontId="19" fillId="13" borderId="3" xfId="131" applyNumberFormat="1" applyFont="1" applyFill="1" applyBorder="1" applyAlignment="1">
      <alignment horizontal="center" vertical="center" wrapText="1"/>
    </xf>
    <xf numFmtId="3" fontId="19" fillId="13" borderId="3" xfId="131" applyNumberFormat="1" applyFont="1" applyFill="1" applyBorder="1" applyAlignment="1">
      <alignment horizontal="center" vertical="center"/>
    </xf>
    <xf numFmtId="0" fontId="18" fillId="0" borderId="23" xfId="129" applyFont="1" applyFill="1" applyBorder="1"/>
    <xf numFmtId="0" fontId="18" fillId="0" borderId="9" xfId="129" applyFont="1" applyFill="1" applyBorder="1"/>
    <xf numFmtId="0" fontId="18" fillId="0" borderId="36" xfId="129" applyFont="1" applyFill="1" applyBorder="1"/>
    <xf numFmtId="187" fontId="2" fillId="15" borderId="1" xfId="103" applyNumberFormat="1" applyFont="1" applyFill="1" applyBorder="1" applyAlignment="1">
      <alignment horizontal="center" vertical="center" wrapText="1"/>
    </xf>
    <xf numFmtId="4" fontId="2" fillId="15" borderId="3" xfId="103" applyNumberFormat="1" applyFont="1" applyFill="1" applyBorder="1" applyAlignment="1">
      <alignment horizontal="center" vertical="center" wrapText="1"/>
    </xf>
    <xf numFmtId="4" fontId="2" fillId="15" borderId="4" xfId="103" applyNumberFormat="1" applyFont="1" applyFill="1" applyBorder="1" applyAlignment="1">
      <alignment horizontal="center" vertical="center" wrapText="1"/>
    </xf>
    <xf numFmtId="187" fontId="2" fillId="15" borderId="30" xfId="103" applyNumberFormat="1" applyFont="1" applyFill="1" applyBorder="1" applyAlignment="1">
      <alignment horizontal="center" vertical="center" wrapText="1"/>
    </xf>
    <xf numFmtId="0" fontId="26" fillId="0" borderId="11" xfId="0" applyNumberFormat="1" applyFont="1" applyFill="1" applyBorder="1" applyAlignment="1" applyProtection="1">
      <alignment horizontal="left"/>
    </xf>
    <xf numFmtId="0" fontId="25" fillId="0" borderId="11" xfId="1" applyNumberFormat="1" applyFont="1" applyFill="1" applyBorder="1" applyAlignment="1" applyProtection="1">
      <alignment horizontal="left"/>
    </xf>
    <xf numFmtId="0" fontId="26" fillId="0" borderId="26" xfId="0" applyNumberFormat="1" applyFont="1" applyFill="1" applyBorder="1" applyAlignment="1" applyProtection="1">
      <alignment horizontal="left"/>
    </xf>
    <xf numFmtId="0" fontId="26" fillId="0" borderId="26" xfId="0" applyFont="1" applyFill="1" applyBorder="1" applyAlignment="1" applyProtection="1">
      <alignment horizontal="center"/>
    </xf>
    <xf numFmtId="0" fontId="46" fillId="0" borderId="11" xfId="1" applyNumberFormat="1" applyFont="1" applyFill="1" applyBorder="1" applyAlignment="1" applyProtection="1">
      <alignment horizontal="left"/>
    </xf>
    <xf numFmtId="0" fontId="46" fillId="0" borderId="11" xfId="1" applyFont="1" applyFill="1" applyBorder="1" applyProtection="1"/>
    <xf numFmtId="0" fontId="46" fillId="0" borderId="0" xfId="1" applyFont="1" applyFill="1" applyProtection="1"/>
    <xf numFmtId="0" fontId="22" fillId="0" borderId="11" xfId="0" applyFont="1" applyBorder="1"/>
    <xf numFmtId="0" fontId="22" fillId="0" borderId="11" xfId="0" applyFont="1" applyBorder="1" applyAlignment="1">
      <alignment horizontal="right"/>
    </xf>
    <xf numFmtId="0" fontId="22" fillId="0" borderId="25" xfId="0" applyFont="1" applyBorder="1"/>
    <xf numFmtId="0" fontId="22" fillId="0" borderId="12" xfId="0" applyFont="1" applyBorder="1"/>
    <xf numFmtId="0" fontId="0" fillId="0" borderId="25" xfId="0" applyFill="1" applyBorder="1" applyAlignment="1" applyProtection="1">
      <alignment wrapText="1"/>
    </xf>
    <xf numFmtId="0" fontId="22" fillId="0" borderId="40" xfId="0" applyFont="1" applyBorder="1"/>
    <xf numFmtId="0" fontId="22" fillId="0" borderId="41" xfId="0" applyFont="1" applyBorder="1" applyAlignment="1">
      <alignment horizontal="right"/>
    </xf>
    <xf numFmtId="0" fontId="22" fillId="0" borderId="41" xfId="0" applyFont="1" applyBorder="1"/>
    <xf numFmtId="0" fontId="22" fillId="0" borderId="42" xfId="0" applyFont="1" applyBorder="1"/>
    <xf numFmtId="0" fontId="22" fillId="0" borderId="47" xfId="0" applyFont="1" applyBorder="1"/>
    <xf numFmtId="0" fontId="22" fillId="0" borderId="26" xfId="0" applyFont="1" applyBorder="1" applyAlignment="1">
      <alignment horizontal="right"/>
    </xf>
    <xf numFmtId="0" fontId="22" fillId="0" borderId="26" xfId="0" applyFont="1" applyBorder="1"/>
    <xf numFmtId="0" fontId="22" fillId="0" borderId="27" xfId="0" applyFont="1" applyBorder="1"/>
    <xf numFmtId="0" fontId="47" fillId="8" borderId="30" xfId="0" applyFont="1" applyFill="1" applyBorder="1" applyAlignment="1">
      <alignment horizontal="center"/>
    </xf>
    <xf numFmtId="0" fontId="47" fillId="8" borderId="3" xfId="0" applyFont="1" applyFill="1" applyBorder="1" applyAlignment="1">
      <alignment horizontal="center" wrapText="1"/>
    </xf>
    <xf numFmtId="0" fontId="47" fillId="8" borderId="3" xfId="0" applyFont="1" applyFill="1" applyBorder="1" applyAlignment="1">
      <alignment horizontal="center"/>
    </xf>
    <xf numFmtId="0" fontId="47" fillId="8" borderId="4" xfId="0" applyFont="1" applyFill="1" applyBorder="1" applyAlignment="1">
      <alignment horizontal="center"/>
    </xf>
    <xf numFmtId="180" fontId="49" fillId="0" borderId="0" xfId="2" applyNumberFormat="1" applyFont="1"/>
    <xf numFmtId="166" fontId="0" fillId="0" borderId="64" xfId="54" applyNumberFormat="1" applyFont="1" applyBorder="1" applyAlignment="1">
      <alignment horizontal="center"/>
    </xf>
    <xf numFmtId="0" fontId="30" fillId="0" borderId="33" xfId="85" applyFont="1" applyBorder="1" applyAlignment="1" applyProtection="1">
      <alignment horizontal="right"/>
      <protection locked="0"/>
    </xf>
    <xf numFmtId="0" fontId="30" fillId="0" borderId="58" xfId="85" applyFont="1" applyBorder="1" applyAlignment="1" applyProtection="1">
      <alignment horizontal="right"/>
      <protection locked="0"/>
    </xf>
    <xf numFmtId="0" fontId="9" fillId="0" borderId="58" xfId="85" applyFont="1" applyBorder="1" applyAlignment="1" applyProtection="1">
      <alignment horizontal="center" vertical="center"/>
      <protection locked="0"/>
    </xf>
    <xf numFmtId="0" fontId="9" fillId="0" borderId="67" xfId="85" applyFont="1" applyBorder="1" applyAlignment="1" applyProtection="1">
      <alignment horizontal="center" vertical="center"/>
      <protection locked="0"/>
    </xf>
    <xf numFmtId="0" fontId="30" fillId="0" borderId="32" xfId="85" applyFont="1" applyBorder="1" applyAlignment="1" applyProtection="1">
      <alignment horizontal="right"/>
      <protection locked="0"/>
    </xf>
    <xf numFmtId="0" fontId="30" fillId="0" borderId="70" xfId="85" applyFont="1" applyBorder="1" applyAlignment="1" applyProtection="1">
      <alignment horizontal="center" vertical="center" wrapText="1"/>
      <protection locked="0"/>
    </xf>
    <xf numFmtId="0" fontId="9" fillId="4" borderId="70" xfId="85" applyFont="1" applyFill="1" applyBorder="1"/>
    <xf numFmtId="0" fontId="30" fillId="0" borderId="61" xfId="85" applyFont="1" applyBorder="1" applyAlignment="1" applyProtection="1">
      <alignment horizontal="right"/>
      <protection locked="0"/>
    </xf>
    <xf numFmtId="0" fontId="30" fillId="0" borderId="62" xfId="85" applyFont="1" applyBorder="1" applyAlignment="1" applyProtection="1">
      <alignment horizontal="right"/>
      <protection locked="0"/>
    </xf>
    <xf numFmtId="0" fontId="9" fillId="4" borderId="62" xfId="85" applyFont="1" applyFill="1" applyBorder="1"/>
    <xf numFmtId="0" fontId="9" fillId="4" borderId="38" xfId="85" applyFont="1" applyFill="1" applyBorder="1"/>
    <xf numFmtId="166" fontId="0" fillId="0" borderId="5" xfId="54" applyNumberFormat="1" applyFont="1" applyBorder="1" applyAlignment="1">
      <alignment horizontal="center"/>
    </xf>
    <xf numFmtId="166" fontId="0" fillId="0" borderId="9" xfId="54" applyNumberFormat="1" applyFont="1" applyBorder="1" applyAlignment="1">
      <alignment horizontal="center"/>
    </xf>
    <xf numFmtId="166" fontId="0" fillId="0" borderId="36" xfId="54" applyNumberFormat="1" applyFont="1" applyBorder="1" applyAlignment="1">
      <alignment horizontal="center"/>
    </xf>
    <xf numFmtId="166" fontId="30" fillId="11" borderId="1" xfId="54" applyNumberFormat="1" applyFont="1" applyFill="1" applyBorder="1" applyAlignment="1">
      <alignment horizontal="center"/>
    </xf>
    <xf numFmtId="166" fontId="0" fillId="0" borderId="23" xfId="54" applyNumberFormat="1" applyFont="1" applyBorder="1" applyAlignment="1">
      <alignment horizontal="center"/>
    </xf>
    <xf numFmtId="180" fontId="9" fillId="0" borderId="0" xfId="85" applyNumberFormat="1" applyFont="1"/>
    <xf numFmtId="180" fontId="9" fillId="0" borderId="49" xfId="2" applyNumberFormat="1" applyFont="1" applyFill="1" applyBorder="1" applyAlignment="1">
      <alignment horizontal="right"/>
    </xf>
    <xf numFmtId="175" fontId="9" fillId="0" borderId="50" xfId="85" applyNumberFormat="1" applyFont="1" applyFill="1" applyBorder="1" applyAlignment="1">
      <alignment horizontal="right"/>
    </xf>
    <xf numFmtId="180" fontId="9" fillId="0" borderId="61" xfId="2" applyNumberFormat="1" applyFont="1" applyFill="1" applyBorder="1" applyAlignment="1">
      <alignment horizontal="right"/>
    </xf>
    <xf numFmtId="180" fontId="9" fillId="0" borderId="23" xfId="2" applyNumberFormat="1" applyFont="1" applyFill="1" applyBorder="1" applyAlignment="1">
      <alignment horizontal="right"/>
    </xf>
    <xf numFmtId="180" fontId="9" fillId="0" borderId="20" xfId="2" applyNumberFormat="1" applyFont="1" applyFill="1" applyBorder="1" applyAlignment="1">
      <alignment horizontal="right"/>
    </xf>
    <xf numFmtId="0" fontId="18" fillId="0" borderId="49" xfId="85" applyFont="1" applyFill="1" applyBorder="1" applyAlignment="1">
      <alignment horizontal="left" vertical="top" wrapText="1" indent="3"/>
    </xf>
    <xf numFmtId="0" fontId="18" fillId="0" borderId="61" xfId="85" applyFont="1" applyFill="1" applyBorder="1" applyAlignment="1">
      <alignment horizontal="left" vertical="top" wrapText="1" indent="3"/>
    </xf>
    <xf numFmtId="175" fontId="9" fillId="0" borderId="62" xfId="85" applyNumberFormat="1" applyFont="1" applyFill="1" applyBorder="1" applyAlignment="1">
      <alignment horizontal="right"/>
    </xf>
    <xf numFmtId="166" fontId="0" fillId="0" borderId="20" xfId="54" applyNumberFormat="1" applyFont="1" applyBorder="1" applyAlignment="1">
      <alignment horizontal="center"/>
    </xf>
    <xf numFmtId="166" fontId="9" fillId="0" borderId="50" xfId="3" applyNumberFormat="1" applyFont="1" applyFill="1" applyBorder="1" applyAlignment="1">
      <alignment horizontal="right"/>
    </xf>
    <xf numFmtId="166" fontId="9" fillId="0" borderId="38" xfId="3" applyNumberFormat="1" applyFont="1" applyFill="1" applyBorder="1" applyAlignment="1">
      <alignment horizontal="right"/>
    </xf>
    <xf numFmtId="180" fontId="9" fillId="0" borderId="29" xfId="2" applyNumberFormat="1" applyFont="1" applyFill="1" applyBorder="1" applyAlignment="1">
      <alignment horizontal="right"/>
    </xf>
    <xf numFmtId="175" fontId="23" fillId="0" borderId="31" xfId="85" applyNumberFormat="1" applyFont="1" applyFill="1" applyBorder="1" applyAlignment="1">
      <alignment vertical="top" wrapText="1"/>
    </xf>
    <xf numFmtId="166" fontId="2" fillId="0" borderId="1" xfId="54" applyNumberFormat="1" applyFont="1" applyBorder="1" applyAlignment="1">
      <alignment horizontal="center"/>
    </xf>
    <xf numFmtId="180" fontId="30" fillId="0" borderId="1" xfId="2" applyNumberFormat="1" applyFont="1" applyFill="1" applyBorder="1" applyAlignment="1">
      <alignment horizontal="right"/>
    </xf>
    <xf numFmtId="175" fontId="9" fillId="0" borderId="0" xfId="85" applyNumberFormat="1" applyFont="1" applyFill="1" applyBorder="1" applyAlignment="1">
      <alignment horizontal="right"/>
    </xf>
    <xf numFmtId="0" fontId="18" fillId="0" borderId="63" xfId="85" applyFont="1" applyFill="1" applyBorder="1" applyAlignment="1">
      <alignment horizontal="left" vertical="top" wrapText="1" indent="3"/>
    </xf>
    <xf numFmtId="175" fontId="9" fillId="0" borderId="34" xfId="85" applyNumberFormat="1" applyFont="1" applyFill="1" applyBorder="1" applyAlignment="1">
      <alignment horizontal="right"/>
    </xf>
    <xf numFmtId="175" fontId="9" fillId="0" borderId="64" xfId="85" applyNumberFormat="1" applyFont="1" applyFill="1" applyBorder="1" applyAlignment="1">
      <alignment horizontal="right"/>
    </xf>
    <xf numFmtId="166" fontId="0" fillId="0" borderId="71" xfId="54" applyNumberFormat="1" applyFont="1" applyBorder="1" applyAlignment="1">
      <alignment horizontal="center"/>
    </xf>
    <xf numFmtId="166" fontId="30" fillId="11" borderId="20" xfId="54" applyNumberFormat="1" applyFont="1" applyFill="1" applyBorder="1" applyAlignment="1">
      <alignment horizontal="center"/>
    </xf>
    <xf numFmtId="0" fontId="18" fillId="0" borderId="32" xfId="85" applyFont="1" applyFill="1" applyBorder="1" applyAlignment="1">
      <alignment horizontal="left" vertical="top" wrapText="1" indent="3"/>
    </xf>
    <xf numFmtId="175" fontId="9" fillId="0" borderId="70" xfId="85" applyNumberFormat="1" applyFont="1" applyFill="1" applyBorder="1" applyAlignment="1">
      <alignment horizontal="right"/>
    </xf>
    <xf numFmtId="0" fontId="30" fillId="5" borderId="19" xfId="85" applyFont="1" applyFill="1" applyBorder="1" applyAlignment="1">
      <alignment horizontal="center" vertical="center" wrapText="1"/>
    </xf>
    <xf numFmtId="0" fontId="30" fillId="5" borderId="59" xfId="85" applyFont="1" applyFill="1" applyBorder="1" applyAlignment="1">
      <alignment horizontal="center" vertical="center" wrapText="1"/>
    </xf>
    <xf numFmtId="0" fontId="9" fillId="0" borderId="6" xfId="85" applyFont="1" applyBorder="1"/>
    <xf numFmtId="166" fontId="30" fillId="0" borderId="1" xfId="85" applyNumberFormat="1" applyFont="1" applyBorder="1" applyAlignment="1">
      <alignment horizontal="center"/>
    </xf>
    <xf numFmtId="166" fontId="3" fillId="0" borderId="9" xfId="54" applyNumberFormat="1" applyFont="1" applyFill="1" applyBorder="1" applyAlignment="1">
      <alignment horizontal="center" vertical="center" wrapText="1"/>
    </xf>
    <xf numFmtId="166" fontId="3" fillId="0" borderId="36" xfId="54" applyNumberFormat="1" applyFont="1" applyFill="1" applyBorder="1" applyAlignment="1">
      <alignment horizontal="center" vertical="center" wrapText="1"/>
    </xf>
    <xf numFmtId="0" fontId="3" fillId="4" borderId="49" xfId="121" applyFont="1" applyFill="1" applyBorder="1" applyAlignment="1">
      <alignment horizontal="center" vertical="center"/>
    </xf>
    <xf numFmtId="9" fontId="3" fillId="4" borderId="26" xfId="122" applyNumberFormat="1" applyFont="1" applyFill="1" applyBorder="1" applyAlignment="1">
      <alignment horizontal="center" vertical="center"/>
    </xf>
    <xf numFmtId="166" fontId="3" fillId="4" borderId="28" xfId="54" applyNumberFormat="1" applyFont="1" applyFill="1" applyBorder="1" applyAlignment="1">
      <alignment horizontal="center" vertical="center" wrapText="1"/>
    </xf>
    <xf numFmtId="10" fontId="35" fillId="7" borderId="26" xfId="118" applyNumberFormat="1" applyFont="1" applyFill="1" applyBorder="1" applyAlignment="1">
      <alignment horizontal="center" vertical="center" wrapText="1"/>
    </xf>
    <xf numFmtId="183" fontId="35" fillId="0" borderId="28" xfId="121" applyNumberFormat="1" applyFont="1" applyFill="1" applyBorder="1" applyAlignment="1">
      <alignment horizontal="right" vertical="center" wrapText="1"/>
    </xf>
    <xf numFmtId="166" fontId="3" fillId="0" borderId="23" xfId="54" applyNumberFormat="1" applyFont="1" applyFill="1" applyBorder="1" applyAlignment="1">
      <alignment horizontal="center" vertical="center" wrapText="1"/>
    </xf>
    <xf numFmtId="0" fontId="34" fillId="5" borderId="29" xfId="121" applyFont="1" applyFill="1" applyBorder="1" applyAlignment="1">
      <alignment horizontal="center" vertical="center" wrapText="1"/>
    </xf>
    <xf numFmtId="0" fontId="34" fillId="5" borderId="3" xfId="121" applyFont="1" applyFill="1" applyBorder="1" applyAlignment="1">
      <alignment horizontal="center" vertical="center" wrapText="1"/>
    </xf>
    <xf numFmtId="0" fontId="34" fillId="9" borderId="3" xfId="121" applyFont="1" applyFill="1" applyBorder="1" applyAlignment="1">
      <alignment horizontal="center" vertical="center" wrapText="1"/>
    </xf>
    <xf numFmtId="0" fontId="34" fillId="9" borderId="48" xfId="121" applyFont="1" applyFill="1" applyBorder="1" applyAlignment="1">
      <alignment horizontal="center" vertical="center" wrapText="1"/>
    </xf>
    <xf numFmtId="0" fontId="34" fillId="9" borderId="1" xfId="121" applyFont="1" applyFill="1" applyBorder="1" applyAlignment="1">
      <alignment horizontal="center" vertical="center" wrapText="1"/>
    </xf>
    <xf numFmtId="0" fontId="30" fillId="5" borderId="67" xfId="85" applyFont="1" applyFill="1" applyBorder="1" applyAlignment="1">
      <alignment horizontal="center" vertical="center" wrapText="1"/>
    </xf>
    <xf numFmtId="0" fontId="30" fillId="0" borderId="4" xfId="120" applyNumberFormat="1" applyFont="1" applyFill="1" applyBorder="1" applyAlignment="1">
      <alignment horizontal="center" vertical="center"/>
    </xf>
    <xf numFmtId="180" fontId="12" fillId="12" borderId="6" xfId="85" applyNumberFormat="1" applyFont="1" applyFill="1" applyBorder="1" applyAlignment="1">
      <alignment horizontal="center" vertical="center" wrapText="1"/>
    </xf>
    <xf numFmtId="164" fontId="35" fillId="0" borderId="8" xfId="3" applyFont="1" applyFill="1" applyBorder="1" applyAlignment="1">
      <alignment horizontal="center" vertical="center" wrapText="1"/>
    </xf>
    <xf numFmtId="164" fontId="35" fillId="0" borderId="12" xfId="3" applyFont="1" applyFill="1" applyBorder="1" applyAlignment="1">
      <alignment horizontal="center" vertical="center" wrapText="1"/>
    </xf>
    <xf numFmtId="180" fontId="12" fillId="12" borderId="11" xfId="85" applyNumberFormat="1" applyFont="1" applyFill="1" applyBorder="1" applyAlignment="1">
      <alignment horizontal="center" vertical="center" wrapText="1"/>
    </xf>
    <xf numFmtId="166" fontId="9" fillId="0" borderId="7" xfId="3" applyNumberFormat="1" applyFont="1" applyFill="1" applyBorder="1" applyAlignment="1"/>
    <xf numFmtId="166" fontId="9" fillId="0" borderId="11" xfId="3" applyNumberFormat="1" applyFont="1" applyFill="1" applyBorder="1" applyAlignment="1"/>
    <xf numFmtId="164" fontId="9" fillId="0" borderId="0" xfId="85" applyNumberFormat="1" applyFont="1"/>
    <xf numFmtId="165" fontId="9" fillId="0" borderId="0" xfId="85" applyNumberFormat="1" applyFont="1"/>
    <xf numFmtId="0" fontId="0" fillId="0" borderId="1" xfId="0" applyFill="1" applyBorder="1"/>
    <xf numFmtId="0" fontId="0" fillId="0" borderId="2" xfId="0" applyFill="1" applyBorder="1"/>
    <xf numFmtId="0" fontId="0" fillId="0" borderId="3" xfId="0" applyFill="1" applyBorder="1"/>
    <xf numFmtId="166" fontId="0" fillId="0" borderId="4" xfId="3" applyNumberFormat="1" applyFont="1" applyFill="1" applyBorder="1"/>
    <xf numFmtId="166" fontId="25" fillId="0" borderId="0" xfId="3" applyNumberFormat="1" applyFont="1" applyFill="1" applyBorder="1" applyProtection="1"/>
    <xf numFmtId="0" fontId="26" fillId="0" borderId="0" xfId="0" applyFont="1" applyFill="1" applyBorder="1" applyProtection="1"/>
    <xf numFmtId="0" fontId="26" fillId="0" borderId="0" xfId="0" applyFont="1" applyFill="1" applyBorder="1" applyAlignment="1" applyProtection="1">
      <alignment wrapText="1"/>
    </xf>
    <xf numFmtId="165" fontId="26" fillId="0" borderId="0" xfId="2" applyFont="1" applyFill="1" applyBorder="1" applyProtection="1"/>
    <xf numFmtId="166" fontId="26" fillId="0" borderId="0" xfId="3" applyNumberFormat="1" applyFont="1" applyFill="1" applyBorder="1" applyProtection="1"/>
    <xf numFmtId="164" fontId="26" fillId="0" borderId="0" xfId="3" applyNumberFormat="1" applyFont="1" applyFill="1" applyBorder="1" applyProtection="1"/>
    <xf numFmtId="0" fontId="24" fillId="6" borderId="58" xfId="4" applyFont="1" applyFill="1" applyBorder="1" applyAlignment="1">
      <alignment horizontal="center" vertical="center" wrapText="1"/>
    </xf>
    <xf numFmtId="175" fontId="24" fillId="0" borderId="48" xfId="4" applyNumberFormat="1" applyFont="1" applyBorder="1" applyAlignment="1">
      <alignment vertical="center"/>
    </xf>
    <xf numFmtId="10" fontId="24" fillId="6" borderId="48" xfId="114" applyNumberFormat="1" applyFont="1" applyFill="1" applyBorder="1" applyAlignment="1">
      <alignment horizontal="center" vertical="center" wrapText="1"/>
    </xf>
    <xf numFmtId="10" fontId="24" fillId="6" borderId="1" xfId="114" applyNumberFormat="1" applyFont="1" applyFill="1" applyBorder="1" applyAlignment="1">
      <alignment horizontal="center" vertical="center" wrapText="1"/>
    </xf>
    <xf numFmtId="0" fontId="18" fillId="0" borderId="7" xfId="85" applyFont="1" applyFill="1" applyBorder="1" applyAlignment="1">
      <alignment horizontal="left" vertical="top" wrapText="1"/>
    </xf>
    <xf numFmtId="165" fontId="9" fillId="0" borderId="7" xfId="85" applyNumberFormat="1" applyFont="1" applyFill="1" applyBorder="1" applyAlignment="1">
      <alignment horizontal="center"/>
    </xf>
    <xf numFmtId="9" fontId="18" fillId="0" borderId="7" xfId="85" applyNumberFormat="1" applyFont="1" applyFill="1" applyBorder="1" applyAlignment="1">
      <alignment horizontal="center" vertical="top" wrapText="1"/>
    </xf>
    <xf numFmtId="0" fontId="18" fillId="0" borderId="41" xfId="85" applyFont="1" applyFill="1" applyBorder="1" applyAlignment="1">
      <alignment horizontal="left" vertical="top" wrapText="1"/>
    </xf>
    <xf numFmtId="165" fontId="9" fillId="0" borderId="41" xfId="85" applyNumberFormat="1" applyFont="1" applyFill="1" applyBorder="1" applyAlignment="1">
      <alignment horizontal="center"/>
    </xf>
    <xf numFmtId="9" fontId="18" fillId="0" borderId="41" xfId="85" applyNumberFormat="1" applyFont="1" applyFill="1" applyBorder="1" applyAlignment="1">
      <alignment horizontal="center" vertical="top" wrapText="1"/>
    </xf>
    <xf numFmtId="180" fontId="26" fillId="0" borderId="0" xfId="2" applyNumberFormat="1" applyFont="1" applyFill="1" applyProtection="1"/>
    <xf numFmtId="180" fontId="26" fillId="0" borderId="0" xfId="2" applyNumberFormat="1" applyFont="1" applyFill="1" applyBorder="1" applyProtection="1"/>
    <xf numFmtId="180" fontId="46" fillId="0" borderId="11" xfId="2" applyNumberFormat="1" applyFont="1" applyFill="1" applyBorder="1" applyAlignment="1" applyProtection="1">
      <alignment horizontal="center" vertical="center" wrapText="1"/>
    </xf>
    <xf numFmtId="188" fontId="26" fillId="0" borderId="0" xfId="3" applyNumberFormat="1" applyFont="1" applyFill="1" applyProtection="1"/>
    <xf numFmtId="166" fontId="21" fillId="0" borderId="23" xfId="3" applyNumberFormat="1" applyFont="1" applyFill="1" applyBorder="1" applyAlignment="1">
      <alignment horizontal="left" vertical="center"/>
    </xf>
    <xf numFmtId="165" fontId="25" fillId="0" borderId="0" xfId="2" applyFont="1" applyFill="1" applyAlignment="1" applyProtection="1">
      <alignment horizontal="center"/>
    </xf>
    <xf numFmtId="180" fontId="12" fillId="12" borderId="11" xfId="85" quotePrefix="1" applyNumberFormat="1" applyFont="1" applyFill="1" applyBorder="1" applyAlignment="1">
      <alignment horizontal="center" vertical="center" wrapText="1"/>
    </xf>
    <xf numFmtId="0" fontId="3" fillId="0" borderId="35" xfId="0" applyFont="1" applyFill="1" applyBorder="1" applyAlignment="1">
      <alignment vertical="center" wrapText="1"/>
    </xf>
    <xf numFmtId="0" fontId="3" fillId="0" borderId="0" xfId="0" applyFont="1" applyFill="1" applyBorder="1" applyAlignment="1">
      <alignment vertical="center" wrapText="1"/>
    </xf>
    <xf numFmtId="0" fontId="9" fillId="0" borderId="14" xfId="85" applyFont="1" applyBorder="1"/>
    <xf numFmtId="0" fontId="30" fillId="5" borderId="39" xfId="85" applyFont="1" applyFill="1" applyBorder="1" applyAlignment="1">
      <alignment horizontal="center" vertical="center" wrapText="1"/>
    </xf>
    <xf numFmtId="0" fontId="30" fillId="5" borderId="72" xfId="85" applyFont="1" applyFill="1" applyBorder="1" applyAlignment="1">
      <alignment horizontal="center" vertical="center" wrapText="1"/>
    </xf>
    <xf numFmtId="0" fontId="30" fillId="5" borderId="5" xfId="85" applyFont="1" applyFill="1" applyBorder="1" applyAlignment="1">
      <alignment horizontal="center" vertical="center" wrapText="1"/>
    </xf>
    <xf numFmtId="180" fontId="12" fillId="0" borderId="9" xfId="0" applyNumberFormat="1" applyFont="1" applyBorder="1" applyAlignment="1">
      <alignment vertical="center"/>
    </xf>
    <xf numFmtId="180" fontId="12" fillId="12" borderId="15" xfId="85" applyNumberFormat="1" applyFont="1" applyFill="1" applyBorder="1" applyAlignment="1">
      <alignment horizontal="center" vertical="center" wrapText="1"/>
    </xf>
    <xf numFmtId="166" fontId="9" fillId="0" borderId="15" xfId="3" applyNumberFormat="1" applyFont="1" applyFill="1" applyBorder="1" applyAlignment="1"/>
    <xf numFmtId="164" fontId="35" fillId="0" borderId="16" xfId="3" applyFont="1" applyFill="1" applyBorder="1" applyAlignment="1">
      <alignment horizontal="center" vertical="center" wrapText="1"/>
    </xf>
    <xf numFmtId="166" fontId="0" fillId="0" borderId="65" xfId="54" applyNumberFormat="1" applyFont="1" applyBorder="1" applyAlignment="1">
      <alignment horizontal="center"/>
    </xf>
    <xf numFmtId="0" fontId="9" fillId="0" borderId="73" xfId="85" applyFont="1" applyBorder="1"/>
    <xf numFmtId="180" fontId="12" fillId="0" borderId="71" xfId="0" applyNumberFormat="1" applyFont="1" applyBorder="1" applyAlignment="1">
      <alignment vertical="center"/>
    </xf>
    <xf numFmtId="0" fontId="31" fillId="0" borderId="0" xfId="85" applyFont="1" applyBorder="1" applyAlignment="1">
      <alignment horizontal="center" wrapText="1"/>
    </xf>
    <xf numFmtId="189" fontId="12" fillId="0" borderId="0" xfId="119" applyNumberFormat="1" applyFont="1" applyFill="1" applyBorder="1" applyAlignment="1">
      <alignment vertical="center"/>
    </xf>
    <xf numFmtId="180" fontId="12" fillId="0" borderId="0" xfId="0" applyNumberFormat="1" applyFont="1" applyBorder="1" applyAlignment="1">
      <alignment vertical="center"/>
    </xf>
    <xf numFmtId="10" fontId="30" fillId="0" borderId="45" xfId="119" applyNumberFormat="1" applyFont="1" applyBorder="1"/>
    <xf numFmtId="10" fontId="36" fillId="0" borderId="46" xfId="119" applyNumberFormat="1" applyFont="1" applyFill="1" applyBorder="1" applyAlignment="1">
      <alignment vertical="center"/>
    </xf>
    <xf numFmtId="10" fontId="36" fillId="0" borderId="74" xfId="119" applyNumberFormat="1" applyFont="1" applyFill="1" applyBorder="1" applyAlignment="1">
      <alignment vertical="center"/>
    </xf>
    <xf numFmtId="0" fontId="2" fillId="0" borderId="0" xfId="0" applyFont="1"/>
    <xf numFmtId="166" fontId="0" fillId="0" borderId="11" xfId="3" applyNumberFormat="1" applyFont="1" applyBorder="1"/>
    <xf numFmtId="166" fontId="0" fillId="0" borderId="11" xfId="0" applyNumberFormat="1" applyBorder="1"/>
    <xf numFmtId="166" fontId="0" fillId="4" borderId="11" xfId="3" applyNumberFormat="1" applyFont="1" applyFill="1" applyBorder="1" applyAlignment="1">
      <alignment horizontal="center"/>
    </xf>
    <xf numFmtId="0" fontId="0" fillId="0" borderId="0" xfId="0" applyBorder="1"/>
    <xf numFmtId="166" fontId="0" fillId="0" borderId="0" xfId="3" applyNumberFormat="1" applyFont="1" applyBorder="1"/>
    <xf numFmtId="0" fontId="0" fillId="0" borderId="26" xfId="0" applyBorder="1"/>
    <xf numFmtId="166" fontId="0" fillId="0" borderId="26" xfId="3" applyNumberFormat="1" applyFont="1" applyBorder="1"/>
    <xf numFmtId="0" fontId="48" fillId="4" borderId="0" xfId="0" applyFont="1" applyFill="1" applyBorder="1"/>
    <xf numFmtId="0" fontId="46" fillId="0" borderId="0" xfId="0" applyFont="1" applyBorder="1" applyAlignment="1" applyProtection="1">
      <alignment horizontal="right"/>
      <protection locked="0"/>
    </xf>
    <xf numFmtId="0" fontId="48" fillId="0" borderId="0" xfId="0" applyFont="1" applyAlignment="1" applyProtection="1">
      <alignment horizontal="center" vertical="center"/>
      <protection locked="0"/>
    </xf>
    <xf numFmtId="0" fontId="48" fillId="0" borderId="0" xfId="0" applyFont="1" applyAlignment="1" applyProtection="1">
      <alignment horizontal="center"/>
      <protection locked="0"/>
    </xf>
    <xf numFmtId="0" fontId="48" fillId="0" borderId="0" xfId="0" applyFont="1" applyProtection="1">
      <protection locked="0"/>
    </xf>
    <xf numFmtId="0" fontId="46" fillId="0" borderId="33" xfId="0" applyFont="1" applyBorder="1" applyAlignment="1" applyProtection="1">
      <alignment horizontal="right"/>
      <protection locked="0"/>
    </xf>
    <xf numFmtId="0" fontId="48" fillId="0" borderId="58" xfId="0" applyFont="1" applyBorder="1" applyAlignment="1" applyProtection="1">
      <alignment horizontal="center" vertical="center"/>
      <protection locked="0"/>
    </xf>
    <xf numFmtId="0" fontId="48" fillId="0" borderId="58" xfId="0" applyFont="1" applyBorder="1" applyAlignment="1" applyProtection="1">
      <alignment horizontal="center"/>
      <protection locked="0"/>
    </xf>
    <xf numFmtId="0" fontId="46" fillId="0" borderId="58" xfId="0" applyFont="1" applyBorder="1" applyAlignment="1" applyProtection="1">
      <alignment horizontal="center" vertical="center" wrapText="1"/>
      <protection locked="0"/>
    </xf>
    <xf numFmtId="0" fontId="46" fillId="0" borderId="58" xfId="0" applyFont="1" applyBorder="1" applyAlignment="1" applyProtection="1">
      <alignment vertical="center" wrapText="1"/>
      <protection locked="0"/>
    </xf>
    <xf numFmtId="0" fontId="46" fillId="0" borderId="67" xfId="0" applyFont="1" applyBorder="1" applyAlignment="1" applyProtection="1">
      <alignment vertical="center" wrapText="1"/>
      <protection locked="0"/>
    </xf>
    <xf numFmtId="0" fontId="46" fillId="0" borderId="32" xfId="0" applyFont="1" applyBorder="1" applyAlignment="1" applyProtection="1">
      <alignment horizontal="right"/>
      <protection locked="0"/>
    </xf>
    <xf numFmtId="0" fontId="46" fillId="0" borderId="0" xfId="0" applyFont="1" applyBorder="1" applyAlignment="1" applyProtection="1">
      <alignment horizontal="center" vertical="center" wrapText="1"/>
      <protection locked="0"/>
    </xf>
    <xf numFmtId="0" fontId="48" fillId="0" borderId="0" xfId="0" applyFont="1" applyBorder="1" applyAlignment="1" applyProtection="1">
      <alignment horizontal="center"/>
      <protection locked="0"/>
    </xf>
    <xf numFmtId="0" fontId="46" fillId="0" borderId="70" xfId="0" applyFont="1" applyBorder="1" applyAlignment="1" applyProtection="1">
      <alignment vertical="center" wrapText="1"/>
      <protection locked="0"/>
    </xf>
    <xf numFmtId="0" fontId="46" fillId="0" borderId="0" xfId="0" applyFont="1" applyBorder="1" applyAlignment="1" applyProtection="1">
      <alignment vertical="center" wrapText="1"/>
      <protection locked="0"/>
    </xf>
    <xf numFmtId="0" fontId="48" fillId="4" borderId="70" xfId="0" applyFont="1" applyFill="1" applyBorder="1"/>
    <xf numFmtId="0" fontId="46" fillId="0" borderId="61" xfId="0" applyFont="1" applyBorder="1" applyAlignment="1" applyProtection="1">
      <alignment horizontal="right"/>
      <protection locked="0"/>
    </xf>
    <xf numFmtId="0" fontId="48" fillId="4" borderId="62" xfId="0" applyFont="1" applyFill="1" applyBorder="1"/>
    <xf numFmtId="0" fontId="48" fillId="4" borderId="38" xfId="0" applyFont="1" applyFill="1" applyBorder="1"/>
    <xf numFmtId="0" fontId="46" fillId="16" borderId="25" xfId="0" applyFont="1" applyFill="1" applyBorder="1" applyAlignment="1">
      <alignment horizontal="center" vertical="center" wrapText="1"/>
    </xf>
    <xf numFmtId="0" fontId="46" fillId="16" borderId="11" xfId="0" applyFont="1" applyFill="1" applyBorder="1" applyAlignment="1">
      <alignment horizontal="center" vertical="center" wrapText="1"/>
    </xf>
    <xf numFmtId="0" fontId="46" fillId="16" borderId="12" xfId="0" applyFont="1" applyFill="1" applyBorder="1" applyAlignment="1">
      <alignment horizontal="center" vertical="center" wrapText="1"/>
    </xf>
    <xf numFmtId="0" fontId="48" fillId="0" borderId="0" xfId="0" applyFont="1"/>
    <xf numFmtId="3" fontId="48" fillId="0" borderId="11" xfId="0" applyNumberFormat="1" applyFont="1" applyBorder="1" applyAlignment="1">
      <alignment horizontal="center" vertical="center"/>
    </xf>
    <xf numFmtId="175" fontId="48" fillId="7" borderId="11" xfId="0" applyNumberFormat="1" applyFont="1" applyFill="1" applyBorder="1" applyAlignment="1">
      <alignment horizontal="center" vertical="center"/>
    </xf>
    <xf numFmtId="175" fontId="48" fillId="0" borderId="11" xfId="0" applyNumberFormat="1" applyFont="1" applyFill="1" applyBorder="1" applyAlignment="1">
      <alignment horizontal="center" vertical="center"/>
    </xf>
    <xf numFmtId="175" fontId="48" fillId="0" borderId="11" xfId="0" applyNumberFormat="1" applyFont="1" applyBorder="1" applyAlignment="1">
      <alignment horizontal="center" vertical="center"/>
    </xf>
    <xf numFmtId="175" fontId="48" fillId="15" borderId="12" xfId="0" applyNumberFormat="1" applyFont="1" applyFill="1" applyBorder="1" applyAlignment="1">
      <alignment horizontal="center" vertical="center"/>
    </xf>
    <xf numFmtId="3" fontId="48" fillId="0" borderId="41" xfId="0" applyNumberFormat="1" applyFont="1" applyBorder="1" applyAlignment="1">
      <alignment horizontal="center" vertical="center"/>
    </xf>
    <xf numFmtId="175" fontId="48" fillId="7" borderId="41" xfId="0" applyNumberFormat="1" applyFont="1" applyFill="1" applyBorder="1" applyAlignment="1">
      <alignment horizontal="center" vertical="center"/>
    </xf>
    <xf numFmtId="175" fontId="48" fillId="0" borderId="41" xfId="0" applyNumberFormat="1" applyFont="1" applyFill="1" applyBorder="1" applyAlignment="1">
      <alignment horizontal="center" vertical="center"/>
    </xf>
    <xf numFmtId="175" fontId="48" fillId="0" borderId="41" xfId="0" applyNumberFormat="1" applyFont="1" applyBorder="1" applyAlignment="1">
      <alignment horizontal="center" vertical="center"/>
    </xf>
    <xf numFmtId="175" fontId="48" fillId="15" borderId="42" xfId="0" applyNumberFormat="1" applyFont="1" applyFill="1" applyBorder="1" applyAlignment="1">
      <alignment horizontal="center" vertical="center"/>
    </xf>
    <xf numFmtId="175" fontId="48" fillId="4" borderId="11" xfId="0" applyNumberFormat="1" applyFont="1" applyFill="1" applyBorder="1" applyAlignment="1">
      <alignment horizontal="justify" vertical="center" wrapText="1"/>
    </xf>
    <xf numFmtId="0" fontId="48" fillId="0" borderId="41" xfId="0" applyFont="1" applyBorder="1" applyAlignment="1">
      <alignment horizontal="justify" wrapText="1"/>
    </xf>
    <xf numFmtId="0" fontId="46" fillId="16" borderId="46" xfId="0" applyFont="1" applyFill="1" applyBorder="1" applyAlignment="1">
      <alignment horizontal="center" vertical="center" wrapText="1"/>
    </xf>
    <xf numFmtId="0" fontId="48" fillId="0" borderId="32" xfId="0" applyFont="1" applyBorder="1" applyAlignment="1" applyProtection="1">
      <alignment horizontal="left" vertical="center"/>
      <protection locked="0"/>
    </xf>
    <xf numFmtId="0" fontId="48" fillId="0" borderId="11" xfId="0" applyFont="1" applyBorder="1" applyAlignment="1">
      <alignment horizontal="center" vertical="center" wrapText="1"/>
    </xf>
    <xf numFmtId="0" fontId="48" fillId="0" borderId="11" xfId="0" applyFont="1" applyBorder="1" applyAlignment="1">
      <alignment horizontal="center" vertical="center"/>
    </xf>
    <xf numFmtId="175" fontId="48" fillId="4" borderId="11" xfId="0" applyNumberFormat="1" applyFont="1" applyFill="1" applyBorder="1" applyAlignment="1">
      <alignment horizontal="center" vertical="center"/>
    </xf>
    <xf numFmtId="0" fontId="48" fillId="0" borderId="32" xfId="0" applyFont="1" applyBorder="1"/>
    <xf numFmtId="0" fontId="48" fillId="0" borderId="0" xfId="0" applyFont="1" applyBorder="1"/>
    <xf numFmtId="0" fontId="48" fillId="0" borderId="11" xfId="0" applyFont="1" applyBorder="1" applyAlignment="1">
      <alignment vertical="center" wrapText="1"/>
    </xf>
    <xf numFmtId="0" fontId="46" fillId="16" borderId="10" xfId="0" applyFont="1" applyFill="1" applyBorder="1" applyAlignment="1">
      <alignment horizontal="center" vertical="center" wrapText="1"/>
    </xf>
    <xf numFmtId="0" fontId="46" fillId="4" borderId="33" xfId="0" applyFont="1" applyFill="1" applyBorder="1" applyAlignment="1" applyProtection="1">
      <alignment horizontal="right"/>
      <protection locked="0"/>
    </xf>
    <xf numFmtId="0" fontId="48" fillId="4" borderId="58" xfId="0" applyFont="1" applyFill="1" applyBorder="1" applyAlignment="1" applyProtection="1">
      <alignment horizontal="center" vertical="center"/>
      <protection locked="0"/>
    </xf>
    <xf numFmtId="0" fontId="48" fillId="4" borderId="58" xfId="0" applyFont="1" applyFill="1" applyBorder="1" applyAlignment="1" applyProtection="1">
      <alignment horizontal="center"/>
      <protection locked="0"/>
    </xf>
    <xf numFmtId="0" fontId="46" fillId="4" borderId="58" xfId="0" applyFont="1" applyFill="1" applyBorder="1" applyAlignment="1" applyProtection="1">
      <alignment horizontal="center" vertical="center" wrapText="1"/>
      <protection locked="0"/>
    </xf>
    <xf numFmtId="0" fontId="46" fillId="4" borderId="58" xfId="0" applyFont="1" applyFill="1" applyBorder="1" applyAlignment="1" applyProtection="1">
      <alignment vertical="center" wrapText="1"/>
      <protection locked="0"/>
    </xf>
    <xf numFmtId="0" fontId="46" fillId="4" borderId="67" xfId="0" applyFont="1" applyFill="1" applyBorder="1" applyAlignment="1" applyProtection="1">
      <alignment vertical="center" wrapText="1"/>
      <protection locked="0"/>
    </xf>
    <xf numFmtId="0" fontId="46" fillId="4" borderId="32" xfId="0" applyFont="1" applyFill="1" applyBorder="1" applyAlignment="1" applyProtection="1">
      <alignment horizontal="right"/>
      <protection locked="0"/>
    </xf>
    <xf numFmtId="0" fontId="46" fillId="4" borderId="0" xfId="0" applyFont="1" applyFill="1" applyBorder="1" applyAlignment="1" applyProtection="1">
      <alignment horizontal="center" vertical="center" wrapText="1"/>
      <protection locked="0"/>
    </xf>
    <xf numFmtId="0" fontId="48" fillId="4" borderId="0" xfId="0" applyFont="1" applyFill="1" applyBorder="1" applyAlignment="1" applyProtection="1">
      <alignment horizontal="center"/>
      <protection locked="0"/>
    </xf>
    <xf numFmtId="0" fontId="46" fillId="4" borderId="70" xfId="0" applyFont="1" applyFill="1" applyBorder="1" applyAlignment="1" applyProtection="1">
      <alignment vertical="center" wrapText="1"/>
      <protection locked="0"/>
    </xf>
    <xf numFmtId="0" fontId="46" fillId="4" borderId="0" xfId="0" applyFont="1" applyFill="1" applyBorder="1" applyAlignment="1" applyProtection="1">
      <alignment vertical="center" wrapText="1"/>
      <protection locked="0"/>
    </xf>
    <xf numFmtId="0" fontId="46" fillId="4" borderId="61" xfId="0" applyFont="1" applyFill="1" applyBorder="1" applyAlignment="1" applyProtection="1">
      <alignment horizontal="right"/>
      <protection locked="0"/>
    </xf>
    <xf numFmtId="0" fontId="46" fillId="0" borderId="32" xfId="0" applyFont="1" applyFill="1" applyBorder="1" applyAlignment="1" applyProtection="1">
      <alignment horizontal="left" vertical="center"/>
      <protection locked="0"/>
    </xf>
    <xf numFmtId="0" fontId="46"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wrapText="1"/>
      <protection locked="0"/>
    </xf>
    <xf numFmtId="0" fontId="46" fillId="0" borderId="0" xfId="0" applyFont="1" applyFill="1" applyBorder="1" applyAlignment="1" applyProtection="1">
      <protection locked="0"/>
    </xf>
    <xf numFmtId="0" fontId="48" fillId="0" borderId="70" xfId="0" applyFont="1" applyFill="1" applyBorder="1" applyProtection="1">
      <protection locked="0"/>
    </xf>
    <xf numFmtId="0" fontId="48" fillId="0" borderId="70" xfId="0" applyFont="1" applyBorder="1"/>
    <xf numFmtId="9" fontId="48" fillId="0" borderId="0" xfId="0" applyNumberFormat="1" applyFont="1"/>
    <xf numFmtId="3" fontId="48" fillId="0" borderId="25" xfId="0" applyNumberFormat="1" applyFont="1" applyBorder="1" applyAlignment="1">
      <alignment vertical="center"/>
    </xf>
    <xf numFmtId="9" fontId="48" fillId="0" borderId="11" xfId="119" applyFont="1" applyFill="1" applyBorder="1" applyAlignment="1">
      <alignment horizontal="center" vertical="center"/>
    </xf>
    <xf numFmtId="0" fontId="48" fillId="0" borderId="25" xfId="0" applyFont="1" applyBorder="1"/>
    <xf numFmtId="0" fontId="48" fillId="0" borderId="11" xfId="0" applyFont="1" applyBorder="1" applyAlignment="1">
      <alignment horizontal="center"/>
    </xf>
    <xf numFmtId="0" fontId="48" fillId="0" borderId="66" xfId="0" applyFont="1" applyBorder="1"/>
    <xf numFmtId="0" fontId="48" fillId="0" borderId="15" xfId="0" applyFont="1" applyBorder="1" applyAlignment="1">
      <alignment horizontal="center"/>
    </xf>
    <xf numFmtId="175" fontId="48" fillId="7" borderId="15" xfId="0" applyNumberFormat="1" applyFont="1" applyFill="1" applyBorder="1" applyAlignment="1">
      <alignment horizontal="center" vertical="center"/>
    </xf>
    <xf numFmtId="0" fontId="48" fillId="0" borderId="40" xfId="0" applyFont="1" applyBorder="1"/>
    <xf numFmtId="0" fontId="48" fillId="0" borderId="41" xfId="0" applyFont="1" applyBorder="1" applyAlignment="1">
      <alignment horizontal="center"/>
    </xf>
    <xf numFmtId="0" fontId="48" fillId="0" borderId="0" xfId="0" applyFont="1" applyFill="1" applyBorder="1"/>
    <xf numFmtId="3" fontId="48" fillId="0" borderId="25" xfId="0" applyNumberFormat="1" applyFont="1" applyBorder="1" applyAlignment="1">
      <alignment vertical="center" wrapText="1"/>
    </xf>
    <xf numFmtId="0" fontId="48" fillId="0" borderId="25" xfId="0" applyFont="1" applyBorder="1" applyAlignment="1">
      <alignment wrapText="1"/>
    </xf>
    <xf numFmtId="9" fontId="48" fillId="0" borderId="41" xfId="119" applyFont="1" applyFill="1" applyBorder="1" applyAlignment="1">
      <alignment horizontal="center" vertical="center"/>
    </xf>
    <xf numFmtId="0" fontId="2" fillId="11" borderId="11" xfId="0" applyFont="1" applyFill="1" applyBorder="1" applyAlignment="1">
      <alignment horizontal="center"/>
    </xf>
    <xf numFmtId="0" fontId="15" fillId="0" borderId="11" xfId="0" applyFont="1" applyBorder="1" applyAlignment="1">
      <alignment horizontal="center" vertical="center" wrapText="1"/>
    </xf>
    <xf numFmtId="166" fontId="35" fillId="0" borderId="12" xfId="3" applyNumberFormat="1" applyFont="1" applyFill="1" applyBorder="1" applyAlignment="1">
      <alignment horizontal="center" vertical="center" wrapText="1"/>
    </xf>
    <xf numFmtId="0" fontId="54" fillId="0" borderId="0" xfId="0" applyFont="1" applyAlignment="1">
      <alignment vertical="center"/>
    </xf>
    <xf numFmtId="0" fontId="28" fillId="0" borderId="0" xfId="0" applyFont="1" applyAlignment="1">
      <alignment vertical="center"/>
    </xf>
    <xf numFmtId="0" fontId="62" fillId="0" borderId="0" xfId="0" applyFont="1" applyBorder="1" applyAlignment="1">
      <alignment vertical="center" wrapText="1"/>
    </xf>
    <xf numFmtId="0" fontId="28" fillId="0" borderId="0" xfId="0" applyFont="1" applyBorder="1" applyAlignment="1">
      <alignment vertical="center"/>
    </xf>
    <xf numFmtId="182" fontId="28" fillId="0" borderId="10" xfId="2" applyNumberFormat="1" applyFont="1" applyBorder="1" applyAlignment="1">
      <alignment vertical="center"/>
    </xf>
    <xf numFmtId="182" fontId="28" fillId="0" borderId="57" xfId="2" applyNumberFormat="1" applyFont="1" applyBorder="1" applyAlignment="1">
      <alignment vertical="center"/>
    </xf>
    <xf numFmtId="191" fontId="28" fillId="0" borderId="11" xfId="0" applyNumberFormat="1" applyFont="1" applyBorder="1" applyAlignment="1">
      <alignment vertical="center"/>
    </xf>
    <xf numFmtId="0" fontId="28" fillId="0" borderId="24" xfId="0" applyFont="1" applyBorder="1" applyAlignment="1">
      <alignment vertical="center"/>
    </xf>
    <xf numFmtId="9" fontId="25" fillId="0" borderId="0" xfId="119" applyFont="1" applyFill="1" applyBorder="1" applyAlignment="1">
      <alignment horizontal="left" vertical="center"/>
    </xf>
    <xf numFmtId="165" fontId="28" fillId="0" borderId="0" xfId="0" applyNumberFormat="1" applyFont="1" applyBorder="1" applyAlignment="1">
      <alignment vertical="center"/>
    </xf>
    <xf numFmtId="10" fontId="56" fillId="0" borderId="11" xfId="119" applyNumberFormat="1" applyFont="1" applyBorder="1" applyAlignment="1">
      <alignment horizontal="center" vertical="center"/>
    </xf>
    <xf numFmtId="10" fontId="56" fillId="17" borderId="11" xfId="119" applyNumberFormat="1" applyFont="1" applyFill="1" applyBorder="1" applyAlignment="1">
      <alignment horizontal="center" vertical="center"/>
    </xf>
    <xf numFmtId="10" fontId="56" fillId="17" borderId="35" xfId="119" applyNumberFormat="1" applyFont="1" applyFill="1" applyBorder="1" applyAlignment="1">
      <alignment horizontal="center" vertical="center"/>
    </xf>
    <xf numFmtId="0" fontId="57" fillId="0" borderId="0" xfId="0" applyFont="1" applyBorder="1" applyAlignment="1">
      <alignment vertical="center"/>
    </xf>
    <xf numFmtId="0" fontId="26" fillId="0" borderId="0" xfId="0" applyFont="1" applyBorder="1" applyAlignment="1">
      <alignment vertical="center"/>
    </xf>
    <xf numFmtId="0" fontId="46" fillId="0" borderId="0" xfId="0" applyFont="1" applyAlignment="1">
      <alignment vertical="center"/>
    </xf>
    <xf numFmtId="181" fontId="28" fillId="0" borderId="9" xfId="2" applyNumberFormat="1" applyFont="1" applyBorder="1" applyAlignment="1">
      <alignment horizontal="center" vertical="center"/>
    </xf>
    <xf numFmtId="181" fontId="28" fillId="0" borderId="36" xfId="2" applyNumberFormat="1" applyFont="1" applyBorder="1" applyAlignment="1">
      <alignment horizontal="center" vertical="center"/>
    </xf>
    <xf numFmtId="0" fontId="28" fillId="0" borderId="0" xfId="0" applyFont="1" applyFill="1" applyBorder="1" applyAlignment="1">
      <alignment vertical="center"/>
    </xf>
    <xf numFmtId="0" fontId="28" fillId="0" borderId="35" xfId="0" applyFont="1" applyBorder="1" applyAlignment="1">
      <alignment vertical="center"/>
    </xf>
    <xf numFmtId="0" fontId="28" fillId="0" borderId="34" xfId="0" applyFont="1" applyBorder="1" applyAlignment="1">
      <alignment vertical="center"/>
    </xf>
    <xf numFmtId="0" fontId="28" fillId="0" borderId="37" xfId="0" applyFont="1" applyBorder="1" applyAlignment="1">
      <alignment vertical="center"/>
    </xf>
    <xf numFmtId="0" fontId="48" fillId="0" borderId="63" xfId="0" applyFont="1" applyFill="1" applyBorder="1" applyAlignment="1">
      <alignment horizontal="left" vertical="center"/>
    </xf>
    <xf numFmtId="0" fontId="48" fillId="0" borderId="52" xfId="0" applyFont="1" applyFill="1" applyBorder="1" applyAlignment="1">
      <alignment horizontal="left" vertical="center"/>
    </xf>
    <xf numFmtId="0" fontId="48" fillId="0" borderId="54" xfId="0" applyFont="1" applyFill="1" applyBorder="1" applyAlignment="1">
      <alignment horizontal="left" vertical="center"/>
    </xf>
    <xf numFmtId="0" fontId="28" fillId="0" borderId="64" xfId="0" applyFont="1" applyBorder="1" applyAlignment="1">
      <alignment vertical="center"/>
    </xf>
    <xf numFmtId="0" fontId="28" fillId="0" borderId="53" xfId="0" applyFont="1" applyBorder="1" applyAlignment="1">
      <alignment vertical="center"/>
    </xf>
    <xf numFmtId="0" fontId="28" fillId="0" borderId="55" xfId="0" applyFont="1" applyBorder="1" applyAlignment="1">
      <alignment vertical="center"/>
    </xf>
    <xf numFmtId="0" fontId="63" fillId="0" borderId="0" xfId="0" applyFont="1" applyAlignment="1">
      <alignment vertical="center"/>
    </xf>
    <xf numFmtId="0" fontId="64" fillId="0" borderId="0" xfId="0" applyNumberFormat="1" applyFont="1" applyAlignment="1">
      <alignment vertical="center"/>
    </xf>
    <xf numFmtId="0" fontId="48" fillId="0" borderId="0" xfId="0" applyFont="1" applyAlignment="1">
      <alignment horizontal="center" vertical="center"/>
    </xf>
    <xf numFmtId="9" fontId="25" fillId="0" borderId="0" xfId="119" applyFont="1" applyFill="1" applyBorder="1" applyAlignment="1">
      <alignment horizontal="center" vertical="center"/>
    </xf>
    <xf numFmtId="10" fontId="46" fillId="0" borderId="71" xfId="119" applyNumberFormat="1" applyFont="1" applyBorder="1" applyAlignment="1">
      <alignment horizontal="center" vertical="center"/>
    </xf>
    <xf numFmtId="10" fontId="46" fillId="0" borderId="20" xfId="119" applyNumberFormat="1" applyFont="1" applyBorder="1" applyAlignment="1">
      <alignment horizontal="center" vertical="center"/>
    </xf>
    <xf numFmtId="0" fontId="58" fillId="0" borderId="33" xfId="0" applyFont="1" applyBorder="1" applyAlignment="1">
      <alignment vertical="center"/>
    </xf>
    <xf numFmtId="0" fontId="28" fillId="0" borderId="58" xfId="0" applyFont="1" applyBorder="1" applyAlignment="1">
      <alignment vertical="center"/>
    </xf>
    <xf numFmtId="0" fontId="28" fillId="0" borderId="67" xfId="0" applyFont="1" applyBorder="1" applyAlignment="1">
      <alignment vertical="center"/>
    </xf>
    <xf numFmtId="0" fontId="28" fillId="0" borderId="61" xfId="0" applyFont="1" applyBorder="1" applyAlignment="1">
      <alignment vertical="center"/>
    </xf>
    <xf numFmtId="0" fontId="28" fillId="0" borderId="62" xfId="0" applyFont="1" applyBorder="1" applyAlignment="1">
      <alignment vertical="center"/>
    </xf>
    <xf numFmtId="0" fontId="28" fillId="0" borderId="38" xfId="0" applyFont="1" applyBorder="1" applyAlignment="1">
      <alignment vertical="center"/>
    </xf>
    <xf numFmtId="0" fontId="27" fillId="0" borderId="33" xfId="0" applyNumberFormat="1" applyFont="1" applyBorder="1" applyAlignment="1">
      <alignment horizontal="center" vertical="center"/>
    </xf>
    <xf numFmtId="0" fontId="28" fillId="0" borderId="32" xfId="0" applyFont="1" applyBorder="1" applyAlignment="1">
      <alignment vertical="center"/>
    </xf>
    <xf numFmtId="0" fontId="28" fillId="0" borderId="70" xfId="0" applyFont="1" applyBorder="1" applyAlignment="1">
      <alignment vertical="center"/>
    </xf>
    <xf numFmtId="0" fontId="56" fillId="0" borderId="25" xfId="0" applyFont="1" applyBorder="1" applyAlignment="1">
      <alignment vertical="center"/>
    </xf>
    <xf numFmtId="191" fontId="28" fillId="0" borderId="12" xfId="0" applyNumberFormat="1" applyFont="1" applyBorder="1" applyAlignment="1">
      <alignment vertical="center"/>
    </xf>
    <xf numFmtId="0" fontId="56" fillId="0" borderId="40" xfId="0" applyFont="1" applyBorder="1" applyAlignment="1">
      <alignment vertical="center"/>
    </xf>
    <xf numFmtId="191" fontId="28" fillId="0" borderId="41" xfId="0" applyNumberFormat="1" applyFont="1" applyBorder="1" applyAlignment="1">
      <alignment vertical="center"/>
    </xf>
    <xf numFmtId="191" fontId="28" fillId="0" borderId="42" xfId="0" applyNumberFormat="1" applyFont="1" applyBorder="1" applyAlignment="1">
      <alignment vertical="center"/>
    </xf>
    <xf numFmtId="0" fontId="56" fillId="0" borderId="47" xfId="0" applyFont="1" applyBorder="1" applyAlignment="1">
      <alignment vertical="center"/>
    </xf>
    <xf numFmtId="190" fontId="57" fillId="0" borderId="26" xfId="0" applyNumberFormat="1" applyFont="1" applyFill="1" applyBorder="1" applyAlignment="1">
      <alignment horizontal="justify" vertical="center" wrapText="1"/>
    </xf>
    <xf numFmtId="189" fontId="58" fillId="0" borderId="0" xfId="119" applyNumberFormat="1" applyFont="1" applyBorder="1" applyAlignment="1">
      <alignment horizontal="center" vertical="center"/>
    </xf>
    <xf numFmtId="189" fontId="58" fillId="0" borderId="70" xfId="119" applyNumberFormat="1" applyFont="1" applyBorder="1" applyAlignment="1">
      <alignment horizontal="center" vertical="center"/>
    </xf>
    <xf numFmtId="0" fontId="25" fillId="18" borderId="30" xfId="0" applyFont="1" applyFill="1" applyBorder="1" applyAlignment="1">
      <alignment horizontal="center" vertical="center"/>
    </xf>
    <xf numFmtId="0" fontId="25" fillId="18" borderId="3" xfId="0" applyFont="1" applyFill="1" applyBorder="1" applyAlignment="1">
      <alignment horizontal="center" vertical="center" wrapText="1"/>
    </xf>
    <xf numFmtId="0" fontId="25" fillId="18" borderId="3" xfId="0" applyFont="1" applyFill="1" applyBorder="1" applyAlignment="1">
      <alignment horizontal="center" vertical="center"/>
    </xf>
    <xf numFmtId="0" fontId="25" fillId="18" borderId="4" xfId="0" applyFont="1" applyFill="1" applyBorder="1" applyAlignment="1">
      <alignment horizontal="center" vertical="center"/>
    </xf>
    <xf numFmtId="191" fontId="28" fillId="0" borderId="27" xfId="0" applyNumberFormat="1" applyFont="1" applyBorder="1" applyAlignment="1">
      <alignment vertical="center"/>
    </xf>
    <xf numFmtId="191" fontId="28" fillId="0" borderId="26" xfId="0" applyNumberFormat="1" applyFont="1" applyBorder="1" applyAlignment="1">
      <alignment vertical="center"/>
    </xf>
    <xf numFmtId="10" fontId="46" fillId="7" borderId="17" xfId="119" applyNumberFormat="1" applyFont="1" applyFill="1" applyBorder="1" applyAlignment="1">
      <alignment horizontal="center" vertical="center"/>
    </xf>
    <xf numFmtId="0" fontId="59" fillId="0" borderId="0" xfId="0" applyFont="1" applyBorder="1" applyAlignment="1">
      <alignment horizontal="center" vertical="center" wrapText="1"/>
    </xf>
    <xf numFmtId="0" fontId="56" fillId="0" borderId="0" xfId="0" applyFont="1" applyFill="1" applyBorder="1" applyAlignment="1">
      <alignment horizontal="center" vertical="center"/>
    </xf>
    <xf numFmtId="10" fontId="56" fillId="0" borderId="0" xfId="119" applyNumberFormat="1" applyFont="1" applyFill="1" applyBorder="1" applyAlignment="1">
      <alignment horizontal="center" vertical="center"/>
    </xf>
    <xf numFmtId="10" fontId="56" fillId="17" borderId="41" xfId="119" applyNumberFormat="1" applyFont="1" applyFill="1" applyBorder="1" applyAlignment="1">
      <alignment horizontal="center" vertical="center"/>
    </xf>
    <xf numFmtId="10" fontId="56" fillId="17" borderId="37" xfId="119" applyNumberFormat="1" applyFont="1" applyFill="1" applyBorder="1" applyAlignment="1">
      <alignment horizontal="center" vertical="center"/>
    </xf>
    <xf numFmtId="0" fontId="56" fillId="0" borderId="25" xfId="0" applyFont="1" applyBorder="1" applyAlignment="1">
      <alignment horizontal="center" vertical="center"/>
    </xf>
    <xf numFmtId="0" fontId="56" fillId="17" borderId="25" xfId="0" applyFont="1" applyFill="1" applyBorder="1" applyAlignment="1">
      <alignment horizontal="center" vertical="center"/>
    </xf>
    <xf numFmtId="0" fontId="56" fillId="17" borderId="40" xfId="0" applyFont="1" applyFill="1" applyBorder="1" applyAlignment="1">
      <alignment horizontal="center" vertical="center"/>
    </xf>
    <xf numFmtId="0" fontId="60" fillId="18" borderId="30" xfId="0" applyFont="1" applyFill="1" applyBorder="1" applyAlignment="1">
      <alignment horizontal="center" vertical="center"/>
    </xf>
    <xf numFmtId="0" fontId="60" fillId="18" borderId="3" xfId="0" applyFont="1" applyFill="1" applyBorder="1" applyAlignment="1">
      <alignment horizontal="center" vertical="center"/>
    </xf>
    <xf numFmtId="0" fontId="60" fillId="18" borderId="45" xfId="0" applyFont="1" applyFill="1" applyBorder="1" applyAlignment="1">
      <alignment horizontal="center" vertical="center"/>
    </xf>
    <xf numFmtId="0" fontId="60" fillId="18" borderId="4" xfId="0" applyFont="1" applyFill="1" applyBorder="1" applyAlignment="1">
      <alignment horizontal="center" vertical="center"/>
    </xf>
    <xf numFmtId="0" fontId="59" fillId="18" borderId="1" xfId="0" applyFont="1" applyFill="1" applyBorder="1" applyAlignment="1">
      <alignment horizontal="right" vertical="center"/>
    </xf>
    <xf numFmtId="9" fontId="60" fillId="18" borderId="1" xfId="119" applyFont="1" applyFill="1" applyBorder="1" applyAlignment="1">
      <alignment horizontal="right" vertical="center"/>
    </xf>
    <xf numFmtId="0" fontId="24" fillId="17" borderId="29" xfId="0" applyFont="1" applyFill="1" applyBorder="1" applyAlignment="1">
      <alignment vertical="center"/>
    </xf>
    <xf numFmtId="0" fontId="28" fillId="17" borderId="45" xfId="0" applyFont="1" applyFill="1" applyBorder="1" applyAlignment="1">
      <alignment vertical="center"/>
    </xf>
    <xf numFmtId="0" fontId="28" fillId="17" borderId="31" xfId="0" applyFont="1" applyFill="1" applyBorder="1" applyAlignment="1">
      <alignment vertical="center"/>
    </xf>
    <xf numFmtId="0" fontId="28" fillId="0" borderId="0" xfId="0" applyFont="1" applyFill="1" applyAlignment="1">
      <alignment vertical="center"/>
    </xf>
    <xf numFmtId="0" fontId="24" fillId="0" borderId="0" xfId="0" applyFont="1" applyFill="1" applyBorder="1" applyAlignment="1">
      <alignment vertical="center"/>
    </xf>
    <xf numFmtId="0" fontId="28" fillId="0" borderId="33" xfId="0" applyFont="1" applyBorder="1" applyAlignment="1">
      <alignment vertical="center"/>
    </xf>
    <xf numFmtId="0" fontId="62" fillId="0" borderId="0" xfId="0" applyFont="1" applyBorder="1" applyAlignment="1">
      <alignment horizontal="center" vertical="center" wrapText="1"/>
    </xf>
    <xf numFmtId="0" fontId="66" fillId="0" borderId="0" xfId="0" applyFont="1" applyAlignment="1">
      <alignment vertical="center"/>
    </xf>
    <xf numFmtId="0" fontId="49" fillId="0" borderId="0" xfId="0" applyFont="1" applyAlignment="1">
      <alignment vertical="center"/>
    </xf>
    <xf numFmtId="0" fontId="28" fillId="0" borderId="32" xfId="0" applyFont="1" applyBorder="1" applyAlignment="1">
      <alignment horizontal="left" vertical="center"/>
    </xf>
    <xf numFmtId="0" fontId="28" fillId="0" borderId="61" xfId="0" applyFont="1" applyBorder="1" applyAlignment="1">
      <alignment horizontal="left" vertical="center"/>
    </xf>
    <xf numFmtId="9" fontId="24" fillId="0" borderId="63" xfId="119" applyFont="1" applyFill="1" applyBorder="1" applyAlignment="1">
      <alignment horizontal="center" vertical="center"/>
    </xf>
    <xf numFmtId="180" fontId="24" fillId="0" borderId="7" xfId="2" applyNumberFormat="1" applyFont="1" applyFill="1" applyBorder="1" applyAlignment="1">
      <alignment horizontal="center" vertical="center"/>
    </xf>
    <xf numFmtId="180" fontId="27" fillId="0" borderId="7" xfId="2" applyNumberFormat="1" applyFont="1" applyBorder="1" applyAlignment="1">
      <alignment horizontal="center" vertical="center"/>
    </xf>
    <xf numFmtId="180" fontId="27" fillId="0" borderId="8" xfId="2" applyNumberFormat="1" applyFont="1" applyBorder="1" applyAlignment="1">
      <alignment horizontal="center" vertical="center"/>
    </xf>
    <xf numFmtId="0" fontId="21" fillId="0" borderId="49" xfId="0" applyFont="1" applyBorder="1" applyAlignment="1">
      <alignment horizontal="center" vertical="center"/>
    </xf>
    <xf numFmtId="165" fontId="21" fillId="0" borderId="26" xfId="2" applyNumberFormat="1" applyFont="1" applyBorder="1" applyAlignment="1">
      <alignment vertical="center"/>
    </xf>
    <xf numFmtId="165" fontId="21" fillId="0" borderId="27" xfId="2" applyNumberFormat="1" applyFont="1" applyBorder="1" applyAlignment="1">
      <alignment vertical="center"/>
    </xf>
    <xf numFmtId="0" fontId="67" fillId="10" borderId="52" xfId="0" applyFont="1" applyFill="1" applyBorder="1" applyAlignment="1">
      <alignment horizontal="center" vertical="center"/>
    </xf>
    <xf numFmtId="165" fontId="67" fillId="10" borderId="11" xfId="2" applyNumberFormat="1" applyFont="1" applyFill="1" applyBorder="1" applyAlignment="1">
      <alignment vertical="center"/>
    </xf>
    <xf numFmtId="165" fontId="67" fillId="10" borderId="12" xfId="2" applyNumberFormat="1" applyFont="1" applyFill="1" applyBorder="1" applyAlignment="1">
      <alignment vertical="center"/>
    </xf>
    <xf numFmtId="0" fontId="21" fillId="0" borderId="52" xfId="0" applyFont="1" applyBorder="1" applyAlignment="1">
      <alignment horizontal="center" vertical="center"/>
    </xf>
    <xf numFmtId="165" fontId="21" fillId="0" borderId="11" xfId="2" applyNumberFormat="1" applyFont="1" applyBorder="1" applyAlignment="1">
      <alignment vertical="center"/>
    </xf>
    <xf numFmtId="165" fontId="21" fillId="0" borderId="12" xfId="2" applyNumberFormat="1" applyFont="1" applyBorder="1" applyAlignment="1">
      <alignment vertical="center"/>
    </xf>
    <xf numFmtId="165" fontId="21" fillId="0" borderId="11" xfId="2" applyNumberFormat="1" applyFont="1" applyBorder="1" applyAlignment="1">
      <alignment horizontal="right" vertical="center"/>
    </xf>
    <xf numFmtId="9" fontId="24" fillId="0" borderId="54" xfId="119" applyFont="1" applyBorder="1" applyAlignment="1">
      <alignment horizontal="center" vertical="center"/>
    </xf>
    <xf numFmtId="165" fontId="24" fillId="0" borderId="41" xfId="2" applyNumberFormat="1" applyFont="1" applyFill="1" applyBorder="1" applyAlignment="1">
      <alignment horizontal="right" vertical="center"/>
    </xf>
    <xf numFmtId="165" fontId="24" fillId="0" borderId="42" xfId="2" applyNumberFormat="1" applyFont="1" applyFill="1" applyBorder="1" applyAlignment="1">
      <alignment horizontal="right" vertical="center"/>
    </xf>
    <xf numFmtId="0" fontId="61" fillId="0" borderId="24" xfId="0" applyFont="1" applyBorder="1" applyAlignment="1">
      <alignment horizontal="center" vertical="center"/>
    </xf>
    <xf numFmtId="0" fontId="60" fillId="0" borderId="32" xfId="0" applyFont="1" applyBorder="1" applyAlignment="1">
      <alignment horizontal="left" vertical="center"/>
    </xf>
    <xf numFmtId="0" fontId="63" fillId="0" borderId="0" xfId="0" applyFont="1" applyBorder="1" applyAlignment="1">
      <alignment vertical="center"/>
    </xf>
    <xf numFmtId="0" fontId="63" fillId="0" borderId="70" xfId="0" applyFont="1" applyBorder="1" applyAlignment="1">
      <alignment vertical="center"/>
    </xf>
    <xf numFmtId="0" fontId="60" fillId="0" borderId="32" xfId="0" applyFont="1" applyFill="1" applyBorder="1" applyAlignment="1">
      <alignment horizontal="center" vertical="center" wrapText="1"/>
    </xf>
    <xf numFmtId="0" fontId="60" fillId="0" borderId="0" xfId="0" applyFont="1" applyFill="1" applyBorder="1" applyAlignment="1">
      <alignment horizontal="center" vertical="center"/>
    </xf>
    <xf numFmtId="0" fontId="56" fillId="0" borderId="0" xfId="0" applyFont="1" applyBorder="1" applyAlignment="1">
      <alignment vertical="center"/>
    </xf>
    <xf numFmtId="0" fontId="56" fillId="0" borderId="70" xfId="0" applyFont="1" applyBorder="1" applyAlignment="1">
      <alignment vertical="center"/>
    </xf>
    <xf numFmtId="0" fontId="60" fillId="0" borderId="0" xfId="0" applyFont="1" applyFill="1" applyBorder="1" applyAlignment="1">
      <alignment horizontal="center" vertical="center" wrapText="1"/>
    </xf>
    <xf numFmtId="0" fontId="56" fillId="0" borderId="32" xfId="0" applyFont="1" applyBorder="1" applyAlignment="1">
      <alignment horizontal="center" vertical="center"/>
    </xf>
    <xf numFmtId="2" fontId="56" fillId="0" borderId="0" xfId="0" applyNumberFormat="1" applyFont="1" applyBorder="1" applyAlignment="1">
      <alignment horizontal="center" vertical="center"/>
    </xf>
    <xf numFmtId="0" fontId="68" fillId="10" borderId="32" xfId="0" applyFont="1" applyFill="1" applyBorder="1" applyAlignment="1">
      <alignment horizontal="center" vertical="center"/>
    </xf>
    <xf numFmtId="2" fontId="68" fillId="10" borderId="0" xfId="0" applyNumberFormat="1" applyFont="1" applyFill="1" applyBorder="1" applyAlignment="1">
      <alignment horizontal="center" vertical="center"/>
    </xf>
    <xf numFmtId="2" fontId="60" fillId="0" borderId="0" xfId="0" applyNumberFormat="1" applyFont="1" applyBorder="1" applyAlignment="1">
      <alignment horizontal="center" vertical="center"/>
    </xf>
    <xf numFmtId="2" fontId="69" fillId="10" borderId="0" xfId="0" applyNumberFormat="1" applyFont="1" applyFill="1" applyBorder="1" applyAlignment="1">
      <alignment horizontal="center" vertical="center"/>
    </xf>
    <xf numFmtId="2" fontId="60" fillId="0" borderId="1" xfId="0" applyNumberFormat="1" applyFont="1" applyBorder="1" applyAlignment="1">
      <alignment horizontal="center" vertical="center"/>
    </xf>
    <xf numFmtId="0" fontId="56" fillId="0" borderId="0" xfId="0" applyFont="1" applyBorder="1" applyAlignment="1">
      <alignment horizontal="center" vertical="center"/>
    </xf>
    <xf numFmtId="0" fontId="70" fillId="0" borderId="0" xfId="0" applyFont="1" applyBorder="1" applyAlignment="1">
      <alignment horizontal="center" vertical="center" wrapText="1"/>
    </xf>
    <xf numFmtId="0" fontId="56" fillId="0" borderId="33" xfId="0" applyFont="1" applyFill="1" applyBorder="1" applyAlignment="1">
      <alignment vertical="center"/>
    </xf>
    <xf numFmtId="0" fontId="56" fillId="0" borderId="58" xfId="0" applyFont="1" applyFill="1" applyBorder="1" applyAlignment="1">
      <alignment vertical="center"/>
    </xf>
    <xf numFmtId="0" fontId="56" fillId="0" borderId="67" xfId="0" applyFont="1" applyFill="1" applyBorder="1" applyAlignment="1">
      <alignment vertical="center"/>
    </xf>
    <xf numFmtId="0" fontId="56" fillId="0" borderId="0" xfId="0" applyFont="1" applyFill="1" applyBorder="1" applyAlignment="1">
      <alignment vertical="center"/>
    </xf>
    <xf numFmtId="0" fontId="60" fillId="0" borderId="32" xfId="0" applyFont="1" applyFill="1" applyBorder="1" applyAlignment="1">
      <alignment horizontal="left" vertical="center"/>
    </xf>
    <xf numFmtId="0" fontId="60" fillId="0" borderId="0" xfId="0" applyFont="1" applyFill="1" applyBorder="1" applyAlignment="1">
      <alignment horizontal="left" vertical="center"/>
    </xf>
    <xf numFmtId="0" fontId="56" fillId="0" borderId="70" xfId="0" applyFont="1" applyFill="1" applyBorder="1" applyAlignment="1">
      <alignment vertical="center"/>
    </xf>
    <xf numFmtId="0" fontId="56" fillId="0" borderId="60" xfId="0" applyFont="1" applyFill="1" applyBorder="1" applyAlignment="1">
      <alignment horizontal="left" vertical="center"/>
    </xf>
    <xf numFmtId="0" fontId="56" fillId="0" borderId="43" xfId="0" applyFont="1" applyFill="1" applyBorder="1" applyAlignment="1">
      <alignment horizontal="left" vertical="center"/>
    </xf>
    <xf numFmtId="0" fontId="56" fillId="0" borderId="43" xfId="0" applyFont="1" applyFill="1" applyBorder="1" applyAlignment="1">
      <alignment vertical="center"/>
    </xf>
    <xf numFmtId="0" fontId="56" fillId="0" borderId="65" xfId="0" applyFont="1" applyFill="1" applyBorder="1" applyAlignment="1">
      <alignment vertical="center"/>
    </xf>
    <xf numFmtId="0" fontId="60" fillId="0" borderId="49"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50" xfId="0" applyFont="1" applyFill="1" applyBorder="1" applyAlignment="1">
      <alignment horizontal="center" vertical="center"/>
    </xf>
    <xf numFmtId="0" fontId="56" fillId="0" borderId="32" xfId="0" applyFont="1" applyFill="1" applyBorder="1" applyAlignment="1">
      <alignment horizontal="left" vertical="center"/>
    </xf>
    <xf numFmtId="2" fontId="56" fillId="0" borderId="0" xfId="0" applyNumberFormat="1" applyFont="1" applyFill="1" applyBorder="1" applyAlignment="1">
      <alignment vertical="center"/>
    </xf>
    <xf numFmtId="2" fontId="56" fillId="0" borderId="0" xfId="0" applyNumberFormat="1" applyFont="1" applyFill="1" applyBorder="1" applyAlignment="1">
      <alignment horizontal="right" vertical="center"/>
    </xf>
    <xf numFmtId="2" fontId="56" fillId="0" borderId="70" xfId="0" applyNumberFormat="1" applyFont="1" applyFill="1" applyBorder="1" applyAlignment="1">
      <alignment vertical="center"/>
    </xf>
    <xf numFmtId="0" fontId="56" fillId="10" borderId="32" xfId="0" applyFont="1" applyFill="1" applyBorder="1" applyAlignment="1">
      <alignment horizontal="left" vertical="center"/>
    </xf>
    <xf numFmtId="2" fontId="56" fillId="10" borderId="0" xfId="0" applyNumberFormat="1" applyFont="1" applyFill="1" applyBorder="1" applyAlignment="1">
      <alignment vertical="center"/>
    </xf>
    <xf numFmtId="2" fontId="56" fillId="10" borderId="0" xfId="0" applyNumberFormat="1" applyFont="1" applyFill="1" applyBorder="1" applyAlignment="1">
      <alignment horizontal="right" vertical="center"/>
    </xf>
    <xf numFmtId="2" fontId="56" fillId="10" borderId="70" xfId="0" applyNumberFormat="1" applyFont="1" applyFill="1" applyBorder="1" applyAlignment="1">
      <alignment horizontal="right" vertical="center"/>
    </xf>
    <xf numFmtId="2" fontId="56" fillId="0" borderId="70" xfId="0" applyNumberFormat="1" applyFont="1" applyFill="1" applyBorder="1" applyAlignment="1">
      <alignment horizontal="right" vertical="center"/>
    </xf>
    <xf numFmtId="0" fontId="56" fillId="10" borderId="49" xfId="0" applyFont="1" applyFill="1" applyBorder="1" applyAlignment="1">
      <alignment horizontal="left" vertical="center"/>
    </xf>
    <xf numFmtId="2" fontId="56" fillId="10" borderId="24" xfId="0" applyNumberFormat="1" applyFont="1" applyFill="1" applyBorder="1" applyAlignment="1">
      <alignment vertical="center"/>
    </xf>
    <xf numFmtId="2" fontId="56" fillId="10" borderId="24" xfId="0" applyNumberFormat="1" applyFont="1" applyFill="1" applyBorder="1" applyAlignment="1">
      <alignment horizontal="right" vertical="center"/>
    </xf>
    <xf numFmtId="2" fontId="56" fillId="10" borderId="50" xfId="0" applyNumberFormat="1" applyFont="1" applyFill="1" applyBorder="1" applyAlignment="1">
      <alignment horizontal="right" vertical="center"/>
    </xf>
    <xf numFmtId="0" fontId="56" fillId="0" borderId="32" xfId="0" applyFont="1" applyBorder="1" applyAlignment="1">
      <alignment horizontal="left" vertical="center"/>
    </xf>
    <xf numFmtId="0" fontId="56" fillId="0" borderId="0" xfId="0" applyFont="1" applyAlignment="1">
      <alignment vertical="center"/>
    </xf>
    <xf numFmtId="0" fontId="56" fillId="0" borderId="61" xfId="0" applyFont="1" applyBorder="1" applyAlignment="1">
      <alignment horizontal="left" vertical="center"/>
    </xf>
    <xf numFmtId="0" fontId="56" fillId="0" borderId="62" xfId="0" applyFont="1" applyFill="1" applyBorder="1" applyAlignment="1">
      <alignment vertical="center"/>
    </xf>
    <xf numFmtId="2" fontId="56" fillId="0" borderId="38" xfId="0" applyNumberFormat="1" applyFont="1" applyFill="1" applyBorder="1" applyAlignment="1">
      <alignment vertical="center"/>
    </xf>
    <xf numFmtId="0" fontId="63" fillId="0" borderId="33" xfId="0" applyFont="1" applyBorder="1" applyAlignment="1">
      <alignment vertical="center"/>
    </xf>
    <xf numFmtId="0" fontId="63" fillId="0" borderId="58" xfId="0" applyFont="1" applyBorder="1" applyAlignment="1">
      <alignment vertical="center"/>
    </xf>
    <xf numFmtId="0" fontId="63" fillId="0" borderId="67" xfId="0" applyFont="1" applyBorder="1" applyAlignment="1">
      <alignment vertical="center"/>
    </xf>
    <xf numFmtId="0" fontId="60" fillId="0" borderId="0" xfId="0" applyFont="1" applyBorder="1" applyAlignment="1">
      <alignment horizontal="left" vertical="center"/>
    </xf>
    <xf numFmtId="0" fontId="71" fillId="0" borderId="33" xfId="0" applyFont="1" applyFill="1" applyBorder="1" applyAlignment="1">
      <alignment vertical="center"/>
    </xf>
    <xf numFmtId="0" fontId="56" fillId="0" borderId="58" xfId="0" applyFont="1" applyFill="1" applyBorder="1" applyAlignment="1">
      <alignment horizontal="right" vertical="center"/>
    </xf>
    <xf numFmtId="0" fontId="60" fillId="0" borderId="58" xfId="0" applyFont="1" applyFill="1" applyBorder="1" applyAlignment="1">
      <alignment horizontal="right" vertical="center"/>
    </xf>
    <xf numFmtId="0" fontId="60" fillId="0" borderId="67" xfId="0" applyFont="1" applyFill="1" applyBorder="1" applyAlignment="1">
      <alignment horizontal="right" vertical="center"/>
    </xf>
    <xf numFmtId="0" fontId="60" fillId="0" borderId="75" xfId="0" applyFont="1" applyFill="1" applyBorder="1" applyAlignment="1">
      <alignment horizontal="center" vertical="center"/>
    </xf>
    <xf numFmtId="0" fontId="60" fillId="0" borderId="76" xfId="0" applyFont="1" applyFill="1" applyBorder="1" applyAlignment="1">
      <alignment horizontal="center" vertical="center"/>
    </xf>
    <xf numFmtId="0" fontId="60" fillId="0" borderId="77" xfId="0" applyFont="1" applyFill="1" applyBorder="1" applyAlignment="1">
      <alignment horizontal="center" vertical="center"/>
    </xf>
    <xf numFmtId="0" fontId="56" fillId="0" borderId="32" xfId="0" applyFont="1" applyBorder="1" applyAlignment="1">
      <alignment vertical="center"/>
    </xf>
    <xf numFmtId="2" fontId="56" fillId="0" borderId="0" xfId="0" applyNumberFormat="1" applyFont="1" applyBorder="1" applyAlignment="1">
      <alignment vertical="center"/>
    </xf>
    <xf numFmtId="2" fontId="56" fillId="0" borderId="70" xfId="0" applyNumberFormat="1" applyFont="1" applyBorder="1" applyAlignment="1">
      <alignment vertical="center"/>
    </xf>
    <xf numFmtId="0" fontId="68" fillId="10" borderId="32" xfId="0" applyFont="1" applyFill="1" applyBorder="1" applyAlignment="1">
      <alignment vertical="center"/>
    </xf>
    <xf numFmtId="2" fontId="68" fillId="10" borderId="0" xfId="0" applyNumberFormat="1" applyFont="1" applyFill="1" applyBorder="1" applyAlignment="1">
      <alignment vertical="center"/>
    </xf>
    <xf numFmtId="2" fontId="68" fillId="10" borderId="70" xfId="0" applyNumberFormat="1" applyFont="1" applyFill="1" applyBorder="1" applyAlignment="1">
      <alignment vertical="center"/>
    </xf>
    <xf numFmtId="0" fontId="56" fillId="0" borderId="0" xfId="0" applyFont="1" applyFill="1" applyAlignment="1">
      <alignment vertical="center"/>
    </xf>
    <xf numFmtId="2" fontId="56" fillId="0" borderId="0" xfId="0" applyNumberFormat="1" applyFont="1" applyBorder="1" applyAlignment="1">
      <alignment horizontal="right" vertical="center"/>
    </xf>
    <xf numFmtId="0" fontId="46" fillId="0" borderId="26" xfId="1" applyFont="1" applyFill="1" applyBorder="1" applyProtection="1"/>
    <xf numFmtId="0" fontId="26" fillId="0" borderId="41" xfId="0" applyFont="1" applyFill="1" applyBorder="1" applyProtection="1"/>
    <xf numFmtId="165" fontId="25" fillId="0" borderId="41" xfId="2" applyNumberFormat="1" applyFont="1" applyFill="1" applyBorder="1" applyAlignment="1" applyProtection="1">
      <alignment horizontal="center" vertical="center" wrapText="1"/>
    </xf>
    <xf numFmtId="180" fontId="25" fillId="0" borderId="41" xfId="2" applyNumberFormat="1" applyFont="1" applyFill="1" applyBorder="1" applyAlignment="1" applyProtection="1">
      <alignment horizontal="center" vertical="center" wrapText="1"/>
    </xf>
    <xf numFmtId="166" fontId="25" fillId="0" borderId="41" xfId="3" applyNumberFormat="1" applyFont="1" applyFill="1" applyBorder="1" applyAlignment="1" applyProtection="1">
      <alignment horizontal="center" vertical="center" wrapText="1"/>
    </xf>
    <xf numFmtId="0" fontId="60" fillId="18" borderId="48" xfId="0" applyFont="1" applyFill="1" applyBorder="1" applyAlignment="1">
      <alignment horizontal="center" vertical="center"/>
    </xf>
    <xf numFmtId="0" fontId="28" fillId="0" borderId="74" xfId="0" applyFont="1" applyBorder="1" applyAlignment="1">
      <alignment vertical="center"/>
    </xf>
    <xf numFmtId="10" fontId="56" fillId="17" borderId="46" xfId="119" applyNumberFormat="1" applyFont="1" applyFill="1" applyBorder="1" applyAlignment="1">
      <alignment horizontal="center" vertical="center"/>
    </xf>
    <xf numFmtId="10" fontId="56" fillId="17" borderId="56" xfId="119" applyNumberFormat="1" applyFont="1" applyFill="1" applyBorder="1" applyAlignment="1">
      <alignment horizontal="center" vertical="center"/>
    </xf>
    <xf numFmtId="0" fontId="56" fillId="0" borderId="47" xfId="0" applyFont="1" applyBorder="1" applyAlignment="1">
      <alignment horizontal="center" vertical="center"/>
    </xf>
    <xf numFmtId="10" fontId="56" fillId="0" borderId="26" xfId="119" applyNumberFormat="1" applyFont="1" applyBorder="1" applyAlignment="1">
      <alignment horizontal="center" vertical="center"/>
    </xf>
    <xf numFmtId="10" fontId="56" fillId="17" borderId="12" xfId="119" applyNumberFormat="1" applyFont="1" applyFill="1" applyBorder="1" applyAlignment="1">
      <alignment horizontal="right" vertical="center"/>
    </xf>
    <xf numFmtId="10" fontId="56" fillId="0" borderId="27" xfId="119" applyNumberFormat="1" applyFont="1" applyBorder="1" applyAlignment="1">
      <alignment horizontal="right" vertical="center"/>
    </xf>
    <xf numFmtId="10" fontId="56" fillId="0" borderId="12" xfId="119" applyNumberFormat="1" applyFont="1" applyBorder="1" applyAlignment="1">
      <alignment horizontal="right" vertical="center"/>
    </xf>
    <xf numFmtId="10" fontId="56" fillId="17" borderId="42" xfId="119" applyNumberFormat="1" applyFont="1" applyFill="1" applyBorder="1" applyAlignment="1">
      <alignment horizontal="right" vertical="center"/>
    </xf>
    <xf numFmtId="9" fontId="28" fillId="0" borderId="0" xfId="0" applyNumberFormat="1" applyFont="1" applyAlignment="1">
      <alignment vertical="center"/>
    </xf>
    <xf numFmtId="189" fontId="26" fillId="4" borderId="11" xfId="119" applyNumberFormat="1" applyFont="1" applyFill="1" applyBorder="1" applyAlignment="1">
      <alignment horizontal="center" vertical="center" wrapText="1"/>
    </xf>
    <xf numFmtId="189" fontId="26" fillId="7" borderId="11" xfId="119" applyNumberFormat="1" applyFont="1" applyFill="1" applyBorder="1" applyAlignment="1">
      <alignment horizontal="center" vertical="center" wrapText="1"/>
    </xf>
    <xf numFmtId="189" fontId="26" fillId="7" borderId="41" xfId="119" applyNumberFormat="1" applyFont="1" applyFill="1" applyBorder="1" applyAlignment="1">
      <alignment horizontal="center" vertical="center" wrapText="1"/>
    </xf>
    <xf numFmtId="0" fontId="72" fillId="0" borderId="0" xfId="0" applyFont="1" applyAlignment="1">
      <alignment horizontal="center" vertical="center"/>
    </xf>
    <xf numFmtId="0" fontId="28" fillId="0" borderId="0" xfId="0" applyFont="1"/>
    <xf numFmtId="0" fontId="55" fillId="0" borderId="0" xfId="0" applyNumberFormat="1" applyFont="1" applyBorder="1" applyAlignment="1">
      <alignment horizontal="center" vertical="center" wrapText="1"/>
    </xf>
    <xf numFmtId="0" fontId="54" fillId="0" borderId="33" xfId="0" applyFont="1" applyBorder="1" applyAlignment="1">
      <alignment vertical="center"/>
    </xf>
    <xf numFmtId="0" fontId="54" fillId="0" borderId="58" xfId="0" applyFont="1" applyBorder="1" applyAlignment="1">
      <alignment vertical="center"/>
    </xf>
    <xf numFmtId="0" fontId="54" fillId="0" borderId="67" xfId="0" applyFont="1" applyBorder="1" applyAlignment="1">
      <alignment vertical="center"/>
    </xf>
    <xf numFmtId="0" fontId="54" fillId="0" borderId="32" xfId="0" applyFont="1" applyBorder="1" applyAlignment="1">
      <alignment vertical="center"/>
    </xf>
    <xf numFmtId="0" fontId="55" fillId="0" borderId="70" xfId="0" applyNumberFormat="1" applyFont="1" applyBorder="1" applyAlignment="1">
      <alignment horizontal="center" vertical="center" wrapText="1"/>
    </xf>
    <xf numFmtId="0" fontId="54" fillId="0" borderId="0" xfId="0" applyFont="1" applyBorder="1" applyAlignment="1">
      <alignment vertical="center"/>
    </xf>
    <xf numFmtId="0" fontId="54" fillId="0" borderId="70" xfId="0" applyFont="1" applyBorder="1" applyAlignment="1">
      <alignment vertical="center"/>
    </xf>
    <xf numFmtId="0" fontId="54" fillId="0" borderId="61" xfId="0" applyFont="1" applyBorder="1" applyAlignment="1">
      <alignment vertical="center"/>
    </xf>
    <xf numFmtId="0" fontId="54" fillId="0" borderId="62" xfId="0" applyFont="1" applyBorder="1" applyAlignment="1">
      <alignment vertical="center"/>
    </xf>
    <xf numFmtId="0" fontId="54" fillId="0" borderId="38" xfId="0" applyFont="1" applyBorder="1" applyAlignment="1">
      <alignment vertical="center"/>
    </xf>
    <xf numFmtId="0" fontId="73" fillId="0" borderId="0" xfId="5" quotePrefix="1" applyFont="1" applyBorder="1" applyAlignment="1" applyProtection="1">
      <alignment horizontal="left" vertical="center" indent="2"/>
    </xf>
    <xf numFmtId="0" fontId="54" fillId="0" borderId="35" xfId="0" applyFont="1" applyBorder="1" applyAlignment="1">
      <alignment vertical="center"/>
    </xf>
    <xf numFmtId="0" fontId="54" fillId="0" borderId="10" xfId="0" applyFont="1" applyBorder="1" applyAlignment="1">
      <alignment vertical="center"/>
    </xf>
    <xf numFmtId="0" fontId="54" fillId="0" borderId="24" xfId="0" applyFont="1" applyBorder="1" applyAlignment="1">
      <alignment vertical="center"/>
    </xf>
    <xf numFmtId="0" fontId="54" fillId="0" borderId="44" xfId="0" applyFont="1" applyBorder="1" applyAlignment="1">
      <alignment vertical="center"/>
    </xf>
    <xf numFmtId="0" fontId="54" fillId="0" borderId="52" xfId="0" applyFont="1" applyBorder="1" applyAlignment="1">
      <alignment vertical="center"/>
    </xf>
    <xf numFmtId="166" fontId="54" fillId="0" borderId="12" xfId="3" applyNumberFormat="1" applyFont="1" applyBorder="1" applyAlignment="1">
      <alignment vertical="center"/>
    </xf>
    <xf numFmtId="0" fontId="74" fillId="0" borderId="52" xfId="0" applyFont="1" applyBorder="1" applyAlignment="1">
      <alignment vertical="center"/>
    </xf>
    <xf numFmtId="166" fontId="74" fillId="0" borderId="12" xfId="3" applyNumberFormat="1" applyFont="1" applyBorder="1" applyAlignment="1">
      <alignment vertical="center"/>
    </xf>
    <xf numFmtId="0" fontId="74" fillId="0" borderId="54" xfId="0" applyFont="1" applyBorder="1" applyAlignment="1">
      <alignment vertical="center"/>
    </xf>
    <xf numFmtId="0" fontId="54" fillId="0" borderId="37" xfId="0" applyFont="1" applyBorder="1" applyAlignment="1">
      <alignment vertical="center"/>
    </xf>
    <xf numFmtId="0" fontId="54" fillId="0" borderId="57" xfId="0" applyFont="1" applyBorder="1" applyAlignment="1">
      <alignment vertical="center"/>
    </xf>
    <xf numFmtId="0" fontId="54" fillId="0" borderId="49" xfId="0" applyFont="1" applyBorder="1" applyAlignment="1">
      <alignment vertical="center"/>
    </xf>
    <xf numFmtId="166" fontId="54" fillId="0" borderId="27" xfId="3" applyNumberFormat="1" applyFont="1" applyBorder="1" applyAlignment="1">
      <alignment vertical="center"/>
    </xf>
    <xf numFmtId="0" fontId="74" fillId="0" borderId="4" xfId="0" applyFont="1" applyBorder="1" applyAlignment="1">
      <alignment horizontal="center" vertical="center"/>
    </xf>
    <xf numFmtId="0" fontId="31" fillId="0" borderId="66" xfId="85" applyFont="1" applyBorder="1" applyAlignment="1">
      <alignment horizontal="center" wrapText="1"/>
    </xf>
    <xf numFmtId="191" fontId="28" fillId="0" borderId="70" xfId="0" applyNumberFormat="1" applyFont="1" applyBorder="1" applyAlignment="1">
      <alignment horizontal="center" vertical="center"/>
    </xf>
    <xf numFmtId="191" fontId="28" fillId="0" borderId="38" xfId="0" applyNumberFormat="1" applyFont="1" applyBorder="1" applyAlignment="1">
      <alignment horizontal="center" vertical="center"/>
    </xf>
    <xf numFmtId="0" fontId="28" fillId="0" borderId="70" xfId="0" applyFont="1" applyBorder="1" applyAlignment="1">
      <alignment horizontal="center" vertical="center"/>
    </xf>
    <xf numFmtId="0" fontId="3" fillId="0" borderId="35"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18" fillId="0" borderId="63" xfId="85" applyFont="1" applyFill="1" applyBorder="1" applyAlignment="1">
      <alignment horizontal="left" vertical="top" wrapText="1" indent="1"/>
    </xf>
    <xf numFmtId="0" fontId="18" fillId="0" borderId="52" xfId="85" applyFont="1" applyFill="1" applyBorder="1" applyAlignment="1">
      <alignment horizontal="left" vertical="top" wrapText="1" indent="1"/>
    </xf>
    <xf numFmtId="0" fontId="18" fillId="0" borderId="60" xfId="85" applyFont="1" applyFill="1" applyBorder="1" applyAlignment="1">
      <alignment horizontal="left" vertical="top" wrapText="1" indent="1"/>
    </xf>
    <xf numFmtId="9" fontId="28" fillId="0" borderId="12" xfId="0" applyNumberFormat="1" applyFont="1" applyBorder="1" applyAlignment="1">
      <alignment horizontal="center" vertical="center"/>
    </xf>
    <xf numFmtId="9" fontId="28" fillId="0" borderId="42" xfId="0" applyNumberFormat="1" applyFont="1" applyBorder="1" applyAlignment="1">
      <alignment horizontal="center" vertical="center"/>
    </xf>
    <xf numFmtId="0" fontId="30" fillId="4" borderId="29" xfId="85" applyFont="1" applyFill="1" applyBorder="1" applyAlignment="1">
      <alignment horizontal="left" vertical="center" indent="3"/>
    </xf>
    <xf numFmtId="0" fontId="30" fillId="5" borderId="3" xfId="85" applyFont="1" applyFill="1" applyBorder="1" applyAlignment="1">
      <alignment horizontal="center" vertical="center" wrapText="1"/>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77" fillId="0" borderId="11" xfId="0" applyFont="1" applyBorder="1" applyAlignment="1">
      <alignment horizontal="center" vertical="center"/>
    </xf>
    <xf numFmtId="0" fontId="77" fillId="0" borderId="11" xfId="0" applyFont="1" applyBorder="1" applyAlignment="1">
      <alignment vertical="center" wrapText="1"/>
    </xf>
    <xf numFmtId="175" fontId="77" fillId="7" borderId="11" xfId="0" applyNumberFormat="1" applyFont="1" applyFill="1" applyBorder="1" applyAlignment="1">
      <alignment horizontal="center" vertical="center"/>
    </xf>
    <xf numFmtId="175" fontId="77" fillId="0" borderId="11" xfId="0" applyNumberFormat="1" applyFont="1" applyFill="1" applyBorder="1" applyAlignment="1">
      <alignment horizontal="center" vertical="center"/>
    </xf>
    <xf numFmtId="0" fontId="50" fillId="0" borderId="0" xfId="0" applyFont="1" applyAlignment="1">
      <alignment vertical="center"/>
    </xf>
    <xf numFmtId="189" fontId="78" fillId="7" borderId="46" xfId="119" applyNumberFormat="1" applyFont="1" applyFill="1" applyBorder="1" applyAlignment="1">
      <alignment vertical="center"/>
    </xf>
    <xf numFmtId="0" fontId="65" fillId="0" borderId="11" xfId="1" applyFont="1" applyFill="1" applyBorder="1" applyProtection="1"/>
    <xf numFmtId="0" fontId="30" fillId="0" borderId="29" xfId="85" applyFont="1" applyBorder="1" applyAlignment="1">
      <alignment horizontal="left" indent="3"/>
    </xf>
    <xf numFmtId="184" fontId="78" fillId="0" borderId="0" xfId="120" applyNumberFormat="1" applyFont="1" applyBorder="1"/>
    <xf numFmtId="180" fontId="78" fillId="0" borderId="0" xfId="120" applyNumberFormat="1" applyFont="1" applyBorder="1"/>
    <xf numFmtId="0" fontId="78" fillId="4" borderId="0" xfId="85" applyFont="1" applyFill="1" applyBorder="1"/>
    <xf numFmtId="184" fontId="78" fillId="4" borderId="0" xfId="120" applyNumberFormat="1" applyFont="1" applyFill="1" applyBorder="1"/>
    <xf numFmtId="180" fontId="78" fillId="4" borderId="0" xfId="120" applyNumberFormat="1" applyFont="1" applyFill="1" applyBorder="1"/>
    <xf numFmtId="10" fontId="9" fillId="0" borderId="0" xfId="119" applyNumberFormat="1" applyFont="1"/>
    <xf numFmtId="10" fontId="30" fillId="4" borderId="0" xfId="119" applyNumberFormat="1" applyFont="1" applyFill="1" applyBorder="1" applyAlignment="1">
      <alignment horizontal="center"/>
    </xf>
    <xf numFmtId="10" fontId="30" fillId="0" borderId="0" xfId="119" applyNumberFormat="1" applyFont="1" applyAlignment="1">
      <alignment horizontal="center"/>
    </xf>
    <xf numFmtId="10" fontId="30" fillId="5" borderId="1" xfId="119" applyNumberFormat="1" applyFont="1" applyFill="1" applyBorder="1" applyAlignment="1">
      <alignment horizontal="center" vertical="center" wrapText="1"/>
    </xf>
    <xf numFmtId="0" fontId="79" fillId="0" borderId="0" xfId="85" applyFont="1" applyAlignment="1">
      <alignment horizontal="center" vertical="center"/>
    </xf>
    <xf numFmtId="164" fontId="30" fillId="0" borderId="1" xfId="3" applyFont="1" applyBorder="1"/>
    <xf numFmtId="192" fontId="30" fillId="11" borderId="45" xfId="119" applyNumberFormat="1" applyFont="1" applyFill="1" applyBorder="1" applyAlignment="1"/>
    <xf numFmtId="192" fontId="9" fillId="0" borderId="0" xfId="119" applyNumberFormat="1" applyFont="1" applyAlignment="1">
      <alignment horizontal="left" vertical="top" wrapText="1"/>
    </xf>
    <xf numFmtId="0" fontId="79" fillId="0" borderId="0" xfId="85" applyFont="1" applyAlignment="1">
      <alignment horizontal="center"/>
    </xf>
    <xf numFmtId="0" fontId="30" fillId="4" borderId="45" xfId="85" applyFont="1" applyFill="1" applyBorder="1" applyAlignment="1">
      <alignment vertical="center"/>
    </xf>
    <xf numFmtId="0" fontId="30" fillId="11" borderId="29" xfId="85" applyFont="1" applyFill="1" applyBorder="1" applyAlignment="1">
      <alignment horizontal="left" indent="3"/>
    </xf>
    <xf numFmtId="0" fontId="30" fillId="11" borderId="29" xfId="85" applyFont="1" applyFill="1" applyBorder="1" applyAlignment="1">
      <alignment horizontal="left" indent="4"/>
    </xf>
    <xf numFmtId="0" fontId="30" fillId="11" borderId="61" xfId="85" applyFont="1" applyFill="1" applyBorder="1" applyAlignment="1">
      <alignment horizontal="left" indent="4"/>
    </xf>
    <xf numFmtId="0" fontId="30" fillId="0" borderId="1" xfId="85" applyFont="1" applyBorder="1" applyAlignment="1">
      <alignment horizontal="center"/>
    </xf>
    <xf numFmtId="0" fontId="30" fillId="0" borderId="1" xfId="85" applyFont="1" applyFill="1" applyBorder="1" applyAlignment="1">
      <alignment horizontal="center"/>
    </xf>
    <xf numFmtId="0" fontId="9" fillId="0" borderId="5" xfId="85" applyNumberFormat="1" applyFont="1" applyFill="1" applyBorder="1" applyAlignment="1">
      <alignment horizontal="left" vertical="center" wrapText="1"/>
    </xf>
    <xf numFmtId="0" fontId="9" fillId="0" borderId="13" xfId="85" applyNumberFormat="1" applyFont="1" applyFill="1" applyBorder="1" applyAlignment="1">
      <alignment horizontal="left" vertical="center" wrapText="1"/>
    </xf>
    <xf numFmtId="0" fontId="9" fillId="0" borderId="9" xfId="85" applyNumberFormat="1" applyFont="1" applyFill="1" applyBorder="1" applyAlignment="1">
      <alignment horizontal="left" vertical="center" wrapText="1"/>
    </xf>
    <xf numFmtId="0" fontId="9" fillId="0" borderId="23" xfId="85" applyNumberFormat="1" applyFont="1" applyFill="1" applyBorder="1" applyAlignment="1">
      <alignment horizontal="left" vertical="center" wrapText="1"/>
    </xf>
    <xf numFmtId="166" fontId="9" fillId="0" borderId="64" xfId="3" applyNumberFormat="1" applyFont="1" applyBorder="1"/>
    <xf numFmtId="0" fontId="9" fillId="0" borderId="5" xfId="85" applyFont="1" applyBorder="1"/>
    <xf numFmtId="166" fontId="30" fillId="0" borderId="1" xfId="85" applyNumberFormat="1" applyFont="1" applyFill="1" applyBorder="1" applyAlignment="1">
      <alignment horizontal="center"/>
    </xf>
    <xf numFmtId="0" fontId="30" fillId="4" borderId="29" xfId="85" applyFont="1" applyFill="1" applyBorder="1" applyAlignment="1">
      <alignment horizontal="left" vertical="center" indent="3"/>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30" fillId="5" borderId="3" xfId="85" applyFont="1" applyFill="1" applyBorder="1" applyAlignment="1">
      <alignment horizontal="center" vertical="center" wrapText="1"/>
    </xf>
    <xf numFmtId="9" fontId="9" fillId="0" borderId="0" xfId="119" applyFont="1"/>
    <xf numFmtId="0" fontId="30" fillId="4" borderId="29" xfId="85" applyFont="1" applyFill="1" applyBorder="1" applyAlignment="1">
      <alignment horizontal="left" vertical="center" indent="3"/>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30" fillId="5" borderId="3" xfId="85" applyFont="1" applyFill="1" applyBorder="1" applyAlignment="1">
      <alignment horizontal="center" vertical="center" wrapText="1"/>
    </xf>
    <xf numFmtId="180" fontId="26" fillId="0" borderId="28" xfId="2" applyNumberFormat="1" applyFont="1" applyFill="1" applyBorder="1" applyProtection="1"/>
    <xf numFmtId="180" fontId="26" fillId="0" borderId="46" xfId="2" applyNumberFormat="1" applyFont="1" applyFill="1" applyBorder="1" applyProtection="1"/>
    <xf numFmtId="180" fontId="46" fillId="0" borderId="46" xfId="1" applyNumberFormat="1" applyFont="1" applyFill="1" applyBorder="1" applyAlignment="1" applyProtection="1">
      <alignment horizontal="center" vertical="center" wrapText="1"/>
    </xf>
    <xf numFmtId="165" fontId="46" fillId="0" borderId="11" xfId="2" applyNumberFormat="1" applyFont="1" applyFill="1" applyBorder="1" applyAlignment="1" applyProtection="1">
      <alignment horizontal="center" vertical="center" wrapText="1"/>
    </xf>
    <xf numFmtId="180" fontId="46" fillId="0" borderId="26" xfId="2" applyNumberFormat="1" applyFont="1" applyFill="1" applyBorder="1" applyAlignment="1" applyProtection="1">
      <alignment horizontal="center" vertical="center" wrapText="1"/>
    </xf>
    <xf numFmtId="180" fontId="26" fillId="0" borderId="11" xfId="2" applyNumberFormat="1" applyFont="1" applyFill="1" applyBorder="1" applyProtection="1"/>
    <xf numFmtId="0" fontId="46" fillId="0" borderId="26" xfId="1" applyFont="1" applyFill="1" applyBorder="1" applyAlignment="1" applyProtection="1">
      <alignment horizontal="center"/>
    </xf>
    <xf numFmtId="165" fontId="46" fillId="0" borderId="26" xfId="2" applyNumberFormat="1" applyFont="1" applyFill="1" applyBorder="1" applyAlignment="1" applyProtection="1">
      <alignment horizontal="center" vertical="center" wrapText="1"/>
    </xf>
    <xf numFmtId="165" fontId="26" fillId="0" borderId="26" xfId="2" applyNumberFormat="1" applyFont="1" applyFill="1" applyBorder="1" applyProtection="1"/>
    <xf numFmtId="165" fontId="26" fillId="0" borderId="11" xfId="2" applyNumberFormat="1" applyFont="1" applyFill="1" applyBorder="1" applyProtection="1"/>
    <xf numFmtId="0" fontId="26" fillId="0" borderId="27" xfId="0" applyNumberFormat="1" applyFont="1" applyFill="1" applyBorder="1" applyAlignment="1" applyProtection="1">
      <alignment wrapText="1"/>
    </xf>
    <xf numFmtId="0" fontId="46" fillId="0" borderId="12" xfId="1" applyNumberFormat="1" applyFont="1" applyFill="1" applyBorder="1" applyAlignment="1" applyProtection="1">
      <alignment wrapText="1"/>
    </xf>
    <xf numFmtId="0" fontId="46" fillId="0" borderId="12" xfId="1" applyFont="1" applyFill="1" applyBorder="1" applyAlignment="1" applyProtection="1">
      <alignment wrapText="1"/>
    </xf>
    <xf numFmtId="0" fontId="25" fillId="0" borderId="42" xfId="0" applyFont="1" applyFill="1" applyBorder="1" applyAlignment="1" applyProtection="1">
      <alignment wrapText="1"/>
    </xf>
    <xf numFmtId="10" fontId="30" fillId="11" borderId="45" xfId="119" applyNumberFormat="1" applyFont="1" applyFill="1" applyBorder="1" applyAlignment="1"/>
    <xf numFmtId="0" fontId="25" fillId="0" borderId="41" xfId="0" applyNumberFormat="1" applyFont="1" applyFill="1" applyBorder="1" applyAlignment="1" applyProtection="1">
      <alignment horizontal="left"/>
    </xf>
    <xf numFmtId="0" fontId="80" fillId="0" borderId="0" xfId="0" applyFont="1" applyFill="1" applyProtection="1"/>
    <xf numFmtId="0" fontId="81" fillId="0" borderId="0" xfId="1" applyFont="1" applyFill="1" applyProtection="1"/>
    <xf numFmtId="0" fontId="80" fillId="0" borderId="0" xfId="0" applyFont="1" applyFill="1" applyBorder="1" applyProtection="1"/>
    <xf numFmtId="0" fontId="28" fillId="19" borderId="32" xfId="0" applyFont="1" applyFill="1" applyBorder="1" applyAlignment="1">
      <alignment horizontal="center" vertical="center"/>
    </xf>
    <xf numFmtId="165" fontId="25" fillId="0" borderId="0" xfId="2" applyNumberFormat="1" applyFont="1" applyFill="1" applyAlignment="1" applyProtection="1">
      <alignment horizontal="center"/>
    </xf>
    <xf numFmtId="165" fontId="26" fillId="0" borderId="0" xfId="2" applyNumberFormat="1" applyFont="1" applyFill="1" applyProtection="1"/>
    <xf numFmtId="165" fontId="26" fillId="0" borderId="0" xfId="0" applyNumberFormat="1" applyFont="1" applyFill="1" applyProtection="1"/>
    <xf numFmtId="165" fontId="26" fillId="0" borderId="0" xfId="2" applyNumberFormat="1" applyFont="1" applyFill="1" applyBorder="1" applyProtection="1"/>
    <xf numFmtId="0" fontId="30" fillId="0" borderId="1" xfId="85" applyFont="1" applyFill="1" applyBorder="1" applyAlignment="1">
      <alignment horizontal="center" vertical="center" wrapText="1"/>
    </xf>
    <xf numFmtId="166" fontId="0" fillId="0" borderId="5" xfId="54" applyNumberFormat="1" applyFont="1" applyFill="1" applyBorder="1" applyAlignment="1">
      <alignment horizontal="center"/>
    </xf>
    <xf numFmtId="166" fontId="0" fillId="0" borderId="9" xfId="54" applyNumberFormat="1" applyFont="1" applyFill="1" applyBorder="1" applyAlignment="1">
      <alignment horizontal="center"/>
    </xf>
    <xf numFmtId="166" fontId="0" fillId="0" borderId="36" xfId="54" applyNumberFormat="1" applyFont="1" applyFill="1" applyBorder="1" applyAlignment="1">
      <alignment horizontal="center"/>
    </xf>
    <xf numFmtId="166" fontId="30" fillId="0" borderId="20" xfId="54" applyNumberFormat="1" applyFont="1" applyFill="1" applyBorder="1" applyAlignment="1">
      <alignment horizontal="center"/>
    </xf>
    <xf numFmtId="0" fontId="9" fillId="0" borderId="0" xfId="85" applyFont="1" applyFill="1"/>
    <xf numFmtId="166" fontId="9" fillId="0" borderId="0" xfId="85" applyNumberFormat="1" applyFont="1" applyFill="1"/>
    <xf numFmtId="166" fontId="30" fillId="0" borderId="1" xfId="54" applyNumberFormat="1" applyFont="1" applyFill="1" applyBorder="1" applyAlignment="1">
      <alignment horizontal="center"/>
    </xf>
    <xf numFmtId="0" fontId="30" fillId="0" borderId="67" xfId="85" applyFont="1" applyFill="1" applyBorder="1" applyAlignment="1">
      <alignment horizontal="center" vertical="center" wrapText="1"/>
    </xf>
    <xf numFmtId="166" fontId="0" fillId="0" borderId="64" xfId="54" applyNumberFormat="1" applyFont="1" applyFill="1" applyBorder="1" applyAlignment="1">
      <alignment horizontal="center"/>
    </xf>
    <xf numFmtId="166" fontId="0" fillId="0" borderId="53" xfId="54" applyNumberFormat="1" applyFont="1" applyFill="1" applyBorder="1" applyAlignment="1">
      <alignment horizontal="center"/>
    </xf>
    <xf numFmtId="166" fontId="0" fillId="0" borderId="65" xfId="54" applyNumberFormat="1" applyFont="1" applyFill="1" applyBorder="1" applyAlignment="1">
      <alignment horizontal="center"/>
    </xf>
    <xf numFmtId="0" fontId="30" fillId="0" borderId="5" xfId="85" applyFont="1" applyFill="1" applyBorder="1" applyAlignment="1">
      <alignment horizontal="center" vertical="center" wrapText="1"/>
    </xf>
    <xf numFmtId="180" fontId="12" fillId="0" borderId="9" xfId="0" applyNumberFormat="1" applyFont="1" applyFill="1" applyBorder="1" applyAlignment="1">
      <alignment vertical="center"/>
    </xf>
    <xf numFmtId="180" fontId="12" fillId="0" borderId="71" xfId="0" applyNumberFormat="1" applyFont="1" applyFill="1" applyBorder="1" applyAlignment="1">
      <alignment vertical="center"/>
    </xf>
    <xf numFmtId="180" fontId="12" fillId="0" borderId="0" xfId="0" applyNumberFormat="1" applyFont="1" applyFill="1" applyBorder="1" applyAlignment="1">
      <alignment vertical="center"/>
    </xf>
    <xf numFmtId="0" fontId="34" fillId="0" borderId="1" xfId="121" applyFont="1" applyFill="1" applyBorder="1" applyAlignment="1">
      <alignment horizontal="center" vertical="center" wrapText="1"/>
    </xf>
    <xf numFmtId="0" fontId="9" fillId="0" borderId="0" xfId="85" applyFont="1" applyFill="1" applyAlignment="1">
      <alignment horizontal="left" vertical="top" wrapText="1"/>
    </xf>
    <xf numFmtId="166" fontId="46" fillId="0" borderId="26" xfId="3" applyNumberFormat="1" applyFont="1" applyFill="1" applyBorder="1" applyAlignment="1" applyProtection="1">
      <alignment horizontal="center" vertical="center" wrapText="1"/>
    </xf>
    <xf numFmtId="166" fontId="46" fillId="0" borderId="11" xfId="3" applyNumberFormat="1" applyFont="1" applyFill="1" applyBorder="1" applyAlignment="1" applyProtection="1">
      <alignment horizontal="center" vertical="center" wrapText="1"/>
    </xf>
    <xf numFmtId="164" fontId="46" fillId="0" borderId="27" xfId="1" applyNumberFormat="1" applyFont="1" applyFill="1" applyBorder="1" applyAlignment="1" applyProtection="1">
      <alignment horizontal="center" vertical="center" wrapText="1"/>
    </xf>
    <xf numFmtId="164" fontId="46" fillId="0" borderId="12" xfId="1" applyNumberFormat="1" applyFont="1" applyFill="1" applyBorder="1" applyAlignment="1" applyProtection="1">
      <alignment horizontal="center" vertical="center" wrapText="1"/>
    </xf>
    <xf numFmtId="164" fontId="46" fillId="0" borderId="42" xfId="1" applyNumberFormat="1" applyFont="1" applyFill="1" applyBorder="1" applyAlignment="1" applyProtection="1">
      <alignment horizontal="center" vertical="center" wrapText="1"/>
    </xf>
    <xf numFmtId="164" fontId="26" fillId="0" borderId="0" xfId="0" applyNumberFormat="1" applyFont="1" applyFill="1" applyProtection="1"/>
    <xf numFmtId="164" fontId="26" fillId="0" borderId="0" xfId="3" applyNumberFormat="1" applyFont="1" applyFill="1" applyProtection="1"/>
    <xf numFmtId="164" fontId="25" fillId="0" borderId="0" xfId="3" applyNumberFormat="1" applyFont="1" applyFill="1" applyBorder="1" applyProtection="1"/>
    <xf numFmtId="193" fontId="28" fillId="0" borderId="0" xfId="0" applyNumberFormat="1" applyFont="1" applyAlignment="1">
      <alignment vertical="center"/>
    </xf>
    <xf numFmtId="2" fontId="28" fillId="0" borderId="0" xfId="0" applyNumberFormat="1" applyFont="1" applyAlignment="1">
      <alignment horizontal="left" vertical="center"/>
    </xf>
    <xf numFmtId="177" fontId="21" fillId="0" borderId="5" xfId="40" applyNumberFormat="1" applyFont="1" applyFill="1" applyBorder="1" applyAlignment="1">
      <alignment vertical="center"/>
    </xf>
    <xf numFmtId="177" fontId="21" fillId="0" borderId="9" xfId="40" applyNumberFormat="1" applyFont="1" applyFill="1" applyBorder="1" applyAlignment="1">
      <alignment vertical="center"/>
    </xf>
    <xf numFmtId="179" fontId="21" fillId="0" borderId="36" xfId="36" applyNumberFormat="1" applyFont="1" applyFill="1" applyBorder="1" applyAlignment="1">
      <alignment vertical="center"/>
    </xf>
    <xf numFmtId="166" fontId="11" fillId="0" borderId="0" xfId="71" applyNumberFormat="1"/>
    <xf numFmtId="166" fontId="11" fillId="0" borderId="0" xfId="3" applyNumberFormat="1" applyFont="1"/>
    <xf numFmtId="166" fontId="1" fillId="0" borderId="0" xfId="3" applyNumberFormat="1"/>
    <xf numFmtId="0" fontId="46" fillId="0" borderId="0" xfId="0" applyFont="1"/>
    <xf numFmtId="164" fontId="46" fillId="0" borderId="26" xfId="1" applyNumberFormat="1" applyFont="1" applyFill="1" applyBorder="1" applyAlignment="1" applyProtection="1">
      <alignment horizontal="center" vertical="center" wrapText="1"/>
    </xf>
    <xf numFmtId="164" fontId="46" fillId="0" borderId="26" xfId="3" applyNumberFormat="1" applyFont="1" applyFill="1" applyBorder="1" applyAlignment="1" applyProtection="1">
      <alignment horizontal="center" vertical="center" wrapText="1"/>
    </xf>
    <xf numFmtId="195" fontId="26" fillId="0" borderId="0" xfId="0" applyNumberFormat="1" applyFont="1" applyFill="1" applyProtection="1"/>
    <xf numFmtId="0" fontId="28" fillId="0" borderId="0" xfId="0" applyFont="1" applyFill="1"/>
    <xf numFmtId="0" fontId="48" fillId="0" borderId="0" xfId="0" applyFont="1" applyFill="1"/>
    <xf numFmtId="166" fontId="84" fillId="0" borderId="0" xfId="3" applyNumberFormat="1" applyFont="1"/>
    <xf numFmtId="166" fontId="85" fillId="0" borderId="0" xfId="3" applyNumberFormat="1" applyFont="1"/>
    <xf numFmtId="164" fontId="48" fillId="0" borderId="0" xfId="0" applyNumberFormat="1" applyFont="1"/>
    <xf numFmtId="166" fontId="25" fillId="0" borderId="0" xfId="3" applyNumberFormat="1" applyFont="1" applyFill="1" applyProtection="1"/>
    <xf numFmtId="0" fontId="25" fillId="0" borderId="0" xfId="0" applyFont="1" applyFill="1" applyProtection="1"/>
    <xf numFmtId="166" fontId="48" fillId="0" borderId="0" xfId="3" applyNumberFormat="1" applyFont="1"/>
    <xf numFmtId="0" fontId="1" fillId="0" borderId="0" xfId="103" applyFill="1"/>
    <xf numFmtId="0" fontId="83" fillId="0" borderId="0" xfId="103" applyFont="1" applyFill="1"/>
    <xf numFmtId="194" fontId="83" fillId="0" borderId="0" xfId="119" applyNumberFormat="1" applyFont="1" applyFill="1"/>
    <xf numFmtId="0" fontId="11" fillId="0" borderId="0" xfId="71" applyFill="1"/>
    <xf numFmtId="3" fontId="43" fillId="0" borderId="4" xfId="131" applyNumberFormat="1" applyFont="1" applyFill="1" applyBorder="1" applyAlignment="1">
      <alignment vertical="center"/>
    </xf>
    <xf numFmtId="166" fontId="16" fillId="0" borderId="69" xfId="132" applyNumberFormat="1" applyFont="1" applyFill="1" applyBorder="1" applyAlignment="1">
      <alignment vertical="center"/>
    </xf>
    <xf numFmtId="166" fontId="17" fillId="0" borderId="69" xfId="132" applyNumberFormat="1" applyFont="1" applyFill="1" applyBorder="1" applyAlignment="1">
      <alignment vertical="center"/>
    </xf>
    <xf numFmtId="166" fontId="17" fillId="0" borderId="27" xfId="132" applyNumberFormat="1" applyFont="1" applyFill="1" applyBorder="1" applyAlignment="1">
      <alignment vertical="center"/>
    </xf>
    <xf numFmtId="166" fontId="16" fillId="0" borderId="12" xfId="132" applyNumberFormat="1" applyFont="1" applyFill="1" applyBorder="1" applyAlignment="1">
      <alignment horizontal="center" vertical="center"/>
    </xf>
    <xf numFmtId="166" fontId="16" fillId="0" borderId="12" xfId="132" applyNumberFormat="1" applyFont="1" applyFill="1" applyBorder="1" applyAlignment="1">
      <alignment horizontal="center"/>
    </xf>
    <xf numFmtId="166" fontId="16" fillId="0" borderId="16" xfId="132" applyNumberFormat="1" applyFont="1" applyFill="1" applyBorder="1" applyAlignment="1">
      <alignment vertical="center"/>
    </xf>
    <xf numFmtId="166" fontId="16" fillId="0" borderId="27" xfId="132" applyNumberFormat="1" applyFont="1" applyFill="1" applyBorder="1" applyAlignment="1">
      <alignment vertical="center"/>
    </xf>
    <xf numFmtId="166" fontId="16" fillId="0" borderId="16" xfId="132" applyNumberFormat="1" applyFont="1" applyFill="1" applyBorder="1" applyAlignment="1">
      <alignment vertical="center" wrapText="1"/>
    </xf>
    <xf numFmtId="166" fontId="16" fillId="0" borderId="27" xfId="132" applyNumberFormat="1" applyFont="1" applyFill="1" applyBorder="1" applyAlignment="1">
      <alignment vertical="center" wrapText="1"/>
    </xf>
    <xf numFmtId="166" fontId="16" fillId="0" borderId="12" xfId="132" applyNumberFormat="1" applyFont="1" applyFill="1" applyBorder="1" applyAlignment="1">
      <alignment horizontal="center" vertical="center" wrapText="1"/>
    </xf>
    <xf numFmtId="166" fontId="16" fillId="0" borderId="69" xfId="132" applyNumberFormat="1" applyFont="1" applyFill="1" applyBorder="1" applyAlignment="1">
      <alignment vertical="center" wrapText="1"/>
    </xf>
    <xf numFmtId="166" fontId="11" fillId="0" borderId="69" xfId="132" applyNumberFormat="1" applyFont="1" applyFill="1" applyBorder="1" applyAlignment="1"/>
    <xf numFmtId="166" fontId="11" fillId="0" borderId="27" xfId="132" applyNumberFormat="1" applyFont="1" applyFill="1" applyBorder="1" applyAlignment="1"/>
    <xf numFmtId="164" fontId="30" fillId="0" borderId="1" xfId="85" applyNumberFormat="1" applyFont="1" applyBorder="1" applyAlignment="1">
      <alignment horizontal="center"/>
    </xf>
    <xf numFmtId="10" fontId="54" fillId="0" borderId="70" xfId="119" applyNumberFormat="1" applyFont="1" applyFill="1" applyBorder="1" applyAlignment="1">
      <alignment vertical="center"/>
    </xf>
    <xf numFmtId="10" fontId="54" fillId="0" borderId="70" xfId="0" applyNumberFormat="1" applyFont="1" applyFill="1" applyBorder="1" applyAlignment="1">
      <alignment vertical="center"/>
    </xf>
    <xf numFmtId="10" fontId="74" fillId="0" borderId="70" xfId="0" applyNumberFormat="1" applyFont="1" applyFill="1" applyBorder="1" applyAlignment="1">
      <alignment vertical="center"/>
    </xf>
    <xf numFmtId="164" fontId="74" fillId="0" borderId="42" xfId="3" applyNumberFormat="1" applyFont="1" applyBorder="1" applyAlignment="1">
      <alignment vertical="center"/>
    </xf>
    <xf numFmtId="180" fontId="25" fillId="0" borderId="1" xfId="2" applyNumberFormat="1" applyFont="1" applyFill="1" applyBorder="1" applyAlignment="1" applyProtection="1">
      <alignment horizontal="center" vertical="center" wrapText="1"/>
    </xf>
    <xf numFmtId="0" fontId="73" fillId="0" borderId="0" xfId="5" quotePrefix="1" applyFont="1" applyFill="1" applyBorder="1" applyAlignment="1" applyProtection="1">
      <alignment horizontal="left" vertical="center" indent="2"/>
    </xf>
    <xf numFmtId="0" fontId="74" fillId="0" borderId="60" xfId="0" applyFont="1" applyFill="1" applyBorder="1" applyAlignment="1">
      <alignment vertical="center"/>
    </xf>
    <xf numFmtId="0" fontId="54" fillId="0" borderId="43" xfId="0" applyFont="1" applyFill="1" applyBorder="1" applyAlignment="1">
      <alignment vertical="center"/>
    </xf>
    <xf numFmtId="0" fontId="54" fillId="0" borderId="14" xfId="0" applyFont="1" applyFill="1" applyBorder="1" applyAlignment="1">
      <alignment vertical="center"/>
    </xf>
    <xf numFmtId="164" fontId="74" fillId="0" borderId="16" xfId="3" applyNumberFormat="1" applyFont="1" applyFill="1" applyBorder="1" applyAlignment="1">
      <alignment vertical="center"/>
    </xf>
    <xf numFmtId="166" fontId="74" fillId="0" borderId="16" xfId="3" applyNumberFormat="1" applyFont="1" applyFill="1" applyBorder="1" applyAlignment="1">
      <alignment vertical="center"/>
    </xf>
    <xf numFmtId="166" fontId="74" fillId="0" borderId="70" xfId="0" applyNumberFormat="1" applyFont="1" applyFill="1" applyBorder="1" applyAlignment="1">
      <alignment vertical="center"/>
    </xf>
    <xf numFmtId="0" fontId="74" fillId="0" borderId="54" xfId="0" applyFont="1" applyFill="1" applyBorder="1" applyAlignment="1">
      <alignment vertical="center"/>
    </xf>
    <xf numFmtId="0" fontId="54" fillId="0" borderId="37" xfId="0" applyFont="1" applyFill="1" applyBorder="1" applyAlignment="1">
      <alignment vertical="center"/>
    </xf>
    <xf numFmtId="0" fontId="54" fillId="0" borderId="57" xfId="0" applyFont="1" applyFill="1" applyBorder="1" applyAlignment="1">
      <alignment vertical="center"/>
    </xf>
    <xf numFmtId="0" fontId="54" fillId="0" borderId="70" xfId="0" applyFont="1" applyFill="1" applyBorder="1" applyAlignment="1">
      <alignment vertical="center"/>
    </xf>
    <xf numFmtId="0" fontId="74" fillId="0" borderId="62" xfId="0" applyFont="1" applyFill="1" applyBorder="1" applyAlignment="1">
      <alignment vertical="center"/>
    </xf>
    <xf numFmtId="0" fontId="54" fillId="0" borderId="62" xfId="0" applyFont="1" applyFill="1" applyBorder="1" applyAlignment="1">
      <alignment vertical="center"/>
    </xf>
    <xf numFmtId="0" fontId="54" fillId="0" borderId="38" xfId="0" applyFont="1" applyFill="1" applyBorder="1" applyAlignment="1">
      <alignment vertical="center"/>
    </xf>
    <xf numFmtId="0" fontId="54" fillId="0" borderId="0" xfId="0" applyFont="1" applyFill="1" applyAlignment="1">
      <alignment vertical="center"/>
    </xf>
    <xf numFmtId="164" fontId="74" fillId="0" borderId="42" xfId="3" applyNumberFormat="1" applyFont="1" applyFill="1" applyBorder="1" applyAlignment="1">
      <alignment vertical="center"/>
    </xf>
    <xf numFmtId="164" fontId="74" fillId="0" borderId="62" xfId="3" applyNumberFormat="1" applyFont="1" applyFill="1" applyBorder="1" applyAlignment="1">
      <alignment vertical="center"/>
    </xf>
    <xf numFmtId="0" fontId="27" fillId="0" borderId="39" xfId="0" applyFont="1" applyFill="1" applyBorder="1" applyAlignment="1">
      <alignment horizontal="left" vertical="center" indent="1"/>
    </xf>
    <xf numFmtId="0" fontId="28" fillId="0" borderId="25" xfId="0" applyFont="1" applyFill="1" applyBorder="1" applyAlignment="1">
      <alignment horizontal="left" vertical="center"/>
    </xf>
    <xf numFmtId="0" fontId="28" fillId="0" borderId="12" xfId="0" applyFont="1" applyFill="1" applyBorder="1" applyAlignment="1">
      <alignment horizontal="center" vertical="center"/>
    </xf>
    <xf numFmtId="0" fontId="28" fillId="0" borderId="25" xfId="0" applyFont="1" applyFill="1" applyBorder="1" applyAlignment="1">
      <alignment horizontal="left" vertical="center" wrapText="1"/>
    </xf>
    <xf numFmtId="0" fontId="28" fillId="0" borderId="40" xfId="0" applyFont="1" applyFill="1" applyBorder="1" applyAlignment="1">
      <alignment horizontal="left" vertical="center" wrapText="1"/>
    </xf>
    <xf numFmtId="181" fontId="28" fillId="0" borderId="5" xfId="2" applyNumberFormat="1" applyFont="1" applyFill="1" applyBorder="1" applyAlignment="1">
      <alignment horizontal="left" vertical="top" wrapText="1"/>
    </xf>
    <xf numFmtId="181" fontId="28" fillId="0" borderId="9" xfId="2" applyNumberFormat="1" applyFont="1" applyFill="1" applyBorder="1" applyAlignment="1">
      <alignment horizontal="left" vertical="center"/>
    </xf>
    <xf numFmtId="181" fontId="28" fillId="0" borderId="36" xfId="2" applyNumberFormat="1" applyFont="1" applyFill="1" applyBorder="1" applyAlignment="1">
      <alignment horizontal="left" vertical="center"/>
    </xf>
    <xf numFmtId="0" fontId="64" fillId="0" borderId="0" xfId="0" applyFont="1" applyFill="1" applyBorder="1" applyAlignment="1">
      <alignment vertical="center"/>
    </xf>
    <xf numFmtId="9" fontId="28" fillId="0" borderId="0" xfId="0" applyNumberFormat="1" applyFont="1" applyFill="1" applyBorder="1" applyAlignment="1">
      <alignment horizontal="center" vertical="center"/>
    </xf>
    <xf numFmtId="0" fontId="27" fillId="0" borderId="0" xfId="0" applyFont="1" applyFill="1" applyBorder="1" applyAlignment="1">
      <alignment horizontal="left" vertical="center" indent="1"/>
    </xf>
    <xf numFmtId="0" fontId="27" fillId="0" borderId="0" xfId="0" applyFont="1" applyFill="1" applyBorder="1" applyAlignment="1">
      <alignment horizontal="center" vertical="center"/>
    </xf>
    <xf numFmtId="0" fontId="65" fillId="0" borderId="3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0" xfId="6" applyFont="1" applyFill="1" applyAlignment="1">
      <alignment horizontal="left" vertical="center"/>
    </xf>
    <xf numFmtId="166" fontId="28" fillId="0" borderId="25" xfId="3" applyNumberFormat="1" applyFont="1" applyFill="1" applyBorder="1" applyAlignment="1">
      <alignment horizontal="left" vertical="center"/>
    </xf>
    <xf numFmtId="166" fontId="21" fillId="0" borderId="26" xfId="3" applyNumberFormat="1" applyFont="1" applyFill="1" applyBorder="1" applyAlignment="1">
      <alignment horizontal="left" vertical="center"/>
    </xf>
    <xf numFmtId="166" fontId="21" fillId="0" borderId="28" xfId="3" applyNumberFormat="1" applyFont="1" applyFill="1" applyBorder="1" applyAlignment="1">
      <alignment horizontal="left" vertical="center"/>
    </xf>
    <xf numFmtId="166" fontId="21" fillId="0" borderId="27" xfId="3" applyNumberFormat="1" applyFont="1" applyFill="1" applyBorder="1" applyAlignment="1">
      <alignment horizontal="left" vertical="center"/>
    </xf>
    <xf numFmtId="170" fontId="21" fillId="0" borderId="23" xfId="36" applyFont="1" applyFill="1" applyBorder="1" applyAlignment="1">
      <alignment horizontal="left" vertical="center"/>
    </xf>
    <xf numFmtId="171" fontId="21" fillId="0" borderId="23" xfId="20" applyNumberFormat="1" applyFont="1" applyFill="1" applyBorder="1" applyAlignment="1">
      <alignment horizontal="left" vertical="center"/>
    </xf>
    <xf numFmtId="174" fontId="21" fillId="0" borderId="23" xfId="20" applyNumberFormat="1" applyFont="1" applyFill="1" applyBorder="1" applyAlignment="1">
      <alignment horizontal="left" vertical="center"/>
    </xf>
    <xf numFmtId="9" fontId="21" fillId="0" borderId="5" xfId="119" applyFont="1" applyFill="1" applyBorder="1" applyAlignment="1">
      <alignment horizontal="right" vertical="center" wrapText="1"/>
    </xf>
    <xf numFmtId="165" fontId="21" fillId="0" borderId="24" xfId="10" applyNumberFormat="1" applyFont="1" applyFill="1" applyBorder="1" applyAlignment="1">
      <alignment horizontal="left" vertical="center" wrapText="1"/>
    </xf>
    <xf numFmtId="166" fontId="21" fillId="0" borderId="23" xfId="37" applyNumberFormat="1" applyFont="1" applyFill="1" applyBorder="1" applyAlignment="1">
      <alignment horizontal="left" vertical="center"/>
    </xf>
    <xf numFmtId="9" fontId="21" fillId="0" borderId="9" xfId="119" applyFont="1" applyFill="1" applyBorder="1" applyAlignment="1">
      <alignment horizontal="right" vertical="center" wrapText="1"/>
    </xf>
    <xf numFmtId="181" fontId="28" fillId="0" borderId="5" xfId="2" applyNumberFormat="1" applyFont="1" applyFill="1" applyBorder="1" applyAlignment="1">
      <alignment horizontal="center" vertical="center"/>
    </xf>
    <xf numFmtId="182" fontId="28" fillId="0" borderId="6" xfId="2" applyNumberFormat="1" applyFont="1" applyFill="1" applyBorder="1" applyAlignment="1">
      <alignment vertical="center"/>
    </xf>
    <xf numFmtId="9" fontId="28" fillId="0" borderId="8" xfId="0" applyNumberFormat="1" applyFont="1" applyFill="1" applyBorder="1" applyAlignment="1">
      <alignment horizontal="center" vertical="center"/>
    </xf>
    <xf numFmtId="9" fontId="21" fillId="0" borderId="23" xfId="119" applyFont="1" applyFill="1" applyBorder="1" applyAlignment="1">
      <alignment horizontal="right" vertical="center" wrapText="1"/>
    </xf>
    <xf numFmtId="166" fontId="24" fillId="0" borderId="28" xfId="3" applyNumberFormat="1" applyFont="1" applyFill="1" applyBorder="1" applyAlignment="1">
      <alignment horizontal="left" vertical="center"/>
    </xf>
    <xf numFmtId="0" fontId="24" fillId="0" borderId="17" xfId="4" applyFont="1" applyFill="1" applyBorder="1" applyAlignment="1">
      <alignment horizontal="center" vertical="center"/>
    </xf>
    <xf numFmtId="10" fontId="2" fillId="0" borderId="0" xfId="111" applyNumberFormat="1" applyFont="1" applyFill="1"/>
    <xf numFmtId="0" fontId="45" fillId="0" borderId="0" xfId="103" applyFont="1" applyFill="1"/>
    <xf numFmtId="186" fontId="45" fillId="0" borderId="0" xfId="132" applyNumberFormat="1" applyFont="1" applyFill="1"/>
    <xf numFmtId="4" fontId="2" fillId="0" borderId="49" xfId="103" applyNumberFormat="1" applyFont="1" applyFill="1" applyBorder="1" applyAlignment="1">
      <alignment vertical="center"/>
    </xf>
    <xf numFmtId="4" fontId="15" fillId="0" borderId="24" xfId="103" applyNumberFormat="1" applyFont="1" applyFill="1" applyBorder="1" applyAlignment="1">
      <alignment vertical="center"/>
    </xf>
    <xf numFmtId="4" fontId="15" fillId="0" borderId="44" xfId="103" applyNumberFormat="1" applyFont="1" applyFill="1" applyBorder="1" applyAlignment="1">
      <alignment vertical="center"/>
    </xf>
    <xf numFmtId="166" fontId="9" fillId="0" borderId="27" xfId="132" applyNumberFormat="1" applyFont="1" applyFill="1" applyBorder="1" applyAlignment="1">
      <alignment horizontal="left"/>
    </xf>
    <xf numFmtId="4" fontId="2" fillId="0" borderId="52" xfId="103" applyNumberFormat="1" applyFont="1" applyFill="1" applyBorder="1" applyAlignment="1">
      <alignment vertical="center"/>
    </xf>
    <xf numFmtId="4" fontId="15" fillId="0" borderId="35" xfId="103" applyNumberFormat="1" applyFont="1" applyFill="1" applyBorder="1" applyAlignment="1">
      <alignment vertical="center"/>
    </xf>
    <xf numFmtId="4" fontId="15" fillId="0" borderId="10" xfId="103" applyNumberFormat="1" applyFont="1" applyFill="1" applyBorder="1" applyAlignment="1">
      <alignment vertical="center"/>
    </xf>
    <xf numFmtId="166" fontId="9" fillId="0" borderId="12" xfId="132" applyNumberFormat="1" applyFont="1" applyFill="1" applyBorder="1" applyAlignment="1">
      <alignment horizontal="left"/>
    </xf>
    <xf numFmtId="0" fontId="7" fillId="0" borderId="0" xfId="5" applyFill="1" applyAlignment="1" applyProtection="1">
      <alignment vertical="center"/>
    </xf>
    <xf numFmtId="4" fontId="15" fillId="0" borderId="60" xfId="103" applyNumberFormat="1" applyFont="1" applyFill="1" applyBorder="1" applyAlignment="1">
      <alignment vertical="center"/>
    </xf>
    <xf numFmtId="9" fontId="15" fillId="0" borderId="43" xfId="119" applyFont="1" applyFill="1" applyBorder="1" applyAlignment="1">
      <alignment vertical="center"/>
    </xf>
    <xf numFmtId="9" fontId="15" fillId="0" borderId="14" xfId="119" applyFont="1" applyFill="1" applyBorder="1" applyAlignment="1">
      <alignment vertical="center"/>
    </xf>
    <xf numFmtId="166" fontId="11" fillId="0" borderId="25" xfId="132" applyNumberFormat="1" applyFont="1" applyFill="1" applyBorder="1"/>
    <xf numFmtId="166" fontId="11" fillId="0" borderId="11" xfId="132" applyNumberFormat="1" applyFont="1" applyFill="1" applyBorder="1"/>
    <xf numFmtId="166" fontId="86" fillId="0" borderId="44" xfId="132" applyNumberFormat="1" applyFont="1" applyFill="1" applyBorder="1"/>
    <xf numFmtId="4" fontId="2" fillId="0" borderId="0" xfId="103" applyNumberFormat="1" applyFont="1" applyFill="1" applyBorder="1" applyAlignment="1">
      <alignment vertical="center"/>
    </xf>
    <xf numFmtId="0" fontId="11" fillId="0" borderId="0" xfId="71" applyFill="1" applyBorder="1"/>
    <xf numFmtId="4" fontId="2" fillId="0" borderId="0" xfId="103" applyNumberFormat="1" applyFont="1" applyFill="1" applyBorder="1" applyAlignment="1">
      <alignment horizontal="center" vertical="center" wrapText="1"/>
    </xf>
    <xf numFmtId="166" fontId="11" fillId="0" borderId="12" xfId="132" applyNumberFormat="1" applyFont="1" applyFill="1" applyBorder="1"/>
    <xf numFmtId="166" fontId="11" fillId="0" borderId="41" xfId="132" applyNumberFormat="1" applyFont="1" applyFill="1" applyBorder="1"/>
    <xf numFmtId="166" fontId="11" fillId="0" borderId="42" xfId="132" applyNumberFormat="1" applyFont="1" applyFill="1" applyBorder="1"/>
    <xf numFmtId="180" fontId="46" fillId="0" borderId="47" xfId="1" applyNumberFormat="1" applyFont="1" applyFill="1" applyBorder="1" applyAlignment="1" applyProtection="1">
      <alignment horizontal="left"/>
    </xf>
    <xf numFmtId="180" fontId="26" fillId="0" borderId="47" xfId="2" applyNumberFormat="1" applyFont="1" applyFill="1" applyBorder="1" applyAlignment="1" applyProtection="1">
      <alignment horizontal="left"/>
    </xf>
    <xf numFmtId="180" fontId="26" fillId="0" borderId="25" xfId="2" applyNumberFormat="1" applyFont="1" applyFill="1" applyBorder="1" applyAlignment="1" applyProtection="1">
      <alignment horizontal="left"/>
    </xf>
    <xf numFmtId="180" fontId="46" fillId="0" borderId="25" xfId="1" applyNumberFormat="1" applyFont="1" applyFill="1" applyBorder="1" applyAlignment="1" applyProtection="1">
      <alignment horizontal="left"/>
    </xf>
    <xf numFmtId="0" fontId="26" fillId="0" borderId="40" xfId="0" applyFont="1" applyFill="1" applyBorder="1" applyAlignment="1" applyProtection="1">
      <alignment horizontal="left"/>
    </xf>
    <xf numFmtId="0" fontId="52" fillId="0" borderId="0" xfId="5" applyFont="1" applyFill="1" applyAlignment="1" applyProtection="1">
      <alignment vertical="center"/>
    </xf>
    <xf numFmtId="0" fontId="46" fillId="0" borderId="26" xfId="1" applyNumberFormat="1" applyFont="1" applyFill="1" applyBorder="1" applyAlignment="1" applyProtection="1">
      <alignment horizontal="left"/>
    </xf>
    <xf numFmtId="180" fontId="46" fillId="0" borderId="44" xfId="1" applyNumberFormat="1" applyFont="1" applyFill="1" applyBorder="1" applyAlignment="1" applyProtection="1">
      <alignment horizontal="center" vertical="center" wrapText="1"/>
    </xf>
    <xf numFmtId="165" fontId="46" fillId="0" borderId="26" xfId="1" applyNumberFormat="1" applyFont="1" applyFill="1" applyBorder="1" applyAlignment="1" applyProtection="1">
      <alignment horizontal="center" vertical="center" wrapText="1"/>
    </xf>
    <xf numFmtId="0" fontId="48" fillId="0" borderId="11" xfId="0" applyFont="1" applyFill="1" applyBorder="1" applyAlignment="1" applyProtection="1">
      <alignment wrapText="1"/>
    </xf>
    <xf numFmtId="165" fontId="48" fillId="0" borderId="11" xfId="2" applyFont="1" applyFill="1" applyBorder="1" applyAlignment="1" applyProtection="1">
      <alignment horizontal="center" vertical="center" wrapText="1"/>
    </xf>
    <xf numFmtId="165" fontId="46" fillId="0" borderId="11" xfId="2" applyFont="1" applyFill="1" applyBorder="1" applyAlignment="1" applyProtection="1">
      <alignment horizontal="center" vertical="center" wrapText="1"/>
    </xf>
    <xf numFmtId="180" fontId="25" fillId="0" borderId="11" xfId="2" applyNumberFormat="1" applyFont="1" applyFill="1" applyBorder="1" applyAlignment="1" applyProtection="1">
      <alignment horizontal="right"/>
    </xf>
    <xf numFmtId="164" fontId="25" fillId="0" borderId="26" xfId="3" applyNumberFormat="1" applyFont="1" applyFill="1" applyBorder="1" applyProtection="1"/>
    <xf numFmtId="180" fontId="26" fillId="0" borderId="44" xfId="0" applyNumberFormat="1" applyFont="1" applyFill="1" applyBorder="1" applyProtection="1"/>
    <xf numFmtId="165" fontId="26" fillId="0" borderId="26" xfId="2" applyFont="1" applyFill="1" applyBorder="1" applyAlignment="1" applyProtection="1">
      <alignment horizontal="center" vertical="center" wrapText="1"/>
    </xf>
    <xf numFmtId="165" fontId="48" fillId="0" borderId="11" xfId="2" applyFont="1" applyFill="1" applyBorder="1" applyProtection="1"/>
    <xf numFmtId="165" fontId="46" fillId="0" borderId="11" xfId="2" applyFont="1" applyFill="1" applyBorder="1" applyAlignment="1" applyProtection="1">
      <alignment horizontal="center"/>
    </xf>
    <xf numFmtId="165" fontId="26" fillId="0" borderId="11" xfId="2" applyFont="1" applyFill="1" applyBorder="1" applyAlignment="1" applyProtection="1">
      <alignment horizontal="center" vertical="center" wrapText="1"/>
    </xf>
    <xf numFmtId="180" fontId="46" fillId="0" borderId="10" xfId="1" applyNumberFormat="1" applyFont="1" applyFill="1" applyBorder="1" applyAlignment="1" applyProtection="1">
      <alignment horizontal="center" vertical="center" wrapText="1"/>
    </xf>
    <xf numFmtId="165" fontId="46" fillId="0" borderId="11" xfId="1" applyNumberFormat="1" applyFont="1" applyFill="1" applyBorder="1" applyAlignment="1" applyProtection="1">
      <alignment horizontal="center" vertical="center" wrapText="1"/>
    </xf>
    <xf numFmtId="0" fontId="48" fillId="0" borderId="11" xfId="0" applyFont="1" applyFill="1" applyBorder="1" applyAlignment="1" applyProtection="1">
      <alignment horizontal="left"/>
    </xf>
    <xf numFmtId="165" fontId="48" fillId="0" borderId="11" xfId="2" applyNumberFormat="1" applyFont="1" applyFill="1" applyBorder="1" applyProtection="1"/>
    <xf numFmtId="165" fontId="46" fillId="0" borderId="11" xfId="2" applyNumberFormat="1" applyFont="1" applyFill="1" applyBorder="1" applyAlignment="1" applyProtection="1">
      <alignment horizontal="center"/>
    </xf>
    <xf numFmtId="165" fontId="48" fillId="0" borderId="11" xfId="2" applyNumberFormat="1" applyFont="1" applyFill="1" applyBorder="1" applyAlignment="1" applyProtection="1">
      <alignment horizontal="center" vertical="center" wrapText="1"/>
    </xf>
    <xf numFmtId="0" fontId="48" fillId="0" borderId="11" xfId="0" applyFont="1" applyFill="1" applyBorder="1"/>
    <xf numFmtId="180" fontId="25" fillId="0" borderId="11" xfId="2" applyNumberFormat="1" applyFont="1" applyFill="1" applyBorder="1" applyProtection="1"/>
    <xf numFmtId="180" fontId="48" fillId="0" borderId="40" xfId="2" applyNumberFormat="1" applyFont="1" applyFill="1" applyBorder="1" applyProtection="1"/>
    <xf numFmtId="180" fontId="46" fillId="0" borderId="41" xfId="2" applyNumberFormat="1" applyFont="1" applyFill="1" applyBorder="1" applyAlignment="1" applyProtection="1">
      <alignment horizontal="center" vertical="center" wrapText="1"/>
    </xf>
    <xf numFmtId="180" fontId="25" fillId="0" borderId="41" xfId="2" applyNumberFormat="1" applyFont="1" applyFill="1" applyBorder="1" applyProtection="1"/>
    <xf numFmtId="180" fontId="25" fillId="0" borderId="0" xfId="2" applyNumberFormat="1" applyFont="1" applyFill="1" applyBorder="1" applyAlignment="1" applyProtection="1">
      <alignment horizontal="center" vertical="center" wrapText="1"/>
    </xf>
    <xf numFmtId="165" fontId="25" fillId="15" borderId="30" xfId="2" applyFont="1" applyFill="1" applyBorder="1" applyAlignment="1" applyProtection="1">
      <alignment horizontal="center" vertical="center" wrapText="1"/>
    </xf>
    <xf numFmtId="165" fontId="25" fillId="15" borderId="3" xfId="2" applyFont="1" applyFill="1" applyBorder="1" applyAlignment="1" applyProtection="1">
      <alignment horizontal="center" vertical="center" wrapText="1"/>
    </xf>
    <xf numFmtId="165" fontId="25" fillId="15" borderId="4" xfId="2" applyFont="1" applyFill="1" applyBorder="1" applyAlignment="1" applyProtection="1">
      <alignment horizontal="center" vertical="center" wrapText="1"/>
    </xf>
    <xf numFmtId="165" fontId="25" fillId="15" borderId="2" xfId="2" applyFont="1" applyFill="1" applyBorder="1" applyAlignment="1" applyProtection="1">
      <alignment horizontal="center" vertical="center" wrapText="1"/>
    </xf>
    <xf numFmtId="165" fontId="25" fillId="15" borderId="19" xfId="2" applyFont="1" applyFill="1" applyBorder="1" applyAlignment="1" applyProtection="1">
      <alignment horizontal="center" vertical="center" wrapText="1"/>
    </xf>
    <xf numFmtId="165" fontId="25" fillId="15" borderId="3" xfId="2" applyNumberFormat="1" applyFont="1" applyFill="1" applyBorder="1" applyAlignment="1" applyProtection="1">
      <alignment horizontal="center" vertical="center" wrapText="1"/>
    </xf>
    <xf numFmtId="166" fontId="25" fillId="15" borderId="3" xfId="3" applyNumberFormat="1" applyFont="1" applyFill="1" applyBorder="1" applyAlignment="1" applyProtection="1">
      <alignment horizontal="center" vertical="center" wrapText="1"/>
    </xf>
    <xf numFmtId="164" fontId="25" fillId="15" borderId="4" xfId="3" applyNumberFormat="1" applyFont="1" applyFill="1" applyBorder="1" applyAlignment="1" applyProtection="1">
      <alignment horizontal="center" vertical="center" wrapText="1"/>
    </xf>
    <xf numFmtId="164" fontId="25" fillId="15" borderId="59" xfId="3" applyNumberFormat="1" applyFont="1" applyFill="1" applyBorder="1" applyAlignment="1" applyProtection="1">
      <alignment horizontal="center" vertical="center" wrapText="1"/>
    </xf>
    <xf numFmtId="0" fontId="30" fillId="0" borderId="45" xfId="85" applyFont="1" applyFill="1" applyBorder="1"/>
    <xf numFmtId="166" fontId="23" fillId="0" borderId="0" xfId="85" applyNumberFormat="1" applyFont="1" applyFill="1" applyBorder="1" applyAlignment="1">
      <alignment horizontal="center"/>
    </xf>
    <xf numFmtId="10" fontId="30" fillId="0" borderId="0" xfId="119" applyNumberFormat="1" applyFont="1" applyFill="1" applyAlignment="1">
      <alignment horizontal="center"/>
    </xf>
    <xf numFmtId="10" fontId="19" fillId="0" borderId="46" xfId="119" applyNumberFormat="1" applyFont="1" applyFill="1" applyBorder="1" applyAlignment="1">
      <alignment vertical="center"/>
    </xf>
    <xf numFmtId="10" fontId="35" fillId="0" borderId="11" xfId="118" applyNumberFormat="1" applyFont="1" applyFill="1" applyBorder="1" applyAlignment="1">
      <alignment horizontal="center" vertical="center" wrapText="1"/>
    </xf>
    <xf numFmtId="10" fontId="35" fillId="0" borderId="41" xfId="118" applyNumberFormat="1" applyFont="1" applyFill="1" applyBorder="1" applyAlignment="1">
      <alignment horizontal="center" vertical="center" wrapText="1"/>
    </xf>
    <xf numFmtId="44" fontId="9" fillId="0" borderId="0" xfId="85" applyNumberFormat="1" applyFont="1"/>
    <xf numFmtId="0" fontId="48" fillId="0" borderId="61" xfId="0" applyFont="1" applyFill="1" applyBorder="1"/>
    <xf numFmtId="180" fontId="48" fillId="0" borderId="0" xfId="0" applyNumberFormat="1" applyFont="1" applyFill="1"/>
    <xf numFmtId="165" fontId="48" fillId="0" borderId="0" xfId="0" applyNumberFormat="1" applyFont="1" applyFill="1"/>
    <xf numFmtId="164" fontId="46" fillId="0" borderId="0" xfId="0" applyNumberFormat="1" applyFont="1" applyFill="1"/>
    <xf numFmtId="164" fontId="30" fillId="0" borderId="0" xfId="3" applyFont="1" applyFill="1"/>
    <xf numFmtId="164" fontId="30" fillId="0" borderId="1" xfId="3" applyFont="1" applyFill="1" applyBorder="1"/>
    <xf numFmtId="164" fontId="30" fillId="0" borderId="0" xfId="3" applyFont="1" applyFill="1" applyBorder="1" applyAlignment="1">
      <alignment horizontal="center"/>
    </xf>
    <xf numFmtId="164" fontId="9" fillId="0" borderId="5" xfId="85" applyNumberFormat="1" applyFont="1" applyBorder="1"/>
    <xf numFmtId="164" fontId="9" fillId="0" borderId="9" xfId="85" applyNumberFormat="1" applyFont="1" applyBorder="1"/>
    <xf numFmtId="164" fontId="9" fillId="0" borderId="13" xfId="85" applyNumberFormat="1" applyFont="1" applyBorder="1"/>
    <xf numFmtId="0" fontId="30" fillId="0" borderId="0" xfId="85" applyFont="1" applyAlignment="1">
      <alignment horizontal="center"/>
    </xf>
    <xf numFmtId="164" fontId="30" fillId="0" borderId="1" xfId="85" applyNumberFormat="1" applyFont="1" applyFill="1" applyBorder="1" applyAlignment="1">
      <alignment horizontal="center"/>
    </xf>
    <xf numFmtId="165" fontId="9" fillId="0" borderId="0" xfId="2" applyFont="1"/>
    <xf numFmtId="165" fontId="32" fillId="4" borderId="45" xfId="2" applyFont="1" applyFill="1" applyBorder="1" applyAlignment="1">
      <alignment horizontal="center" vertical="center"/>
    </xf>
    <xf numFmtId="165" fontId="30" fillId="0" borderId="45" xfId="2" applyFont="1" applyBorder="1"/>
    <xf numFmtId="165" fontId="30" fillId="0" borderId="1" xfId="2" applyFont="1" applyBorder="1" applyAlignment="1">
      <alignment horizontal="center"/>
    </xf>
    <xf numFmtId="165" fontId="23" fillId="4" borderId="0" xfId="2" applyFont="1" applyFill="1" applyBorder="1" applyAlignment="1">
      <alignment horizontal="center"/>
    </xf>
    <xf numFmtId="165" fontId="9" fillId="0" borderId="0" xfId="2" applyFont="1" applyFill="1"/>
    <xf numFmtId="10" fontId="0" fillId="0" borderId="17" xfId="119" applyNumberFormat="1" applyFont="1" applyBorder="1" applyAlignment="1">
      <alignment horizontal="center"/>
    </xf>
    <xf numFmtId="10" fontId="0" fillId="0" borderId="71" xfId="119" applyNumberFormat="1" applyFont="1" applyBorder="1" applyAlignment="1">
      <alignment horizontal="center"/>
    </xf>
    <xf numFmtId="10" fontId="30" fillId="0" borderId="20" xfId="119" applyNumberFormat="1" applyFont="1" applyBorder="1" applyAlignment="1">
      <alignment horizontal="center"/>
    </xf>
    <xf numFmtId="10" fontId="30" fillId="0" borderId="71" xfId="119" applyNumberFormat="1" applyFont="1" applyBorder="1" applyAlignment="1">
      <alignment horizontal="center"/>
    </xf>
    <xf numFmtId="10" fontId="2" fillId="0" borderId="20" xfId="119" applyNumberFormat="1" applyFont="1" applyBorder="1" applyAlignment="1">
      <alignment horizontal="center"/>
    </xf>
    <xf numFmtId="10" fontId="2" fillId="0" borderId="1" xfId="119" applyNumberFormat="1" applyFont="1" applyBorder="1" applyAlignment="1">
      <alignment horizontal="center"/>
    </xf>
    <xf numFmtId="165" fontId="30" fillId="0" borderId="0" xfId="2" applyNumberFormat="1" applyFont="1" applyAlignment="1">
      <alignment horizontal="center"/>
    </xf>
    <xf numFmtId="10" fontId="30" fillId="0" borderId="1" xfId="119" applyNumberFormat="1" applyFont="1" applyFill="1" applyBorder="1" applyAlignment="1">
      <alignment horizontal="center"/>
    </xf>
    <xf numFmtId="10" fontId="2" fillId="0" borderId="17" xfId="119" applyNumberFormat="1" applyFont="1" applyBorder="1" applyAlignment="1">
      <alignment horizontal="center"/>
    </xf>
    <xf numFmtId="0" fontId="9" fillId="0" borderId="0" xfId="85" applyFont="1" applyFill="1" applyBorder="1"/>
    <xf numFmtId="44" fontId="9" fillId="0" borderId="0" xfId="85" applyNumberFormat="1" applyFont="1" applyFill="1" applyBorder="1"/>
    <xf numFmtId="166" fontId="9" fillId="0" borderId="0" xfId="85" applyNumberFormat="1" applyFont="1" applyFill="1" applyBorder="1"/>
    <xf numFmtId="0" fontId="30" fillId="0" borderId="0" xfId="85" applyFont="1" applyFill="1" applyBorder="1"/>
    <xf numFmtId="165" fontId="9" fillId="0" borderId="0" xfId="2" applyFont="1" applyFill="1" applyBorder="1"/>
    <xf numFmtId="164" fontId="9" fillId="0" borderId="0" xfId="3" applyFont="1"/>
    <xf numFmtId="196" fontId="9" fillId="0" borderId="0" xfId="85" applyNumberFormat="1" applyFont="1"/>
    <xf numFmtId="44" fontId="30" fillId="0" borderId="0" xfId="85" applyNumberFormat="1" applyFont="1" applyAlignment="1">
      <alignment horizontal="center"/>
    </xf>
    <xf numFmtId="0" fontId="23" fillId="4" borderId="0" xfId="85" applyFont="1" applyFill="1" applyBorder="1" applyAlignment="1">
      <alignment horizontal="center"/>
    </xf>
    <xf numFmtId="0" fontId="30" fillId="0" borderId="0" xfId="85" applyFont="1" applyFill="1" applyBorder="1" applyAlignment="1">
      <alignment horizontal="center"/>
    </xf>
    <xf numFmtId="0" fontId="30" fillId="0" borderId="0" xfId="85" applyFont="1" applyBorder="1" applyAlignment="1">
      <alignment horizontal="center"/>
    </xf>
    <xf numFmtId="164" fontId="30" fillId="11" borderId="1" xfId="54" applyNumberFormat="1" applyFont="1" applyFill="1" applyBorder="1" applyAlignment="1">
      <alignment horizontal="center"/>
    </xf>
    <xf numFmtId="0" fontId="30" fillId="0" borderId="29" xfId="85" applyFont="1" applyFill="1" applyBorder="1" applyAlignment="1">
      <alignment vertical="center"/>
    </xf>
    <xf numFmtId="0" fontId="30" fillId="0" borderId="45" xfId="85" applyFont="1" applyFill="1" applyBorder="1" applyAlignment="1">
      <alignment vertical="center"/>
    </xf>
    <xf numFmtId="164" fontId="30" fillId="0" borderId="1" xfId="54" applyNumberFormat="1" applyFont="1" applyFill="1" applyBorder="1" applyAlignment="1">
      <alignment horizontal="center" vertical="center"/>
    </xf>
    <xf numFmtId="164" fontId="30" fillId="11" borderId="1" xfId="54" applyNumberFormat="1" applyFont="1" applyFill="1" applyBorder="1" applyAlignment="1">
      <alignment horizontal="center" vertical="center"/>
    </xf>
    <xf numFmtId="164" fontId="30" fillId="0" borderId="0" xfId="85" applyNumberFormat="1" applyFont="1" applyAlignment="1">
      <alignment horizontal="center"/>
    </xf>
    <xf numFmtId="0" fontId="30" fillId="0" borderId="58" xfId="85" applyFont="1" applyBorder="1" applyAlignment="1">
      <alignment horizontal="left" indent="3"/>
    </xf>
    <xf numFmtId="0" fontId="9" fillId="0" borderId="58" xfId="85" applyFont="1" applyBorder="1"/>
    <xf numFmtId="164" fontId="30" fillId="0" borderId="0" xfId="3" applyFont="1" applyFill="1" applyBorder="1"/>
    <xf numFmtId="10" fontId="30" fillId="0" borderId="0" xfId="119" applyNumberFormat="1" applyFont="1" applyFill="1" applyBorder="1" applyAlignment="1">
      <alignment horizontal="center"/>
    </xf>
    <xf numFmtId="165" fontId="30" fillId="0" borderId="1" xfId="2" applyNumberFormat="1" applyFont="1" applyBorder="1" applyAlignment="1">
      <alignment horizontal="center"/>
    </xf>
    <xf numFmtId="0" fontId="30" fillId="0" borderId="58" xfId="85" applyFont="1" applyFill="1" applyBorder="1" applyAlignment="1">
      <alignment vertical="center"/>
    </xf>
    <xf numFmtId="0" fontId="30" fillId="0" borderId="0" xfId="85" applyFont="1" applyFill="1" applyBorder="1" applyAlignment="1">
      <alignment vertical="center"/>
    </xf>
    <xf numFmtId="10" fontId="2" fillId="0" borderId="0" xfId="119" applyNumberFormat="1" applyFont="1" applyBorder="1" applyAlignment="1">
      <alignment horizontal="center"/>
    </xf>
    <xf numFmtId="166" fontId="28" fillId="0" borderId="64" xfId="3" applyNumberFormat="1" applyFont="1" applyFill="1" applyBorder="1" applyAlignment="1">
      <alignment vertical="center"/>
    </xf>
    <xf numFmtId="166" fontId="28" fillId="0" borderId="53" xfId="3" applyNumberFormat="1" applyFont="1" applyFill="1" applyBorder="1" applyAlignment="1">
      <alignment vertical="center"/>
    </xf>
    <xf numFmtId="166" fontId="28" fillId="0" borderId="55" xfId="3" applyNumberFormat="1" applyFont="1" applyFill="1" applyBorder="1" applyAlignment="1">
      <alignment vertical="center"/>
    </xf>
    <xf numFmtId="0" fontId="87" fillId="0" borderId="0" xfId="0" applyFont="1"/>
    <xf numFmtId="0" fontId="84" fillId="0" borderId="0" xfId="0" applyFont="1"/>
    <xf numFmtId="44" fontId="84" fillId="0" borderId="0" xfId="0" applyNumberFormat="1" applyFont="1"/>
    <xf numFmtId="44" fontId="85" fillId="0" borderId="0" xfId="0" applyNumberFormat="1" applyFont="1"/>
    <xf numFmtId="14" fontId="82" fillId="0" borderId="0" xfId="0" applyNumberFormat="1" applyFont="1" applyFill="1" applyAlignment="1">
      <alignment vertical="center"/>
    </xf>
    <xf numFmtId="164" fontId="46" fillId="0" borderId="11" xfId="3" applyNumberFormat="1" applyFont="1" applyFill="1" applyBorder="1" applyAlignment="1" applyProtection="1">
      <alignment horizontal="center" vertical="center" wrapText="1"/>
    </xf>
    <xf numFmtId="164" fontId="46" fillId="0" borderId="11" xfId="3" applyNumberFormat="1" applyFont="1" applyFill="1" applyBorder="1" applyProtection="1"/>
    <xf numFmtId="164" fontId="46" fillId="0" borderId="11" xfId="1" applyNumberFormat="1" applyFont="1" applyFill="1" applyBorder="1" applyProtection="1"/>
    <xf numFmtId="164" fontId="26" fillId="0" borderId="26" xfId="3" applyNumberFormat="1" applyFont="1" applyFill="1" applyBorder="1" applyProtection="1"/>
    <xf numFmtId="164" fontId="46" fillId="0" borderId="11" xfId="1" applyNumberFormat="1" applyFont="1" applyFill="1" applyBorder="1" applyAlignment="1" applyProtection="1">
      <alignment horizontal="center" vertical="center" wrapText="1"/>
    </xf>
    <xf numFmtId="164" fontId="48" fillId="0" borderId="11" xfId="1" applyNumberFormat="1" applyFont="1" applyFill="1" applyBorder="1" applyAlignment="1" applyProtection="1">
      <alignment horizontal="center" vertical="center" wrapText="1"/>
    </xf>
    <xf numFmtId="164" fontId="48" fillId="0" borderId="11" xfId="3" applyNumberFormat="1" applyFont="1" applyFill="1" applyBorder="1" applyAlignment="1" applyProtection="1">
      <alignment horizontal="center" vertical="center" wrapText="1"/>
    </xf>
    <xf numFmtId="164" fontId="26" fillId="0" borderId="11" xfId="0" applyNumberFormat="1" applyFont="1" applyFill="1" applyBorder="1" applyProtection="1"/>
    <xf numFmtId="164" fontId="25" fillId="0" borderId="11" xfId="3" applyNumberFormat="1" applyFont="1" applyFill="1" applyBorder="1" applyProtection="1"/>
    <xf numFmtId="164" fontId="25" fillId="0" borderId="12" xfId="3" applyNumberFormat="1" applyFont="1" applyFill="1" applyBorder="1" applyProtection="1"/>
    <xf numFmtId="164" fontId="46" fillId="0" borderId="11" xfId="0" applyNumberFormat="1" applyFont="1" applyFill="1" applyBorder="1" applyAlignment="1" applyProtection="1">
      <alignment horizontal="center" vertical="center" wrapText="1"/>
    </xf>
    <xf numFmtId="164" fontId="48" fillId="0" borderId="11" xfId="0" applyNumberFormat="1" applyFont="1" applyFill="1" applyBorder="1" applyAlignment="1" applyProtection="1">
      <alignment horizontal="center" vertical="center" wrapText="1"/>
    </xf>
    <xf numFmtId="164" fontId="26" fillId="0" borderId="11" xfId="3" applyNumberFormat="1" applyFont="1" applyFill="1" applyBorder="1" applyProtection="1"/>
    <xf numFmtId="164" fontId="25" fillId="0" borderId="41" xfId="3" applyNumberFormat="1" applyFont="1" applyFill="1" applyBorder="1" applyAlignment="1" applyProtection="1">
      <alignment horizontal="center" vertical="center" wrapText="1"/>
    </xf>
    <xf numFmtId="0" fontId="3" fillId="0" borderId="52" xfId="121" applyFont="1" applyFill="1" applyBorder="1" applyAlignment="1">
      <alignment horizontal="center" vertical="center"/>
    </xf>
    <xf numFmtId="9" fontId="3" fillId="0" borderId="11" xfId="122" applyNumberFormat="1" applyFont="1" applyFill="1" applyBorder="1" applyAlignment="1">
      <alignment horizontal="center" vertical="center"/>
    </xf>
    <xf numFmtId="166" fontId="3" fillId="0" borderId="46" xfId="54" applyNumberFormat="1" applyFont="1" applyFill="1" applyBorder="1" applyAlignment="1">
      <alignment horizontal="center" vertical="center" wrapText="1"/>
    </xf>
    <xf numFmtId="0" fontId="3" fillId="0" borderId="54" xfId="121" applyFont="1" applyFill="1" applyBorder="1" applyAlignment="1">
      <alignment horizontal="center" vertical="center"/>
    </xf>
    <xf numFmtId="9" fontId="3" fillId="0" borderId="41" xfId="122" applyNumberFormat="1" applyFont="1" applyFill="1" applyBorder="1" applyAlignment="1">
      <alignment horizontal="center" vertical="center"/>
    </xf>
    <xf numFmtId="166" fontId="3" fillId="0" borderId="56" xfId="54" applyNumberFormat="1" applyFont="1" applyFill="1" applyBorder="1" applyAlignment="1">
      <alignment horizontal="center" vertical="center" wrapText="1"/>
    </xf>
    <xf numFmtId="197" fontId="35" fillId="0" borderId="28" xfId="121" applyNumberFormat="1" applyFont="1" applyFill="1" applyBorder="1" applyAlignment="1">
      <alignment horizontal="right" vertical="center" wrapText="1"/>
    </xf>
    <xf numFmtId="1" fontId="28" fillId="3" borderId="42" xfId="0" applyNumberFormat="1" applyFont="1" applyFill="1" applyBorder="1" applyAlignment="1">
      <alignment horizontal="center" vertical="center"/>
    </xf>
    <xf numFmtId="0" fontId="28" fillId="3" borderId="12" xfId="0" applyFont="1" applyFill="1" applyBorder="1" applyAlignment="1">
      <alignment horizontal="center" vertical="center"/>
    </xf>
    <xf numFmtId="165" fontId="28" fillId="3" borderId="12" xfId="2" applyFont="1" applyFill="1" applyBorder="1" applyAlignment="1">
      <alignment horizontal="center" vertical="center"/>
    </xf>
    <xf numFmtId="10" fontId="28" fillId="3" borderId="12" xfId="119" applyNumberFormat="1" applyFont="1" applyFill="1" applyBorder="1" applyAlignment="1">
      <alignment horizontal="right" vertical="center"/>
    </xf>
    <xf numFmtId="165" fontId="28" fillId="3" borderId="42" xfId="2" applyFont="1" applyFill="1" applyBorder="1" applyAlignment="1">
      <alignment horizontal="right" vertical="center"/>
    </xf>
    <xf numFmtId="198" fontId="53" fillId="0" borderId="11" xfId="0" applyNumberFormat="1" applyFont="1" applyBorder="1" applyAlignment="1">
      <alignment horizontal="center" vertical="center" wrapText="1"/>
    </xf>
    <xf numFmtId="0" fontId="88" fillId="0" borderId="39" xfId="0" applyFont="1" applyBorder="1" applyAlignment="1">
      <alignment horizontal="center" vertical="center" wrapText="1"/>
    </xf>
    <xf numFmtId="0" fontId="28" fillId="0" borderId="7" xfId="0" applyFont="1" applyBorder="1" applyAlignment="1">
      <alignment horizontal="center" vertical="center" wrapText="1"/>
    </xf>
    <xf numFmtId="0" fontId="63" fillId="0" borderId="7" xfId="0" applyFont="1" applyBorder="1" applyAlignment="1">
      <alignment horizontal="center" vertical="center" wrapText="1"/>
    </xf>
    <xf numFmtId="0" fontId="89" fillId="0" borderId="7" xfId="0" applyFont="1" applyBorder="1" applyAlignment="1">
      <alignment horizontal="center" vertical="center" wrapText="1"/>
    </xf>
    <xf numFmtId="0" fontId="89" fillId="0" borderId="8" xfId="0" applyFont="1" applyBorder="1" applyAlignment="1">
      <alignment horizontal="center" vertical="center" wrapText="1"/>
    </xf>
    <xf numFmtId="165" fontId="30" fillId="0" borderId="1" xfId="2" applyFont="1" applyFill="1" applyBorder="1" applyAlignment="1">
      <alignment horizontal="center" vertical="center"/>
    </xf>
    <xf numFmtId="0" fontId="3" fillId="0" borderId="49" xfId="121" applyFont="1" applyFill="1" applyBorder="1" applyAlignment="1">
      <alignment horizontal="center" vertical="center"/>
    </xf>
    <xf numFmtId="9" fontId="3" fillId="0" borderId="26" xfId="122" applyNumberFormat="1" applyFont="1" applyFill="1" applyBorder="1" applyAlignment="1">
      <alignment horizontal="center" vertical="center"/>
    </xf>
    <xf numFmtId="166" fontId="3" fillId="0" borderId="28" xfId="54" applyNumberFormat="1" applyFont="1" applyFill="1" applyBorder="1" applyAlignment="1">
      <alignment horizontal="center" vertical="center" wrapText="1"/>
    </xf>
    <xf numFmtId="10" fontId="35" fillId="0" borderId="26" xfId="118" applyNumberFormat="1" applyFont="1" applyFill="1" applyBorder="1" applyAlignment="1">
      <alignment horizontal="center" vertical="center" wrapText="1"/>
    </xf>
    <xf numFmtId="0" fontId="27" fillId="3" borderId="8" xfId="0" applyFont="1" applyFill="1" applyBorder="1" applyAlignment="1">
      <alignment horizontal="center" vertical="center"/>
    </xf>
    <xf numFmtId="0" fontId="27" fillId="3" borderId="12" xfId="0" applyFont="1" applyFill="1" applyBorder="1" applyAlignment="1">
      <alignment horizontal="center" vertical="center"/>
    </xf>
    <xf numFmtId="199" fontId="35" fillId="0" borderId="56" xfId="121" applyNumberFormat="1" applyFont="1" applyFill="1" applyBorder="1" applyAlignment="1">
      <alignment horizontal="right" vertical="center" wrapText="1"/>
    </xf>
    <xf numFmtId="180" fontId="48" fillId="0" borderId="0" xfId="2" applyNumberFormat="1" applyFont="1" applyFill="1" applyBorder="1"/>
    <xf numFmtId="180" fontId="46" fillId="0" borderId="0" xfId="3" applyNumberFormat="1" applyFont="1" applyFill="1" applyBorder="1"/>
    <xf numFmtId="0" fontId="87" fillId="0" borderId="0" xfId="0" applyFont="1" applyAlignment="1">
      <alignment horizontal="center"/>
    </xf>
    <xf numFmtId="10" fontId="46" fillId="0" borderId="0" xfId="119" applyNumberFormat="1" applyFont="1" applyFill="1" applyBorder="1" applyAlignment="1">
      <alignment horizontal="center"/>
    </xf>
    <xf numFmtId="44" fontId="84" fillId="0" borderId="0" xfId="0" applyNumberFormat="1" applyFont="1" applyAlignment="1">
      <alignment horizontal="center"/>
    </xf>
    <xf numFmtId="10" fontId="46" fillId="0" borderId="1" xfId="119" applyNumberFormat="1" applyFont="1" applyFill="1" applyBorder="1" applyAlignment="1">
      <alignment horizontal="center"/>
    </xf>
    <xf numFmtId="10" fontId="25" fillId="0" borderId="0" xfId="119" applyNumberFormat="1" applyFont="1" applyAlignment="1">
      <alignment horizontal="center"/>
    </xf>
    <xf numFmtId="164" fontId="84" fillId="0" borderId="0" xfId="0" applyNumberFormat="1" applyFont="1" applyAlignment="1">
      <alignment horizontal="center"/>
    </xf>
    <xf numFmtId="164" fontId="48" fillId="0" borderId="0" xfId="0" applyNumberFormat="1" applyFont="1" applyAlignment="1">
      <alignment horizontal="center"/>
    </xf>
    <xf numFmtId="44" fontId="48" fillId="0" borderId="0" xfId="0" applyNumberFormat="1" applyFont="1" applyAlignment="1">
      <alignment horizontal="center"/>
    </xf>
    <xf numFmtId="0" fontId="48" fillId="0" borderId="0" xfId="0" applyFont="1" applyAlignment="1">
      <alignment horizontal="center"/>
    </xf>
    <xf numFmtId="165" fontId="46" fillId="0" borderId="1" xfId="2" applyFont="1" applyFill="1" applyBorder="1"/>
    <xf numFmtId="165" fontId="46" fillId="0" borderId="1" xfId="2" applyNumberFormat="1" applyFont="1" applyFill="1" applyBorder="1"/>
    <xf numFmtId="166" fontId="46" fillId="3" borderId="1" xfId="3" applyNumberFormat="1" applyFont="1" applyFill="1" applyBorder="1"/>
    <xf numFmtId="166" fontId="46" fillId="0" borderId="1" xfId="3" applyNumberFormat="1" applyFont="1" applyFill="1" applyBorder="1"/>
    <xf numFmtId="0" fontId="55" fillId="0" borderId="58" xfId="0" applyNumberFormat="1" applyFont="1" applyBorder="1" applyAlignment="1">
      <alignment horizontal="center" vertical="center" wrapText="1"/>
    </xf>
    <xf numFmtId="0" fontId="55" fillId="0" borderId="67" xfId="0" applyNumberFormat="1" applyFont="1" applyBorder="1" applyAlignment="1">
      <alignment horizontal="center" vertical="center" wrapText="1"/>
    </xf>
    <xf numFmtId="0" fontId="55" fillId="0" borderId="61" xfId="0" applyNumberFormat="1" applyFont="1" applyBorder="1" applyAlignment="1">
      <alignment horizontal="center" vertical="center" wrapText="1"/>
    </xf>
    <xf numFmtId="0" fontId="55" fillId="0" borderId="62" xfId="0" applyNumberFormat="1" applyFont="1" applyBorder="1" applyAlignment="1">
      <alignment horizontal="center" vertical="center" wrapText="1"/>
    </xf>
    <xf numFmtId="0" fontId="55" fillId="0" borderId="38" xfId="0" applyNumberFormat="1" applyFont="1" applyBorder="1" applyAlignment="1">
      <alignment horizontal="center" vertical="center" wrapText="1"/>
    </xf>
    <xf numFmtId="0" fontId="74" fillId="0" borderId="29" xfId="0" applyFont="1" applyBorder="1" applyAlignment="1">
      <alignment horizontal="center" vertical="center"/>
    </xf>
    <xf numFmtId="0" fontId="74" fillId="0" borderId="45" xfId="0" applyFont="1" applyBorder="1" applyAlignment="1">
      <alignment horizontal="center" vertical="center"/>
    </xf>
    <xf numFmtId="0" fontId="74" fillId="0" borderId="2" xfId="0" applyFont="1" applyBorder="1" applyAlignment="1">
      <alignment horizontal="center" vertical="center"/>
    </xf>
    <xf numFmtId="0" fontId="75" fillId="0" borderId="0" xfId="0" applyFont="1" applyBorder="1" applyAlignment="1">
      <alignment horizontal="center" vertical="center"/>
    </xf>
    <xf numFmtId="0" fontId="76" fillId="17" borderId="29" xfId="0" applyFont="1" applyFill="1" applyBorder="1" applyAlignment="1">
      <alignment horizontal="center" vertical="center"/>
    </xf>
    <xf numFmtId="0" fontId="76" fillId="17" borderId="45" xfId="0" applyFont="1" applyFill="1" applyBorder="1" applyAlignment="1">
      <alignment horizontal="center" vertical="center"/>
    </xf>
    <xf numFmtId="0" fontId="76" fillId="17" borderId="31" xfId="0" applyFont="1" applyFill="1" applyBorder="1" applyAlignment="1">
      <alignment horizontal="center" vertical="center"/>
    </xf>
    <xf numFmtId="0" fontId="59" fillId="0" borderId="33"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61" xfId="0" applyFont="1" applyBorder="1" applyAlignment="1">
      <alignment horizontal="center" vertical="center" wrapText="1"/>
    </xf>
    <xf numFmtId="0" fontId="70" fillId="0" borderId="32" xfId="0" applyFont="1" applyBorder="1" applyAlignment="1">
      <alignment horizontal="center" vertical="center" wrapText="1"/>
    </xf>
    <xf numFmtId="0" fontId="70" fillId="0" borderId="0" xfId="0" applyFont="1" applyBorder="1" applyAlignment="1">
      <alignment horizontal="center" vertical="center" wrapText="1"/>
    </xf>
    <xf numFmtId="0" fontId="56" fillId="0" borderId="33" xfId="0" quotePrefix="1" applyFont="1" applyBorder="1" applyAlignment="1">
      <alignment horizontal="left" vertical="center" wrapText="1"/>
    </xf>
    <xf numFmtId="0" fontId="56" fillId="0" borderId="58" xfId="0" quotePrefix="1" applyFont="1" applyBorder="1" applyAlignment="1">
      <alignment horizontal="left" vertical="center" wrapText="1"/>
    </xf>
    <xf numFmtId="0" fontId="56" fillId="0" borderId="67" xfId="0" quotePrefix="1" applyFont="1" applyBorder="1" applyAlignment="1">
      <alignment horizontal="left" vertical="center" wrapText="1"/>
    </xf>
    <xf numFmtId="0" fontId="56" fillId="0" borderId="61" xfId="0" quotePrefix="1" applyFont="1" applyBorder="1" applyAlignment="1">
      <alignment horizontal="left" vertical="center" wrapText="1"/>
    </xf>
    <xf numFmtId="0" fontId="56" fillId="0" borderId="62" xfId="0" quotePrefix="1" applyFont="1" applyBorder="1" applyAlignment="1">
      <alignment horizontal="left" vertical="center" wrapText="1"/>
    </xf>
    <xf numFmtId="0" fontId="56" fillId="0" borderId="38" xfId="0" quotePrefix="1" applyFont="1" applyBorder="1" applyAlignment="1">
      <alignment horizontal="left" vertical="center" wrapText="1"/>
    </xf>
    <xf numFmtId="0" fontId="24" fillId="0" borderId="29" xfId="0" applyFont="1" applyBorder="1" applyAlignment="1">
      <alignment horizontal="center" vertical="center"/>
    </xf>
    <xf numFmtId="0" fontId="24" fillId="0" borderId="45" xfId="0" applyFont="1" applyBorder="1" applyAlignment="1">
      <alignment horizontal="center" vertical="center"/>
    </xf>
    <xf numFmtId="0" fontId="24" fillId="0" borderId="31" xfId="0" applyFont="1" applyBorder="1" applyAlignment="1">
      <alignment horizontal="center" vertical="center"/>
    </xf>
    <xf numFmtId="0" fontId="64" fillId="0" borderId="29" xfId="0" applyFont="1" applyBorder="1" applyAlignment="1">
      <alignment horizontal="center" vertical="center"/>
    </xf>
    <xf numFmtId="0" fontId="64" fillId="0" borderId="45" xfId="0" applyFont="1" applyBorder="1" applyAlignment="1">
      <alignment horizontal="center" vertical="center"/>
    </xf>
    <xf numFmtId="0" fontId="64" fillId="0" borderId="31" xfId="0" applyFont="1" applyBorder="1" applyAlignment="1">
      <alignment horizontal="center" vertical="center"/>
    </xf>
    <xf numFmtId="0" fontId="65" fillId="0" borderId="29" xfId="0" applyNumberFormat="1" applyFont="1" applyFill="1" applyBorder="1" applyAlignment="1">
      <alignment horizontal="center" vertical="center" wrapText="1"/>
    </xf>
    <xf numFmtId="0" fontId="65" fillId="0" borderId="45" xfId="0" applyNumberFormat="1" applyFont="1" applyFill="1" applyBorder="1" applyAlignment="1">
      <alignment horizontal="center" vertical="center" wrapText="1"/>
    </xf>
    <xf numFmtId="0" fontId="65" fillId="0" borderId="31" xfId="0" applyNumberFormat="1" applyFont="1" applyFill="1" applyBorder="1" applyAlignment="1">
      <alignment horizontal="center" vertical="center" wrapText="1"/>
    </xf>
    <xf numFmtId="0" fontId="56" fillId="0" borderId="61" xfId="0" applyFont="1" applyBorder="1" applyAlignment="1">
      <alignment horizontal="center" vertical="center" wrapText="1"/>
    </xf>
    <xf numFmtId="0" fontId="56" fillId="0" borderId="62" xfId="0" applyFont="1" applyBorder="1" applyAlignment="1">
      <alignment horizontal="center" vertical="center" wrapText="1"/>
    </xf>
    <xf numFmtId="0" fontId="56" fillId="0" borderId="38" xfId="0" applyFont="1" applyBorder="1" applyAlignment="1">
      <alignment horizontal="center" vertical="center" wrapText="1"/>
    </xf>
    <xf numFmtId="0" fontId="48" fillId="0" borderId="29" xfId="0" applyNumberFormat="1" applyFont="1" applyFill="1" applyBorder="1" applyAlignment="1">
      <alignment horizontal="left" vertical="center" wrapText="1"/>
    </xf>
    <xf numFmtId="0" fontId="48" fillId="0" borderId="45" xfId="0" applyNumberFormat="1" applyFont="1" applyFill="1" applyBorder="1" applyAlignment="1">
      <alignment horizontal="left" vertical="center" wrapText="1"/>
    </xf>
    <xf numFmtId="0" fontId="48" fillId="0" borderId="31" xfId="0" applyNumberFormat="1" applyFont="1" applyFill="1" applyBorder="1" applyAlignment="1">
      <alignment horizontal="left" vertical="center" wrapText="1"/>
    </xf>
    <xf numFmtId="0" fontId="64" fillId="0" borderId="29" xfId="0" applyFont="1" applyFill="1" applyBorder="1" applyAlignment="1">
      <alignment horizontal="center" vertical="center"/>
    </xf>
    <xf numFmtId="0" fontId="64" fillId="0" borderId="31" xfId="0" applyFont="1" applyFill="1" applyBorder="1" applyAlignment="1">
      <alignment horizontal="center" vertical="center"/>
    </xf>
    <xf numFmtId="0" fontId="4" fillId="0" borderId="0" xfId="4" applyFont="1" applyAlignment="1">
      <alignment horizontal="center" vertical="center"/>
    </xf>
    <xf numFmtId="0" fontId="6" fillId="0" borderId="0" xfId="4" applyFont="1" applyAlignment="1">
      <alignment horizontal="center" vertical="center" wrapText="1"/>
    </xf>
    <xf numFmtId="0" fontId="6" fillId="0" borderId="0" xfId="4" applyFont="1" applyAlignment="1">
      <alignment horizontal="center" vertical="center"/>
    </xf>
    <xf numFmtId="0" fontId="24" fillId="6" borderId="17" xfId="6" applyFont="1" applyFill="1" applyBorder="1" applyAlignment="1">
      <alignment horizontal="center" vertical="center" wrapText="1"/>
    </xf>
    <xf numFmtId="0" fontId="24" fillId="6" borderId="20" xfId="6" applyFont="1" applyFill="1" applyBorder="1" applyAlignment="1">
      <alignment horizontal="center" vertical="center" wrapText="1"/>
    </xf>
    <xf numFmtId="0" fontId="27" fillId="0" borderId="33" xfId="0" applyFont="1" applyFill="1" applyBorder="1" applyAlignment="1">
      <alignment horizontal="center" wrapText="1"/>
    </xf>
    <xf numFmtId="0" fontId="27" fillId="0" borderId="58" xfId="0" applyFont="1" applyFill="1" applyBorder="1" applyAlignment="1">
      <alignment horizontal="center" wrapText="1"/>
    </xf>
    <xf numFmtId="0" fontId="27" fillId="0" borderId="67" xfId="0" applyFont="1" applyFill="1" applyBorder="1" applyAlignment="1">
      <alignment horizontal="center" wrapText="1"/>
    </xf>
    <xf numFmtId="0" fontId="27" fillId="0" borderId="61" xfId="0" applyFont="1" applyFill="1" applyBorder="1" applyAlignment="1">
      <alignment horizontal="center" wrapText="1"/>
    </xf>
    <xf numFmtId="0" fontId="27" fillId="0" borderId="62" xfId="0" applyFont="1" applyFill="1" applyBorder="1" applyAlignment="1">
      <alignment horizontal="center" wrapText="1"/>
    </xf>
    <xf numFmtId="0" fontId="27" fillId="0" borderId="38" xfId="0" applyFont="1" applyFill="1" applyBorder="1" applyAlignment="1">
      <alignment horizontal="center" wrapText="1"/>
    </xf>
    <xf numFmtId="0" fontId="16" fillId="2" borderId="25" xfId="131" applyFont="1" applyFill="1" applyBorder="1" applyAlignment="1">
      <alignment vertical="center" wrapText="1"/>
    </xf>
    <xf numFmtId="0" fontId="1" fillId="0" borderId="25" xfId="103" applyBorder="1"/>
    <xf numFmtId="1" fontId="16" fillId="0" borderId="11" xfId="131" applyNumberFormat="1" applyFont="1" applyBorder="1" applyAlignment="1" applyProtection="1">
      <alignment horizontal="center" vertical="center"/>
    </xf>
    <xf numFmtId="0" fontId="44" fillId="0" borderId="29" xfId="131" applyFont="1" applyFill="1" applyBorder="1" applyAlignment="1">
      <alignment horizontal="center" vertical="center"/>
    </xf>
    <xf numFmtId="0" fontId="44" fillId="0" borderId="45" xfId="131" applyFont="1" applyFill="1" applyBorder="1" applyAlignment="1">
      <alignment horizontal="center" vertical="center"/>
    </xf>
    <xf numFmtId="0" fontId="44" fillId="0" borderId="31" xfId="131" applyFont="1" applyFill="1" applyBorder="1" applyAlignment="1">
      <alignment horizontal="center" vertical="center"/>
    </xf>
    <xf numFmtId="4" fontId="15" fillId="0" borderId="33" xfId="103" applyNumberFormat="1" applyFont="1" applyFill="1" applyBorder="1" applyAlignment="1">
      <alignment horizontal="center" vertical="center"/>
    </xf>
    <xf numFmtId="4" fontId="15" fillId="0" borderId="58" xfId="103" applyNumberFormat="1" applyFont="1" applyFill="1" applyBorder="1" applyAlignment="1">
      <alignment horizontal="center" vertical="center"/>
    </xf>
    <xf numFmtId="4" fontId="15" fillId="0" borderId="67" xfId="103" applyNumberFormat="1" applyFont="1" applyFill="1" applyBorder="1" applyAlignment="1">
      <alignment horizontal="center" vertical="center"/>
    </xf>
    <xf numFmtId="4" fontId="15" fillId="0" borderId="61" xfId="103" applyNumberFormat="1" applyFont="1" applyFill="1" applyBorder="1" applyAlignment="1">
      <alignment horizontal="center" vertical="center"/>
    </xf>
    <xf numFmtId="4" fontId="15" fillId="0" borderId="62" xfId="103" applyNumberFormat="1" applyFont="1" applyFill="1" applyBorder="1" applyAlignment="1">
      <alignment horizontal="center" vertical="center"/>
    </xf>
    <xf numFmtId="4" fontId="15" fillId="0" borderId="38" xfId="103" applyNumberFormat="1" applyFont="1" applyFill="1" applyBorder="1" applyAlignment="1">
      <alignment horizontal="center" vertical="center"/>
    </xf>
    <xf numFmtId="0" fontId="23" fillId="2" borderId="25" xfId="131" applyFont="1" applyFill="1" applyBorder="1" applyAlignment="1">
      <alignment horizontal="left" vertical="center" wrapText="1"/>
    </xf>
    <xf numFmtId="0" fontId="1" fillId="0" borderId="11" xfId="103" applyBorder="1"/>
    <xf numFmtId="0" fontId="1" fillId="0" borderId="12" xfId="103" applyBorder="1"/>
    <xf numFmtId="0" fontId="1" fillId="0" borderId="40" xfId="103" applyBorder="1"/>
    <xf numFmtId="0" fontId="1" fillId="0" borderId="41" xfId="103" applyBorder="1"/>
    <xf numFmtId="0" fontId="1" fillId="0" borderId="42" xfId="103" applyBorder="1"/>
    <xf numFmtId="0" fontId="16" fillId="2" borderId="25" xfId="131" applyFont="1" applyFill="1" applyBorder="1" applyAlignment="1">
      <alignment horizontal="left" vertical="center" wrapText="1"/>
    </xf>
    <xf numFmtId="4" fontId="2" fillId="15" borderId="33" xfId="103" applyNumberFormat="1" applyFont="1" applyFill="1" applyBorder="1" applyAlignment="1">
      <alignment horizontal="center" vertical="center"/>
    </xf>
    <xf numFmtId="4" fontId="2" fillId="15" borderId="58" xfId="103" applyNumberFormat="1" applyFont="1" applyFill="1" applyBorder="1" applyAlignment="1">
      <alignment horizontal="center" vertical="center"/>
    </xf>
    <xf numFmtId="4" fontId="2" fillId="15" borderId="67" xfId="103" applyNumberFormat="1" applyFont="1" applyFill="1" applyBorder="1" applyAlignment="1">
      <alignment horizontal="center" vertical="center"/>
    </xf>
    <xf numFmtId="4" fontId="2" fillId="15" borderId="61" xfId="103" applyNumberFormat="1" applyFont="1" applyFill="1" applyBorder="1" applyAlignment="1">
      <alignment horizontal="center" vertical="center"/>
    </xf>
    <xf numFmtId="4" fontId="2" fillId="15" borderId="62" xfId="103" applyNumberFormat="1" applyFont="1" applyFill="1" applyBorder="1" applyAlignment="1">
      <alignment horizontal="center" vertical="center"/>
    </xf>
    <xf numFmtId="4" fontId="2" fillId="15" borderId="38" xfId="103" applyNumberFormat="1" applyFont="1" applyFill="1" applyBorder="1" applyAlignment="1">
      <alignment horizontal="center" vertical="center"/>
    </xf>
    <xf numFmtId="0" fontId="42" fillId="0" borderId="18" xfId="131" applyFont="1" applyBorder="1" applyAlignment="1">
      <alignment horizontal="center"/>
    </xf>
    <xf numFmtId="0" fontId="42" fillId="0" borderId="19" xfId="131" applyFont="1" applyBorder="1" applyAlignment="1">
      <alignment horizontal="center"/>
    </xf>
    <xf numFmtId="0" fontId="42" fillId="0" borderId="59" xfId="131" applyFont="1" applyBorder="1" applyAlignment="1">
      <alignment horizontal="center"/>
    </xf>
    <xf numFmtId="49" fontId="16" fillId="0" borderId="11" xfId="131" applyNumberFormat="1" applyFont="1" applyBorder="1" applyAlignment="1">
      <alignment horizontal="center" vertical="center"/>
    </xf>
    <xf numFmtId="1" fontId="16" fillId="0" borderId="11" xfId="131" applyNumberFormat="1" applyFont="1" applyBorder="1" applyAlignment="1">
      <alignment horizontal="center" vertical="center"/>
    </xf>
    <xf numFmtId="0" fontId="16" fillId="2" borderId="25" xfId="131" applyFont="1" applyFill="1" applyBorder="1" applyAlignment="1">
      <alignment vertical="center"/>
    </xf>
    <xf numFmtId="0" fontId="2" fillId="11" borderId="11" xfId="0" applyFont="1" applyFill="1" applyBorder="1" applyAlignment="1">
      <alignment horizontal="center"/>
    </xf>
    <xf numFmtId="0" fontId="51" fillId="7" borderId="25" xfId="0" applyFont="1" applyFill="1" applyBorder="1" applyAlignment="1" applyProtection="1">
      <alignment horizontal="left" vertical="center" wrapText="1"/>
      <protection locked="0"/>
    </xf>
    <xf numFmtId="0" fontId="51" fillId="7" borderId="11" xfId="0" applyFont="1" applyFill="1" applyBorder="1" applyAlignment="1" applyProtection="1">
      <alignment horizontal="left" vertical="center" wrapText="1"/>
      <protection locked="0"/>
    </xf>
    <xf numFmtId="0" fontId="51" fillId="7" borderId="46" xfId="0" applyFont="1" applyFill="1" applyBorder="1" applyAlignment="1" applyProtection="1">
      <alignment horizontal="left" vertical="center" wrapText="1"/>
      <protection locked="0"/>
    </xf>
    <xf numFmtId="0" fontId="51" fillId="7" borderId="53" xfId="0" applyFont="1" applyFill="1" applyBorder="1" applyAlignment="1" applyProtection="1">
      <alignment horizontal="left" vertical="center" wrapText="1"/>
      <protection locked="0"/>
    </xf>
    <xf numFmtId="0" fontId="46" fillId="0" borderId="33" xfId="0" applyFont="1" applyBorder="1" applyAlignment="1" applyProtection="1">
      <alignment horizontal="center" vertical="center" wrapText="1"/>
      <protection locked="0"/>
    </xf>
    <xf numFmtId="0" fontId="46" fillId="0" borderId="58" xfId="0" applyFont="1" applyBorder="1" applyAlignment="1" applyProtection="1">
      <alignment horizontal="center" vertical="center" wrapText="1"/>
      <protection locked="0"/>
    </xf>
    <xf numFmtId="0" fontId="46" fillId="0" borderId="67" xfId="0" applyFont="1" applyBorder="1" applyAlignment="1" applyProtection="1">
      <alignment horizontal="center" vertical="center" wrapText="1"/>
      <protection locked="0"/>
    </xf>
    <xf numFmtId="0" fontId="46" fillId="0" borderId="49" xfId="0" applyFont="1" applyBorder="1" applyAlignment="1" applyProtection="1">
      <alignment horizontal="center" vertical="center" wrapText="1"/>
      <protection locked="0"/>
    </xf>
    <xf numFmtId="0" fontId="46" fillId="0" borderId="24" xfId="0" applyFont="1" applyBorder="1" applyAlignment="1" applyProtection="1">
      <alignment horizontal="center" vertical="center" wrapText="1"/>
      <protection locked="0"/>
    </xf>
    <xf numFmtId="0" fontId="46" fillId="0" borderId="50" xfId="0" applyFont="1" applyBorder="1" applyAlignment="1" applyProtection="1">
      <alignment horizontal="center" vertical="center" wrapText="1"/>
      <protection locked="0"/>
    </xf>
    <xf numFmtId="0" fontId="46" fillId="7" borderId="25" xfId="0" applyFont="1" applyFill="1" applyBorder="1" applyAlignment="1" applyProtection="1">
      <alignment horizontal="left" vertical="center"/>
      <protection locked="0"/>
    </xf>
    <xf numFmtId="0" fontId="46" fillId="7" borderId="11" xfId="0" applyFont="1" applyFill="1" applyBorder="1" applyAlignment="1" applyProtection="1">
      <alignment horizontal="left" vertical="center"/>
      <protection locked="0"/>
    </xf>
    <xf numFmtId="0" fontId="46" fillId="7" borderId="46" xfId="0" applyFont="1" applyFill="1" applyBorder="1" applyAlignment="1" applyProtection="1">
      <alignment horizontal="left"/>
      <protection locked="0"/>
    </xf>
    <xf numFmtId="0" fontId="46" fillId="7" borderId="53" xfId="0" applyFont="1" applyFill="1" applyBorder="1" applyAlignment="1" applyProtection="1">
      <alignment horizontal="left"/>
      <protection locked="0"/>
    </xf>
    <xf numFmtId="0" fontId="52" fillId="7" borderId="46" xfId="5" applyFont="1" applyFill="1" applyBorder="1" applyAlignment="1" applyProtection="1">
      <alignment horizontal="left" vertical="center" wrapText="1"/>
      <protection locked="0"/>
    </xf>
    <xf numFmtId="0" fontId="48" fillId="0" borderId="11" xfId="0" applyFont="1" applyBorder="1" applyAlignment="1">
      <alignment horizontal="center" vertical="center"/>
    </xf>
    <xf numFmtId="0" fontId="48" fillId="0" borderId="15" xfId="0" applyFont="1" applyBorder="1" applyAlignment="1">
      <alignment horizontal="left" vertical="center" wrapText="1"/>
    </xf>
    <xf numFmtId="0" fontId="48" fillId="0" borderId="68" xfId="0" applyFont="1" applyBorder="1" applyAlignment="1">
      <alignment horizontal="left" vertical="center" wrapText="1"/>
    </xf>
    <xf numFmtId="0" fontId="48" fillId="0" borderId="26" xfId="0" applyFont="1" applyBorder="1" applyAlignment="1">
      <alignment horizontal="left" vertical="center" wrapText="1"/>
    </xf>
    <xf numFmtId="0" fontId="48" fillId="0" borderId="15" xfId="0" applyFont="1" applyBorder="1" applyAlignment="1">
      <alignment horizontal="center" vertical="center"/>
    </xf>
    <xf numFmtId="0" fontId="48" fillId="0" borderId="68" xfId="0" applyFont="1" applyBorder="1" applyAlignment="1">
      <alignment horizontal="center" vertical="center"/>
    </xf>
    <xf numFmtId="0" fontId="48" fillId="0" borderId="26" xfId="0" applyFont="1" applyBorder="1" applyAlignment="1">
      <alignment horizontal="center" vertical="center"/>
    </xf>
    <xf numFmtId="0" fontId="48" fillId="0" borderId="15"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26" xfId="0" applyFont="1" applyBorder="1" applyAlignment="1">
      <alignment horizontal="center" vertical="center" wrapText="1"/>
    </xf>
    <xf numFmtId="3" fontId="46" fillId="0" borderId="66" xfId="0" applyNumberFormat="1" applyFont="1" applyBorder="1" applyAlignment="1">
      <alignment horizontal="center" vertical="center" wrapText="1"/>
    </xf>
    <xf numFmtId="3" fontId="46" fillId="0" borderId="21" xfId="0" applyNumberFormat="1" applyFont="1" applyBorder="1" applyAlignment="1">
      <alignment horizontal="center" vertical="center" wrapText="1"/>
    </xf>
    <xf numFmtId="175" fontId="46" fillId="4" borderId="19" xfId="0" applyNumberFormat="1" applyFont="1" applyFill="1" applyBorder="1" applyAlignment="1">
      <alignment horizontal="center" vertical="center" wrapText="1"/>
    </xf>
    <xf numFmtId="175" fontId="46" fillId="4" borderId="22" xfId="0" applyNumberFormat="1" applyFont="1" applyFill="1" applyBorder="1" applyAlignment="1">
      <alignment horizontal="center" vertical="center" wrapText="1"/>
    </xf>
    <xf numFmtId="0" fontId="46" fillId="0" borderId="47" xfId="0" applyFont="1" applyBorder="1" applyAlignment="1" applyProtection="1">
      <alignment horizontal="center" vertical="center" wrapText="1"/>
      <protection locked="0"/>
    </xf>
    <xf numFmtId="0" fontId="46" fillId="0" borderId="26" xfId="0" applyFont="1" applyBorder="1" applyAlignment="1" applyProtection="1">
      <alignment horizontal="center" vertical="center" wrapText="1"/>
      <protection locked="0"/>
    </xf>
    <xf numFmtId="0" fontId="46" fillId="0" borderId="27" xfId="0" applyFont="1" applyBorder="1" applyAlignment="1" applyProtection="1">
      <alignment horizontal="center" vertical="center" wrapText="1"/>
      <protection locked="0"/>
    </xf>
    <xf numFmtId="0" fontId="46" fillId="0" borderId="25"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46" fillId="0" borderId="12" xfId="0" applyFont="1" applyBorder="1" applyAlignment="1" applyProtection="1">
      <alignment horizontal="center" vertical="center" wrapText="1"/>
      <protection locked="0"/>
    </xf>
    <xf numFmtId="0" fontId="48" fillId="0" borderId="52" xfId="0" applyFont="1" applyBorder="1" applyAlignment="1" applyProtection="1">
      <alignment horizontal="left" vertical="center"/>
      <protection locked="0"/>
    </xf>
    <xf numFmtId="0" fontId="48" fillId="0" borderId="35" xfId="0" applyFont="1" applyBorder="1" applyAlignment="1" applyProtection="1">
      <alignment horizontal="left" vertical="center"/>
      <protection locked="0"/>
    </xf>
    <xf numFmtId="0" fontId="48" fillId="0" borderId="53" xfId="0" applyFont="1" applyBorder="1" applyAlignment="1" applyProtection="1">
      <alignment horizontal="left" vertical="center"/>
      <protection locked="0"/>
    </xf>
    <xf numFmtId="175" fontId="46" fillId="4" borderId="15" xfId="0" applyNumberFormat="1" applyFont="1" applyFill="1" applyBorder="1" applyAlignment="1">
      <alignment horizontal="center" vertical="center" wrapText="1"/>
    </xf>
    <xf numFmtId="0" fontId="30" fillId="5" borderId="3" xfId="85" applyFont="1" applyFill="1" applyBorder="1" applyAlignment="1">
      <alignment horizontal="center" vertical="center" wrapText="1"/>
    </xf>
    <xf numFmtId="0" fontId="30" fillId="5" borderId="48" xfId="85" applyFont="1" applyFill="1" applyBorder="1" applyAlignment="1">
      <alignment horizontal="center" vertical="center" wrapText="1"/>
    </xf>
    <xf numFmtId="0" fontId="31" fillId="5" borderId="29" xfId="85" applyFont="1" applyFill="1" applyBorder="1" applyAlignment="1">
      <alignment horizontal="center" vertical="center"/>
    </xf>
    <xf numFmtId="0" fontId="31" fillId="5" borderId="45" xfId="85" applyFont="1" applyFill="1" applyBorder="1" applyAlignment="1">
      <alignment horizontal="center" vertical="center"/>
    </xf>
    <xf numFmtId="0" fontId="31" fillId="5" borderId="31" xfId="85" applyFont="1" applyFill="1" applyBorder="1" applyAlignment="1">
      <alignment horizontal="center" vertical="center"/>
    </xf>
    <xf numFmtId="0" fontId="30" fillId="4" borderId="29" xfId="85" applyFont="1" applyFill="1" applyBorder="1" applyAlignment="1">
      <alignment horizontal="right" vertical="center"/>
    </xf>
    <xf numFmtId="0" fontId="30" fillId="4" borderId="45" xfId="85" applyFont="1" applyFill="1" applyBorder="1" applyAlignment="1">
      <alignment horizontal="right" vertical="center"/>
    </xf>
    <xf numFmtId="0" fontId="30" fillId="4" borderId="2" xfId="85" applyFont="1" applyFill="1" applyBorder="1" applyAlignment="1">
      <alignment horizontal="right" vertical="center"/>
    </xf>
    <xf numFmtId="0" fontId="30" fillId="5" borderId="31" xfId="85" applyFont="1" applyFill="1" applyBorder="1" applyAlignment="1">
      <alignment horizontal="center" vertical="center" wrapText="1"/>
    </xf>
    <xf numFmtId="0" fontId="37" fillId="0" borderId="66" xfId="85" applyFont="1" applyFill="1" applyBorder="1" applyAlignment="1">
      <alignment horizontal="center" vertical="center" wrapText="1"/>
    </xf>
    <xf numFmtId="0" fontId="37" fillId="0" borderId="51" xfId="85" applyFont="1" applyFill="1" applyBorder="1" applyAlignment="1">
      <alignment horizontal="center" vertical="center" wrapText="1"/>
    </xf>
    <xf numFmtId="0" fontId="37" fillId="0" borderId="21" xfId="85" applyFont="1" applyFill="1" applyBorder="1" applyAlignment="1">
      <alignment horizontal="center" vertical="center" wrapText="1"/>
    </xf>
    <xf numFmtId="175" fontId="9" fillId="0" borderId="72" xfId="85" applyNumberFormat="1" applyFont="1" applyFill="1" applyBorder="1" applyAlignment="1">
      <alignment horizontal="right"/>
    </xf>
    <xf numFmtId="175" fontId="9" fillId="0" borderId="64" xfId="85" applyNumberFormat="1" applyFont="1" applyFill="1" applyBorder="1" applyAlignment="1">
      <alignment horizontal="right"/>
    </xf>
    <xf numFmtId="175" fontId="9" fillId="0" borderId="46" xfId="85" applyNumberFormat="1" applyFont="1" applyFill="1" applyBorder="1" applyAlignment="1">
      <alignment horizontal="right"/>
    </xf>
    <xf numFmtId="175" fontId="9" fillId="0" borderId="53" xfId="85" applyNumberFormat="1" applyFont="1" applyFill="1" applyBorder="1" applyAlignment="1">
      <alignment horizontal="right"/>
    </xf>
    <xf numFmtId="175" fontId="9" fillId="0" borderId="56" xfId="85" applyNumberFormat="1" applyFont="1" applyFill="1" applyBorder="1" applyAlignment="1">
      <alignment horizontal="right"/>
    </xf>
    <xf numFmtId="175" fontId="9" fillId="0" borderId="55" xfId="85" applyNumberFormat="1" applyFont="1" applyFill="1" applyBorder="1" applyAlignment="1">
      <alignment horizontal="right"/>
    </xf>
    <xf numFmtId="175" fontId="9" fillId="0" borderId="11" xfId="85" applyNumberFormat="1" applyFont="1" applyFill="1" applyBorder="1" applyAlignment="1">
      <alignment horizontal="right"/>
    </xf>
    <xf numFmtId="175" fontId="9" fillId="0" borderId="41" xfId="85" applyNumberFormat="1" applyFont="1" applyFill="1" applyBorder="1" applyAlignment="1">
      <alignment horizontal="right"/>
    </xf>
    <xf numFmtId="165" fontId="30" fillId="4" borderId="29" xfId="2" applyFont="1" applyFill="1" applyBorder="1" applyAlignment="1">
      <alignment horizontal="left" vertical="center" indent="3"/>
    </xf>
    <xf numFmtId="165" fontId="30" fillId="4" borderId="45" xfId="2" applyFont="1" applyFill="1" applyBorder="1" applyAlignment="1">
      <alignment horizontal="left" vertical="center" indent="3"/>
    </xf>
    <xf numFmtId="0" fontId="30" fillId="4" borderId="29" xfId="85" applyFont="1" applyFill="1" applyBorder="1" applyAlignment="1">
      <alignment horizontal="left" vertical="center" indent="3"/>
    </xf>
    <xf numFmtId="0" fontId="30" fillId="4" borderId="45" xfId="85" applyFont="1" applyFill="1" applyBorder="1" applyAlignment="1">
      <alignment horizontal="left" vertical="center" indent="3"/>
    </xf>
    <xf numFmtId="0" fontId="39" fillId="4" borderId="17" xfId="121" applyFont="1" applyFill="1" applyBorder="1" applyAlignment="1">
      <alignment horizontal="center" vertical="center" wrapText="1"/>
    </xf>
    <xf numFmtId="0" fontId="39" fillId="4" borderId="71" xfId="121" applyFont="1" applyFill="1" applyBorder="1" applyAlignment="1">
      <alignment horizontal="center" vertical="center" wrapText="1"/>
    </xf>
    <xf numFmtId="0" fontId="39" fillId="4" borderId="20" xfId="121" applyFont="1" applyFill="1" applyBorder="1" applyAlignment="1">
      <alignment horizontal="center" vertical="center" wrapText="1"/>
    </xf>
    <xf numFmtId="0" fontId="30" fillId="5" borderId="72" xfId="85" applyFont="1" applyFill="1" applyBorder="1" applyAlignment="1">
      <alignment horizontal="center" vertical="center" wrapText="1"/>
    </xf>
    <xf numFmtId="0" fontId="30" fillId="5" borderId="34" xfId="85" applyFont="1" applyFill="1" applyBorder="1" applyAlignment="1">
      <alignment horizontal="center" vertical="center" wrapText="1"/>
    </xf>
    <xf numFmtId="0" fontId="30" fillId="5" borderId="6" xfId="85" applyFont="1" applyFill="1" applyBorder="1" applyAlignment="1">
      <alignment horizontal="center" vertical="center" wrapText="1"/>
    </xf>
    <xf numFmtId="0" fontId="30" fillId="0" borderId="29" xfId="85" applyFont="1" applyFill="1" applyBorder="1" applyAlignment="1">
      <alignment horizontal="left" vertical="center"/>
    </xf>
    <xf numFmtId="0" fontId="30" fillId="0" borderId="45" xfId="85" applyFont="1" applyFill="1" applyBorder="1" applyAlignment="1">
      <alignment horizontal="left" vertical="center"/>
    </xf>
    <xf numFmtId="0" fontId="31" fillId="0" borderId="66" xfId="85" applyFont="1" applyBorder="1" applyAlignment="1">
      <alignment horizontal="center" vertical="center" wrapText="1"/>
    </xf>
    <xf numFmtId="0" fontId="31" fillId="0" borderId="21" xfId="85" applyFont="1" applyBorder="1" applyAlignment="1">
      <alignment horizontal="center" vertical="center" wrapText="1"/>
    </xf>
    <xf numFmtId="0" fontId="31" fillId="0" borderId="17" xfId="85" applyFont="1" applyFill="1" applyBorder="1" applyAlignment="1">
      <alignment horizontal="center" vertical="center" wrapText="1"/>
    </xf>
    <xf numFmtId="0" fontId="31" fillId="0" borderId="20" xfId="85" applyFont="1" applyFill="1" applyBorder="1" applyAlignment="1">
      <alignment horizontal="center" vertical="center" wrapText="1"/>
    </xf>
    <xf numFmtId="0" fontId="23" fillId="0" borderId="29" xfId="85" applyFont="1" applyFill="1" applyBorder="1" applyAlignment="1">
      <alignment horizontal="left" vertical="top" wrapText="1"/>
    </xf>
    <xf numFmtId="0" fontId="23" fillId="0" borderId="31" xfId="85" applyFont="1" applyFill="1" applyBorder="1" applyAlignment="1">
      <alignment horizontal="left" vertical="top" wrapText="1"/>
    </xf>
    <xf numFmtId="0" fontId="30" fillId="0" borderId="29" xfId="85" applyFont="1" applyFill="1" applyBorder="1" applyAlignment="1">
      <alignment horizontal="left" vertical="top" wrapText="1"/>
    </xf>
    <xf numFmtId="0" fontId="30" fillId="0" borderId="45" xfId="85" applyFont="1" applyFill="1" applyBorder="1" applyAlignment="1">
      <alignment horizontal="left" vertical="top" wrapText="1"/>
    </xf>
    <xf numFmtId="0" fontId="30" fillId="0" borderId="31" xfId="85" applyFont="1" applyFill="1" applyBorder="1" applyAlignment="1">
      <alignment horizontal="left" vertical="top" wrapText="1"/>
    </xf>
    <xf numFmtId="0" fontId="30" fillId="5" borderId="29" xfId="85" applyFont="1" applyFill="1" applyBorder="1" applyAlignment="1">
      <alignment horizontal="center" vertical="center" wrapText="1"/>
    </xf>
    <xf numFmtId="0" fontId="30" fillId="5" borderId="2" xfId="85" applyFont="1" applyFill="1" applyBorder="1" applyAlignment="1">
      <alignment horizontal="center" vertical="center" wrapText="1"/>
    </xf>
    <xf numFmtId="0" fontId="31" fillId="0" borderId="71" xfId="85" applyFont="1" applyFill="1" applyBorder="1" applyAlignment="1">
      <alignment horizontal="center" vertical="center" wrapText="1"/>
    </xf>
    <xf numFmtId="0" fontId="30" fillId="11" borderId="29" xfId="85" applyFont="1" applyFill="1" applyBorder="1" applyAlignment="1">
      <alignment horizontal="left"/>
    </xf>
    <xf numFmtId="0" fontId="30" fillId="11" borderId="45" xfId="85" applyFont="1" applyFill="1" applyBorder="1" applyAlignment="1">
      <alignment horizontal="left"/>
    </xf>
    <xf numFmtId="0" fontId="30" fillId="11" borderId="31" xfId="85" applyFont="1" applyFill="1" applyBorder="1" applyAlignment="1">
      <alignment horizontal="left"/>
    </xf>
    <xf numFmtId="175" fontId="9" fillId="0" borderId="7" xfId="85" applyNumberFormat="1" applyFont="1" applyFill="1" applyBorder="1" applyAlignment="1">
      <alignment horizontal="right"/>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31" fillId="0" borderId="32" xfId="85" applyFont="1" applyFill="1" applyBorder="1" applyAlignment="1">
      <alignment horizontal="center" vertical="center" wrapText="1"/>
    </xf>
    <xf numFmtId="0" fontId="30" fillId="0" borderId="29" xfId="85" applyFont="1" applyBorder="1" applyAlignment="1">
      <alignment horizontal="center"/>
    </xf>
    <xf numFmtId="0" fontId="30" fillId="0" borderId="31" xfId="85" applyFont="1" applyBorder="1" applyAlignment="1">
      <alignment horizontal="center"/>
    </xf>
    <xf numFmtId="0" fontId="30" fillId="0" borderId="29" xfId="85" applyFont="1" applyBorder="1" applyAlignment="1">
      <alignment horizontal="center" wrapText="1"/>
    </xf>
    <xf numFmtId="0" fontId="30" fillId="0" borderId="31" xfId="85" applyFont="1" applyBorder="1" applyAlignment="1">
      <alignment horizontal="center" wrapText="1"/>
    </xf>
    <xf numFmtId="0" fontId="30" fillId="11" borderId="29" xfId="85" applyFont="1" applyFill="1" applyBorder="1" applyAlignment="1">
      <alignment horizontal="left" vertical="center"/>
    </xf>
    <xf numFmtId="0" fontId="30" fillId="11" borderId="45" xfId="85" applyFont="1" applyFill="1" applyBorder="1" applyAlignment="1">
      <alignment horizontal="left" vertical="center"/>
    </xf>
    <xf numFmtId="0" fontId="30" fillId="11" borderId="31" xfId="85" applyFont="1" applyFill="1" applyBorder="1" applyAlignment="1">
      <alignment horizontal="left" vertical="center"/>
    </xf>
    <xf numFmtId="0" fontId="30" fillId="0" borderId="58" xfId="85" applyFont="1" applyFill="1" applyBorder="1" applyAlignment="1">
      <alignment horizontal="center" vertical="center"/>
    </xf>
    <xf numFmtId="0" fontId="30" fillId="0" borderId="0" xfId="85" applyFont="1" applyFill="1" applyBorder="1" applyAlignment="1">
      <alignment horizontal="center" vertical="center"/>
    </xf>
    <xf numFmtId="0" fontId="30" fillId="4" borderId="29" xfId="85" applyFont="1" applyFill="1" applyBorder="1" applyAlignment="1">
      <alignment horizontal="left" vertical="center"/>
    </xf>
    <xf numFmtId="0" fontId="30" fillId="4" borderId="45" xfId="85" applyFont="1" applyFill="1" applyBorder="1" applyAlignment="1">
      <alignment horizontal="left" vertical="center"/>
    </xf>
    <xf numFmtId="0" fontId="31" fillId="0" borderId="51" xfId="85" applyFont="1" applyFill="1" applyBorder="1" applyAlignment="1">
      <alignment horizontal="center" vertical="center" wrapText="1"/>
    </xf>
    <xf numFmtId="0" fontId="30" fillId="0" borderId="58" xfId="85" applyFont="1" applyBorder="1" applyAlignment="1">
      <alignment horizontal="center" vertical="center"/>
    </xf>
    <xf numFmtId="0" fontId="30" fillId="0" borderId="0" xfId="85" applyFont="1" applyBorder="1" applyAlignment="1">
      <alignment horizontal="center" vertical="center"/>
    </xf>
    <xf numFmtId="0" fontId="90" fillId="0" borderId="29" xfId="0" applyFont="1" applyFill="1" applyBorder="1" applyAlignment="1">
      <alignment horizontal="center"/>
    </xf>
    <xf numFmtId="0" fontId="90" fillId="0" borderId="45" xfId="0" applyFont="1" applyFill="1" applyBorder="1" applyAlignment="1">
      <alignment horizontal="center"/>
    </xf>
    <xf numFmtId="0" fontId="90" fillId="0" borderId="31" xfId="0" applyFont="1" applyFill="1" applyBorder="1" applyAlignment="1">
      <alignment horizontal="center"/>
    </xf>
    <xf numFmtId="165" fontId="48" fillId="0" borderId="0" xfId="2" applyNumberFormat="1" applyFont="1" applyFill="1" applyBorder="1"/>
  </cellXfs>
  <cellStyles count="134">
    <cellStyle name="Euro" xfId="7"/>
    <cellStyle name="Euro 2" xfId="8"/>
    <cellStyle name="Excel Built-in Normal" xfId="123"/>
    <cellStyle name="Hipervínculo" xfId="5" builtinId="8"/>
    <cellStyle name="Hipervínculo 2" xfId="9"/>
    <cellStyle name="Millares" xfId="2" builtinId="3"/>
    <cellStyle name="Millares 10" xfId="124"/>
    <cellStyle name="Millares 13" xfId="10"/>
    <cellStyle name="Millares 2" xfId="11"/>
    <cellStyle name="Millares 2 2" xfId="12"/>
    <cellStyle name="Millares 2 2 2" xfId="13"/>
    <cellStyle name="Millares 2 2 3" xfId="14"/>
    <cellStyle name="Millares 2 2 4" xfId="15"/>
    <cellStyle name="Millares 2 2 5" xfId="16"/>
    <cellStyle name="Millares 2 2 6" xfId="17"/>
    <cellStyle name="Millares 2 2 7" xfId="18"/>
    <cellStyle name="Millares 2 2 8" xfId="19"/>
    <cellStyle name="Millares 2 2 9" xfId="20"/>
    <cellStyle name="Millares 2 3" xfId="21"/>
    <cellStyle name="Millares 2 3 2" xfId="22"/>
    <cellStyle name="Millares 2 4" xfId="23"/>
    <cellStyle name="Millares 2 5" xfId="24"/>
    <cellStyle name="Millares 2 6" xfId="25"/>
    <cellStyle name="Millares 2 7" xfId="26"/>
    <cellStyle name="Millares 2 8" xfId="27"/>
    <cellStyle name="Millares 2 9" xfId="28"/>
    <cellStyle name="Millares 3" xfId="29"/>
    <cellStyle name="Millares 3 2" xfId="30"/>
    <cellStyle name="Millares 4" xfId="31"/>
    <cellStyle name="Millares 4 2" xfId="32"/>
    <cellStyle name="Millares 5" xfId="33"/>
    <cellStyle name="Millares 5 2" xfId="34"/>
    <cellStyle name="Millares 6" xfId="35"/>
    <cellStyle name="Millares 7" xfId="36"/>
    <cellStyle name="Millares 8" xfId="120"/>
    <cellStyle name="Moneda" xfId="3" builtinId="4"/>
    <cellStyle name="Moneda 10" xfId="37"/>
    <cellStyle name="Moneda 2" xfId="38"/>
    <cellStyle name="Moneda 2 2" xfId="39"/>
    <cellStyle name="Moneda 2 2 2" xfId="40"/>
    <cellStyle name="Moneda 2 2 3" xfId="41"/>
    <cellStyle name="Moneda 2 2 4" xfId="42"/>
    <cellStyle name="Moneda 2 2 5" xfId="43"/>
    <cellStyle name="Moneda 2 2 6" xfId="44"/>
    <cellStyle name="Moneda 2 2 7" xfId="45"/>
    <cellStyle name="Moneda 2 3" xfId="46"/>
    <cellStyle name="Moneda 2 4" xfId="47"/>
    <cellStyle name="Moneda 2 5" xfId="48"/>
    <cellStyle name="Moneda 2 6" xfId="49"/>
    <cellStyle name="Moneda 2 7" xfId="50"/>
    <cellStyle name="Moneda 2 8" xfId="51"/>
    <cellStyle name="Moneda 3" xfId="52"/>
    <cellStyle name="Moneda 3 2" xfId="53"/>
    <cellStyle name="Moneda 3 3" xfId="132"/>
    <cellStyle name="Moneda 4" xfId="54"/>
    <cellStyle name="Moneda 4 2" xfId="55"/>
    <cellStyle name="Moneda 4 3" xfId="56"/>
    <cellStyle name="Moneda 4 4" xfId="57"/>
    <cellStyle name="Moneda 4 5" xfId="58"/>
    <cellStyle name="Moneda 5" xfId="133"/>
    <cellStyle name="NivelFila_1" xfId="1" builtinId="1" iLevel="0"/>
    <cellStyle name="Normal" xfId="0" builtinId="0"/>
    <cellStyle name="Normal 10" xfId="59"/>
    <cellStyle name="Normal 11" xfId="60"/>
    <cellStyle name="Normal 12" xfId="61"/>
    <cellStyle name="Normal 13" xfId="62"/>
    <cellStyle name="Normal 14" xfId="63"/>
    <cellStyle name="Normal 15" xfId="64"/>
    <cellStyle name="Normal 16" xfId="65"/>
    <cellStyle name="Normal 17" xfId="66"/>
    <cellStyle name="Normal 18" xfId="67"/>
    <cellStyle name="Normal 19" xfId="68"/>
    <cellStyle name="Normal 2" xfId="69"/>
    <cellStyle name="Normal 2 10 10" xfId="125"/>
    <cellStyle name="Normal 2 11" xfId="126"/>
    <cellStyle name="Normal 2 19" xfId="127"/>
    <cellStyle name="Normal 2 2" xfId="4"/>
    <cellStyle name="Normal 2 2 2" xfId="70"/>
    <cellStyle name="Normal 2 2 4 2" xfId="128"/>
    <cellStyle name="Normal 2 3" xfId="71"/>
    <cellStyle name="Normal 2 4" xfId="72"/>
    <cellStyle name="Normal 2 5" xfId="73"/>
    <cellStyle name="Normal 2 6" xfId="74"/>
    <cellStyle name="Normal 2 7" xfId="75"/>
    <cellStyle name="Normal 2 8" xfId="76"/>
    <cellStyle name="Normal 2 9" xfId="6"/>
    <cellStyle name="Normal 20" xfId="77"/>
    <cellStyle name="Normal 21" xfId="78"/>
    <cellStyle name="Normal 22" xfId="79"/>
    <cellStyle name="Normal 23" xfId="80"/>
    <cellStyle name="Normal 24" xfId="81"/>
    <cellStyle name="Normal 25" xfId="82"/>
    <cellStyle name="Normal 26" xfId="83"/>
    <cellStyle name="Normal 27" xfId="84"/>
    <cellStyle name="Normal 28" xfId="85"/>
    <cellStyle name="Normal 29" xfId="86"/>
    <cellStyle name="Normal 3" xfId="87"/>
    <cellStyle name="Normal 3 2" xfId="88"/>
    <cellStyle name="Normal 3 2 2" xfId="89"/>
    <cellStyle name="Normal 3 3" xfId="90"/>
    <cellStyle name="Normal 3 4" xfId="91"/>
    <cellStyle name="Normal 30" xfId="92"/>
    <cellStyle name="Normal 31" xfId="93"/>
    <cellStyle name="Normal 32" xfId="94"/>
    <cellStyle name="Normal 33" xfId="95"/>
    <cellStyle name="Normal 34" xfId="96"/>
    <cellStyle name="Normal 35" xfId="97"/>
    <cellStyle name="Normal 36" xfId="98"/>
    <cellStyle name="Normal 37" xfId="99"/>
    <cellStyle name="Normal 4" xfId="100"/>
    <cellStyle name="Normal 4 2" xfId="101"/>
    <cellStyle name="Normal 4 2 2" xfId="131"/>
    <cellStyle name="Normal 4 3" xfId="102"/>
    <cellStyle name="Normal 4 4" xfId="121"/>
    <cellStyle name="Normal 5" xfId="103"/>
    <cellStyle name="Normal 5 2" xfId="104"/>
    <cellStyle name="Normal 6" xfId="105"/>
    <cellStyle name="Normal 6 2" xfId="106"/>
    <cellStyle name="Normal 7" xfId="107"/>
    <cellStyle name="Normal 8" xfId="108"/>
    <cellStyle name="Normal 9" xfId="109"/>
    <cellStyle name="Normal 9 2" xfId="110"/>
    <cellStyle name="Normal_Costos 140 Protección 2007" xfId="129"/>
    <cellStyle name="Porcentaje" xfId="119" builtinId="5"/>
    <cellStyle name="Porcentaje 2" xfId="111"/>
    <cellStyle name="Porcentual 2" xfId="112"/>
    <cellStyle name="Porcentual 2 2" xfId="113"/>
    <cellStyle name="Porcentual 2 2 2" xfId="114"/>
    <cellStyle name="Porcentual 2 3" xfId="115"/>
    <cellStyle name="Porcentual 3" xfId="116"/>
    <cellStyle name="Porcentual 3 2" xfId="117"/>
    <cellStyle name="Porcentual 4" xfId="130"/>
    <cellStyle name="Porcentual 5" xfId="118"/>
    <cellStyle name="Porcentual 5 2" xfId="122"/>
  </cellStyles>
  <dxfs count="346">
    <dxf>
      <font>
        <b/>
        <i val="0"/>
        <color rgb="FFFF0000"/>
      </font>
      <fill>
        <patternFill>
          <bgColor rgb="FFFFFF00"/>
        </patternFill>
      </fill>
    </dxf>
    <dxf>
      <font>
        <b/>
        <i val="0"/>
        <color rgb="FFFF0000"/>
      </font>
      <fill>
        <patternFill>
          <bgColor rgb="FFFFFF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FF99"/>
      <color rgb="FF33CCCC"/>
      <color rgb="FF009999"/>
      <color rgb="FF00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2E-2"/>
        </c:manualLayout>
      </c:layout>
      <c:overlay val="0"/>
    </c:title>
    <c:autoTitleDeleted val="0"/>
    <c:plotArea>
      <c:layout>
        <c:manualLayout>
          <c:layoutTarget val="inner"/>
          <c:xMode val="edge"/>
          <c:yMode val="edge"/>
          <c:x val="3.2103934202585872E-2"/>
          <c:y val="0.21428799705782367"/>
          <c:w val="0.94230554221151663"/>
          <c:h val="0.74644421368545366"/>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Dept'!$BF$91:$BF$99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Dept'!$BG$91:$BG$99</c:f>
              <c:numCache>
                <c:formatCode>_("$"\ * #,##0_);_("$"\ * \(#,##0\);_("$"\ * "-"??_);_(@_)</c:formatCode>
                <c:ptCount val="9"/>
                <c:pt idx="0">
                  <c:v>246452517.44595701</c:v>
                </c:pt>
                <c:pt idx="1">
                  <c:v>148107730.19249225</c:v>
                </c:pt>
                <c:pt idx="2">
                  <c:v>32644011.187729217</c:v>
                </c:pt>
                <c:pt idx="3">
                  <c:v>13489892.208165955</c:v>
                </c:pt>
                <c:pt idx="4">
                  <c:v>11480415.549948163</c:v>
                </c:pt>
                <c:pt idx="5">
                  <c:v>6250475.5766358785</c:v>
                </c:pt>
                <c:pt idx="6">
                  <c:v>4257105.4989917669</c:v>
                </c:pt>
                <c:pt idx="7">
                  <c:v>1783809.587442145</c:v>
                </c:pt>
                <c:pt idx="8">
                  <c:v>1001140.3272000066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67" l="0.70000000000000062" r="0.70000000000000062" t="0.7500000000000016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12E-2"/>
        </c:manualLayout>
      </c:layout>
      <c:overlay val="0"/>
    </c:title>
    <c:autoTitleDeleted val="0"/>
    <c:plotArea>
      <c:layout>
        <c:manualLayout>
          <c:layoutTarget val="inner"/>
          <c:xMode val="edge"/>
          <c:yMode val="edge"/>
          <c:x val="3.2103934202585872E-2"/>
          <c:y val="0.2142879970578247"/>
          <c:w val="0.94230554221151663"/>
          <c:h val="0.74644421368545766"/>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Dept'!$GB$91:$GB$99</c:f>
              <c:strCache>
                <c:ptCount val="9"/>
                <c:pt idx="0">
                  <c:v>Otros costos</c:v>
                </c:pt>
                <c:pt idx="1">
                  <c:v>Talento humano</c:v>
                </c:pt>
                <c:pt idx="2">
                  <c:v>Administración</c:v>
                </c:pt>
                <c:pt idx="3">
                  <c:v>Actividad de Cierre</c:v>
                </c:pt>
                <c:pt idx="4">
                  <c:v>Costos RR.HH Etapa Alistamiento</c:v>
                </c:pt>
                <c:pt idx="5">
                  <c:v>Impuestos </c:v>
                </c:pt>
                <c:pt idx="6">
                  <c:v>Transporte</c:v>
                </c:pt>
                <c:pt idx="7">
                  <c:v>GMF</c:v>
                </c:pt>
                <c:pt idx="8">
                  <c:v>Polizas</c:v>
                </c:pt>
              </c:strCache>
            </c:strRef>
          </c:cat>
          <c:val>
            <c:numRef>
              <c:f>'Res de Costos X Dept'!$GC$91:$GC$99</c:f>
              <c:numCache>
                <c:formatCode>_("$"\ * #,##0_);_("$"\ * \(#,##0\);_("$"\ * "-"??_);_(@_)</c:formatCode>
                <c:ptCount val="9"/>
                <c:pt idx="0">
                  <c:v>82150839.148652315</c:v>
                </c:pt>
                <c:pt idx="1">
                  <c:v>49369243.397497408</c:v>
                </c:pt>
                <c:pt idx="2">
                  <c:v>10576687.429408085</c:v>
                </c:pt>
                <c:pt idx="3">
                  <c:v>3719664.4166437807</c:v>
                </c:pt>
                <c:pt idx="4">
                  <c:v>2083491.8588786258</c:v>
                </c:pt>
                <c:pt idx="5">
                  <c:v>1379305.8076691083</c:v>
                </c:pt>
                <c:pt idx="6">
                  <c:v>688510.32145132835</c:v>
                </c:pt>
                <c:pt idx="7">
                  <c:v>577955.82569365518</c:v>
                </c:pt>
                <c:pt idx="8">
                  <c:v>324370.31873552612</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366" l="0.70000000000000062" r="0.70000000000000062" t="0.75000000000000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19E-2"/>
        </c:manualLayout>
      </c:layout>
      <c:overlay val="0"/>
    </c:title>
    <c:autoTitleDeleted val="0"/>
    <c:plotArea>
      <c:layout>
        <c:manualLayout>
          <c:layoutTarget val="inner"/>
          <c:xMode val="edge"/>
          <c:yMode val="edge"/>
          <c:x val="3.2103934202585872E-2"/>
          <c:y val="0.21428799705782481"/>
          <c:w val="0.94230554221151663"/>
          <c:h val="0.7464442136854581"/>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Dept'!$GP$91:$GP$99</c:f>
            </c:multiLvlStrRef>
          </c:cat>
          <c:val>
            <c:numRef>
              <c:f>'Res de Costos X Dept'!$GQ$91:$GQ$99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389" l="0.70000000000000062" r="0.70000000000000062" t="0.750000000000003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26E-2"/>
        </c:manualLayout>
      </c:layout>
      <c:overlay val="0"/>
    </c:title>
    <c:autoTitleDeleted val="0"/>
    <c:plotArea>
      <c:layout>
        <c:manualLayout>
          <c:layoutTarget val="inner"/>
          <c:xMode val="edge"/>
          <c:yMode val="edge"/>
          <c:x val="3.2103934202585872E-2"/>
          <c:y val="0.21428799705782492"/>
          <c:w val="0.94230554221151663"/>
          <c:h val="0.74644421368545855"/>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Dept'!$HD$91:$HD$99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Dept'!$HE$91:$HE$99</c:f>
              <c:numCache>
                <c:formatCode>_("$"\ * #,##0_);_("$"\ * \(#,##0\);_("$"\ * "-"??_);_(@_)</c:formatCode>
                <c:ptCount val="9"/>
                <c:pt idx="0">
                  <c:v>41075419.574326158</c:v>
                </c:pt>
                <c:pt idx="1">
                  <c:v>24684621.698748704</c:v>
                </c:pt>
                <c:pt idx="2">
                  <c:v>5440668.5312882019</c:v>
                </c:pt>
                <c:pt idx="3">
                  <c:v>2248315.3680276591</c:v>
                </c:pt>
                <c:pt idx="4">
                  <c:v>1913402.5916580269</c:v>
                </c:pt>
                <c:pt idx="5">
                  <c:v>1041745.9294393129</c:v>
                </c:pt>
                <c:pt idx="6">
                  <c:v>709517.58316529449</c:v>
                </c:pt>
                <c:pt idx="7">
                  <c:v>297301.59790702409</c:v>
                </c:pt>
                <c:pt idx="8">
                  <c:v>166856.72120000105</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411" l="0.70000000000000062" r="0.70000000000000062" t="0.750000000000004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33E-2"/>
        </c:manualLayout>
      </c:layout>
      <c:overlay val="0"/>
    </c:title>
    <c:autoTitleDeleted val="0"/>
    <c:plotArea>
      <c:layout>
        <c:manualLayout>
          <c:layoutTarget val="inner"/>
          <c:xMode val="edge"/>
          <c:yMode val="edge"/>
          <c:x val="3.2103934202585872E-2"/>
          <c:y val="0.21428799705782503"/>
          <c:w val="0.94230554221151663"/>
          <c:h val="0.74644421368545899"/>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Dept'!$HR$91:$HR$99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Dept'!$HS$91:$HS$99</c:f>
              <c:numCache>
                <c:formatCode>_("$"\ * #,##0_);_("$"\ * \(#,##0\);_("$"\ * "-"??_);_(@_)</c:formatCode>
                <c:ptCount val="9"/>
                <c:pt idx="0">
                  <c:v>150609871.77252927</c:v>
                </c:pt>
                <c:pt idx="1">
                  <c:v>90510279.562078595</c:v>
                </c:pt>
                <c:pt idx="2">
                  <c:v>20754458.520219255</c:v>
                </c:pt>
                <c:pt idx="3">
                  <c:v>18310580.168132819</c:v>
                </c:pt>
                <c:pt idx="4">
                  <c:v>7299035.861617526</c:v>
                </c:pt>
                <c:pt idx="5">
                  <c:v>3819735.074610814</c:v>
                </c:pt>
                <c:pt idx="6">
                  <c:v>2706588.9356217929</c:v>
                </c:pt>
                <c:pt idx="7">
                  <c:v>1134113.1418449543</c:v>
                </c:pt>
                <c:pt idx="8">
                  <c:v>636506.50265680894</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433" l="0.70000000000000062" r="0.70000000000000062" t="0.7500000000000043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39E-2"/>
        </c:manualLayout>
      </c:layout>
      <c:overlay val="0"/>
    </c:title>
    <c:autoTitleDeleted val="0"/>
    <c:plotArea>
      <c:layout>
        <c:manualLayout>
          <c:layoutTarget val="inner"/>
          <c:xMode val="edge"/>
          <c:yMode val="edge"/>
          <c:x val="3.2103934202585872E-2"/>
          <c:y val="0.21428799705782514"/>
          <c:w val="0.94230554221151663"/>
          <c:h val="0.74644421368545943"/>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Dept'!$IF$91:$IF$99</c:f>
            </c:multiLvlStrRef>
          </c:cat>
          <c:val>
            <c:numRef>
              <c:f>'Res de Costos X Dept'!$IG$91:$IG$99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455" l="0.70000000000000062" r="0.70000000000000062" t="0.7500000000000045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46E-2"/>
        </c:manualLayout>
      </c:layout>
      <c:overlay val="0"/>
    </c:title>
    <c:autoTitleDeleted val="0"/>
    <c:plotArea>
      <c:layout>
        <c:manualLayout>
          <c:layoutTarget val="inner"/>
          <c:xMode val="edge"/>
          <c:yMode val="edge"/>
          <c:x val="3.2103934202585872E-2"/>
          <c:y val="0.21428799705782525"/>
          <c:w val="0.94230554221151663"/>
          <c:h val="0.74644421368545988"/>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Dept'!$IT$91:$IT$99</c:f>
            </c:multiLvlStrRef>
          </c:cat>
          <c:val>
            <c:numRef>
              <c:f>'Res de Costos X Dept'!$IU$91:$IU$99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477" l="0.70000000000000062" r="0.70000000000000062" t="0.75000000000000477"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Dept'!$JV$91:$JV$99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Dept'!$JW$91:$JW$99</c:f>
              <c:numCache>
                <c:formatCode>_("$"\ * #,##0_);_("$"\ * \(#,##0\);_("$"\ * "-"??_);_(@_)</c:formatCode>
                <c:ptCount val="9"/>
                <c:pt idx="0">
                  <c:v>88996742.411040038</c:v>
                </c:pt>
                <c:pt idx="1">
                  <c:v>53483347.013955534</c:v>
                </c:pt>
                <c:pt idx="2">
                  <c:v>12375325.111725476</c:v>
                </c:pt>
                <c:pt idx="3">
                  <c:v>12211474.471572882</c:v>
                </c:pt>
                <c:pt idx="4">
                  <c:v>4352218.6667342614</c:v>
                </c:pt>
                <c:pt idx="5">
                  <c:v>2257116.1804518448</c:v>
                </c:pt>
                <c:pt idx="6">
                  <c:v>1613866.1478201193</c:v>
                </c:pt>
                <c:pt idx="7">
                  <c:v>676241.14742086129</c:v>
                </c:pt>
                <c:pt idx="8">
                  <c:v>379531.69910125661</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Dept'!$KJ$91:$KJ$99</c:f>
            </c:multiLvlStrRef>
          </c:cat>
          <c:val>
            <c:numRef>
              <c:f>'Res de Costos X Dept'!$KK$91:$KK$99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Dept'!$KX$91:$KX$99</c:f>
            </c:multiLvlStrRef>
          </c:cat>
          <c:val>
            <c:numRef>
              <c:f>'Res de Costos X Dept'!$KY$91:$KY$99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Dept'!$LL$91:$LL$99</c:f>
            </c:multiLvlStrRef>
          </c:cat>
          <c:val>
            <c:numRef>
              <c:f>'Res de Costos X Dept'!$LM$91:$LM$99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Dept'!$BT$91:$BT$99</c:f>
            </c:multiLvlStrRef>
          </c:cat>
          <c:val>
            <c:numRef>
              <c:f>'Res de Costos X Dept'!$BU$91:$BU$99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Dept'!$LZ$91:$LZ$99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Dept'!$MA$91:$MA$99</c:f>
              <c:numCache>
                <c:formatCode>_("$"\ * #,##0_);_("$"\ * \(#,##0\);_("$"\ * "-"??_);_(@_)</c:formatCode>
                <c:ptCount val="9"/>
                <c:pt idx="0">
                  <c:v>61613129.361489251</c:v>
                </c:pt>
                <c:pt idx="1">
                  <c:v>37026932.548123062</c:v>
                </c:pt>
                <c:pt idx="2">
                  <c:v>9387177.1500227675</c:v>
                </c:pt>
                <c:pt idx="3">
                  <c:v>8642179.1247708052</c:v>
                </c:pt>
                <c:pt idx="4">
                  <c:v>3039326.4797909106</c:v>
                </c:pt>
                <c:pt idx="5">
                  <c:v>1562618.8941589696</c:v>
                </c:pt>
                <c:pt idx="6">
                  <c:v>1127026.5796613607</c:v>
                </c:pt>
                <c:pt idx="7">
                  <c:v>472245.94705914555</c:v>
                </c:pt>
                <c:pt idx="8">
                  <c:v>265042.00071915123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Dept'!$MN$91:$MN$99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Dept'!$MO$91:$MO$99</c:f>
              <c:numCache>
                <c:formatCode>_("$"\ * #,##0_);_("$"\ * \(#,##0\);_("$"\ * "-"??_);_(@_)</c:formatCode>
                <c:ptCount val="9"/>
                <c:pt idx="0">
                  <c:v>82150839.148652315</c:v>
                </c:pt>
                <c:pt idx="1">
                  <c:v>49369243.397497408</c:v>
                </c:pt>
                <c:pt idx="2">
                  <c:v>11251774.292167811</c:v>
                </c:pt>
                <c:pt idx="3">
                  <c:v>9127096.1059479229</c:v>
                </c:pt>
                <c:pt idx="4">
                  <c:v>3957082.4738862603</c:v>
                </c:pt>
                <c:pt idx="5">
                  <c:v>2083491.8588786258</c:v>
                </c:pt>
                <c:pt idx="6">
                  <c:v>1467343.8854416043</c:v>
                </c:pt>
                <c:pt idx="7">
                  <c:v>614845.48399029556</c:v>
                </c:pt>
                <c:pt idx="8">
                  <c:v>345074.1678668409</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Dept'!$NB$91:$NB$99</c:f>
              <c:strCache>
                <c:ptCount val="9"/>
                <c:pt idx="0">
                  <c:v>Otros costos</c:v>
                </c:pt>
                <c:pt idx="1">
                  <c:v>Talento humano</c:v>
                </c:pt>
                <c:pt idx="2">
                  <c:v>Administración</c:v>
                </c:pt>
                <c:pt idx="3">
                  <c:v>Actividad de Cierre</c:v>
                </c:pt>
                <c:pt idx="4">
                  <c:v>Transporte</c:v>
                </c:pt>
                <c:pt idx="5">
                  <c:v>Costos RR.HH Etapa Alistamiento</c:v>
                </c:pt>
                <c:pt idx="6">
                  <c:v>Impuestos </c:v>
                </c:pt>
                <c:pt idx="7">
                  <c:v>GMF</c:v>
                </c:pt>
                <c:pt idx="8">
                  <c:v>Polizas</c:v>
                </c:pt>
              </c:strCache>
            </c:strRef>
          </c:cat>
          <c:val>
            <c:numRef>
              <c:f>'Res de Costos X Dept'!$NC$91:$NC$99</c:f>
              <c:numCache>
                <c:formatCode>_("$"\ * #,##0_);_("$"\ * \(#,##0\);_("$"\ * "-"??_);_(@_)</c:formatCode>
                <c:ptCount val="9"/>
                <c:pt idx="0">
                  <c:v>95842645.673427716</c:v>
                </c:pt>
                <c:pt idx="1">
                  <c:v>57597450.630413651</c:v>
                </c:pt>
                <c:pt idx="2">
                  <c:v>12489683.348174309</c:v>
                </c:pt>
                <c:pt idx="3">
                  <c:v>4392436.7658043085</c:v>
                </c:pt>
                <c:pt idx="4">
                  <c:v>2680945.548337521</c:v>
                </c:pt>
                <c:pt idx="5">
                  <c:v>2430740.5020250636</c:v>
                </c:pt>
                <c:pt idx="6">
                  <c:v>1628779.6054354117</c:v>
                </c:pt>
                <c:pt idx="7">
                  <c:v>682490.17476640642</c:v>
                </c:pt>
                <c:pt idx="8">
                  <c:v>383038.88581302436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Dept'!$NP$91:$NP$99</c:f>
              <c:strCache>
                <c:ptCount val="9"/>
                <c:pt idx="0">
                  <c:v>Transporte</c:v>
                </c:pt>
                <c:pt idx="1">
                  <c:v>Otros costos</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Dept'!$NQ$91:$NQ$99</c:f>
              <c:numCache>
                <c:formatCode>_("$"\ * #,##0_);_("$"\ * \(#,##0\);_("$"\ * "-"??_);_(@_)</c:formatCode>
                <c:ptCount val="9"/>
                <c:pt idx="0">
                  <c:v>191654699.84239793</c:v>
                </c:pt>
                <c:pt idx="1">
                  <c:v>109534452.1982031</c:v>
                </c:pt>
                <c:pt idx="2">
                  <c:v>65825657.863329887</c:v>
                </c:pt>
                <c:pt idx="3">
                  <c:v>29361184.792314474</c:v>
                </c:pt>
                <c:pt idx="4">
                  <c:v>10325894.097882656</c:v>
                </c:pt>
                <c:pt idx="5">
                  <c:v>3828992.1087657302</c:v>
                </c:pt>
                <c:pt idx="6">
                  <c:v>2777989.1451715012</c:v>
                </c:pt>
                <c:pt idx="7">
                  <c:v>1604421.7921012896</c:v>
                </c:pt>
                <c:pt idx="8">
                  <c:v>900461.22031127498</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Dept'!$OD$91:$OD$99</c:f>
              <c:strCache>
                <c:ptCount val="9"/>
                <c:pt idx="0">
                  <c:v>Otros costos</c:v>
                </c:pt>
                <c:pt idx="1">
                  <c:v>Transporte</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Dept'!$OE$91:$OE$99</c:f>
              <c:numCache>
                <c:formatCode>_("$"\ * #,##0_);_("$"\ * \(#,##0\);_("$"\ * "-"??_);_(@_)</c:formatCode>
                <c:ptCount val="9"/>
                <c:pt idx="0">
                  <c:v>27383613.049550775</c:v>
                </c:pt>
                <c:pt idx="1">
                  <c:v>22905500.783534497</c:v>
                </c:pt>
                <c:pt idx="2">
                  <c:v>16456414.465832472</c:v>
                </c:pt>
                <c:pt idx="3">
                  <c:v>5339642.2639134191</c:v>
                </c:pt>
                <c:pt idx="4">
                  <c:v>1877873.1487763671</c:v>
                </c:pt>
                <c:pt idx="5">
                  <c:v>696342.74763694906</c:v>
                </c:pt>
                <c:pt idx="6">
                  <c:v>694497.2862928753</c:v>
                </c:pt>
                <c:pt idx="7">
                  <c:v>291781.08686166664</c:v>
                </c:pt>
                <c:pt idx="8">
                  <c:v>163758.40494855327</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Dept'!$OR$91:$OR$99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Dept'!$OS$91:$OS$99</c:f>
              <c:numCache>
                <c:formatCode>_("$"\ * #,##0_);_("$"\ * \(#,##0\);_("$"\ * "-"??_);_(@_)</c:formatCode>
                <c:ptCount val="9"/>
                <c:pt idx="0">
                  <c:v>136918065.24775389</c:v>
                </c:pt>
                <c:pt idx="1">
                  <c:v>82282072.329162359</c:v>
                </c:pt>
                <c:pt idx="2">
                  <c:v>44691660.792104073</c:v>
                </c:pt>
                <c:pt idx="3">
                  <c:v>21111343.869521625</c:v>
                </c:pt>
                <c:pt idx="4">
                  <c:v>7424547.1564800804</c:v>
                </c:pt>
                <c:pt idx="5">
                  <c:v>3472486.4314643769</c:v>
                </c:pt>
                <c:pt idx="6">
                  <c:v>2753130.3540243153</c:v>
                </c:pt>
                <c:pt idx="7">
                  <c:v>1153614.8968235981</c:v>
                </c:pt>
                <c:pt idx="8">
                  <c:v>647451.61333327414</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Dept'!$PF$91:$PF$99</c:f>
            </c:multiLvlStrRef>
          </c:cat>
          <c:val>
            <c:numRef>
              <c:f>'Res de Costos X Dept'!$PG$91:$PG$99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Dept'!$PT$91:$PT$99</c:f>
            </c:multiLvlStrRef>
          </c:cat>
          <c:val>
            <c:numRef>
              <c:f>'Res de Costos X Dept'!$PU$91:$PU$99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Dept'!$QH$91:$QH$99</c:f>
            </c:multiLvlStrRef>
          </c:cat>
          <c:val>
            <c:numRef>
              <c:f>'Res de Costos X Dept'!$QI$91:$QI$99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Dept'!$QV$91:$QV$99</c:f>
              <c:strCache>
                <c:ptCount val="9"/>
                <c:pt idx="0">
                  <c:v>Transporte</c:v>
                </c:pt>
                <c:pt idx="1">
                  <c:v>Otros costos</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Dept'!$QW$91:$QW$99</c:f>
              <c:numCache>
                <c:formatCode>_("$"\ * #,##0_);_("$"\ * \(#,##0\);_("$"\ * "-"??_);_(@_)</c:formatCode>
                <c:ptCount val="9"/>
                <c:pt idx="0">
                  <c:v>143741024.88179845</c:v>
                </c:pt>
                <c:pt idx="1">
                  <c:v>82150839.148652315</c:v>
                </c:pt>
                <c:pt idx="2">
                  <c:v>49369243.397497408</c:v>
                </c:pt>
                <c:pt idx="3">
                  <c:v>22020888.594235856</c:v>
                </c:pt>
                <c:pt idx="4">
                  <c:v>7744420.5734119946</c:v>
                </c:pt>
                <c:pt idx="5">
                  <c:v>2871744.0815742975</c:v>
                </c:pt>
                <c:pt idx="6">
                  <c:v>2083491.8588786258</c:v>
                </c:pt>
                <c:pt idx="7">
                  <c:v>1203316.3440759671</c:v>
                </c:pt>
                <c:pt idx="8">
                  <c:v>675345.9152334563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56E-2"/>
        </c:manualLayout>
      </c:layout>
      <c:overlay val="0"/>
    </c:title>
    <c:autoTitleDeleted val="0"/>
    <c:plotArea>
      <c:layout>
        <c:manualLayout>
          <c:layoutTarget val="inner"/>
          <c:xMode val="edge"/>
          <c:yMode val="edge"/>
          <c:x val="3.2103934202585872E-2"/>
          <c:y val="0.21428799705782392"/>
          <c:w val="0.94230554221151663"/>
          <c:h val="0.74644421368545455"/>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Dept'!$CH$91:$CH$99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Dept'!$CI$91:$CI$99</c:f>
              <c:numCache>
                <c:formatCode>_("$"\ * #,##0_);_("$"\ * \(#,##0\);_("$"\ * "-"??_);_(@_)</c:formatCode>
                <c:ptCount val="9"/>
                <c:pt idx="0">
                  <c:v>13691806.524775388</c:v>
                </c:pt>
                <c:pt idx="1">
                  <c:v>8228207.2329162359</c:v>
                </c:pt>
                <c:pt idx="2">
                  <c:v>1810497.4700509501</c:v>
                </c:pt>
                <c:pt idx="3">
                  <c:v>711204.61794525094</c:v>
                </c:pt>
                <c:pt idx="4">
                  <c:v>636725.1618921099</c:v>
                </c:pt>
                <c:pt idx="5">
                  <c:v>347248.64314643765</c:v>
                </c:pt>
                <c:pt idx="6">
                  <c:v>236106.97506934439</c:v>
                </c:pt>
                <c:pt idx="7">
                  <c:v>98933.391688415504</c:v>
                </c:pt>
                <c:pt idx="8">
                  <c:v>55525.101346703632</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211" l="0.70000000000000062" r="0.70000000000000062" t="0.7500000000000021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Dept'!$RJ$91:$RJ$99</c:f>
              <c:strCache>
                <c:ptCount val="9"/>
                <c:pt idx="0">
                  <c:v>Transporte</c:v>
                </c:pt>
                <c:pt idx="1">
                  <c:v>Otros costos</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Dept'!$RK$91:$RK$99</c:f>
              <c:numCache>
                <c:formatCode>_("$"\ * #,##0_);_("$"\ * \(#,##0\);_("$"\ * "-"??_);_(@_)</c:formatCode>
                <c:ptCount val="9"/>
                <c:pt idx="0">
                  <c:v>30292532.027845331</c:v>
                </c:pt>
                <c:pt idx="1">
                  <c:v>13691806.524775388</c:v>
                </c:pt>
                <c:pt idx="2">
                  <c:v>8228207.2329162359</c:v>
                </c:pt>
                <c:pt idx="3">
                  <c:v>4177003.6628429564</c:v>
                </c:pt>
                <c:pt idx="4">
                  <c:v>1468990.3617334371</c:v>
                </c:pt>
                <c:pt idx="5">
                  <c:v>544723.04767134995</c:v>
                </c:pt>
                <c:pt idx="6">
                  <c:v>347248.64314643765</c:v>
                </c:pt>
                <c:pt idx="7">
                  <c:v>228249.4984366695</c:v>
                </c:pt>
                <c:pt idx="8">
                  <c:v>128102.11311611536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Dept'!$RX$91:$RX$99</c:f>
              <c:strCache>
                <c:ptCount val="9"/>
                <c:pt idx="0">
                  <c:v>Transporte</c:v>
                </c:pt>
                <c:pt idx="1">
                  <c:v>Otros costos</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Dept'!$RY$91:$RY$99</c:f>
              <c:numCache>
                <c:formatCode>_("$"\ * #,##0_);_("$"\ * \(#,##0\);_("$"\ * "-"??_);_(@_)</c:formatCode>
                <c:ptCount val="9"/>
                <c:pt idx="0">
                  <c:v>83848931.181049109</c:v>
                </c:pt>
                <c:pt idx="1">
                  <c:v>47921322.836713858</c:v>
                </c:pt>
                <c:pt idx="2">
                  <c:v>28798725.315206826</c:v>
                </c:pt>
                <c:pt idx="3">
                  <c:v>12845518.346637582</c:v>
                </c:pt>
                <c:pt idx="4">
                  <c:v>4517578.6678236639</c:v>
                </c:pt>
                <c:pt idx="5">
                  <c:v>1675184.047585007</c:v>
                </c:pt>
                <c:pt idx="6">
                  <c:v>1215370.2510125318</c:v>
                </c:pt>
                <c:pt idx="7">
                  <c:v>701934.53404431429</c:v>
                </c:pt>
                <c:pt idx="8">
                  <c:v>393951.78388618276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Dept'!$SZ$91:$SZ$99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Dept'!$TA$91:$TA$99</c:f>
              <c:numCache>
                <c:formatCode>_("$"\ * #,##0_);_("$"\ * \(#,##0\);_("$"\ * "-"??_);_(@_)</c:formatCode>
                <c:ptCount val="9"/>
                <c:pt idx="0">
                  <c:v>2053770978.7163084</c:v>
                </c:pt>
                <c:pt idx="1">
                  <c:v>1234231084.9374354</c:v>
                </c:pt>
                <c:pt idx="2">
                  <c:v>841024859.42992294</c:v>
                </c:pt>
                <c:pt idx="3">
                  <c:v>330322153.84669334</c:v>
                </c:pt>
                <c:pt idx="4">
                  <c:v>116169412.19954722</c:v>
                </c:pt>
                <c:pt idx="5">
                  <c:v>52087296.471965648</c:v>
                </c:pt>
                <c:pt idx="6">
                  <c:v>43077312.08314728</c:v>
                </c:pt>
                <c:pt idx="7">
                  <c:v>18050227.393555149</c:v>
                </c:pt>
                <c:pt idx="8">
                  <c:v>10130459.375280391</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2E-2"/>
        </c:manualLayout>
      </c:layout>
      <c:overlay val="0"/>
    </c:title>
    <c:autoTitleDeleted val="0"/>
    <c:plotArea>
      <c:layout>
        <c:manualLayout>
          <c:layoutTarget val="inner"/>
          <c:xMode val="edge"/>
          <c:yMode val="edge"/>
          <c:x val="3.2103934202585872E-2"/>
          <c:y val="0.21428799705782367"/>
          <c:w val="0.94230554221151663"/>
          <c:h val="0.74644421368545366"/>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Dept'!$BT$91:$BT$99</c:f>
            </c:multiLvlStrRef>
          </c:cat>
          <c:val>
            <c:numRef>
              <c:f>'Res de Costos X Dept'!$BU$91:$BU$99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67" l="0.70000000000000062" r="0.70000000000000062" t="0.7500000000000016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Dept'!$RX$91:$RX$99</c:f>
              <c:strCache>
                <c:ptCount val="9"/>
                <c:pt idx="0">
                  <c:v>Transporte</c:v>
                </c:pt>
                <c:pt idx="1">
                  <c:v>Otros costos</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Dept'!$RY$91:$RY$99</c:f>
              <c:numCache>
                <c:formatCode>_("$"\ * #,##0_);_("$"\ * \(#,##0\);_("$"\ * "-"??_);_(@_)</c:formatCode>
                <c:ptCount val="9"/>
                <c:pt idx="0">
                  <c:v>83848931.181049109</c:v>
                </c:pt>
                <c:pt idx="1">
                  <c:v>47921322.836713858</c:v>
                </c:pt>
                <c:pt idx="2">
                  <c:v>28798725.315206826</c:v>
                </c:pt>
                <c:pt idx="3">
                  <c:v>12845518.346637582</c:v>
                </c:pt>
                <c:pt idx="4">
                  <c:v>4517578.6678236639</c:v>
                </c:pt>
                <c:pt idx="5">
                  <c:v>1675184.047585007</c:v>
                </c:pt>
                <c:pt idx="6">
                  <c:v>1215370.2510125318</c:v>
                </c:pt>
                <c:pt idx="7">
                  <c:v>701934.53404431429</c:v>
                </c:pt>
                <c:pt idx="8">
                  <c:v>393951.78388618276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46E-2"/>
        </c:manualLayout>
      </c:layout>
      <c:overlay val="0"/>
    </c:title>
    <c:autoTitleDeleted val="0"/>
    <c:plotArea>
      <c:layout>
        <c:manualLayout>
          <c:layoutTarget val="inner"/>
          <c:xMode val="edge"/>
          <c:yMode val="edge"/>
          <c:x val="3.2103934202585872E-2"/>
          <c:y val="0.21428799705782525"/>
          <c:w val="0.94230554221151663"/>
          <c:h val="0.74644421368545988"/>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Dept'!$JH$91:$JH$99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Dept'!$JI$91:$JI$99</c:f>
              <c:numCache>
                <c:formatCode>_("$"\ * #,##0_);_("$"\ * \(#,##0\);_("$"\ * "-"??_);_(@_)</c:formatCode>
                <c:ptCount val="9"/>
                <c:pt idx="0">
                  <c:v>205377097.87163082</c:v>
                </c:pt>
                <c:pt idx="1">
                  <c:v>123423108.49374352</c:v>
                </c:pt>
                <c:pt idx="2">
                  <c:v>47383560.5215462</c:v>
                </c:pt>
                <c:pt idx="3">
                  <c:v>30094701.350953646</c:v>
                </c:pt>
                <c:pt idx="4">
                  <c:v>10583861.014310842</c:v>
                </c:pt>
                <c:pt idx="5">
                  <c:v>5208729.6471965648</c:v>
                </c:pt>
                <c:pt idx="6">
                  <c:v>3924650.0031778649</c:v>
                </c:pt>
                <c:pt idx="7">
                  <c:v>1644504.3010283778</c:v>
                </c:pt>
                <c:pt idx="8">
                  <c:v>922957.01604236721</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477" l="0.70000000000000062" r="0.70000000000000062" t="0.75000000000000477"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dLbl>
              <c:idx val="0"/>
              <c:tx>
                <c:rich>
                  <a:bodyPr/>
                  <a:lstStyle/>
                  <a:p>
                    <a:r>
                      <a:rPr lang="en-US"/>
                      <a:t>Otros</a:t>
                    </a:r>
                  </a:p>
                  <a:p>
                    <a:r>
                      <a:rPr lang="en-US"/>
                      <a:t>52,05%</a:t>
                    </a:r>
                  </a:p>
                </c:rich>
              </c:tx>
              <c:showLegendKey val="0"/>
              <c:showVal val="0"/>
              <c:showCatName val="0"/>
              <c:showSerName val="0"/>
              <c:showPercent val="1"/>
              <c:showBubbleSize val="0"/>
            </c:dLbl>
            <c:dLbl>
              <c:idx val="1"/>
              <c:tx>
                <c:rich>
                  <a:bodyPr/>
                  <a:lstStyle/>
                  <a:p>
                    <a:r>
                      <a:rPr lang="en-US"/>
                      <a:t>T. H.</a:t>
                    </a:r>
                  </a:p>
                  <a:p>
                    <a:r>
                      <a:rPr lang="en-US"/>
                      <a:t>31,28%</a:t>
                    </a:r>
                  </a:p>
                </c:rich>
              </c:tx>
              <c:showLegendKey val="0"/>
              <c:showVal val="0"/>
              <c:showCatName val="0"/>
              <c:showSerName val="0"/>
              <c:showPercent val="1"/>
              <c:showBubbleSize val="0"/>
            </c:dLbl>
            <c:dLbl>
              <c:idx val="2"/>
              <c:tx>
                <c:rich>
                  <a:bodyPr/>
                  <a:lstStyle/>
                  <a:p>
                    <a:r>
                      <a:rPr lang="en-US"/>
                      <a:t>Admón</a:t>
                    </a:r>
                  </a:p>
                  <a:p>
                    <a:r>
                      <a:rPr lang="en-US"/>
                      <a:t>7,01%</a:t>
                    </a:r>
                  </a:p>
                </c:rich>
              </c:tx>
              <c:showLegendKey val="0"/>
              <c:showVal val="0"/>
              <c:showCatName val="0"/>
              <c:showSerName val="0"/>
              <c:showPercent val="1"/>
              <c:showBubbleSize val="0"/>
            </c:dLbl>
            <c:numFmt formatCode="0.00%" sourceLinked="0"/>
            <c:spPr>
              <a:solidFill>
                <a:schemeClr val="bg1"/>
              </a:solidFill>
            </c:spPr>
            <c:txPr>
              <a:bodyPr/>
              <a:lstStyle/>
              <a:p>
                <a:pPr>
                  <a:defRPr sz="1200" b="1"/>
                </a:pPr>
                <a:endParaRPr lang="es-CO"/>
              </a:p>
            </c:txPr>
            <c:showLegendKey val="0"/>
            <c:showVal val="0"/>
            <c:showCatName val="0"/>
            <c:showSerName val="0"/>
            <c:showPercent val="1"/>
            <c:showBubbleSize val="0"/>
            <c:showLeaderLines val="1"/>
          </c:dLbls>
          <c:cat>
            <c:strRef>
              <c:f>'Res de Costos X Dept'!$B$91:$B$99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Dept'!$C$91:$C$99</c:f>
              <c:numCache>
                <c:formatCode>_("$"\ * #,##0_);_("$"\ * \(#,##0\);_("$"\ * "-"??_);_(@_)</c:formatCode>
                <c:ptCount val="9"/>
                <c:pt idx="0">
                  <c:v>95842645.673427716</c:v>
                </c:pt>
                <c:pt idx="1">
                  <c:v>57597450.630413651</c:v>
                </c:pt>
                <c:pt idx="2">
                  <c:v>12915880.189277597</c:v>
                </c:pt>
                <c:pt idx="3">
                  <c:v>8008406.0621285765</c:v>
                </c:pt>
                <c:pt idx="4">
                  <c:v>4542323.8864097614</c:v>
                </c:pt>
                <c:pt idx="5">
                  <c:v>2430740.5020250636</c:v>
                </c:pt>
                <c:pt idx="6">
                  <c:v>1684359.9354836913</c:v>
                </c:pt>
                <c:pt idx="7">
                  <c:v>705779.40864534152</c:v>
                </c:pt>
                <c:pt idx="8">
                  <c:v>396109.67060414533</c:v>
                </c:pt>
              </c:numCache>
            </c:numRef>
          </c:val>
        </c:ser>
        <c:dLbls>
          <c:showLegendKey val="0"/>
          <c:showVal val="0"/>
          <c:showCatName val="0"/>
          <c:showSerName val="0"/>
          <c:showPercent val="1"/>
          <c:showBubbleSize val="0"/>
          <c:showLeaderLines val="1"/>
        </c:dLbls>
        <c:gapWidth val="100"/>
        <c:secondPieSize val="75"/>
        <c:serLines/>
      </c:ofPieChart>
    </c:plotArea>
    <c:legend>
      <c:legendPos val="t"/>
      <c:layout>
        <c:manualLayout>
          <c:xMode val="edge"/>
          <c:yMode val="edge"/>
          <c:x val="6.53568866151404E-2"/>
          <c:y val="9.4639551534169516E-2"/>
          <c:w val="0.89521199508239691"/>
          <c:h val="0.21435929062105424"/>
        </c:manualLayout>
      </c:layout>
      <c:overlay val="0"/>
      <c:txPr>
        <a:bodyPr/>
        <a:lstStyle/>
        <a:p>
          <a:pPr>
            <a:defRPr sz="1400"/>
          </a:pPr>
          <a:endParaRPr lang="es-CO"/>
        </a:p>
      </c:txPr>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56E-2"/>
        </c:manualLayout>
      </c:layout>
      <c:overlay val="0"/>
    </c:title>
    <c:autoTitleDeleted val="0"/>
    <c:plotArea>
      <c:layout>
        <c:manualLayout>
          <c:layoutTarget val="inner"/>
          <c:xMode val="edge"/>
          <c:yMode val="edge"/>
          <c:x val="3.2103934202585872E-2"/>
          <c:y val="0.21428799705782392"/>
          <c:w val="0.94230554221151663"/>
          <c:h val="0.74644421368545455"/>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Dept'!$P$91:$P$99</c:f>
            </c:multiLvlStrRef>
          </c:cat>
          <c:val>
            <c:numRef>
              <c:f>'Res de Costos X Dept'!$Q$91:$Q$99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211" l="0.70000000000000062" r="0.70000000000000062" t="0.75000000000000211"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7E-2"/>
        </c:manualLayout>
      </c:layout>
      <c:overlay val="0"/>
    </c:title>
    <c:autoTitleDeleted val="0"/>
    <c:plotArea>
      <c:layout>
        <c:manualLayout>
          <c:layoutTarget val="inner"/>
          <c:xMode val="edge"/>
          <c:yMode val="edge"/>
          <c:x val="3.2103934202585872E-2"/>
          <c:y val="0.21428799705782414"/>
          <c:w val="0.94230554221151663"/>
          <c:h val="0.74644421368545544"/>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Dept'!$AR$91:$AR$99</c:f>
            </c:multiLvlStrRef>
          </c:cat>
          <c:val>
            <c:numRef>
              <c:f>'Res de Costos X Dept'!$AS$91:$AS$99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255" l="0.70000000000000062" r="0.70000000000000062" t="0.75000000000000255"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Dept'!$B$91:$B$99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Dept'!$C$91:$C$99</c:f>
              <c:numCache>
                <c:formatCode>_("$"\ * #,##0_);_("$"\ * \(#,##0\);_("$"\ * "-"??_);_(@_)</c:formatCode>
                <c:ptCount val="9"/>
                <c:pt idx="0">
                  <c:v>95842645.673427716</c:v>
                </c:pt>
                <c:pt idx="1">
                  <c:v>57597450.630413651</c:v>
                </c:pt>
                <c:pt idx="2">
                  <c:v>12915880.189277597</c:v>
                </c:pt>
                <c:pt idx="3">
                  <c:v>8008406.0621285765</c:v>
                </c:pt>
                <c:pt idx="4">
                  <c:v>4542323.8864097614</c:v>
                </c:pt>
                <c:pt idx="5">
                  <c:v>2430740.5020250636</c:v>
                </c:pt>
                <c:pt idx="6">
                  <c:v>1684359.9354836913</c:v>
                </c:pt>
                <c:pt idx="7">
                  <c:v>705779.40864534152</c:v>
                </c:pt>
                <c:pt idx="8">
                  <c:v>396109.67060414533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63E-2"/>
        </c:manualLayout>
      </c:layout>
      <c:overlay val="0"/>
    </c:title>
    <c:autoTitleDeleted val="0"/>
    <c:plotArea>
      <c:layout>
        <c:manualLayout>
          <c:layoutTarget val="inner"/>
          <c:xMode val="edge"/>
          <c:yMode val="edge"/>
          <c:x val="3.2103934202585872E-2"/>
          <c:y val="0.21428799705782403"/>
          <c:w val="0.94230554221151663"/>
          <c:h val="0.74644421368545499"/>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Dept'!$CV$91:$CV$99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Dept'!$CW$91:$CW$99</c:f>
              <c:numCache>
                <c:formatCode>_("$"\ * #,##0_);_("$"\ * \(#,##0\);_("$"\ * "-"??_);_(@_)</c:formatCode>
                <c:ptCount val="9"/>
                <c:pt idx="0">
                  <c:v>177993484.82208008</c:v>
                </c:pt>
                <c:pt idx="1">
                  <c:v>106966694.02791107</c:v>
                </c:pt>
                <c:pt idx="2">
                  <c:v>41546475.380593829</c:v>
                </c:pt>
                <c:pt idx="3">
                  <c:v>26120532.3384468</c:v>
                </c:pt>
                <c:pt idx="4">
                  <c:v>9186204.5968159214</c:v>
                </c:pt>
                <c:pt idx="5">
                  <c:v>4514232.3609036896</c:v>
                </c:pt>
                <c:pt idx="6">
                  <c:v>3406378.6222568471</c:v>
                </c:pt>
                <c:pt idx="7">
                  <c:v>1427338.5628518763</c:v>
                </c:pt>
                <c:pt idx="8">
                  <c:v>801075.52168039954</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233" l="0.70000000000000062" r="0.70000000000000062" t="0.7500000000000023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multiLvlStrRef>
              <c:f>'Res de Costos X Dept'!$AR$91:$AR$99</c:f>
            </c:multiLvlStrRef>
          </c:cat>
          <c:val>
            <c:numRef>
              <c:f>'Res de Costos X Dept'!$AS$91:$AS$99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Dept'!$BF$91:$BF$99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Dept'!$BG$91:$BG$99</c:f>
              <c:numCache>
                <c:formatCode>_("$"\ * #,##0_);_("$"\ * \(#,##0\);_("$"\ * "-"??_);_(@_)</c:formatCode>
                <c:ptCount val="9"/>
                <c:pt idx="0">
                  <c:v>246452517.44595701</c:v>
                </c:pt>
                <c:pt idx="1">
                  <c:v>148107730.19249225</c:v>
                </c:pt>
                <c:pt idx="2">
                  <c:v>32644011.187729217</c:v>
                </c:pt>
                <c:pt idx="3">
                  <c:v>13489892.208165955</c:v>
                </c:pt>
                <c:pt idx="4">
                  <c:v>11480415.549948163</c:v>
                </c:pt>
                <c:pt idx="5">
                  <c:v>6250475.5766358785</c:v>
                </c:pt>
                <c:pt idx="6">
                  <c:v>4257105.4989917669</c:v>
                </c:pt>
                <c:pt idx="7">
                  <c:v>1783809.587442145</c:v>
                </c:pt>
                <c:pt idx="8">
                  <c:v>1001140.3272000066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multiLvlStrRef>
              <c:f>'Res de Costos X Dept'!$BT$91:$BT$99</c:f>
            </c:multiLvlStrRef>
          </c:cat>
          <c:val>
            <c:numRef>
              <c:f>'Res de Costos X Dept'!$BU$91:$BU$99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Dept'!$CH$91:$CH$99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Dept'!$CI$91:$CI$99</c:f>
              <c:numCache>
                <c:formatCode>_("$"\ * #,##0_);_("$"\ * \(#,##0\);_("$"\ * "-"??_);_(@_)</c:formatCode>
                <c:ptCount val="9"/>
                <c:pt idx="0">
                  <c:v>13691806.524775388</c:v>
                </c:pt>
                <c:pt idx="1">
                  <c:v>8228207.2329162359</c:v>
                </c:pt>
                <c:pt idx="2">
                  <c:v>1810497.4700509501</c:v>
                </c:pt>
                <c:pt idx="3">
                  <c:v>711204.61794525094</c:v>
                </c:pt>
                <c:pt idx="4">
                  <c:v>636725.1618921099</c:v>
                </c:pt>
                <c:pt idx="5">
                  <c:v>347248.64314643765</c:v>
                </c:pt>
                <c:pt idx="6">
                  <c:v>236106.97506934439</c:v>
                </c:pt>
                <c:pt idx="7">
                  <c:v>98933.391688415504</c:v>
                </c:pt>
                <c:pt idx="8">
                  <c:v>55525.101346703632</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Dept'!$CV$91:$CV$99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Dept'!$CW$91:$CW$99</c:f>
              <c:numCache>
                <c:formatCode>_("$"\ * #,##0_);_("$"\ * \(#,##0\);_("$"\ * "-"??_);_(@_)</c:formatCode>
                <c:ptCount val="9"/>
                <c:pt idx="0">
                  <c:v>177993484.82208008</c:v>
                </c:pt>
                <c:pt idx="1">
                  <c:v>106966694.02791107</c:v>
                </c:pt>
                <c:pt idx="2">
                  <c:v>41546475.380593829</c:v>
                </c:pt>
                <c:pt idx="3">
                  <c:v>26120532.3384468</c:v>
                </c:pt>
                <c:pt idx="4">
                  <c:v>9186204.5968159214</c:v>
                </c:pt>
                <c:pt idx="5">
                  <c:v>4514232.3609036896</c:v>
                </c:pt>
                <c:pt idx="6">
                  <c:v>3406378.6222568471</c:v>
                </c:pt>
                <c:pt idx="7">
                  <c:v>1427338.5628518763</c:v>
                </c:pt>
                <c:pt idx="8">
                  <c:v>801075.52168039954</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Dept'!$DJ$91:$DJ$99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Dept'!$DK$91:$DK$99</c:f>
              <c:numCache>
                <c:formatCode>_("$"\ * #,##0_);_("$"\ * \(#,##0\);_("$"\ * "-"??_);_(@_)</c:formatCode>
                <c:ptCount val="9"/>
                <c:pt idx="0">
                  <c:v>13691806.524775388</c:v>
                </c:pt>
                <c:pt idx="1">
                  <c:v>8228207.2329162359</c:v>
                </c:pt>
                <c:pt idx="2">
                  <c:v>3601045.5449468596</c:v>
                </c:pt>
                <c:pt idx="3">
                  <c:v>2041684.7442110789</c:v>
                </c:pt>
                <c:pt idx="4">
                  <c:v>718030.30426431191</c:v>
                </c:pt>
                <c:pt idx="5">
                  <c:v>347248.64314643765</c:v>
                </c:pt>
                <c:pt idx="6">
                  <c:v>266256.10749256681</c:v>
                </c:pt>
                <c:pt idx="7">
                  <c:v>111566.4616187576</c:v>
                </c:pt>
                <c:pt idx="8">
                  <c:v>62615.250347269786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Dept'!$DX$91:$DX$99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Dept'!$DY$91:$DY$99</c:f>
              <c:numCache>
                <c:formatCode>_("$"\ * #,##0_);_("$"\ * \(#,##0\);_("$"\ * "-"??_);_(@_)</c:formatCode>
                <c:ptCount val="9"/>
                <c:pt idx="0">
                  <c:v>68459032.623876944</c:v>
                </c:pt>
                <c:pt idx="1">
                  <c:v>41141036.16458118</c:v>
                </c:pt>
                <c:pt idx="2">
                  <c:v>10430196.833358629</c:v>
                </c:pt>
                <c:pt idx="3">
                  <c:v>9602421.249745341</c:v>
                </c:pt>
                <c:pt idx="4">
                  <c:v>3377029.4219899019</c:v>
                </c:pt>
                <c:pt idx="5">
                  <c:v>1736243.2157321884</c:v>
                </c:pt>
                <c:pt idx="6">
                  <c:v>1252251.75517929</c:v>
                </c:pt>
                <c:pt idx="7">
                  <c:v>524717.71895460621</c:v>
                </c:pt>
                <c:pt idx="8">
                  <c:v>294491.11191016814</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Dept'!$EL$91:$EL$99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Dept'!$EM$91:$EM$99</c:f>
              <c:numCache>
                <c:formatCode>_("$"\ * #,##0_);_("$"\ * \(#,##0\);_("$"\ * "-"??_);_(@_)</c:formatCode>
                <c:ptCount val="9"/>
                <c:pt idx="0">
                  <c:v>123226258.7229785</c:v>
                </c:pt>
                <c:pt idx="1">
                  <c:v>74053865.096246123</c:v>
                </c:pt>
                <c:pt idx="2">
                  <c:v>16322005.593864609</c:v>
                </c:pt>
                <c:pt idx="3">
                  <c:v>6744946.1040829774</c:v>
                </c:pt>
                <c:pt idx="4">
                  <c:v>5740207.7749740817</c:v>
                </c:pt>
                <c:pt idx="5">
                  <c:v>3125237.7883179393</c:v>
                </c:pt>
                <c:pt idx="6">
                  <c:v>2128552.7494958835</c:v>
                </c:pt>
                <c:pt idx="7">
                  <c:v>891904.79372107249</c:v>
                </c:pt>
                <c:pt idx="8">
                  <c:v>500570.16360000329</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multiLvlStrRef>
              <c:f>'Res de Costos X Dept'!$EZ$91:$EZ$99</c:f>
            </c:multiLvlStrRef>
          </c:cat>
          <c:val>
            <c:numRef>
              <c:f>'Res de Costos X Dept'!$FA$91:$FA$99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Dept'!$FN$91:$FN$99</c:f>
              <c:strCache>
                <c:ptCount val="9"/>
                <c:pt idx="0">
                  <c:v>Transporte</c:v>
                </c:pt>
                <c:pt idx="1">
                  <c:v>Otros costos</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Dept'!$FO$91:$FO$99</c:f>
              <c:numCache>
                <c:formatCode>_("$"\ * #,##0_);_("$"\ * \(#,##0\);_("$"\ * "-"??_);_(@_)</c:formatCode>
                <c:ptCount val="9"/>
                <c:pt idx="0">
                  <c:v>137320683.51493233</c:v>
                </c:pt>
                <c:pt idx="1">
                  <c:v>88996742.411040038</c:v>
                </c:pt>
                <c:pt idx="2">
                  <c:v>53483347.013955534</c:v>
                </c:pt>
                <c:pt idx="3">
                  <c:v>22384061.835194234</c:v>
                </c:pt>
                <c:pt idx="4">
                  <c:v>7872143.2266988829</c:v>
                </c:pt>
                <c:pt idx="5">
                  <c:v>2919105.5039276802</c:v>
                </c:pt>
                <c:pt idx="6">
                  <c:v>2257116.1804518448</c:v>
                </c:pt>
                <c:pt idx="7">
                  <c:v>1223161.696578711</c:v>
                </c:pt>
                <c:pt idx="8">
                  <c:v>686483.86562786228</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7E-2"/>
        </c:manualLayout>
      </c:layout>
      <c:overlay val="0"/>
    </c:title>
    <c:autoTitleDeleted val="0"/>
    <c:plotArea>
      <c:layout>
        <c:manualLayout>
          <c:layoutTarget val="inner"/>
          <c:xMode val="edge"/>
          <c:yMode val="edge"/>
          <c:x val="3.2103934202585872E-2"/>
          <c:y val="0.21428799705782414"/>
          <c:w val="0.94230554221151663"/>
          <c:h val="0.74644421368545544"/>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Dept'!$DJ$91:$DJ$99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Dept'!$DK$91:$DK$99</c:f>
              <c:numCache>
                <c:formatCode>_("$"\ * #,##0_);_("$"\ * \(#,##0\);_("$"\ * "-"??_);_(@_)</c:formatCode>
                <c:ptCount val="9"/>
                <c:pt idx="0">
                  <c:v>13691806.524775388</c:v>
                </c:pt>
                <c:pt idx="1">
                  <c:v>8228207.2329162359</c:v>
                </c:pt>
                <c:pt idx="2">
                  <c:v>3601045.5449468596</c:v>
                </c:pt>
                <c:pt idx="3">
                  <c:v>2041684.7442110789</c:v>
                </c:pt>
                <c:pt idx="4">
                  <c:v>718030.30426431191</c:v>
                </c:pt>
                <c:pt idx="5">
                  <c:v>347248.64314643765</c:v>
                </c:pt>
                <c:pt idx="6">
                  <c:v>266256.10749256681</c:v>
                </c:pt>
                <c:pt idx="7">
                  <c:v>111566.4616187576</c:v>
                </c:pt>
                <c:pt idx="8">
                  <c:v>62615.250347269786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255" l="0.70000000000000062" r="0.70000000000000062" t="0.7500000000000025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Dept'!$GB$91:$GB$99</c:f>
              <c:strCache>
                <c:ptCount val="9"/>
                <c:pt idx="0">
                  <c:v>Otros costos</c:v>
                </c:pt>
                <c:pt idx="1">
                  <c:v>Talento humano</c:v>
                </c:pt>
                <c:pt idx="2">
                  <c:v>Administración</c:v>
                </c:pt>
                <c:pt idx="3">
                  <c:v>Actividad de Cierre</c:v>
                </c:pt>
                <c:pt idx="4">
                  <c:v>Costos RR.HH Etapa Alistamiento</c:v>
                </c:pt>
                <c:pt idx="5">
                  <c:v>Impuestos </c:v>
                </c:pt>
                <c:pt idx="6">
                  <c:v>Transporte</c:v>
                </c:pt>
                <c:pt idx="7">
                  <c:v>GMF</c:v>
                </c:pt>
                <c:pt idx="8">
                  <c:v>Polizas</c:v>
                </c:pt>
              </c:strCache>
            </c:strRef>
          </c:cat>
          <c:val>
            <c:numRef>
              <c:f>'Res de Costos X Dept'!$GC$91:$GC$99</c:f>
              <c:numCache>
                <c:formatCode>_("$"\ * #,##0_);_("$"\ * \(#,##0\);_("$"\ * "-"??_);_(@_)</c:formatCode>
                <c:ptCount val="9"/>
                <c:pt idx="0">
                  <c:v>82150839.148652315</c:v>
                </c:pt>
                <c:pt idx="1">
                  <c:v>49369243.397497408</c:v>
                </c:pt>
                <c:pt idx="2">
                  <c:v>10576687.429408085</c:v>
                </c:pt>
                <c:pt idx="3">
                  <c:v>3719664.4166437807</c:v>
                </c:pt>
                <c:pt idx="4">
                  <c:v>2083491.8588786258</c:v>
                </c:pt>
                <c:pt idx="5">
                  <c:v>1379305.8076691083</c:v>
                </c:pt>
                <c:pt idx="6">
                  <c:v>688510.32145132835</c:v>
                </c:pt>
                <c:pt idx="7">
                  <c:v>577955.82569365518</c:v>
                </c:pt>
                <c:pt idx="8">
                  <c:v>324370.31873552612</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multiLvlStrRef>
              <c:f>'Res de Costos X Dept'!$GP$91:$GP$99</c:f>
            </c:multiLvlStrRef>
          </c:cat>
          <c:val>
            <c:numRef>
              <c:f>'Res de Costos X Dept'!$GQ$91:$GQ$99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Dept'!$HD$91:$HD$99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Dept'!$HE$91:$HE$99</c:f>
              <c:numCache>
                <c:formatCode>_("$"\ * #,##0_);_("$"\ * \(#,##0\);_("$"\ * "-"??_);_(@_)</c:formatCode>
                <c:ptCount val="9"/>
                <c:pt idx="0">
                  <c:v>41075419.574326158</c:v>
                </c:pt>
                <c:pt idx="1">
                  <c:v>24684621.698748704</c:v>
                </c:pt>
                <c:pt idx="2">
                  <c:v>5440668.5312882019</c:v>
                </c:pt>
                <c:pt idx="3">
                  <c:v>2248315.3680276591</c:v>
                </c:pt>
                <c:pt idx="4">
                  <c:v>1913402.5916580269</c:v>
                </c:pt>
                <c:pt idx="5">
                  <c:v>1041745.9294393129</c:v>
                </c:pt>
                <c:pt idx="6">
                  <c:v>709517.58316529449</c:v>
                </c:pt>
                <c:pt idx="7">
                  <c:v>297301.59790702409</c:v>
                </c:pt>
                <c:pt idx="8">
                  <c:v>166856.72120000105</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Dept'!$HR$91:$HR$99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Dept'!$HS$91:$HS$99</c:f>
              <c:numCache>
                <c:formatCode>_("$"\ * #,##0_);_("$"\ * \(#,##0\);_("$"\ * "-"??_);_(@_)</c:formatCode>
                <c:ptCount val="9"/>
                <c:pt idx="0">
                  <c:v>150609871.77252927</c:v>
                </c:pt>
                <c:pt idx="1">
                  <c:v>90510279.562078595</c:v>
                </c:pt>
                <c:pt idx="2">
                  <c:v>20754458.520219255</c:v>
                </c:pt>
                <c:pt idx="3">
                  <c:v>18310580.168132819</c:v>
                </c:pt>
                <c:pt idx="4">
                  <c:v>7299035.861617526</c:v>
                </c:pt>
                <c:pt idx="5">
                  <c:v>3819735.074610814</c:v>
                </c:pt>
                <c:pt idx="6">
                  <c:v>2706588.9356217929</c:v>
                </c:pt>
                <c:pt idx="7">
                  <c:v>1134113.1418449543</c:v>
                </c:pt>
                <c:pt idx="8">
                  <c:v>636506.50265680894</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Dept'!$B$91:$B$99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Dept'!$C$91:$C$99</c:f>
              <c:numCache>
                <c:formatCode>_("$"\ * #,##0_);_("$"\ * \(#,##0\);_("$"\ * "-"??_);_(@_)</c:formatCode>
                <c:ptCount val="9"/>
                <c:pt idx="0">
                  <c:v>95842645.673427716</c:v>
                </c:pt>
                <c:pt idx="1">
                  <c:v>57597450.630413651</c:v>
                </c:pt>
                <c:pt idx="2">
                  <c:v>12915880.189277597</c:v>
                </c:pt>
                <c:pt idx="3">
                  <c:v>8008406.0621285765</c:v>
                </c:pt>
                <c:pt idx="4">
                  <c:v>4542323.8864097614</c:v>
                </c:pt>
                <c:pt idx="5">
                  <c:v>2430740.5020250636</c:v>
                </c:pt>
                <c:pt idx="6">
                  <c:v>1684359.9354836913</c:v>
                </c:pt>
                <c:pt idx="7">
                  <c:v>705779.40864534152</c:v>
                </c:pt>
                <c:pt idx="8">
                  <c:v>396109.67060414533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Dept'!$B$91:$B$99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Dept'!$C$91:$C$99</c:f>
              <c:numCache>
                <c:formatCode>_("$"\ * #,##0_);_("$"\ * \(#,##0\);_("$"\ * "-"??_);_(@_)</c:formatCode>
                <c:ptCount val="9"/>
                <c:pt idx="0">
                  <c:v>95842645.673427716</c:v>
                </c:pt>
                <c:pt idx="1">
                  <c:v>57597450.630413651</c:v>
                </c:pt>
                <c:pt idx="2">
                  <c:v>12915880.189277597</c:v>
                </c:pt>
                <c:pt idx="3">
                  <c:v>8008406.0621285765</c:v>
                </c:pt>
                <c:pt idx="4">
                  <c:v>4542323.8864097614</c:v>
                </c:pt>
                <c:pt idx="5">
                  <c:v>2430740.5020250636</c:v>
                </c:pt>
                <c:pt idx="6">
                  <c:v>1684359.9354836913</c:v>
                </c:pt>
                <c:pt idx="7">
                  <c:v>705779.40864534152</c:v>
                </c:pt>
                <c:pt idx="8">
                  <c:v>396109.67060414533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Dept'!$JH$91:$JH$99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Dept'!$JI$91:$JI$99</c:f>
              <c:numCache>
                <c:formatCode>_("$"\ * #,##0_);_("$"\ * \(#,##0\);_("$"\ * "-"??_);_(@_)</c:formatCode>
                <c:ptCount val="9"/>
                <c:pt idx="0">
                  <c:v>205377097.87163082</c:v>
                </c:pt>
                <c:pt idx="1">
                  <c:v>123423108.49374352</c:v>
                </c:pt>
                <c:pt idx="2">
                  <c:v>47383560.5215462</c:v>
                </c:pt>
                <c:pt idx="3">
                  <c:v>30094701.350953646</c:v>
                </c:pt>
                <c:pt idx="4">
                  <c:v>10583861.014310842</c:v>
                </c:pt>
                <c:pt idx="5">
                  <c:v>5208729.6471965648</c:v>
                </c:pt>
                <c:pt idx="6">
                  <c:v>3924650.0031778649</c:v>
                </c:pt>
                <c:pt idx="7">
                  <c:v>1644504.3010283778</c:v>
                </c:pt>
                <c:pt idx="8">
                  <c:v>922957.01604236721</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Dept'!$JV$91:$JV$99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Dept'!$JW$91:$JW$99</c:f>
              <c:numCache>
                <c:formatCode>_("$"\ * #,##0_);_("$"\ * \(#,##0\);_("$"\ * "-"??_);_(@_)</c:formatCode>
                <c:ptCount val="9"/>
                <c:pt idx="0">
                  <c:v>88996742.411040038</c:v>
                </c:pt>
                <c:pt idx="1">
                  <c:v>53483347.013955534</c:v>
                </c:pt>
                <c:pt idx="2">
                  <c:v>12375325.111725476</c:v>
                </c:pt>
                <c:pt idx="3">
                  <c:v>12211474.471572882</c:v>
                </c:pt>
                <c:pt idx="4">
                  <c:v>4352218.6667342614</c:v>
                </c:pt>
                <c:pt idx="5">
                  <c:v>2257116.1804518448</c:v>
                </c:pt>
                <c:pt idx="6">
                  <c:v>1613866.1478201193</c:v>
                </c:pt>
                <c:pt idx="7">
                  <c:v>676241.14742086129</c:v>
                </c:pt>
                <c:pt idx="8">
                  <c:v>379531.69910125661</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multiLvlStrRef>
              <c:f>'Res de Costos X Dept'!$KJ$91:$KJ$99</c:f>
            </c:multiLvlStrRef>
          </c:cat>
          <c:val>
            <c:numRef>
              <c:f>'Res de Costos X Dept'!$KK$91:$KK$99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multiLvlStrRef>
              <c:f>'Res de Costos X Dept'!$KX$91:$KX$99</c:f>
            </c:multiLvlStrRef>
          </c:cat>
          <c:val>
            <c:numRef>
              <c:f>'Res de Costos X Dept'!$KY$91:$KY$99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8E-2"/>
        </c:manualLayout>
      </c:layout>
      <c:overlay val="0"/>
    </c:title>
    <c:autoTitleDeleted val="0"/>
    <c:plotArea>
      <c:layout>
        <c:manualLayout>
          <c:layoutTarget val="inner"/>
          <c:xMode val="edge"/>
          <c:yMode val="edge"/>
          <c:x val="3.2103934202585872E-2"/>
          <c:y val="0.21428799705782425"/>
          <c:w val="0.94230554221151663"/>
          <c:h val="0.74644421368545588"/>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Dept'!$DX$91:$DX$99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Dept'!$DY$91:$DY$99</c:f>
              <c:numCache>
                <c:formatCode>_("$"\ * #,##0_);_("$"\ * \(#,##0\);_("$"\ * "-"??_);_(@_)</c:formatCode>
                <c:ptCount val="9"/>
                <c:pt idx="0">
                  <c:v>68459032.623876944</c:v>
                </c:pt>
                <c:pt idx="1">
                  <c:v>41141036.16458118</c:v>
                </c:pt>
                <c:pt idx="2">
                  <c:v>10430196.833358629</c:v>
                </c:pt>
                <c:pt idx="3">
                  <c:v>9602421.249745341</c:v>
                </c:pt>
                <c:pt idx="4">
                  <c:v>3377029.4219899019</c:v>
                </c:pt>
                <c:pt idx="5">
                  <c:v>1736243.2157321884</c:v>
                </c:pt>
                <c:pt idx="6">
                  <c:v>1252251.75517929</c:v>
                </c:pt>
                <c:pt idx="7">
                  <c:v>524717.71895460621</c:v>
                </c:pt>
                <c:pt idx="8">
                  <c:v>294491.11191016814</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278" l="0.70000000000000062" r="0.70000000000000062" t="0.75000000000000278"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multiLvlStrRef>
              <c:f>'Res de Costos X Dept'!$LL$91:$LL$99</c:f>
            </c:multiLvlStrRef>
          </c:cat>
          <c:val>
            <c:numRef>
              <c:f>'Res de Costos X Dept'!$LM$91:$LM$99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Dept'!$LZ$91:$LZ$99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Dept'!$MA$91:$MA$99</c:f>
              <c:numCache>
                <c:formatCode>_("$"\ * #,##0_);_("$"\ * \(#,##0\);_("$"\ * "-"??_);_(@_)</c:formatCode>
                <c:ptCount val="9"/>
                <c:pt idx="0">
                  <c:v>61613129.361489251</c:v>
                </c:pt>
                <c:pt idx="1">
                  <c:v>37026932.548123062</c:v>
                </c:pt>
                <c:pt idx="2">
                  <c:v>9387177.1500227675</c:v>
                </c:pt>
                <c:pt idx="3">
                  <c:v>8642179.1247708052</c:v>
                </c:pt>
                <c:pt idx="4">
                  <c:v>3039326.4797909106</c:v>
                </c:pt>
                <c:pt idx="5">
                  <c:v>1562618.8941589696</c:v>
                </c:pt>
                <c:pt idx="6">
                  <c:v>1127026.5796613607</c:v>
                </c:pt>
                <c:pt idx="7">
                  <c:v>472245.94705914555</c:v>
                </c:pt>
                <c:pt idx="8">
                  <c:v>265042.00071915123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Dept'!$MN$91:$MN$99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Dept'!$MO$91:$MO$99</c:f>
              <c:numCache>
                <c:formatCode>_("$"\ * #,##0_);_("$"\ * \(#,##0\);_("$"\ * "-"??_);_(@_)</c:formatCode>
                <c:ptCount val="9"/>
                <c:pt idx="0">
                  <c:v>82150839.148652315</c:v>
                </c:pt>
                <c:pt idx="1">
                  <c:v>49369243.397497408</c:v>
                </c:pt>
                <c:pt idx="2">
                  <c:v>11251774.292167811</c:v>
                </c:pt>
                <c:pt idx="3">
                  <c:v>9127096.1059479229</c:v>
                </c:pt>
                <c:pt idx="4">
                  <c:v>3957082.4738862603</c:v>
                </c:pt>
                <c:pt idx="5">
                  <c:v>2083491.8588786258</c:v>
                </c:pt>
                <c:pt idx="6">
                  <c:v>1467343.8854416043</c:v>
                </c:pt>
                <c:pt idx="7">
                  <c:v>614845.48399029556</c:v>
                </c:pt>
                <c:pt idx="8">
                  <c:v>345074.1678668409</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Dept'!$NB$91:$NB$99</c:f>
              <c:strCache>
                <c:ptCount val="9"/>
                <c:pt idx="0">
                  <c:v>Otros costos</c:v>
                </c:pt>
                <c:pt idx="1">
                  <c:v>Talento humano</c:v>
                </c:pt>
                <c:pt idx="2">
                  <c:v>Administración</c:v>
                </c:pt>
                <c:pt idx="3">
                  <c:v>Actividad de Cierre</c:v>
                </c:pt>
                <c:pt idx="4">
                  <c:v>Transporte</c:v>
                </c:pt>
                <c:pt idx="5">
                  <c:v>Costos RR.HH Etapa Alistamiento</c:v>
                </c:pt>
                <c:pt idx="6">
                  <c:v>Impuestos </c:v>
                </c:pt>
                <c:pt idx="7">
                  <c:v>GMF</c:v>
                </c:pt>
                <c:pt idx="8">
                  <c:v>Polizas</c:v>
                </c:pt>
              </c:strCache>
            </c:strRef>
          </c:cat>
          <c:val>
            <c:numRef>
              <c:f>'Res de Costos X Dept'!$NC$91:$NC$99</c:f>
              <c:numCache>
                <c:formatCode>_("$"\ * #,##0_);_("$"\ * \(#,##0\);_("$"\ * "-"??_);_(@_)</c:formatCode>
                <c:ptCount val="9"/>
                <c:pt idx="0">
                  <c:v>95842645.673427716</c:v>
                </c:pt>
                <c:pt idx="1">
                  <c:v>57597450.630413651</c:v>
                </c:pt>
                <c:pt idx="2">
                  <c:v>12489683.348174309</c:v>
                </c:pt>
                <c:pt idx="3">
                  <c:v>4392436.7658043085</c:v>
                </c:pt>
                <c:pt idx="4">
                  <c:v>2680945.548337521</c:v>
                </c:pt>
                <c:pt idx="5">
                  <c:v>2430740.5020250636</c:v>
                </c:pt>
                <c:pt idx="6">
                  <c:v>1628779.6054354117</c:v>
                </c:pt>
                <c:pt idx="7">
                  <c:v>682490.17476640642</c:v>
                </c:pt>
                <c:pt idx="8">
                  <c:v>383038.88581302436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Dept'!$NP$91:$NP$99</c:f>
              <c:strCache>
                <c:ptCount val="9"/>
                <c:pt idx="0">
                  <c:v>Transporte</c:v>
                </c:pt>
                <c:pt idx="1">
                  <c:v>Otros costos</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Dept'!$NQ$91:$NQ$99</c:f>
              <c:numCache>
                <c:formatCode>_("$"\ * #,##0_);_("$"\ * \(#,##0\);_("$"\ * "-"??_);_(@_)</c:formatCode>
                <c:ptCount val="9"/>
                <c:pt idx="0">
                  <c:v>191654699.84239793</c:v>
                </c:pt>
                <c:pt idx="1">
                  <c:v>109534452.1982031</c:v>
                </c:pt>
                <c:pt idx="2">
                  <c:v>65825657.863329887</c:v>
                </c:pt>
                <c:pt idx="3">
                  <c:v>29361184.792314474</c:v>
                </c:pt>
                <c:pt idx="4">
                  <c:v>10325894.097882656</c:v>
                </c:pt>
                <c:pt idx="5">
                  <c:v>3828992.1087657302</c:v>
                </c:pt>
                <c:pt idx="6">
                  <c:v>2777989.1451715012</c:v>
                </c:pt>
                <c:pt idx="7">
                  <c:v>1604421.7921012896</c:v>
                </c:pt>
                <c:pt idx="8">
                  <c:v>900461.22031127498</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Dept'!$OD$91:$OD$99</c:f>
              <c:strCache>
                <c:ptCount val="9"/>
                <c:pt idx="0">
                  <c:v>Otros costos</c:v>
                </c:pt>
                <c:pt idx="1">
                  <c:v>Transporte</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Dept'!$OE$91:$OE$99</c:f>
              <c:numCache>
                <c:formatCode>_("$"\ * #,##0_);_("$"\ * \(#,##0\);_("$"\ * "-"??_);_(@_)</c:formatCode>
                <c:ptCount val="9"/>
                <c:pt idx="0">
                  <c:v>27383613.049550775</c:v>
                </c:pt>
                <c:pt idx="1">
                  <c:v>22905500.783534497</c:v>
                </c:pt>
                <c:pt idx="2">
                  <c:v>16456414.465832472</c:v>
                </c:pt>
                <c:pt idx="3">
                  <c:v>5339642.2639134191</c:v>
                </c:pt>
                <c:pt idx="4">
                  <c:v>1877873.1487763671</c:v>
                </c:pt>
                <c:pt idx="5">
                  <c:v>696342.74763694906</c:v>
                </c:pt>
                <c:pt idx="6">
                  <c:v>694497.2862928753</c:v>
                </c:pt>
                <c:pt idx="7">
                  <c:v>291781.08686166664</c:v>
                </c:pt>
                <c:pt idx="8">
                  <c:v>163758.40494855327</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Dept'!$OR$91:$OR$99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Dept'!$OS$91:$OS$99</c:f>
              <c:numCache>
                <c:formatCode>_("$"\ * #,##0_);_("$"\ * \(#,##0\);_("$"\ * "-"??_);_(@_)</c:formatCode>
                <c:ptCount val="9"/>
                <c:pt idx="0">
                  <c:v>136918065.24775389</c:v>
                </c:pt>
                <c:pt idx="1">
                  <c:v>82282072.329162359</c:v>
                </c:pt>
                <c:pt idx="2">
                  <c:v>44691660.792104073</c:v>
                </c:pt>
                <c:pt idx="3">
                  <c:v>21111343.869521625</c:v>
                </c:pt>
                <c:pt idx="4">
                  <c:v>7424547.1564800804</c:v>
                </c:pt>
                <c:pt idx="5">
                  <c:v>3472486.4314643769</c:v>
                </c:pt>
                <c:pt idx="6">
                  <c:v>2753130.3540243153</c:v>
                </c:pt>
                <c:pt idx="7">
                  <c:v>1153614.8968235981</c:v>
                </c:pt>
                <c:pt idx="8">
                  <c:v>647451.61333327414</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multiLvlStrRef>
              <c:f>'Res de Costos X Dept'!$PF$91:$PF$99</c:f>
            </c:multiLvlStrRef>
          </c:cat>
          <c:val>
            <c:numRef>
              <c:f>'Res de Costos X Dept'!$PG$91:$PG$99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multiLvlStrRef>
              <c:f>'Res de Costos X Dept'!$PT$91:$PT$99</c:f>
            </c:multiLvlStrRef>
          </c:cat>
          <c:val>
            <c:numRef>
              <c:f>'Res de Costos X Dept'!$PU$91:$PU$99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multiLvlStrRef>
              <c:f>'Res de Costos X Dept'!$QH$91:$QH$99</c:f>
            </c:multiLvlStrRef>
          </c:cat>
          <c:val>
            <c:numRef>
              <c:f>'Res de Costos X Dept'!$QI$91:$QI$99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87E-2"/>
        </c:manualLayout>
      </c:layout>
      <c:overlay val="0"/>
    </c:title>
    <c:autoTitleDeleted val="0"/>
    <c:plotArea>
      <c:layout>
        <c:manualLayout>
          <c:layoutTarget val="inner"/>
          <c:xMode val="edge"/>
          <c:yMode val="edge"/>
          <c:x val="3.2103934202585872E-2"/>
          <c:y val="0.21428799705782436"/>
          <c:w val="0.94230554221151663"/>
          <c:h val="0.74644421368545633"/>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Dept'!$EL$91:$EL$99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Dept'!$EM$91:$EM$99</c:f>
              <c:numCache>
                <c:formatCode>_("$"\ * #,##0_);_("$"\ * \(#,##0\);_("$"\ * "-"??_);_(@_)</c:formatCode>
                <c:ptCount val="9"/>
                <c:pt idx="0">
                  <c:v>123226258.7229785</c:v>
                </c:pt>
                <c:pt idx="1">
                  <c:v>74053865.096246123</c:v>
                </c:pt>
                <c:pt idx="2">
                  <c:v>16322005.593864609</c:v>
                </c:pt>
                <c:pt idx="3">
                  <c:v>6744946.1040829774</c:v>
                </c:pt>
                <c:pt idx="4">
                  <c:v>5740207.7749740817</c:v>
                </c:pt>
                <c:pt idx="5">
                  <c:v>3125237.7883179393</c:v>
                </c:pt>
                <c:pt idx="6">
                  <c:v>2128552.7494958835</c:v>
                </c:pt>
                <c:pt idx="7">
                  <c:v>891904.79372107249</c:v>
                </c:pt>
                <c:pt idx="8">
                  <c:v>500570.16360000329</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3" l="0.70000000000000062" r="0.70000000000000062" t="0.750000000000003"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Dept'!$QV$91:$QV$99</c:f>
              <c:strCache>
                <c:ptCount val="9"/>
                <c:pt idx="0">
                  <c:v>Transporte</c:v>
                </c:pt>
                <c:pt idx="1">
                  <c:v>Otros costos</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Dept'!$QW$91:$QW$99</c:f>
              <c:numCache>
                <c:formatCode>_("$"\ * #,##0_);_("$"\ * \(#,##0\);_("$"\ * "-"??_);_(@_)</c:formatCode>
                <c:ptCount val="9"/>
                <c:pt idx="0">
                  <c:v>143741024.88179845</c:v>
                </c:pt>
                <c:pt idx="1">
                  <c:v>82150839.148652315</c:v>
                </c:pt>
                <c:pt idx="2">
                  <c:v>49369243.397497408</c:v>
                </c:pt>
                <c:pt idx="3">
                  <c:v>22020888.594235856</c:v>
                </c:pt>
                <c:pt idx="4">
                  <c:v>7744420.5734119946</c:v>
                </c:pt>
                <c:pt idx="5">
                  <c:v>2871744.0815742975</c:v>
                </c:pt>
                <c:pt idx="6">
                  <c:v>2083491.8588786258</c:v>
                </c:pt>
                <c:pt idx="7">
                  <c:v>1203316.3440759671</c:v>
                </c:pt>
                <c:pt idx="8">
                  <c:v>675345.9152334563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Dept'!$RJ$91:$RJ$99</c:f>
              <c:strCache>
                <c:ptCount val="9"/>
                <c:pt idx="0">
                  <c:v>Transporte</c:v>
                </c:pt>
                <c:pt idx="1">
                  <c:v>Otros costos</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Dept'!$RK$91:$RK$99</c:f>
              <c:numCache>
                <c:formatCode>_("$"\ * #,##0_);_("$"\ * \(#,##0\);_("$"\ * "-"??_);_(@_)</c:formatCode>
                <c:ptCount val="9"/>
                <c:pt idx="0">
                  <c:v>30292532.027845331</c:v>
                </c:pt>
                <c:pt idx="1">
                  <c:v>13691806.524775388</c:v>
                </c:pt>
                <c:pt idx="2">
                  <c:v>8228207.2329162359</c:v>
                </c:pt>
                <c:pt idx="3">
                  <c:v>4177003.6628429564</c:v>
                </c:pt>
                <c:pt idx="4">
                  <c:v>1468990.3617334371</c:v>
                </c:pt>
                <c:pt idx="5">
                  <c:v>544723.04767134995</c:v>
                </c:pt>
                <c:pt idx="6">
                  <c:v>347248.64314643765</c:v>
                </c:pt>
                <c:pt idx="7">
                  <c:v>228249.4984366695</c:v>
                </c:pt>
                <c:pt idx="8">
                  <c:v>128102.11311611536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Dept'!$RX$91:$RX$99</c:f>
              <c:strCache>
                <c:ptCount val="9"/>
                <c:pt idx="0">
                  <c:v>Transporte</c:v>
                </c:pt>
                <c:pt idx="1">
                  <c:v>Otros costos</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Dept'!$RY$91:$RY$99</c:f>
              <c:numCache>
                <c:formatCode>_("$"\ * #,##0_);_("$"\ * \(#,##0\);_("$"\ * "-"??_);_(@_)</c:formatCode>
                <c:ptCount val="9"/>
                <c:pt idx="0">
                  <c:v>83848931.181049109</c:v>
                </c:pt>
                <c:pt idx="1">
                  <c:v>47921322.836713858</c:v>
                </c:pt>
                <c:pt idx="2">
                  <c:v>28798725.315206826</c:v>
                </c:pt>
                <c:pt idx="3">
                  <c:v>12845518.346637582</c:v>
                </c:pt>
                <c:pt idx="4">
                  <c:v>4517578.6678236639</c:v>
                </c:pt>
                <c:pt idx="5">
                  <c:v>1675184.047585007</c:v>
                </c:pt>
                <c:pt idx="6">
                  <c:v>1215370.2510125318</c:v>
                </c:pt>
                <c:pt idx="7">
                  <c:v>701934.53404431429</c:v>
                </c:pt>
                <c:pt idx="8">
                  <c:v>393951.78388618276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multiLvlStrRef>
              <c:f>'Res de Costos X Dept'!$SL$91:$SL$99</c:f>
            </c:multiLvlStrRef>
          </c:cat>
          <c:val>
            <c:numRef>
              <c:f>'Res de Costos X Dept'!$SM$91:$SM$99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Dept'!$B$91:$B$99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Dept'!$C$91:$C$99</c:f>
              <c:numCache>
                <c:formatCode>_("$"\ * #,##0_);_("$"\ * \(#,##0\);_("$"\ * "-"??_);_(@_)</c:formatCode>
                <c:ptCount val="9"/>
                <c:pt idx="0">
                  <c:v>95842645.673427716</c:v>
                </c:pt>
                <c:pt idx="1">
                  <c:v>57597450.630413651</c:v>
                </c:pt>
                <c:pt idx="2">
                  <c:v>12915880.189277597</c:v>
                </c:pt>
                <c:pt idx="3">
                  <c:v>8008406.0621285765</c:v>
                </c:pt>
                <c:pt idx="4">
                  <c:v>4542323.8864097614</c:v>
                </c:pt>
                <c:pt idx="5">
                  <c:v>2430740.5020250636</c:v>
                </c:pt>
                <c:pt idx="6">
                  <c:v>1684359.9354836913</c:v>
                </c:pt>
                <c:pt idx="7">
                  <c:v>705779.40864534152</c:v>
                </c:pt>
                <c:pt idx="8">
                  <c:v>396109.67060414533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2"/>
    </mc:Choice>
    <mc:Fallback>
      <c:style val="12"/>
    </mc:Fallback>
  </mc:AlternateContent>
  <c:chart>
    <c:title>
      <c:tx>
        <c:rich>
          <a:bodyPr/>
          <a:lstStyle/>
          <a:p>
            <a:pPr>
              <a:defRPr/>
            </a:pPr>
            <a:r>
              <a:rPr lang="en-US"/>
              <a:t>COSTO CUPO MES - GENERACIONES</a:t>
            </a:r>
            <a:r>
              <a:rPr lang="en-US" baseline="0"/>
              <a:t> </a:t>
            </a:r>
            <a:r>
              <a:rPr lang="en-US"/>
              <a:t>RURALES</a:t>
            </a:r>
          </a:p>
        </c:rich>
      </c:tx>
      <c:layout>
        <c:manualLayout>
          <c:xMode val="edge"/>
          <c:yMode val="edge"/>
          <c:x val="0.25454158234001673"/>
          <c:y val="8.0168184197098036E-2"/>
        </c:manualLayout>
      </c:layout>
      <c:overlay val="0"/>
      <c:spPr>
        <a:gradFill>
          <a:gsLst>
            <a:gs pos="0">
              <a:srgbClr val="DDEBCF"/>
            </a:gs>
            <a:gs pos="50000">
              <a:srgbClr val="9CB86E"/>
            </a:gs>
            <a:gs pos="100000">
              <a:srgbClr val="156B13"/>
            </a:gs>
          </a:gsLst>
          <a:lin ang="5400000" scaled="0"/>
        </a:gradFill>
      </c:spPr>
    </c:title>
    <c:autoTitleDeleted val="0"/>
    <c:plotArea>
      <c:layout>
        <c:manualLayout>
          <c:layoutTarget val="inner"/>
          <c:xMode val="edge"/>
          <c:yMode val="edge"/>
          <c:x val="0.20428152676886049"/>
          <c:y val="0.10053562849819712"/>
          <c:w val="0.47513031426547214"/>
          <c:h val="0.87452837952470786"/>
        </c:manualLayout>
      </c:layout>
      <c:radarChart>
        <c:radarStyle val="marker"/>
        <c:varyColors val="0"/>
        <c:ser>
          <c:idx val="3"/>
          <c:order val="0"/>
          <c:tx>
            <c:strRef>
              <c:f>'COSTOS TOTALES AJUSTADOS'!$G$3</c:f>
              <c:strCache>
                <c:ptCount val="1"/>
                <c:pt idx="0">
                  <c:v>COSTO CUPO MES DE ENCUENTROS VIVENCIALES</c:v>
                </c:pt>
              </c:strCache>
            </c:strRef>
          </c:tx>
          <c:spPr>
            <a:ln w="44450" cmpd="sng">
              <a:solidFill>
                <a:srgbClr val="00B050"/>
              </a:solidFill>
              <a:headEnd type="diamond" w="lg" len="med"/>
              <a:tailEnd type="stealth" w="lg" len="med"/>
            </a:ln>
          </c:spPr>
          <c:marker>
            <c:symbol val="diamond"/>
            <c:size val="5"/>
            <c:spPr>
              <a:solidFill>
                <a:srgbClr val="FFFF00"/>
              </a:solidFill>
              <a:ln cap="rnd">
                <a:solidFill>
                  <a:srgbClr val="FF0000"/>
                </a:solidFill>
                <a:headEnd type="diamond"/>
              </a:ln>
            </c:spPr>
          </c:marker>
          <c:dLbls>
            <c:dLbl>
              <c:idx val="0"/>
              <c:layout>
                <c:manualLayout>
                  <c:x val="-2.0985091270843323E-3"/>
                  <c:y val="-0.27243740139108741"/>
                </c:manualLayout>
              </c:layout>
              <c:showLegendKey val="1"/>
              <c:showVal val="1"/>
              <c:showCatName val="1"/>
              <c:showSerName val="0"/>
              <c:showPercent val="0"/>
              <c:showBubbleSize val="0"/>
              <c:separator> </c:separator>
            </c:dLbl>
            <c:dLbl>
              <c:idx val="1"/>
              <c:layout>
                <c:manualLayout>
                  <c:x val="8.7907371660703962E-2"/>
                  <c:y val="-0.25103846961780035"/>
                </c:manualLayout>
              </c:layout>
              <c:showLegendKey val="1"/>
              <c:showVal val="1"/>
              <c:showCatName val="1"/>
              <c:showSerName val="0"/>
              <c:showPercent val="0"/>
              <c:showBubbleSize val="0"/>
              <c:separator> </c:separator>
            </c:dLbl>
            <c:dLbl>
              <c:idx val="2"/>
              <c:layout>
                <c:manualLayout>
                  <c:x val="0.12963554368476266"/>
                  <c:y val="-0.21985400957700466"/>
                </c:manualLayout>
              </c:layout>
              <c:showLegendKey val="1"/>
              <c:showVal val="1"/>
              <c:showCatName val="1"/>
              <c:showSerName val="0"/>
              <c:showPercent val="0"/>
              <c:showBubbleSize val="0"/>
              <c:separator> </c:separator>
            </c:dLbl>
            <c:dLbl>
              <c:idx val="3"/>
              <c:layout>
                <c:manualLayout>
                  <c:x val="0.15690985786118969"/>
                  <c:y val="-0.15451224589509427"/>
                </c:manualLayout>
              </c:layout>
              <c:showLegendKey val="1"/>
              <c:showVal val="1"/>
              <c:showCatName val="1"/>
              <c:showSerName val="0"/>
              <c:showPercent val="0"/>
              <c:showBubbleSize val="0"/>
              <c:separator> </c:separator>
            </c:dLbl>
            <c:dLbl>
              <c:idx val="4"/>
              <c:layout>
                <c:manualLayout>
                  <c:x val="0.16742640117819127"/>
                  <c:y val="-9.061160842687277E-2"/>
                </c:manualLayout>
              </c:layout>
              <c:showLegendKey val="1"/>
              <c:showVal val="1"/>
              <c:showCatName val="1"/>
              <c:showSerName val="0"/>
              <c:showPercent val="0"/>
              <c:showBubbleSize val="0"/>
              <c:separator> </c:separator>
            </c:dLbl>
            <c:dLbl>
              <c:idx val="5"/>
              <c:layout>
                <c:manualLayout>
                  <c:x val="0.19100012371686126"/>
                  <c:y val="-3.4451602421368951E-2"/>
                </c:manualLayout>
              </c:layout>
              <c:showLegendKey val="1"/>
              <c:showVal val="1"/>
              <c:showCatName val="1"/>
              <c:showSerName val="0"/>
              <c:showPercent val="0"/>
              <c:showBubbleSize val="0"/>
              <c:separator> </c:separator>
            </c:dLbl>
            <c:dLbl>
              <c:idx val="6"/>
              <c:layout>
                <c:manualLayout>
                  <c:x val="0.20458037104889867"/>
                  <c:y val="3.3318864020877345E-2"/>
                </c:manualLayout>
              </c:layout>
              <c:showLegendKey val="1"/>
              <c:showVal val="1"/>
              <c:showCatName val="1"/>
              <c:showSerName val="0"/>
              <c:showPercent val="0"/>
              <c:showBubbleSize val="0"/>
              <c:separator> </c:separator>
            </c:dLbl>
            <c:dLbl>
              <c:idx val="7"/>
              <c:layout>
                <c:manualLayout>
                  <c:x val="5.5600662308895578E-2"/>
                  <c:y val="3.6713509668569094E-2"/>
                </c:manualLayout>
              </c:layout>
              <c:showLegendKey val="1"/>
              <c:showVal val="1"/>
              <c:showCatName val="1"/>
              <c:showSerName val="0"/>
              <c:showPercent val="0"/>
              <c:showBubbleSize val="0"/>
              <c:separator> </c:separator>
            </c:dLbl>
            <c:dLbl>
              <c:idx val="8"/>
              <c:layout>
                <c:manualLayout>
                  <c:x val="0.1533882319843676"/>
                  <c:y val="0.18869840331695928"/>
                </c:manualLayout>
              </c:layout>
              <c:showLegendKey val="1"/>
              <c:showVal val="1"/>
              <c:showCatName val="1"/>
              <c:showSerName val="0"/>
              <c:showPercent val="0"/>
              <c:showBubbleSize val="0"/>
              <c:separator> </c:separator>
            </c:dLbl>
            <c:dLbl>
              <c:idx val="9"/>
              <c:layout>
                <c:manualLayout>
                  <c:x val="0.13137049471491738"/>
                  <c:y val="0.23124196782793627"/>
                </c:manualLayout>
              </c:layout>
              <c:showLegendKey val="1"/>
              <c:showVal val="1"/>
              <c:showCatName val="1"/>
              <c:showSerName val="0"/>
              <c:showPercent val="0"/>
              <c:showBubbleSize val="0"/>
              <c:separator> </c:separator>
            </c:dLbl>
            <c:dLbl>
              <c:idx val="10"/>
              <c:layout>
                <c:manualLayout>
                  <c:x val="7.8667789722009912E-2"/>
                  <c:y val="0.24774444764021666"/>
                </c:manualLayout>
              </c:layout>
              <c:showLegendKey val="1"/>
              <c:showVal val="1"/>
              <c:showCatName val="1"/>
              <c:showSerName val="0"/>
              <c:showPercent val="0"/>
              <c:showBubbleSize val="0"/>
              <c:separator> </c:separator>
            </c:dLbl>
            <c:dLbl>
              <c:idx val="11"/>
              <c:layout>
                <c:manualLayout>
                  <c:x val="-6.026536419362875E-3"/>
                  <c:y val="0.23757346519479919"/>
                </c:manualLayout>
              </c:layout>
              <c:showLegendKey val="1"/>
              <c:showVal val="1"/>
              <c:showCatName val="1"/>
              <c:showSerName val="0"/>
              <c:showPercent val="0"/>
              <c:showBubbleSize val="0"/>
              <c:separator> </c:separator>
            </c:dLbl>
            <c:dLbl>
              <c:idx val="12"/>
              <c:layout>
                <c:manualLayout>
                  <c:x val="-0.10100990243315473"/>
                  <c:y val="0.23452971783004903"/>
                </c:manualLayout>
              </c:layout>
              <c:showLegendKey val="1"/>
              <c:showVal val="1"/>
              <c:showCatName val="1"/>
              <c:showSerName val="0"/>
              <c:showPercent val="0"/>
              <c:showBubbleSize val="0"/>
              <c:separator> </c:separator>
            </c:dLbl>
            <c:dLbl>
              <c:idx val="13"/>
              <c:layout>
                <c:manualLayout>
                  <c:x val="-0.13638004463975514"/>
                  <c:y val="0.20352092131697497"/>
                </c:manualLayout>
              </c:layout>
              <c:showLegendKey val="1"/>
              <c:showVal val="1"/>
              <c:showCatName val="1"/>
              <c:showSerName val="0"/>
              <c:showPercent val="0"/>
              <c:showBubbleSize val="0"/>
              <c:separator> </c:separator>
            </c:dLbl>
            <c:dLbl>
              <c:idx val="14"/>
              <c:layout>
                <c:manualLayout>
                  <c:x val="-0.16296893350981345"/>
                  <c:y val="0.16133063446222454"/>
                </c:manualLayout>
              </c:layout>
              <c:showLegendKey val="1"/>
              <c:showVal val="1"/>
              <c:showCatName val="1"/>
              <c:showSerName val="0"/>
              <c:showPercent val="0"/>
              <c:showBubbleSize val="0"/>
              <c:separator> </c:separator>
            </c:dLbl>
            <c:dLbl>
              <c:idx val="15"/>
              <c:layout>
                <c:manualLayout>
                  <c:x val="-0.21048671569017907"/>
                  <c:y val="0.10556706526323349"/>
                </c:manualLayout>
              </c:layout>
              <c:showLegendKey val="1"/>
              <c:showVal val="1"/>
              <c:showCatName val="1"/>
              <c:showSerName val="0"/>
              <c:showPercent val="0"/>
              <c:showBubbleSize val="0"/>
              <c:separator> </c:separator>
            </c:dLbl>
            <c:dLbl>
              <c:idx val="16"/>
              <c:layout>
                <c:manualLayout>
                  <c:x val="-5.6779734839176553E-2"/>
                  <c:y val="3.2180068195784184E-3"/>
                </c:manualLayout>
              </c:layout>
              <c:showLegendKey val="1"/>
              <c:showVal val="1"/>
              <c:showCatName val="1"/>
              <c:showSerName val="0"/>
              <c:showPercent val="0"/>
              <c:showBubbleSize val="0"/>
              <c:separator> </c:separator>
            </c:dLbl>
            <c:dLbl>
              <c:idx val="17"/>
              <c:layout>
                <c:manualLayout>
                  <c:x val="-0.14410675578800014"/>
                  <c:y val="-2.3159589449394166E-2"/>
                </c:manualLayout>
              </c:layout>
              <c:showLegendKey val="1"/>
              <c:showVal val="1"/>
              <c:showCatName val="1"/>
              <c:showSerName val="0"/>
              <c:showPercent val="0"/>
              <c:showBubbleSize val="0"/>
              <c:separator> </c:separator>
            </c:dLbl>
            <c:dLbl>
              <c:idx val="18"/>
              <c:layout>
                <c:manualLayout>
                  <c:x val="-0.17533194250724929"/>
                  <c:y val="-8.9431275975940347E-2"/>
                </c:manualLayout>
              </c:layout>
              <c:showLegendKey val="1"/>
              <c:showVal val="1"/>
              <c:showCatName val="1"/>
              <c:showSerName val="0"/>
              <c:showPercent val="0"/>
              <c:showBubbleSize val="0"/>
              <c:separator> </c:separator>
            </c:dLbl>
            <c:dLbl>
              <c:idx val="19"/>
              <c:layout>
                <c:manualLayout>
                  <c:x val="-4.9638865397749705E-2"/>
                  <c:y val="-8.2630834407985236E-3"/>
                </c:manualLayout>
              </c:layout>
              <c:showLegendKey val="1"/>
              <c:showVal val="1"/>
              <c:showCatName val="1"/>
              <c:showSerName val="0"/>
              <c:showPercent val="0"/>
              <c:showBubbleSize val="0"/>
              <c:separator> </c:separator>
            </c:dLbl>
            <c:dLbl>
              <c:idx val="20"/>
              <c:layout>
                <c:manualLayout>
                  <c:x val="-2.6419210347474905E-2"/>
                  <c:y val="4.6782788217400534E-2"/>
                </c:manualLayout>
              </c:layout>
              <c:showLegendKey val="1"/>
              <c:showVal val="1"/>
              <c:showCatName val="1"/>
              <c:showSerName val="0"/>
              <c:showPercent val="0"/>
              <c:showBubbleSize val="0"/>
              <c:separator> </c:separator>
            </c:dLbl>
            <c:dLbl>
              <c:idx val="21"/>
              <c:layout>
                <c:manualLayout>
                  <c:x val="-4.5564818314162869E-2"/>
                  <c:y val="-1.4144193082984329E-2"/>
                </c:manualLayout>
              </c:layout>
              <c:showLegendKey val="1"/>
              <c:showVal val="1"/>
              <c:showCatName val="1"/>
              <c:showSerName val="0"/>
              <c:showPercent val="0"/>
              <c:showBubbleSize val="0"/>
              <c:separator> </c:separator>
            </c:dLbl>
            <c:numFmt formatCode="&quot;$&quot;#,##0" sourceLinked="0"/>
            <c:spPr>
              <a:ln w="0" cap="rnd" cmpd="sng">
                <a:noFill/>
              </a:ln>
            </c:spPr>
            <c:txPr>
              <a:bodyPr/>
              <a:lstStyle/>
              <a:p>
                <a:pPr>
                  <a:defRPr sz="1000" b="1" i="0" baseline="0"/>
                </a:pPr>
                <a:endParaRPr lang="es-CO"/>
              </a:p>
            </c:txPr>
            <c:showLegendKey val="1"/>
            <c:showVal val="1"/>
            <c:showCatName val="1"/>
            <c:showSerName val="0"/>
            <c:showPercent val="0"/>
            <c:showBubbleSize val="0"/>
            <c:separator> </c:separator>
            <c:showLeaderLines val="0"/>
          </c:dLbls>
          <c:cat>
            <c:strRef>
              <c:f>'COSTOS TOTALES AJUSTADOS'!$B$4:$B$38</c:f>
              <c:strCache>
                <c:ptCount val="22"/>
                <c:pt idx="0">
                  <c:v>ANTIOQUIA</c:v>
                </c:pt>
                <c:pt idx="1">
                  <c:v>BOLÍVAR</c:v>
                </c:pt>
                <c:pt idx="2">
                  <c:v>CALDAS</c:v>
                </c:pt>
                <c:pt idx="3">
                  <c:v>CAQUETÁ</c:v>
                </c:pt>
                <c:pt idx="4">
                  <c:v>CAUCA</c:v>
                </c:pt>
                <c:pt idx="5">
                  <c:v>CESAR</c:v>
                </c:pt>
                <c:pt idx="6">
                  <c:v>CÓRDOBA</c:v>
                </c:pt>
                <c:pt idx="7">
                  <c:v>CHOCÓ</c:v>
                </c:pt>
                <c:pt idx="8">
                  <c:v>HUILA</c:v>
                </c:pt>
                <c:pt idx="9">
                  <c:v>MAGDALENA</c:v>
                </c:pt>
                <c:pt idx="10">
                  <c:v>META</c:v>
                </c:pt>
                <c:pt idx="11">
                  <c:v>NARIÑO </c:v>
                </c:pt>
                <c:pt idx="12">
                  <c:v>NORTE DE SANTANDER</c:v>
                </c:pt>
                <c:pt idx="13">
                  <c:v>SUCRE</c:v>
                </c:pt>
                <c:pt idx="14">
                  <c:v>TOLIMA</c:v>
                </c:pt>
                <c:pt idx="15">
                  <c:v>VALLE DEL CAUCA</c:v>
                </c:pt>
                <c:pt idx="16">
                  <c:v>ARAUCA</c:v>
                </c:pt>
                <c:pt idx="17">
                  <c:v>CASANARE</c:v>
                </c:pt>
                <c:pt idx="18">
                  <c:v>PUTUMAYO</c:v>
                </c:pt>
                <c:pt idx="19">
                  <c:v>GUAVIARE</c:v>
                </c:pt>
                <c:pt idx="20">
                  <c:v>VAUPÉS</c:v>
                </c:pt>
                <c:pt idx="21">
                  <c:v>VICHADA</c:v>
                </c:pt>
              </c:strCache>
            </c:strRef>
          </c:cat>
          <c:val>
            <c:numRef>
              <c:f>'COSTOS TOTALES AJUSTADOS'!$G$4:$G$38</c:f>
              <c:numCache>
                <c:formatCode>_(* #,##0_);_(* \(#,##0\);_(* "-"??_);_(@_)</c:formatCode>
                <c:ptCount val="22"/>
                <c:pt idx="0">
                  <c:v>38934</c:v>
                </c:pt>
                <c:pt idx="1">
                  <c:v>38268</c:v>
                </c:pt>
                <c:pt idx="2">
                  <c:v>38204</c:v>
                </c:pt>
                <c:pt idx="3">
                  <c:v>42398</c:v>
                </c:pt>
                <c:pt idx="4">
                  <c:v>43082</c:v>
                </c:pt>
                <c:pt idx="5">
                  <c:v>40524</c:v>
                </c:pt>
                <c:pt idx="6">
                  <c:v>38268</c:v>
                </c:pt>
                <c:pt idx="7">
                  <c:v>72666</c:v>
                </c:pt>
                <c:pt idx="8">
                  <c:v>37197</c:v>
                </c:pt>
                <c:pt idx="9">
                  <c:v>38268</c:v>
                </c:pt>
                <c:pt idx="10">
                  <c:v>39813</c:v>
                </c:pt>
                <c:pt idx="11">
                  <c:v>42335</c:v>
                </c:pt>
                <c:pt idx="12">
                  <c:v>40174</c:v>
                </c:pt>
                <c:pt idx="13">
                  <c:v>40524</c:v>
                </c:pt>
                <c:pt idx="14">
                  <c:v>39571</c:v>
                </c:pt>
                <c:pt idx="15">
                  <c:v>37649</c:v>
                </c:pt>
                <c:pt idx="16">
                  <c:v>77444</c:v>
                </c:pt>
                <c:pt idx="17">
                  <c:v>56336</c:v>
                </c:pt>
                <c:pt idx="18">
                  <c:v>44547</c:v>
                </c:pt>
                <c:pt idx="19">
                  <c:v>77444</c:v>
                </c:pt>
                <c:pt idx="20">
                  <c:v>88139</c:v>
                </c:pt>
                <c:pt idx="21">
                  <c:v>77444</c:v>
                </c:pt>
              </c:numCache>
            </c:numRef>
          </c:val>
        </c:ser>
        <c:dLbls>
          <c:showLegendKey val="0"/>
          <c:showVal val="0"/>
          <c:showCatName val="0"/>
          <c:showSerName val="0"/>
          <c:showPercent val="0"/>
          <c:showBubbleSize val="0"/>
        </c:dLbls>
        <c:axId val="225975680"/>
        <c:axId val="225997952"/>
      </c:radarChart>
      <c:catAx>
        <c:axId val="225975680"/>
        <c:scaling>
          <c:orientation val="minMax"/>
        </c:scaling>
        <c:delete val="1"/>
        <c:axPos val="b"/>
        <c:majorGridlines/>
        <c:numFmt formatCode="General" sourceLinked="0"/>
        <c:majorTickMark val="none"/>
        <c:minorTickMark val="none"/>
        <c:tickLblPos val="nextTo"/>
        <c:crossAx val="225997952"/>
        <c:crosses val="autoZero"/>
        <c:auto val="1"/>
        <c:lblAlgn val="ctr"/>
        <c:lblOffset val="100"/>
        <c:noMultiLvlLbl val="0"/>
      </c:catAx>
      <c:valAx>
        <c:axId val="225997952"/>
        <c:scaling>
          <c:orientation val="minMax"/>
          <c:max val="90000"/>
          <c:min val="30000"/>
        </c:scaling>
        <c:delete val="0"/>
        <c:axPos val="l"/>
        <c:majorGridlines>
          <c:spPr>
            <a:ln>
              <a:gradFill>
                <a:gsLst>
                  <a:gs pos="0">
                    <a:schemeClr val="bg1">
                      <a:lumMod val="85000"/>
                    </a:schemeClr>
                  </a:gs>
                  <a:gs pos="50000">
                    <a:schemeClr val="accent1">
                      <a:tint val="44500"/>
                      <a:satMod val="160000"/>
                    </a:schemeClr>
                  </a:gs>
                  <a:gs pos="100000">
                    <a:schemeClr val="accent1">
                      <a:tint val="23500"/>
                      <a:satMod val="160000"/>
                    </a:schemeClr>
                  </a:gs>
                </a:gsLst>
                <a:lin ang="5400000" scaled="0"/>
              </a:gradFill>
            </a:ln>
          </c:spPr>
        </c:majorGridlines>
        <c:numFmt formatCode="&quot;$&quot;#,##0" sourceLinked="0"/>
        <c:majorTickMark val="none"/>
        <c:minorTickMark val="none"/>
        <c:tickLblPos val="nextTo"/>
        <c:txPr>
          <a:bodyPr/>
          <a:lstStyle/>
          <a:p>
            <a:pPr>
              <a:defRPr sz="800" b="1" i="0" baseline="0"/>
            </a:pPr>
            <a:endParaRPr lang="es-CO"/>
          </a:p>
        </c:txPr>
        <c:crossAx val="225975680"/>
        <c:crosses val="autoZero"/>
        <c:crossBetween val="between"/>
        <c:majorUnit val="10000"/>
        <c:minorUnit val="10000"/>
      </c:valAx>
      <c:spPr>
        <a:noFill/>
        <a:ln w="25400">
          <a:noFill/>
        </a:ln>
      </c:spPr>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2"/>
    </mc:Choice>
    <mc:Fallback>
      <c:style val="12"/>
    </mc:Fallback>
  </mc:AlternateContent>
  <c:chart>
    <c:title>
      <c:tx>
        <c:rich>
          <a:bodyPr/>
          <a:lstStyle/>
          <a:p>
            <a:pPr>
              <a:defRPr/>
            </a:pPr>
            <a:r>
              <a:rPr lang="en-US" baseline="0"/>
              <a:t>BENEFICIARIOS GRCB</a:t>
            </a:r>
            <a:endParaRPr lang="en-US"/>
          </a:p>
        </c:rich>
      </c:tx>
      <c:layout>
        <c:manualLayout>
          <c:xMode val="edge"/>
          <c:yMode val="edge"/>
          <c:x val="0.38706622689823222"/>
          <c:y val="4.3779945663467004E-2"/>
        </c:manualLayout>
      </c:layout>
      <c:overlay val="0"/>
      <c:spPr>
        <a:gradFill>
          <a:gsLst>
            <a:gs pos="0">
              <a:srgbClr val="DDEBCF"/>
            </a:gs>
            <a:gs pos="50000">
              <a:srgbClr val="9CB86E"/>
            </a:gs>
            <a:gs pos="100000">
              <a:srgbClr val="156B13"/>
            </a:gs>
          </a:gsLst>
          <a:lin ang="5400000" scaled="0"/>
        </a:gradFill>
      </c:spPr>
    </c:title>
    <c:autoTitleDeleted val="0"/>
    <c:plotArea>
      <c:layout>
        <c:manualLayout>
          <c:layoutTarget val="inner"/>
          <c:xMode val="edge"/>
          <c:yMode val="edge"/>
          <c:x val="0.20428152676886049"/>
          <c:y val="0.10053562849819712"/>
          <c:w val="0.47513031426547214"/>
          <c:h val="0.87452837952470786"/>
        </c:manualLayout>
      </c:layout>
      <c:radarChart>
        <c:radarStyle val="marker"/>
        <c:varyColors val="0"/>
        <c:ser>
          <c:idx val="4"/>
          <c:order val="0"/>
          <c:tx>
            <c:strRef>
              <c:f>'COSTOS TOTALES AJUSTADOS'!$C$3</c:f>
              <c:strCache>
                <c:ptCount val="1"/>
                <c:pt idx="0">
                  <c:v>Cobertura 
2014</c:v>
                </c:pt>
              </c:strCache>
            </c:strRef>
          </c:tx>
          <c:spPr>
            <a:ln w="44450">
              <a:solidFill>
                <a:srgbClr val="00B050"/>
              </a:solidFill>
              <a:headEnd type="diamond" w="lg" len="med"/>
              <a:tailEnd type="stealth" w="lg" len="med"/>
            </a:ln>
          </c:spPr>
          <c:marker>
            <c:symbol val="diamond"/>
            <c:size val="5"/>
            <c:spPr>
              <a:solidFill>
                <a:srgbClr val="FFFF00"/>
              </a:solidFill>
              <a:ln w="9525" cap="flat" cmpd="thickThin">
                <a:solidFill>
                  <a:srgbClr val="FF0000"/>
                </a:solidFill>
                <a:bevel/>
                <a:headEnd type="diamond" w="lg" len="lg"/>
                <a:tailEnd type="none" w="sm" len="sm"/>
              </a:ln>
            </c:spPr>
          </c:marker>
          <c:dPt>
            <c:idx val="2"/>
            <c:marker>
              <c:spPr>
                <a:solidFill>
                  <a:srgbClr val="FFFF00"/>
                </a:solidFill>
                <a:ln w="9525" cap="flat" cmpd="thickThin">
                  <a:solidFill>
                    <a:srgbClr val="FF0000"/>
                  </a:solidFill>
                  <a:bevel/>
                  <a:headEnd type="diamond" w="med" len="med"/>
                  <a:tailEnd type="none" w="med" len="med"/>
                </a:ln>
              </c:spPr>
            </c:marker>
            <c:bubble3D val="0"/>
          </c:dPt>
          <c:dLbls>
            <c:dLbl>
              <c:idx val="0"/>
              <c:layout>
                <c:manualLayout>
                  <c:x val="-7.3033506510800372E-3"/>
                  <c:y val="-0.19391337346134435"/>
                </c:manualLayout>
              </c:layout>
              <c:showLegendKey val="1"/>
              <c:showVal val="1"/>
              <c:showCatName val="1"/>
              <c:showSerName val="0"/>
              <c:showPercent val="0"/>
              <c:showBubbleSize val="0"/>
              <c:separator> </c:separator>
            </c:dLbl>
            <c:dLbl>
              <c:idx val="1"/>
              <c:layout>
                <c:manualLayout>
                  <c:x val="2.3977272812284772E-2"/>
                  <c:y val="1.6938131953393623E-2"/>
                </c:manualLayout>
              </c:layout>
              <c:showLegendKey val="1"/>
              <c:showVal val="1"/>
              <c:showCatName val="1"/>
              <c:showSerName val="0"/>
              <c:showPercent val="0"/>
              <c:showBubbleSize val="0"/>
              <c:separator> </c:separator>
            </c:dLbl>
            <c:dLbl>
              <c:idx val="2"/>
              <c:layout>
                <c:manualLayout>
                  <c:x val="0.13409248861467707"/>
                  <c:y val="-0.24923896421318464"/>
                </c:manualLayout>
              </c:layout>
              <c:showLegendKey val="1"/>
              <c:showVal val="1"/>
              <c:showCatName val="1"/>
              <c:showSerName val="0"/>
              <c:showPercent val="0"/>
              <c:showBubbleSize val="0"/>
              <c:separator> </c:separator>
            </c:dLbl>
            <c:dLbl>
              <c:idx val="3"/>
              <c:layout>
                <c:manualLayout>
                  <c:x val="7.4650435577907445E-2"/>
                  <c:y val="-4.2720283822564341E-2"/>
                </c:manualLayout>
              </c:layout>
              <c:showLegendKey val="1"/>
              <c:showVal val="1"/>
              <c:showCatName val="1"/>
              <c:showSerName val="0"/>
              <c:showPercent val="0"/>
              <c:showBubbleSize val="0"/>
              <c:separator> </c:separator>
            </c:dLbl>
            <c:dLbl>
              <c:idx val="4"/>
              <c:layout>
                <c:manualLayout>
                  <c:x val="0.19925102349399634"/>
                  <c:y val="-0.12390756539357284"/>
                </c:manualLayout>
              </c:layout>
              <c:showLegendKey val="1"/>
              <c:showVal val="1"/>
              <c:showCatName val="1"/>
              <c:showSerName val="0"/>
              <c:showPercent val="0"/>
              <c:showBubbleSize val="0"/>
              <c:separator> </c:separator>
            </c:dLbl>
            <c:dLbl>
              <c:idx val="5"/>
              <c:layout>
                <c:manualLayout>
                  <c:x val="0.16822788450794246"/>
                  <c:y val="-3.0520862646256555E-2"/>
                </c:manualLayout>
              </c:layout>
              <c:showLegendKey val="1"/>
              <c:showVal val="1"/>
              <c:showCatName val="1"/>
              <c:showSerName val="0"/>
              <c:showPercent val="0"/>
              <c:showBubbleSize val="0"/>
              <c:separator> </c:separator>
            </c:dLbl>
            <c:dLbl>
              <c:idx val="6"/>
              <c:layout>
                <c:manualLayout>
                  <c:x val="0.1256412033379945"/>
                  <c:y val="1.5117142659142296E-2"/>
                </c:manualLayout>
              </c:layout>
              <c:showLegendKey val="1"/>
              <c:showVal val="1"/>
              <c:showCatName val="1"/>
              <c:showSerName val="0"/>
              <c:showPercent val="0"/>
              <c:showBubbleSize val="0"/>
              <c:separator> </c:separator>
            </c:dLbl>
            <c:dLbl>
              <c:idx val="7"/>
              <c:layout>
                <c:manualLayout>
                  <c:x val="0.14199534419642162"/>
                  <c:y val="7.0517099095939603E-2"/>
                </c:manualLayout>
              </c:layout>
              <c:showLegendKey val="1"/>
              <c:showVal val="1"/>
              <c:showCatName val="1"/>
              <c:showSerName val="0"/>
              <c:showPercent val="0"/>
              <c:showBubbleSize val="0"/>
              <c:separator> </c:separator>
            </c:dLbl>
            <c:dLbl>
              <c:idx val="8"/>
              <c:layout>
                <c:manualLayout>
                  <c:x val="0.12862995474842931"/>
                  <c:y val="0.12418455062594891"/>
                </c:manualLayout>
              </c:layout>
              <c:showLegendKey val="1"/>
              <c:showVal val="1"/>
              <c:showCatName val="1"/>
              <c:showSerName val="0"/>
              <c:showPercent val="0"/>
              <c:showBubbleSize val="0"/>
              <c:separator> </c:separator>
            </c:dLbl>
            <c:dLbl>
              <c:idx val="9"/>
              <c:layout>
                <c:manualLayout>
                  <c:x val="0.13083203871326043"/>
                  <c:y val="0.20648507642206615"/>
                </c:manualLayout>
              </c:layout>
              <c:showLegendKey val="1"/>
              <c:showVal val="1"/>
              <c:showCatName val="1"/>
              <c:showSerName val="0"/>
              <c:showPercent val="0"/>
              <c:showBubbleSize val="0"/>
              <c:separator> </c:separator>
            </c:dLbl>
            <c:dLbl>
              <c:idx val="10"/>
              <c:layout>
                <c:manualLayout>
                  <c:x val="5.5767696498027486E-2"/>
                  <c:y val="0.10022640578896991"/>
                </c:manualLayout>
              </c:layout>
              <c:showLegendKey val="1"/>
              <c:showVal val="1"/>
              <c:showCatName val="1"/>
              <c:showSerName val="0"/>
              <c:showPercent val="0"/>
              <c:showBubbleSize val="0"/>
              <c:separator> </c:separator>
            </c:dLbl>
            <c:dLbl>
              <c:idx val="11"/>
              <c:layout>
                <c:manualLayout>
                  <c:x val="-3.3779025406971354E-3"/>
                  <c:y val="4.6715768855500252E-2"/>
                </c:manualLayout>
              </c:layout>
              <c:showLegendKey val="1"/>
              <c:showVal val="1"/>
              <c:showCatName val="1"/>
              <c:showSerName val="0"/>
              <c:showPercent val="0"/>
              <c:showBubbleSize val="0"/>
              <c:separator> </c:separator>
            </c:dLbl>
            <c:dLbl>
              <c:idx val="12"/>
              <c:layout>
                <c:manualLayout>
                  <c:x val="-9.7030094059365204E-2"/>
                  <c:y val="0.18973089645246582"/>
                </c:manualLayout>
              </c:layout>
              <c:showLegendKey val="1"/>
              <c:showVal val="1"/>
              <c:showCatName val="1"/>
              <c:showSerName val="0"/>
              <c:showPercent val="0"/>
              <c:showBubbleSize val="0"/>
              <c:separator> </c:separator>
            </c:dLbl>
            <c:dLbl>
              <c:idx val="13"/>
              <c:layout>
                <c:manualLayout>
                  <c:x val="-0.12116229281969917"/>
                  <c:y val="0.18748451388498949"/>
                </c:manualLayout>
              </c:layout>
              <c:showLegendKey val="1"/>
              <c:showVal val="1"/>
              <c:showCatName val="1"/>
              <c:showSerName val="0"/>
              <c:showPercent val="0"/>
              <c:showBubbleSize val="0"/>
              <c:separator> </c:separator>
            </c:dLbl>
            <c:dLbl>
              <c:idx val="14"/>
              <c:layout>
                <c:manualLayout>
                  <c:x val="-0.13107320087822202"/>
                  <c:y val="0.13141558961264424"/>
                </c:manualLayout>
              </c:layout>
              <c:showLegendKey val="1"/>
              <c:showVal val="1"/>
              <c:showCatName val="1"/>
              <c:showSerName val="0"/>
              <c:showPercent val="0"/>
              <c:showBubbleSize val="0"/>
              <c:separator> </c:separator>
            </c:dLbl>
            <c:dLbl>
              <c:idx val="15"/>
              <c:layout>
                <c:manualLayout>
                  <c:x val="-0.15979135732200908"/>
                  <c:y val="7.2333885112345536E-2"/>
                </c:manualLayout>
              </c:layout>
              <c:showLegendKey val="1"/>
              <c:showVal val="1"/>
              <c:showCatName val="1"/>
              <c:showSerName val="0"/>
              <c:showPercent val="0"/>
              <c:showBubbleSize val="0"/>
              <c:separator> </c:separator>
            </c:dLbl>
            <c:dLbl>
              <c:idx val="16"/>
              <c:layout>
                <c:manualLayout>
                  <c:x val="-0.14243863099597595"/>
                  <c:y val="2.0138011933644683E-2"/>
                </c:manualLayout>
              </c:layout>
              <c:showLegendKey val="1"/>
              <c:showVal val="1"/>
              <c:showCatName val="1"/>
              <c:showSerName val="0"/>
              <c:showPercent val="0"/>
              <c:showBubbleSize val="0"/>
              <c:separator> </c:separator>
            </c:dLbl>
            <c:dLbl>
              <c:idx val="17"/>
              <c:layout>
                <c:manualLayout>
                  <c:x val="-0.21452143082206171"/>
                  <c:y val="-4.1440547383173931E-2"/>
                </c:manualLayout>
              </c:layout>
              <c:showLegendKey val="1"/>
              <c:showVal val="1"/>
              <c:showCatName val="1"/>
              <c:showSerName val="0"/>
              <c:showPercent val="0"/>
              <c:showBubbleSize val="0"/>
              <c:separator> </c:separator>
            </c:dLbl>
            <c:dLbl>
              <c:idx val="18"/>
              <c:layout>
                <c:manualLayout>
                  <c:x val="-0.12058937965623714"/>
                  <c:y val="-4.9000304252650194E-2"/>
                </c:manualLayout>
              </c:layout>
              <c:showLegendKey val="1"/>
              <c:showVal val="1"/>
              <c:showCatName val="1"/>
              <c:showSerName val="0"/>
              <c:showPercent val="0"/>
              <c:showBubbleSize val="0"/>
              <c:separator> </c:separator>
            </c:dLbl>
            <c:dLbl>
              <c:idx val="19"/>
              <c:layout>
                <c:manualLayout>
                  <c:x val="-0.13698099382343298"/>
                  <c:y val="-0.12404023808659033"/>
                </c:manualLayout>
              </c:layout>
              <c:numFmt formatCode="#,##0" sourceLinked="0"/>
              <c:spPr>
                <a:ln w="9525" cap="rnd"/>
              </c:spPr>
              <c:txPr>
                <a:bodyPr/>
                <a:lstStyle/>
                <a:p>
                  <a:pPr>
                    <a:defRPr sz="1000" b="1" i="0" baseline="0"/>
                  </a:pPr>
                  <a:endParaRPr lang="es-CO"/>
                </a:p>
              </c:txPr>
              <c:showLegendKey val="1"/>
              <c:showVal val="1"/>
              <c:showCatName val="1"/>
              <c:showSerName val="0"/>
              <c:showPercent val="0"/>
              <c:showBubbleSize val="0"/>
              <c:separator> </c:separator>
            </c:dLbl>
            <c:dLbl>
              <c:idx val="20"/>
              <c:layout>
                <c:manualLayout>
                  <c:x val="-0.14141699026217647"/>
                  <c:y val="-0.24487542292788911"/>
                </c:manualLayout>
              </c:layout>
              <c:showLegendKey val="1"/>
              <c:showVal val="1"/>
              <c:showCatName val="1"/>
              <c:showSerName val="0"/>
              <c:showPercent val="0"/>
              <c:showBubbleSize val="0"/>
              <c:separator> </c:separator>
            </c:dLbl>
            <c:dLbl>
              <c:idx val="21"/>
              <c:layout>
                <c:manualLayout>
                  <c:x val="-8.9862218600784735E-2"/>
                  <c:y val="-0.24078822021683957"/>
                </c:manualLayout>
              </c:layout>
              <c:showLegendKey val="1"/>
              <c:showVal val="1"/>
              <c:showCatName val="1"/>
              <c:showSerName val="0"/>
              <c:showPercent val="0"/>
              <c:showBubbleSize val="0"/>
              <c:separator> </c:separator>
            </c:dLbl>
            <c:dLbl>
              <c:idx val="22"/>
              <c:layout>
                <c:manualLayout>
                  <c:x val="-9.5964551784720145E-2"/>
                  <c:y val="3.7031087419933828E-2"/>
                </c:manualLayout>
              </c:layout>
              <c:showLegendKey val="1"/>
              <c:showVal val="1"/>
              <c:showCatName val="1"/>
              <c:showSerName val="0"/>
              <c:showPercent val="0"/>
              <c:showBubbleSize val="0"/>
              <c:separator> </c:separator>
            </c:dLbl>
            <c:dLbl>
              <c:idx val="23"/>
              <c:layout>
                <c:manualLayout>
                  <c:x val="-0.18723201455117858"/>
                  <c:y val="0.10797852969506777"/>
                </c:manualLayout>
              </c:layout>
              <c:showLegendKey val="1"/>
              <c:showVal val="1"/>
              <c:showCatName val="1"/>
              <c:showSerName val="0"/>
              <c:showPercent val="0"/>
              <c:showBubbleSize val="0"/>
              <c:separator> </c:separator>
            </c:dLbl>
            <c:dLbl>
              <c:idx val="24"/>
              <c:layout>
                <c:manualLayout>
                  <c:x val="-0.18767991976522655"/>
                  <c:y val="4.6319389316538992E-2"/>
                </c:manualLayout>
              </c:layout>
              <c:showLegendKey val="1"/>
              <c:showVal val="1"/>
              <c:showCatName val="1"/>
              <c:showSerName val="0"/>
              <c:showPercent val="0"/>
              <c:showBubbleSize val="0"/>
              <c:separator> </c:separator>
            </c:dLbl>
            <c:dLbl>
              <c:idx val="25"/>
              <c:layout>
                <c:manualLayout>
                  <c:x val="-0.18829119235923245"/>
                  <c:y val="-1.3900434273893482E-2"/>
                </c:manualLayout>
              </c:layout>
              <c:showLegendKey val="1"/>
              <c:showVal val="1"/>
              <c:showCatName val="1"/>
              <c:showSerName val="0"/>
              <c:showPercent val="0"/>
              <c:showBubbleSize val="0"/>
              <c:separator> </c:separator>
            </c:dLbl>
            <c:dLbl>
              <c:idx val="26"/>
              <c:layout>
                <c:manualLayout>
                  <c:x val="-0.20815609458825593"/>
                  <c:y val="-8.1882482973957726E-2"/>
                </c:manualLayout>
              </c:layout>
              <c:showLegendKey val="1"/>
              <c:showVal val="1"/>
              <c:showCatName val="1"/>
              <c:showSerName val="0"/>
              <c:showPercent val="0"/>
              <c:showBubbleSize val="0"/>
              <c:separator> </c:separator>
            </c:dLbl>
            <c:dLbl>
              <c:idx val="27"/>
              <c:layout>
                <c:manualLayout>
                  <c:x val="-0.20079139052159134"/>
                  <c:y val="-0.14830698312274998"/>
                </c:manualLayout>
              </c:layout>
              <c:showLegendKey val="1"/>
              <c:showVal val="1"/>
              <c:showCatName val="1"/>
              <c:showSerName val="0"/>
              <c:showPercent val="0"/>
              <c:showBubbleSize val="0"/>
              <c:separator> </c:separator>
            </c:dLbl>
            <c:dLbl>
              <c:idx val="28"/>
              <c:layout>
                <c:manualLayout>
                  <c:x val="-0.17865723786850038"/>
                  <c:y val="-0.21472565066657562"/>
                </c:manualLayout>
              </c:layout>
              <c:showLegendKey val="1"/>
              <c:showVal val="1"/>
              <c:showCatName val="1"/>
              <c:showSerName val="0"/>
              <c:showPercent val="0"/>
              <c:showBubbleSize val="0"/>
              <c:separator> </c:separator>
            </c:dLbl>
            <c:dLbl>
              <c:idx val="29"/>
              <c:layout>
                <c:manualLayout>
                  <c:x val="-0.11833375996523528"/>
                  <c:y val="-0.31318500451844611"/>
                </c:manualLayout>
              </c:layout>
              <c:showLegendKey val="1"/>
              <c:showVal val="1"/>
              <c:showCatName val="1"/>
              <c:showSerName val="0"/>
              <c:showPercent val="0"/>
              <c:showBubbleSize val="0"/>
              <c:separator> </c:separator>
            </c:dLbl>
            <c:dLbl>
              <c:idx val="30"/>
              <c:layout>
                <c:manualLayout>
                  <c:x val="-0.16768895130614639"/>
                  <c:y val="-0.253378080754603"/>
                </c:manualLayout>
              </c:layout>
              <c:showLegendKey val="1"/>
              <c:showVal val="1"/>
              <c:showCatName val="1"/>
              <c:showSerName val="0"/>
              <c:showPercent val="0"/>
              <c:showBubbleSize val="0"/>
              <c:separator> </c:separator>
            </c:dLbl>
            <c:dLbl>
              <c:idx val="31"/>
              <c:layout>
                <c:manualLayout>
                  <c:x val="-0.10184601059539163"/>
                  <c:y val="-0.33831526906718051"/>
                </c:manualLayout>
              </c:layout>
              <c:showLegendKey val="1"/>
              <c:showVal val="1"/>
              <c:showCatName val="1"/>
              <c:showSerName val="0"/>
              <c:showPercent val="0"/>
              <c:showBubbleSize val="0"/>
              <c:separator> </c:separator>
            </c:dLbl>
            <c:dLbl>
              <c:idx val="32"/>
              <c:layout>
                <c:manualLayout>
                  <c:x val="4.5672343901681086E-3"/>
                  <c:y val="-5.6971791699692777E-2"/>
                </c:manualLayout>
              </c:layout>
              <c:showLegendKey val="1"/>
              <c:showVal val="1"/>
              <c:showCatName val="1"/>
              <c:showSerName val="0"/>
              <c:showPercent val="0"/>
              <c:showBubbleSize val="0"/>
              <c:separator> </c:separator>
            </c:dLbl>
            <c:dLbl>
              <c:idx val="33"/>
              <c:layout>
                <c:manualLayout>
                  <c:x val="-3.9815788405732987E-2"/>
                  <c:y val="1.7007067733173366E-2"/>
                </c:manualLayout>
              </c:layout>
              <c:showLegendKey val="1"/>
              <c:showVal val="1"/>
              <c:showCatName val="1"/>
              <c:showSerName val="0"/>
              <c:showPercent val="0"/>
              <c:showBubbleSize val="0"/>
              <c:separator> </c:separator>
            </c:dLbl>
            <c:dLbl>
              <c:idx val="34"/>
              <c:layout>
                <c:manualLayout>
                  <c:x val="-3.4654482501286117E-2"/>
                  <c:y val="5.7205591466128546E-2"/>
                </c:manualLayout>
              </c:layout>
              <c:showLegendKey val="1"/>
              <c:showVal val="1"/>
              <c:showCatName val="1"/>
              <c:showSerName val="0"/>
              <c:showPercent val="0"/>
              <c:showBubbleSize val="0"/>
              <c:separator> </c:separator>
            </c:dLbl>
            <c:numFmt formatCode="#,##0" sourceLinked="0"/>
            <c:txPr>
              <a:bodyPr/>
              <a:lstStyle/>
              <a:p>
                <a:pPr>
                  <a:defRPr sz="1000" b="1" i="0" baseline="0"/>
                </a:pPr>
                <a:endParaRPr lang="es-CO"/>
              </a:p>
            </c:txPr>
            <c:showLegendKey val="1"/>
            <c:showVal val="1"/>
            <c:showCatName val="1"/>
            <c:showSerName val="0"/>
            <c:showPercent val="0"/>
            <c:showBubbleSize val="0"/>
            <c:separator> </c:separator>
            <c:showLeaderLines val="0"/>
          </c:dLbls>
          <c:cat>
            <c:strRef>
              <c:f>'COSTOS TOTALES AJUSTADOS'!$B$4:$B$38</c:f>
              <c:strCache>
                <c:ptCount val="22"/>
                <c:pt idx="0">
                  <c:v>ANTIOQUIA</c:v>
                </c:pt>
                <c:pt idx="1">
                  <c:v>BOLÍVAR</c:v>
                </c:pt>
                <c:pt idx="2">
                  <c:v>CALDAS</c:v>
                </c:pt>
                <c:pt idx="3">
                  <c:v>CAQUETÁ</c:v>
                </c:pt>
                <c:pt idx="4">
                  <c:v>CAUCA</c:v>
                </c:pt>
                <c:pt idx="5">
                  <c:v>CESAR</c:v>
                </c:pt>
                <c:pt idx="6">
                  <c:v>CÓRDOBA</c:v>
                </c:pt>
                <c:pt idx="7">
                  <c:v>CHOCÓ</c:v>
                </c:pt>
                <c:pt idx="8">
                  <c:v>HUILA</c:v>
                </c:pt>
                <c:pt idx="9">
                  <c:v>MAGDALENA</c:v>
                </c:pt>
                <c:pt idx="10">
                  <c:v>META</c:v>
                </c:pt>
                <c:pt idx="11">
                  <c:v>NARIÑO </c:v>
                </c:pt>
                <c:pt idx="12">
                  <c:v>NORTE DE SANTANDER</c:v>
                </c:pt>
                <c:pt idx="13">
                  <c:v>SUCRE</c:v>
                </c:pt>
                <c:pt idx="14">
                  <c:v>TOLIMA</c:v>
                </c:pt>
                <c:pt idx="15">
                  <c:v>VALLE DEL CAUCA</c:v>
                </c:pt>
                <c:pt idx="16">
                  <c:v>ARAUCA</c:v>
                </c:pt>
                <c:pt idx="17">
                  <c:v>CASANARE</c:v>
                </c:pt>
                <c:pt idx="18">
                  <c:v>PUTUMAYO</c:v>
                </c:pt>
                <c:pt idx="19">
                  <c:v>GUAVIARE</c:v>
                </c:pt>
                <c:pt idx="20">
                  <c:v>VAUPÉS</c:v>
                </c:pt>
                <c:pt idx="21">
                  <c:v>VICHADA</c:v>
                </c:pt>
              </c:strCache>
            </c:strRef>
          </c:cat>
          <c:val>
            <c:numRef>
              <c:f>'COSTOS TOTALES AJUSTADOS'!$C$4:$C$38</c:f>
              <c:numCache>
                <c:formatCode>_(* #,##0_);_(* \(#,##0\);_(* "-"??_);_(@_)</c:formatCode>
                <c:ptCount val="22"/>
                <c:pt idx="0">
                  <c:v>700</c:v>
                </c:pt>
                <c:pt idx="1">
                  <c:v>1800</c:v>
                </c:pt>
                <c:pt idx="2">
                  <c:v>100</c:v>
                </c:pt>
                <c:pt idx="3">
                  <c:v>1300</c:v>
                </c:pt>
                <c:pt idx="4">
                  <c:v>100</c:v>
                </c:pt>
                <c:pt idx="5">
                  <c:v>500</c:v>
                </c:pt>
                <c:pt idx="6">
                  <c:v>900</c:v>
                </c:pt>
                <c:pt idx="7">
                  <c:v>650</c:v>
                </c:pt>
                <c:pt idx="8">
                  <c:v>600</c:v>
                </c:pt>
                <c:pt idx="9">
                  <c:v>300</c:v>
                </c:pt>
                <c:pt idx="10">
                  <c:v>1100</c:v>
                </c:pt>
                <c:pt idx="11">
                  <c:v>1500</c:v>
                </c:pt>
                <c:pt idx="12">
                  <c:v>650</c:v>
                </c:pt>
                <c:pt idx="13">
                  <c:v>450</c:v>
                </c:pt>
                <c:pt idx="14">
                  <c:v>600</c:v>
                </c:pt>
                <c:pt idx="15">
                  <c:v>700</c:v>
                </c:pt>
                <c:pt idx="16">
                  <c:v>800</c:v>
                </c:pt>
                <c:pt idx="17">
                  <c:v>200</c:v>
                </c:pt>
                <c:pt idx="18">
                  <c:v>1000</c:v>
                </c:pt>
                <c:pt idx="19">
                  <c:v>600</c:v>
                </c:pt>
                <c:pt idx="20">
                  <c:v>100</c:v>
                </c:pt>
                <c:pt idx="21">
                  <c:v>350</c:v>
                </c:pt>
              </c:numCache>
            </c:numRef>
          </c:val>
        </c:ser>
        <c:dLbls>
          <c:showLegendKey val="0"/>
          <c:showVal val="0"/>
          <c:showCatName val="0"/>
          <c:showSerName val="0"/>
          <c:showPercent val="0"/>
          <c:showBubbleSize val="0"/>
        </c:dLbls>
        <c:axId val="226437376"/>
        <c:axId val="226467840"/>
      </c:radarChart>
      <c:catAx>
        <c:axId val="226437376"/>
        <c:scaling>
          <c:orientation val="minMax"/>
        </c:scaling>
        <c:delete val="1"/>
        <c:axPos val="b"/>
        <c:majorGridlines/>
        <c:numFmt formatCode="General" sourceLinked="0"/>
        <c:majorTickMark val="none"/>
        <c:minorTickMark val="none"/>
        <c:tickLblPos val="nextTo"/>
        <c:crossAx val="226467840"/>
        <c:crosses val="autoZero"/>
        <c:auto val="1"/>
        <c:lblAlgn val="ctr"/>
        <c:lblOffset val="100"/>
        <c:noMultiLvlLbl val="0"/>
      </c:catAx>
      <c:valAx>
        <c:axId val="226467840"/>
        <c:scaling>
          <c:orientation val="minMax"/>
          <c:max val="2000"/>
          <c:min val="0"/>
        </c:scaling>
        <c:delete val="0"/>
        <c:axPos val="l"/>
        <c:majorGridlines>
          <c:spPr>
            <a:ln>
              <a:gradFill>
                <a:gsLst>
                  <a:gs pos="0">
                    <a:schemeClr val="bg1">
                      <a:lumMod val="85000"/>
                    </a:schemeClr>
                  </a:gs>
                  <a:gs pos="50000">
                    <a:schemeClr val="accent1">
                      <a:tint val="44500"/>
                      <a:satMod val="160000"/>
                    </a:schemeClr>
                  </a:gs>
                  <a:gs pos="100000">
                    <a:schemeClr val="accent1">
                      <a:tint val="23500"/>
                      <a:satMod val="160000"/>
                    </a:schemeClr>
                  </a:gs>
                </a:gsLst>
                <a:lin ang="5400000" scaled="0"/>
              </a:gradFill>
            </a:ln>
          </c:spPr>
        </c:majorGridlines>
        <c:numFmt formatCode="#,##0" sourceLinked="0"/>
        <c:majorTickMark val="none"/>
        <c:minorTickMark val="none"/>
        <c:tickLblPos val="nextTo"/>
        <c:txPr>
          <a:bodyPr/>
          <a:lstStyle/>
          <a:p>
            <a:pPr>
              <a:defRPr sz="800" b="1" i="0" baseline="0"/>
            </a:pPr>
            <a:endParaRPr lang="es-CO"/>
          </a:p>
        </c:txPr>
        <c:crossAx val="226437376"/>
        <c:crosses val="autoZero"/>
        <c:crossBetween val="between"/>
        <c:majorUnit val="200"/>
        <c:minorUnit val="200"/>
      </c:valAx>
      <c:spPr>
        <a:noFill/>
        <a:ln w="25400">
          <a:noFill/>
        </a:ln>
      </c:spPr>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94E-2"/>
        </c:manualLayout>
      </c:layout>
      <c:overlay val="0"/>
    </c:title>
    <c:autoTitleDeleted val="0"/>
    <c:plotArea>
      <c:layout>
        <c:manualLayout>
          <c:layoutTarget val="inner"/>
          <c:xMode val="edge"/>
          <c:yMode val="edge"/>
          <c:x val="3.2103934202585872E-2"/>
          <c:y val="0.21428799705782448"/>
          <c:w val="0.94230554221151663"/>
          <c:h val="0.74644421368545677"/>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Dept'!$EZ$91:$EZ$99</c:f>
            </c:multiLvlStrRef>
          </c:cat>
          <c:val>
            <c:numRef>
              <c:f>'Res de Costos X Dept'!$FA$91:$FA$99</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322" l="0.70000000000000062" r="0.70000000000000062" t="0.750000000000003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05E-2"/>
        </c:manualLayout>
      </c:layout>
      <c:overlay val="0"/>
    </c:title>
    <c:autoTitleDeleted val="0"/>
    <c:plotArea>
      <c:layout>
        <c:manualLayout>
          <c:layoutTarget val="inner"/>
          <c:xMode val="edge"/>
          <c:yMode val="edge"/>
          <c:x val="3.2103934202585872E-2"/>
          <c:y val="0.21428799705782459"/>
          <c:w val="0.94230554221151663"/>
          <c:h val="0.74644421368545721"/>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Dept'!$FN$91:$FN$99</c:f>
              <c:strCache>
                <c:ptCount val="9"/>
                <c:pt idx="0">
                  <c:v>Transporte</c:v>
                </c:pt>
                <c:pt idx="1">
                  <c:v>Otros costos</c:v>
                </c:pt>
                <c:pt idx="2">
                  <c:v>Talento humano</c:v>
                </c:pt>
                <c:pt idx="3">
                  <c:v>Administración</c:v>
                </c:pt>
                <c:pt idx="4">
                  <c:v>Actividad de Cierre</c:v>
                </c:pt>
                <c:pt idx="5">
                  <c:v>Impuestos </c:v>
                </c:pt>
                <c:pt idx="6">
                  <c:v>Costos RR.HH Etapa Alistamiento</c:v>
                </c:pt>
                <c:pt idx="7">
                  <c:v>GMF</c:v>
                </c:pt>
                <c:pt idx="8">
                  <c:v>Polizas</c:v>
                </c:pt>
              </c:strCache>
            </c:strRef>
          </c:cat>
          <c:val>
            <c:numRef>
              <c:f>'Res de Costos X Dept'!$FO$91:$FO$99</c:f>
              <c:numCache>
                <c:formatCode>_("$"\ * #,##0_);_("$"\ * \(#,##0\);_("$"\ * "-"??_);_(@_)</c:formatCode>
                <c:ptCount val="9"/>
                <c:pt idx="0">
                  <c:v>137320683.51493233</c:v>
                </c:pt>
                <c:pt idx="1">
                  <c:v>88996742.411040038</c:v>
                </c:pt>
                <c:pt idx="2">
                  <c:v>53483347.013955534</c:v>
                </c:pt>
                <c:pt idx="3">
                  <c:v>22384061.835194234</c:v>
                </c:pt>
                <c:pt idx="4">
                  <c:v>7872143.2266988829</c:v>
                </c:pt>
                <c:pt idx="5">
                  <c:v>2919105.5039276802</c:v>
                </c:pt>
                <c:pt idx="6">
                  <c:v>2257116.1804518448</c:v>
                </c:pt>
                <c:pt idx="7">
                  <c:v>1223161.696578711</c:v>
                </c:pt>
                <c:pt idx="8">
                  <c:v>686483.86562786228</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344" l="0.70000000000000062" r="0.70000000000000062" t="0.75000000000000344" header="0.30000000000000032" footer="0.30000000000000032"/>
    <c:pageSetup/>
  </c:printSettings>
</c:chartSpace>
</file>

<file path=xl/ctrlProps/ctrlProp1.xml><?xml version="1.0" encoding="utf-8"?>
<formControlPr xmlns="http://schemas.microsoft.com/office/spreadsheetml/2009/9/main" objectType="Drop" dropStyle="combo" dx="16" fmlaLink="$I$7" fmlaRange="$B$151:$B$154" sel="2" val="0"/>
</file>

<file path=xl/ctrlProps/ctrlProp2.xml><?xml version="1.0" encoding="utf-8"?>
<formControlPr xmlns="http://schemas.microsoft.com/office/spreadsheetml/2009/9/main" objectType="Drop" dropStyle="combo" dx="16" fmlaLink="$I$8" fmlaRange="$B$151:$B$154" sel="2" val="0"/>
</file>

<file path=xl/ctrlProps/ctrlProp3.xml><?xml version="1.0" encoding="utf-8"?>
<formControlPr xmlns="http://schemas.microsoft.com/office/spreadsheetml/2009/9/main" objectType="Drop" dropStyle="combo" dx="16" fmlaLink="$I$11" fmlaRange="$B$151:$B$154" val="0"/>
</file>

<file path=xl/ctrlProps/ctrlProp4.xml><?xml version="1.0" encoding="utf-8"?>
<formControlPr xmlns="http://schemas.microsoft.com/office/spreadsheetml/2009/9/main" objectType="Drop" dropStyle="combo" dx="16" fmlaLink="$I$11" fmlaRange="$B$36:$B$38" val="0"/>
</file>

<file path=xl/ctrlProps/ctrlProp5.xml><?xml version="1.0" encoding="utf-8"?>
<formControlPr xmlns="http://schemas.microsoft.com/office/spreadsheetml/2009/9/main" objectType="Drop" dropStyle="combo" dx="16" fmlaLink="$B$26" fmlaRange="$E$25:$E$30" sel="2" val="0"/>
</file>

<file path=xl/diagrams/colors1.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D4CC36B-6F72-4D4E-A3F4-58C8353CF00A}" type="doc">
      <dgm:prSet loTypeId="urn:microsoft.com/office/officeart/2005/8/layout/orgChart1" loCatId="hierarchy" qsTypeId="urn:microsoft.com/office/officeart/2005/8/quickstyle/simple2" qsCatId="simple" csTypeId="urn:microsoft.com/office/officeart/2005/8/colors/accent3_1" csCatId="accent3" phldr="1"/>
      <dgm:spPr/>
      <dgm:t>
        <a:bodyPr/>
        <a:lstStyle/>
        <a:p>
          <a:endParaRPr lang="es-CO"/>
        </a:p>
      </dgm:t>
    </dgm:pt>
    <dgm:pt modelId="{68939711-FFEF-444C-B83C-B908708C0074}">
      <dgm:prSet phldrT="[Texto]" custT="1"/>
      <dgm:spPr>
        <a:solidFill>
          <a:srgbClr val="92D050"/>
        </a:solidFill>
      </dgm:spPr>
      <dgm:t>
        <a:bodyPr/>
        <a:lstStyle/>
        <a:p>
          <a:r>
            <a:rPr lang="es-CO" sz="1200" b="1">
              <a:latin typeface="Arial  "/>
            </a:rPr>
            <a:t>COORDINADOR  GENERAL</a:t>
          </a:r>
        </a:p>
      </dgm:t>
    </dgm:pt>
    <dgm:pt modelId="{1FE5894F-EA3C-4B3D-82DF-2D35A2A8887A}" type="parTrans" cxnId="{6D7CE200-C79D-4F1D-AF4B-B883166B9773}">
      <dgm:prSet/>
      <dgm:spPr/>
      <dgm:t>
        <a:bodyPr/>
        <a:lstStyle/>
        <a:p>
          <a:endParaRPr lang="es-CO" sz="1400" b="1">
            <a:latin typeface="Arial  "/>
          </a:endParaRPr>
        </a:p>
      </dgm:t>
    </dgm:pt>
    <dgm:pt modelId="{29CB02CB-E277-409D-85D6-3E35068FAF67}" type="sibTrans" cxnId="{6D7CE200-C79D-4F1D-AF4B-B883166B9773}">
      <dgm:prSet/>
      <dgm:spPr/>
      <dgm:t>
        <a:bodyPr/>
        <a:lstStyle/>
        <a:p>
          <a:endParaRPr lang="es-CO" sz="1400" b="1">
            <a:latin typeface="Arial  "/>
          </a:endParaRPr>
        </a:p>
      </dgm:t>
    </dgm:pt>
    <dgm:pt modelId="{500E74DC-34B5-4675-8936-EAA12414C5D9}" type="asst">
      <dgm:prSet phldrT="[Texto]" custT="1"/>
      <dgm:spPr>
        <a:solidFill>
          <a:srgbClr val="92D050"/>
        </a:solidFill>
      </dgm:spPr>
      <dgm:t>
        <a:bodyPr/>
        <a:lstStyle/>
        <a:p>
          <a:r>
            <a:rPr lang="es-CO" sz="1200" b="1">
              <a:latin typeface="Arial  "/>
            </a:rPr>
            <a:t>COORDINADOR DE GARANTIAS DE DERECHO</a:t>
          </a:r>
        </a:p>
      </dgm:t>
    </dgm:pt>
    <dgm:pt modelId="{0E69EB79-AACA-4B67-9142-D5F9E2E0333B}" type="parTrans" cxnId="{6FAC2DBC-A90F-4D80-9025-E7C940D2DEDF}">
      <dgm:prSet/>
      <dgm:spPr/>
      <dgm:t>
        <a:bodyPr/>
        <a:lstStyle/>
        <a:p>
          <a:endParaRPr lang="es-CO" sz="1400" b="1">
            <a:latin typeface="Arial  "/>
          </a:endParaRPr>
        </a:p>
      </dgm:t>
    </dgm:pt>
    <dgm:pt modelId="{A639ACA1-009A-4567-915D-3C0DBABA12CE}" type="sibTrans" cxnId="{6FAC2DBC-A90F-4D80-9025-E7C940D2DEDF}">
      <dgm:prSet/>
      <dgm:spPr/>
      <dgm:t>
        <a:bodyPr/>
        <a:lstStyle/>
        <a:p>
          <a:endParaRPr lang="es-CO" sz="1400" b="1">
            <a:latin typeface="Arial  "/>
          </a:endParaRPr>
        </a:p>
      </dgm:t>
    </dgm:pt>
    <dgm:pt modelId="{6E4A69BC-E337-4FD5-9D69-4B7232FAF14E}">
      <dgm:prSet phldrT="[Texto]" custT="1"/>
      <dgm:spPr/>
      <dgm:t>
        <a:bodyPr/>
        <a:lstStyle/>
        <a:p>
          <a:r>
            <a:rPr lang="es-CO" sz="1200" b="1">
              <a:latin typeface="Arial  "/>
            </a:rPr>
            <a:t>COORDINADOR METODOLOGICO</a:t>
          </a:r>
        </a:p>
      </dgm:t>
    </dgm:pt>
    <dgm:pt modelId="{5B4763F4-71B1-402C-A925-DD92849D9F7A}" type="parTrans" cxnId="{975C3F47-9961-486C-86F3-3CC205ECB3C5}">
      <dgm:prSet/>
      <dgm:spPr/>
      <dgm:t>
        <a:bodyPr/>
        <a:lstStyle/>
        <a:p>
          <a:endParaRPr lang="es-CO" sz="1400" b="1">
            <a:latin typeface="Arial  "/>
          </a:endParaRPr>
        </a:p>
      </dgm:t>
    </dgm:pt>
    <dgm:pt modelId="{F3107F7A-2BA0-4B7B-A6EA-B4D0FC2ADCFA}" type="sibTrans" cxnId="{975C3F47-9961-486C-86F3-3CC205ECB3C5}">
      <dgm:prSet/>
      <dgm:spPr/>
      <dgm:t>
        <a:bodyPr/>
        <a:lstStyle/>
        <a:p>
          <a:endParaRPr lang="es-CO" sz="1400" b="1">
            <a:latin typeface="Arial  "/>
          </a:endParaRPr>
        </a:p>
      </dgm:t>
    </dgm:pt>
    <dgm:pt modelId="{8E2BF36E-A33D-4ABA-B78D-78526F7A3CEC}" type="asst">
      <dgm:prSet phldrT="[Texto]" custT="1"/>
      <dgm:spPr>
        <a:solidFill>
          <a:srgbClr val="92D050"/>
        </a:solidFill>
      </dgm:spPr>
      <dgm:t>
        <a:bodyPr/>
        <a:lstStyle/>
        <a:p>
          <a:r>
            <a:rPr lang="es-CO" sz="1200" b="1">
              <a:latin typeface="Arial  "/>
            </a:rPr>
            <a:t>GESTOR ADMINISTRATIVO</a:t>
          </a:r>
        </a:p>
      </dgm:t>
    </dgm:pt>
    <dgm:pt modelId="{BA7E8E95-C29E-42AE-A1E1-606C3879E9BB}" type="parTrans" cxnId="{ACDE3533-F65E-4E74-A753-7E17A22C7EBD}">
      <dgm:prSet/>
      <dgm:spPr/>
      <dgm:t>
        <a:bodyPr/>
        <a:lstStyle/>
        <a:p>
          <a:endParaRPr lang="es-CO" sz="1400" b="1">
            <a:latin typeface="Arial  "/>
          </a:endParaRPr>
        </a:p>
      </dgm:t>
    </dgm:pt>
    <dgm:pt modelId="{4EB9F58A-70FA-4BC1-BC59-7FF1C6DE5F4B}" type="sibTrans" cxnId="{ACDE3533-F65E-4E74-A753-7E17A22C7EBD}">
      <dgm:prSet/>
      <dgm:spPr/>
      <dgm:t>
        <a:bodyPr/>
        <a:lstStyle/>
        <a:p>
          <a:endParaRPr lang="es-CO" sz="1400" b="1">
            <a:latin typeface="Arial  "/>
          </a:endParaRPr>
        </a:p>
      </dgm:t>
    </dgm:pt>
    <dgm:pt modelId="{73FA433C-615C-4B91-8E1E-8D60A58F1CAF}">
      <dgm:prSet phldrT="[Texto]" custT="1"/>
      <dgm:spPr/>
      <dgm:t>
        <a:bodyPr/>
        <a:lstStyle/>
        <a:p>
          <a:r>
            <a:rPr lang="es-CO" sz="1200" b="1">
              <a:latin typeface="Arial  "/>
            </a:rPr>
            <a:t>PROMOTOR DE DERECHOS</a:t>
          </a:r>
        </a:p>
      </dgm:t>
    </dgm:pt>
    <dgm:pt modelId="{7108E767-B101-4317-A92F-E02ABE2227B8}" type="parTrans" cxnId="{D05D1136-032B-474E-8044-49234B617949}">
      <dgm:prSet/>
      <dgm:spPr/>
      <dgm:t>
        <a:bodyPr/>
        <a:lstStyle/>
        <a:p>
          <a:endParaRPr lang="es-CO" sz="1400" b="1">
            <a:latin typeface="Arial  "/>
          </a:endParaRPr>
        </a:p>
      </dgm:t>
    </dgm:pt>
    <dgm:pt modelId="{864BAA6E-2A76-4134-9337-4B3F7F8063A9}" type="sibTrans" cxnId="{D05D1136-032B-474E-8044-49234B617949}">
      <dgm:prSet/>
      <dgm:spPr/>
      <dgm:t>
        <a:bodyPr/>
        <a:lstStyle/>
        <a:p>
          <a:endParaRPr lang="es-CO" sz="1400" b="1">
            <a:latin typeface="Arial  "/>
          </a:endParaRPr>
        </a:p>
      </dgm:t>
    </dgm:pt>
    <dgm:pt modelId="{70188702-2146-4578-A929-14AD60A0C716}" type="pres">
      <dgm:prSet presAssocID="{BD4CC36B-6F72-4D4E-A3F4-58C8353CF00A}" presName="hierChild1" presStyleCnt="0">
        <dgm:presLayoutVars>
          <dgm:orgChart val="1"/>
          <dgm:chPref val="1"/>
          <dgm:dir/>
          <dgm:animOne val="branch"/>
          <dgm:animLvl val="lvl"/>
          <dgm:resizeHandles/>
        </dgm:presLayoutVars>
      </dgm:prSet>
      <dgm:spPr/>
      <dgm:t>
        <a:bodyPr/>
        <a:lstStyle/>
        <a:p>
          <a:endParaRPr lang="es-CO"/>
        </a:p>
      </dgm:t>
    </dgm:pt>
    <dgm:pt modelId="{E76098E3-3CAA-4039-8965-D3953557C2CA}" type="pres">
      <dgm:prSet presAssocID="{68939711-FFEF-444C-B83C-B908708C0074}" presName="hierRoot1" presStyleCnt="0">
        <dgm:presLayoutVars>
          <dgm:hierBranch val="init"/>
        </dgm:presLayoutVars>
      </dgm:prSet>
      <dgm:spPr/>
    </dgm:pt>
    <dgm:pt modelId="{0E533534-B6CA-4B15-9FDE-9B240EDBB904}" type="pres">
      <dgm:prSet presAssocID="{68939711-FFEF-444C-B83C-B908708C0074}" presName="rootComposite1" presStyleCnt="0"/>
      <dgm:spPr/>
    </dgm:pt>
    <dgm:pt modelId="{C36C1DC4-D155-4A9E-A707-8DB619419791}" type="pres">
      <dgm:prSet presAssocID="{68939711-FFEF-444C-B83C-B908708C0074}" presName="rootText1" presStyleLbl="node0" presStyleIdx="0" presStyleCnt="1" custScaleX="253995" custLinFactNeighborX="24669" custLinFactNeighborY="1827">
        <dgm:presLayoutVars>
          <dgm:chPref val="3"/>
        </dgm:presLayoutVars>
      </dgm:prSet>
      <dgm:spPr/>
      <dgm:t>
        <a:bodyPr/>
        <a:lstStyle/>
        <a:p>
          <a:endParaRPr lang="es-CO"/>
        </a:p>
      </dgm:t>
    </dgm:pt>
    <dgm:pt modelId="{8B0346A9-E2FE-4D9B-8EA5-2D3DCBA7B242}" type="pres">
      <dgm:prSet presAssocID="{68939711-FFEF-444C-B83C-B908708C0074}" presName="rootConnector1" presStyleLbl="node1" presStyleIdx="0" presStyleCnt="0"/>
      <dgm:spPr/>
      <dgm:t>
        <a:bodyPr/>
        <a:lstStyle/>
        <a:p>
          <a:endParaRPr lang="es-CO"/>
        </a:p>
      </dgm:t>
    </dgm:pt>
    <dgm:pt modelId="{57E89A3B-FB24-4C18-8C16-613BA4DB721A}" type="pres">
      <dgm:prSet presAssocID="{68939711-FFEF-444C-B83C-B908708C0074}" presName="hierChild2" presStyleCnt="0"/>
      <dgm:spPr/>
    </dgm:pt>
    <dgm:pt modelId="{B9636846-CCCC-4752-8587-91C259A7F4BC}" type="pres">
      <dgm:prSet presAssocID="{5B4763F4-71B1-402C-A925-DD92849D9F7A}" presName="Name37" presStyleLbl="parChTrans1D2" presStyleIdx="0" presStyleCnt="3"/>
      <dgm:spPr/>
      <dgm:t>
        <a:bodyPr/>
        <a:lstStyle/>
        <a:p>
          <a:endParaRPr lang="es-CO"/>
        </a:p>
      </dgm:t>
    </dgm:pt>
    <dgm:pt modelId="{8754953D-9765-4634-AC0E-F15A8A147E56}" type="pres">
      <dgm:prSet presAssocID="{6E4A69BC-E337-4FD5-9D69-4B7232FAF14E}" presName="hierRoot2" presStyleCnt="0">
        <dgm:presLayoutVars>
          <dgm:hierBranch val="init"/>
        </dgm:presLayoutVars>
      </dgm:prSet>
      <dgm:spPr/>
    </dgm:pt>
    <dgm:pt modelId="{68A75784-D723-4961-8E96-939A4E73095E}" type="pres">
      <dgm:prSet presAssocID="{6E4A69BC-E337-4FD5-9D69-4B7232FAF14E}" presName="rootComposite" presStyleCnt="0"/>
      <dgm:spPr/>
    </dgm:pt>
    <dgm:pt modelId="{553B4D0B-78FF-49B8-BF53-668B91DF7A9E}" type="pres">
      <dgm:prSet presAssocID="{6E4A69BC-E337-4FD5-9D69-4B7232FAF14E}" presName="rootText" presStyleLbl="node2" presStyleIdx="0" presStyleCnt="1" custScaleX="253995" custLinFactNeighborX="24669" custLinFactNeighborY="1827">
        <dgm:presLayoutVars>
          <dgm:chPref val="3"/>
        </dgm:presLayoutVars>
      </dgm:prSet>
      <dgm:spPr/>
      <dgm:t>
        <a:bodyPr/>
        <a:lstStyle/>
        <a:p>
          <a:endParaRPr lang="es-CO"/>
        </a:p>
      </dgm:t>
    </dgm:pt>
    <dgm:pt modelId="{7FE5D4B2-6E7C-4ADB-A2AA-6D5033F2C368}" type="pres">
      <dgm:prSet presAssocID="{6E4A69BC-E337-4FD5-9D69-4B7232FAF14E}" presName="rootConnector" presStyleLbl="node2" presStyleIdx="0" presStyleCnt="1"/>
      <dgm:spPr/>
      <dgm:t>
        <a:bodyPr/>
        <a:lstStyle/>
        <a:p>
          <a:endParaRPr lang="es-CO"/>
        </a:p>
      </dgm:t>
    </dgm:pt>
    <dgm:pt modelId="{7B162883-9E7F-457F-B062-99F284783841}" type="pres">
      <dgm:prSet presAssocID="{6E4A69BC-E337-4FD5-9D69-4B7232FAF14E}" presName="hierChild4" presStyleCnt="0"/>
      <dgm:spPr/>
    </dgm:pt>
    <dgm:pt modelId="{1CAF15AB-E19C-4EC1-8086-3110A1102BF3}" type="pres">
      <dgm:prSet presAssocID="{7108E767-B101-4317-A92F-E02ABE2227B8}" presName="Name37" presStyleLbl="parChTrans1D3" presStyleIdx="0" presStyleCnt="1"/>
      <dgm:spPr/>
      <dgm:t>
        <a:bodyPr/>
        <a:lstStyle/>
        <a:p>
          <a:endParaRPr lang="es-CO"/>
        </a:p>
      </dgm:t>
    </dgm:pt>
    <dgm:pt modelId="{7A1347BC-C924-4B4C-BF71-BC00552649F9}" type="pres">
      <dgm:prSet presAssocID="{73FA433C-615C-4B91-8E1E-8D60A58F1CAF}" presName="hierRoot2" presStyleCnt="0">
        <dgm:presLayoutVars>
          <dgm:hierBranch val="init"/>
        </dgm:presLayoutVars>
      </dgm:prSet>
      <dgm:spPr/>
    </dgm:pt>
    <dgm:pt modelId="{7C3F6894-4F6D-4C2A-B8CA-6D57B733C6D4}" type="pres">
      <dgm:prSet presAssocID="{73FA433C-615C-4B91-8E1E-8D60A58F1CAF}" presName="rootComposite" presStyleCnt="0"/>
      <dgm:spPr/>
    </dgm:pt>
    <dgm:pt modelId="{2E850680-5152-4ED2-A1CA-3292BA82A259}" type="pres">
      <dgm:prSet presAssocID="{73FA433C-615C-4B91-8E1E-8D60A58F1CAF}" presName="rootText" presStyleLbl="node3" presStyleIdx="0" presStyleCnt="1" custScaleX="242530" custLinFactNeighborX="23755" custLinFactNeighborY="-1827">
        <dgm:presLayoutVars>
          <dgm:chPref val="3"/>
        </dgm:presLayoutVars>
      </dgm:prSet>
      <dgm:spPr/>
      <dgm:t>
        <a:bodyPr/>
        <a:lstStyle/>
        <a:p>
          <a:endParaRPr lang="es-CO"/>
        </a:p>
      </dgm:t>
    </dgm:pt>
    <dgm:pt modelId="{4EBDA474-FD1F-4A94-BB4C-C75E0DFD53B2}" type="pres">
      <dgm:prSet presAssocID="{73FA433C-615C-4B91-8E1E-8D60A58F1CAF}" presName="rootConnector" presStyleLbl="node3" presStyleIdx="0" presStyleCnt="1"/>
      <dgm:spPr/>
      <dgm:t>
        <a:bodyPr/>
        <a:lstStyle/>
        <a:p>
          <a:endParaRPr lang="es-CO"/>
        </a:p>
      </dgm:t>
    </dgm:pt>
    <dgm:pt modelId="{E84B9BBD-5584-41A2-8CCC-C995F8D36698}" type="pres">
      <dgm:prSet presAssocID="{73FA433C-615C-4B91-8E1E-8D60A58F1CAF}" presName="hierChild4" presStyleCnt="0"/>
      <dgm:spPr/>
    </dgm:pt>
    <dgm:pt modelId="{B1665661-0AFF-45D8-ACB5-0BAE9C51FA1E}" type="pres">
      <dgm:prSet presAssocID="{73FA433C-615C-4B91-8E1E-8D60A58F1CAF}" presName="hierChild5" presStyleCnt="0"/>
      <dgm:spPr/>
    </dgm:pt>
    <dgm:pt modelId="{8E36CB48-A1A3-4812-92FA-071E583DF640}" type="pres">
      <dgm:prSet presAssocID="{6E4A69BC-E337-4FD5-9D69-4B7232FAF14E}" presName="hierChild5" presStyleCnt="0"/>
      <dgm:spPr/>
    </dgm:pt>
    <dgm:pt modelId="{DB3E56CF-5AA2-483B-AEBB-9330E499DD17}" type="pres">
      <dgm:prSet presAssocID="{68939711-FFEF-444C-B83C-B908708C0074}" presName="hierChild3" presStyleCnt="0"/>
      <dgm:spPr/>
    </dgm:pt>
    <dgm:pt modelId="{0EBC1BB1-F90E-4C53-9CD5-01D19D7029BF}" type="pres">
      <dgm:prSet presAssocID="{0E69EB79-AACA-4B67-9142-D5F9E2E0333B}" presName="Name111" presStyleLbl="parChTrans1D2" presStyleIdx="1" presStyleCnt="3"/>
      <dgm:spPr/>
      <dgm:t>
        <a:bodyPr/>
        <a:lstStyle/>
        <a:p>
          <a:endParaRPr lang="es-CO"/>
        </a:p>
      </dgm:t>
    </dgm:pt>
    <dgm:pt modelId="{246F646B-6424-4EBA-A153-A1E9C3D3ACA4}" type="pres">
      <dgm:prSet presAssocID="{500E74DC-34B5-4675-8936-EAA12414C5D9}" presName="hierRoot3" presStyleCnt="0">
        <dgm:presLayoutVars>
          <dgm:hierBranch val="init"/>
        </dgm:presLayoutVars>
      </dgm:prSet>
      <dgm:spPr/>
    </dgm:pt>
    <dgm:pt modelId="{91394F21-D2F5-46AE-BF98-64C786FD7EA7}" type="pres">
      <dgm:prSet presAssocID="{500E74DC-34B5-4675-8936-EAA12414C5D9}" presName="rootComposite3" presStyleCnt="0"/>
      <dgm:spPr/>
    </dgm:pt>
    <dgm:pt modelId="{4046F638-E507-43D0-B020-703CFCF199BE}" type="pres">
      <dgm:prSet presAssocID="{500E74DC-34B5-4675-8936-EAA12414C5D9}" presName="rootText3" presStyleLbl="asst1" presStyleIdx="0" presStyleCnt="2" custScaleX="253995" custLinFactNeighborX="24669" custLinFactNeighborY="1827">
        <dgm:presLayoutVars>
          <dgm:chPref val="3"/>
        </dgm:presLayoutVars>
      </dgm:prSet>
      <dgm:spPr/>
      <dgm:t>
        <a:bodyPr/>
        <a:lstStyle/>
        <a:p>
          <a:endParaRPr lang="es-CO"/>
        </a:p>
      </dgm:t>
    </dgm:pt>
    <dgm:pt modelId="{1399746F-B077-4738-8DAE-2F45E11E084A}" type="pres">
      <dgm:prSet presAssocID="{500E74DC-34B5-4675-8936-EAA12414C5D9}" presName="rootConnector3" presStyleLbl="asst1" presStyleIdx="0" presStyleCnt="2"/>
      <dgm:spPr/>
      <dgm:t>
        <a:bodyPr/>
        <a:lstStyle/>
        <a:p>
          <a:endParaRPr lang="es-CO"/>
        </a:p>
      </dgm:t>
    </dgm:pt>
    <dgm:pt modelId="{C4A95AEC-6F6E-4D91-8B06-7DB1A2738EB5}" type="pres">
      <dgm:prSet presAssocID="{500E74DC-34B5-4675-8936-EAA12414C5D9}" presName="hierChild6" presStyleCnt="0"/>
      <dgm:spPr/>
    </dgm:pt>
    <dgm:pt modelId="{5672C176-1677-4CE0-B86B-F630ABFEE3DF}" type="pres">
      <dgm:prSet presAssocID="{500E74DC-34B5-4675-8936-EAA12414C5D9}" presName="hierChild7" presStyleCnt="0"/>
      <dgm:spPr/>
    </dgm:pt>
    <dgm:pt modelId="{86CC18BD-0522-46EE-A141-D13FB4B1A51A}" type="pres">
      <dgm:prSet presAssocID="{BA7E8E95-C29E-42AE-A1E1-606C3879E9BB}" presName="Name111" presStyleLbl="parChTrans1D2" presStyleIdx="2" presStyleCnt="3"/>
      <dgm:spPr/>
      <dgm:t>
        <a:bodyPr/>
        <a:lstStyle/>
        <a:p>
          <a:endParaRPr lang="es-CO"/>
        </a:p>
      </dgm:t>
    </dgm:pt>
    <dgm:pt modelId="{70958047-C8C2-4E69-927A-7545BAF2C17E}" type="pres">
      <dgm:prSet presAssocID="{8E2BF36E-A33D-4ABA-B78D-78526F7A3CEC}" presName="hierRoot3" presStyleCnt="0">
        <dgm:presLayoutVars>
          <dgm:hierBranch val="init"/>
        </dgm:presLayoutVars>
      </dgm:prSet>
      <dgm:spPr/>
    </dgm:pt>
    <dgm:pt modelId="{73D88748-3EE3-4E3C-9341-AC7BAF9D4C2D}" type="pres">
      <dgm:prSet presAssocID="{8E2BF36E-A33D-4ABA-B78D-78526F7A3CEC}" presName="rootComposite3" presStyleCnt="0"/>
      <dgm:spPr/>
    </dgm:pt>
    <dgm:pt modelId="{1DE29B64-2818-44A6-BC97-F0E829C2414B}" type="pres">
      <dgm:prSet presAssocID="{8E2BF36E-A33D-4ABA-B78D-78526F7A3CEC}" presName="rootText3" presStyleLbl="asst1" presStyleIdx="1" presStyleCnt="2" custScaleX="253995" custLinFactNeighborX="24669" custLinFactNeighborY="1827">
        <dgm:presLayoutVars>
          <dgm:chPref val="3"/>
        </dgm:presLayoutVars>
      </dgm:prSet>
      <dgm:spPr/>
      <dgm:t>
        <a:bodyPr/>
        <a:lstStyle/>
        <a:p>
          <a:endParaRPr lang="es-CO"/>
        </a:p>
      </dgm:t>
    </dgm:pt>
    <dgm:pt modelId="{FEB7DAC5-63EC-4890-ABFD-279B5E60EBB7}" type="pres">
      <dgm:prSet presAssocID="{8E2BF36E-A33D-4ABA-B78D-78526F7A3CEC}" presName="rootConnector3" presStyleLbl="asst1" presStyleIdx="1" presStyleCnt="2"/>
      <dgm:spPr/>
      <dgm:t>
        <a:bodyPr/>
        <a:lstStyle/>
        <a:p>
          <a:endParaRPr lang="es-CO"/>
        </a:p>
      </dgm:t>
    </dgm:pt>
    <dgm:pt modelId="{2400B66E-1408-4050-8660-0EF8243D04E9}" type="pres">
      <dgm:prSet presAssocID="{8E2BF36E-A33D-4ABA-B78D-78526F7A3CEC}" presName="hierChild6" presStyleCnt="0"/>
      <dgm:spPr/>
    </dgm:pt>
    <dgm:pt modelId="{0FEB8F1D-E944-478E-93A8-48CDADB61D21}" type="pres">
      <dgm:prSet presAssocID="{8E2BF36E-A33D-4ABA-B78D-78526F7A3CEC}" presName="hierChild7" presStyleCnt="0"/>
      <dgm:spPr/>
    </dgm:pt>
  </dgm:ptLst>
  <dgm:cxnLst>
    <dgm:cxn modelId="{53DB5214-FEB4-422A-8C8F-3AA45A6108AA}" type="presOf" srcId="{BD4CC36B-6F72-4D4E-A3F4-58C8353CF00A}" destId="{70188702-2146-4578-A929-14AD60A0C716}" srcOrd="0" destOrd="0" presId="urn:microsoft.com/office/officeart/2005/8/layout/orgChart1"/>
    <dgm:cxn modelId="{427266B8-EAB7-4379-8B18-828070BEDA03}" type="presOf" srcId="{500E74DC-34B5-4675-8936-EAA12414C5D9}" destId="{4046F638-E507-43D0-B020-703CFCF199BE}" srcOrd="0" destOrd="0" presId="urn:microsoft.com/office/officeart/2005/8/layout/orgChart1"/>
    <dgm:cxn modelId="{802CCB7E-7A9F-4D6D-83D5-F44436847ABE}" type="presOf" srcId="{7108E767-B101-4317-A92F-E02ABE2227B8}" destId="{1CAF15AB-E19C-4EC1-8086-3110A1102BF3}" srcOrd="0" destOrd="0" presId="urn:microsoft.com/office/officeart/2005/8/layout/orgChart1"/>
    <dgm:cxn modelId="{6D7CE200-C79D-4F1D-AF4B-B883166B9773}" srcId="{BD4CC36B-6F72-4D4E-A3F4-58C8353CF00A}" destId="{68939711-FFEF-444C-B83C-B908708C0074}" srcOrd="0" destOrd="0" parTransId="{1FE5894F-EA3C-4B3D-82DF-2D35A2A8887A}" sibTransId="{29CB02CB-E277-409D-85D6-3E35068FAF67}"/>
    <dgm:cxn modelId="{773271AD-ECFB-4A30-87CF-C6957DC255D6}" type="presOf" srcId="{BA7E8E95-C29E-42AE-A1E1-606C3879E9BB}" destId="{86CC18BD-0522-46EE-A141-D13FB4B1A51A}" srcOrd="0" destOrd="0" presId="urn:microsoft.com/office/officeart/2005/8/layout/orgChart1"/>
    <dgm:cxn modelId="{55740113-80DF-4264-94F0-1AC60B5B7516}" type="presOf" srcId="{8E2BF36E-A33D-4ABA-B78D-78526F7A3CEC}" destId="{FEB7DAC5-63EC-4890-ABFD-279B5E60EBB7}" srcOrd="1" destOrd="0" presId="urn:microsoft.com/office/officeart/2005/8/layout/orgChart1"/>
    <dgm:cxn modelId="{80DBC0E8-6667-499F-AA40-483EAB246D91}" type="presOf" srcId="{73FA433C-615C-4B91-8E1E-8D60A58F1CAF}" destId="{4EBDA474-FD1F-4A94-BB4C-C75E0DFD53B2}" srcOrd="1" destOrd="0" presId="urn:microsoft.com/office/officeart/2005/8/layout/orgChart1"/>
    <dgm:cxn modelId="{975C3F47-9961-486C-86F3-3CC205ECB3C5}" srcId="{68939711-FFEF-444C-B83C-B908708C0074}" destId="{6E4A69BC-E337-4FD5-9D69-4B7232FAF14E}" srcOrd="2" destOrd="0" parTransId="{5B4763F4-71B1-402C-A925-DD92849D9F7A}" sibTransId="{F3107F7A-2BA0-4B7B-A6EA-B4D0FC2ADCFA}"/>
    <dgm:cxn modelId="{A8311378-231C-4BC2-8A13-7BDCC0210E79}" type="presOf" srcId="{500E74DC-34B5-4675-8936-EAA12414C5D9}" destId="{1399746F-B077-4738-8DAE-2F45E11E084A}" srcOrd="1" destOrd="0" presId="urn:microsoft.com/office/officeart/2005/8/layout/orgChart1"/>
    <dgm:cxn modelId="{72638197-CF3A-45DE-BD59-77B7D8C62583}" type="presOf" srcId="{73FA433C-615C-4B91-8E1E-8D60A58F1CAF}" destId="{2E850680-5152-4ED2-A1CA-3292BA82A259}" srcOrd="0" destOrd="0" presId="urn:microsoft.com/office/officeart/2005/8/layout/orgChart1"/>
    <dgm:cxn modelId="{9C2BDA5E-DEDB-43DF-B4D6-ABADCE9599BF}" type="presOf" srcId="{68939711-FFEF-444C-B83C-B908708C0074}" destId="{8B0346A9-E2FE-4D9B-8EA5-2D3DCBA7B242}" srcOrd="1" destOrd="0" presId="urn:microsoft.com/office/officeart/2005/8/layout/orgChart1"/>
    <dgm:cxn modelId="{405930B2-2D22-43CF-A49B-A66DB236B332}" type="presOf" srcId="{68939711-FFEF-444C-B83C-B908708C0074}" destId="{C36C1DC4-D155-4A9E-A707-8DB619419791}" srcOrd="0" destOrd="0" presId="urn:microsoft.com/office/officeart/2005/8/layout/orgChart1"/>
    <dgm:cxn modelId="{98570EEA-D5BE-4751-B863-E31B43BC47BD}" type="presOf" srcId="{0E69EB79-AACA-4B67-9142-D5F9E2E0333B}" destId="{0EBC1BB1-F90E-4C53-9CD5-01D19D7029BF}" srcOrd="0" destOrd="0" presId="urn:microsoft.com/office/officeart/2005/8/layout/orgChart1"/>
    <dgm:cxn modelId="{ACDE3533-F65E-4E74-A753-7E17A22C7EBD}" srcId="{68939711-FFEF-444C-B83C-B908708C0074}" destId="{8E2BF36E-A33D-4ABA-B78D-78526F7A3CEC}" srcOrd="1" destOrd="0" parTransId="{BA7E8E95-C29E-42AE-A1E1-606C3879E9BB}" sibTransId="{4EB9F58A-70FA-4BC1-BC59-7FF1C6DE5F4B}"/>
    <dgm:cxn modelId="{7C7B3596-D1E5-4AA1-9139-5C178C56EEE0}" type="presOf" srcId="{8E2BF36E-A33D-4ABA-B78D-78526F7A3CEC}" destId="{1DE29B64-2818-44A6-BC97-F0E829C2414B}" srcOrd="0" destOrd="0" presId="urn:microsoft.com/office/officeart/2005/8/layout/orgChart1"/>
    <dgm:cxn modelId="{6B718E2D-F40F-4316-AC6B-5DF456736C54}" type="presOf" srcId="{5B4763F4-71B1-402C-A925-DD92849D9F7A}" destId="{B9636846-CCCC-4752-8587-91C259A7F4BC}" srcOrd="0" destOrd="0" presId="urn:microsoft.com/office/officeart/2005/8/layout/orgChart1"/>
    <dgm:cxn modelId="{82A391D0-42CB-4124-A7AF-E68AD1A95ED5}" type="presOf" srcId="{6E4A69BC-E337-4FD5-9D69-4B7232FAF14E}" destId="{7FE5D4B2-6E7C-4ADB-A2AA-6D5033F2C368}" srcOrd="1" destOrd="0" presId="urn:microsoft.com/office/officeart/2005/8/layout/orgChart1"/>
    <dgm:cxn modelId="{6FAC2DBC-A90F-4D80-9025-E7C940D2DEDF}" srcId="{68939711-FFEF-444C-B83C-B908708C0074}" destId="{500E74DC-34B5-4675-8936-EAA12414C5D9}" srcOrd="0" destOrd="0" parTransId="{0E69EB79-AACA-4B67-9142-D5F9E2E0333B}" sibTransId="{A639ACA1-009A-4567-915D-3C0DBABA12CE}"/>
    <dgm:cxn modelId="{63AAE3A7-4570-4CB5-A0CD-DC1048326417}" type="presOf" srcId="{6E4A69BC-E337-4FD5-9D69-4B7232FAF14E}" destId="{553B4D0B-78FF-49B8-BF53-668B91DF7A9E}" srcOrd="0" destOrd="0" presId="urn:microsoft.com/office/officeart/2005/8/layout/orgChart1"/>
    <dgm:cxn modelId="{D05D1136-032B-474E-8044-49234B617949}" srcId="{6E4A69BC-E337-4FD5-9D69-4B7232FAF14E}" destId="{73FA433C-615C-4B91-8E1E-8D60A58F1CAF}" srcOrd="0" destOrd="0" parTransId="{7108E767-B101-4317-A92F-E02ABE2227B8}" sibTransId="{864BAA6E-2A76-4134-9337-4B3F7F8063A9}"/>
    <dgm:cxn modelId="{4FC40B62-591A-4086-B03B-939A75AD1B32}" type="presParOf" srcId="{70188702-2146-4578-A929-14AD60A0C716}" destId="{E76098E3-3CAA-4039-8965-D3953557C2CA}" srcOrd="0" destOrd="0" presId="urn:microsoft.com/office/officeart/2005/8/layout/orgChart1"/>
    <dgm:cxn modelId="{23C29890-A48A-446C-B3C6-8CF05E3DACA8}" type="presParOf" srcId="{E76098E3-3CAA-4039-8965-D3953557C2CA}" destId="{0E533534-B6CA-4B15-9FDE-9B240EDBB904}" srcOrd="0" destOrd="0" presId="urn:microsoft.com/office/officeart/2005/8/layout/orgChart1"/>
    <dgm:cxn modelId="{C2195FED-F86A-4AF7-B4CF-AC348E9C9A5E}" type="presParOf" srcId="{0E533534-B6CA-4B15-9FDE-9B240EDBB904}" destId="{C36C1DC4-D155-4A9E-A707-8DB619419791}" srcOrd="0" destOrd="0" presId="urn:microsoft.com/office/officeart/2005/8/layout/orgChart1"/>
    <dgm:cxn modelId="{1A54B528-EDD6-46EC-9472-801C8E5E860B}" type="presParOf" srcId="{0E533534-B6CA-4B15-9FDE-9B240EDBB904}" destId="{8B0346A9-E2FE-4D9B-8EA5-2D3DCBA7B242}" srcOrd="1" destOrd="0" presId="urn:microsoft.com/office/officeart/2005/8/layout/orgChart1"/>
    <dgm:cxn modelId="{FEC36914-0F0D-491E-943E-3FFDC76BCE40}" type="presParOf" srcId="{E76098E3-3CAA-4039-8965-D3953557C2CA}" destId="{57E89A3B-FB24-4C18-8C16-613BA4DB721A}" srcOrd="1" destOrd="0" presId="urn:microsoft.com/office/officeart/2005/8/layout/orgChart1"/>
    <dgm:cxn modelId="{A439BA14-6E40-4022-998A-08B539032D5A}" type="presParOf" srcId="{57E89A3B-FB24-4C18-8C16-613BA4DB721A}" destId="{B9636846-CCCC-4752-8587-91C259A7F4BC}" srcOrd="0" destOrd="0" presId="urn:microsoft.com/office/officeart/2005/8/layout/orgChart1"/>
    <dgm:cxn modelId="{DF6D751F-FC54-4D17-8636-C945A31A3F0E}" type="presParOf" srcId="{57E89A3B-FB24-4C18-8C16-613BA4DB721A}" destId="{8754953D-9765-4634-AC0E-F15A8A147E56}" srcOrd="1" destOrd="0" presId="urn:microsoft.com/office/officeart/2005/8/layout/orgChart1"/>
    <dgm:cxn modelId="{F59DE0CA-07B0-4160-805A-06A6BD06665D}" type="presParOf" srcId="{8754953D-9765-4634-AC0E-F15A8A147E56}" destId="{68A75784-D723-4961-8E96-939A4E73095E}" srcOrd="0" destOrd="0" presId="urn:microsoft.com/office/officeart/2005/8/layout/orgChart1"/>
    <dgm:cxn modelId="{E5D3AC1D-946C-4D91-BFB5-C262A5F5D2F1}" type="presParOf" srcId="{68A75784-D723-4961-8E96-939A4E73095E}" destId="{553B4D0B-78FF-49B8-BF53-668B91DF7A9E}" srcOrd="0" destOrd="0" presId="urn:microsoft.com/office/officeart/2005/8/layout/orgChart1"/>
    <dgm:cxn modelId="{7FAAAEE1-4999-4A7C-9205-F12D793B1831}" type="presParOf" srcId="{68A75784-D723-4961-8E96-939A4E73095E}" destId="{7FE5D4B2-6E7C-4ADB-A2AA-6D5033F2C368}" srcOrd="1" destOrd="0" presId="urn:microsoft.com/office/officeart/2005/8/layout/orgChart1"/>
    <dgm:cxn modelId="{935FC01B-A41F-4A85-AD75-5C46C4E7705E}" type="presParOf" srcId="{8754953D-9765-4634-AC0E-F15A8A147E56}" destId="{7B162883-9E7F-457F-B062-99F284783841}" srcOrd="1" destOrd="0" presId="urn:microsoft.com/office/officeart/2005/8/layout/orgChart1"/>
    <dgm:cxn modelId="{85E0DC56-E350-4826-9597-8864FE6A76C3}" type="presParOf" srcId="{7B162883-9E7F-457F-B062-99F284783841}" destId="{1CAF15AB-E19C-4EC1-8086-3110A1102BF3}" srcOrd="0" destOrd="0" presId="urn:microsoft.com/office/officeart/2005/8/layout/orgChart1"/>
    <dgm:cxn modelId="{9BE2879F-628F-4CCF-BE08-732794AB49F3}" type="presParOf" srcId="{7B162883-9E7F-457F-B062-99F284783841}" destId="{7A1347BC-C924-4B4C-BF71-BC00552649F9}" srcOrd="1" destOrd="0" presId="urn:microsoft.com/office/officeart/2005/8/layout/orgChart1"/>
    <dgm:cxn modelId="{0FACEA2C-BF85-4D89-A609-CB3D6231CFC5}" type="presParOf" srcId="{7A1347BC-C924-4B4C-BF71-BC00552649F9}" destId="{7C3F6894-4F6D-4C2A-B8CA-6D57B733C6D4}" srcOrd="0" destOrd="0" presId="urn:microsoft.com/office/officeart/2005/8/layout/orgChart1"/>
    <dgm:cxn modelId="{AFEB3BC1-C926-4C54-8B2A-319915092A25}" type="presParOf" srcId="{7C3F6894-4F6D-4C2A-B8CA-6D57B733C6D4}" destId="{2E850680-5152-4ED2-A1CA-3292BA82A259}" srcOrd="0" destOrd="0" presId="urn:microsoft.com/office/officeart/2005/8/layout/orgChart1"/>
    <dgm:cxn modelId="{4CDF355C-4EA1-4170-92E6-B2B4C5FE0284}" type="presParOf" srcId="{7C3F6894-4F6D-4C2A-B8CA-6D57B733C6D4}" destId="{4EBDA474-FD1F-4A94-BB4C-C75E0DFD53B2}" srcOrd="1" destOrd="0" presId="urn:microsoft.com/office/officeart/2005/8/layout/orgChart1"/>
    <dgm:cxn modelId="{973F77D7-5FAC-4B0A-8130-CD3428A6482A}" type="presParOf" srcId="{7A1347BC-C924-4B4C-BF71-BC00552649F9}" destId="{E84B9BBD-5584-41A2-8CCC-C995F8D36698}" srcOrd="1" destOrd="0" presId="urn:microsoft.com/office/officeart/2005/8/layout/orgChart1"/>
    <dgm:cxn modelId="{DACA7542-DF00-4773-984B-C39244B28D13}" type="presParOf" srcId="{7A1347BC-C924-4B4C-BF71-BC00552649F9}" destId="{B1665661-0AFF-45D8-ACB5-0BAE9C51FA1E}" srcOrd="2" destOrd="0" presId="urn:microsoft.com/office/officeart/2005/8/layout/orgChart1"/>
    <dgm:cxn modelId="{D5984A20-25E4-4E4D-BA44-396783E97719}" type="presParOf" srcId="{8754953D-9765-4634-AC0E-F15A8A147E56}" destId="{8E36CB48-A1A3-4812-92FA-071E583DF640}" srcOrd="2" destOrd="0" presId="urn:microsoft.com/office/officeart/2005/8/layout/orgChart1"/>
    <dgm:cxn modelId="{B5D6820A-EC27-4372-8063-2D5A73C61613}" type="presParOf" srcId="{E76098E3-3CAA-4039-8965-D3953557C2CA}" destId="{DB3E56CF-5AA2-483B-AEBB-9330E499DD17}" srcOrd="2" destOrd="0" presId="urn:microsoft.com/office/officeart/2005/8/layout/orgChart1"/>
    <dgm:cxn modelId="{FF9B604E-7932-4C4C-9C8A-EF7D970E526F}" type="presParOf" srcId="{DB3E56CF-5AA2-483B-AEBB-9330E499DD17}" destId="{0EBC1BB1-F90E-4C53-9CD5-01D19D7029BF}" srcOrd="0" destOrd="0" presId="urn:microsoft.com/office/officeart/2005/8/layout/orgChart1"/>
    <dgm:cxn modelId="{3A26E498-A7BC-4AFE-9A51-24CA59773D55}" type="presParOf" srcId="{DB3E56CF-5AA2-483B-AEBB-9330E499DD17}" destId="{246F646B-6424-4EBA-A153-A1E9C3D3ACA4}" srcOrd="1" destOrd="0" presId="urn:microsoft.com/office/officeart/2005/8/layout/orgChart1"/>
    <dgm:cxn modelId="{81C0922F-9930-4840-B317-7DEC183B7D12}" type="presParOf" srcId="{246F646B-6424-4EBA-A153-A1E9C3D3ACA4}" destId="{91394F21-D2F5-46AE-BF98-64C786FD7EA7}" srcOrd="0" destOrd="0" presId="urn:microsoft.com/office/officeart/2005/8/layout/orgChart1"/>
    <dgm:cxn modelId="{F9406D34-0247-4055-9573-B23E522FF0DB}" type="presParOf" srcId="{91394F21-D2F5-46AE-BF98-64C786FD7EA7}" destId="{4046F638-E507-43D0-B020-703CFCF199BE}" srcOrd="0" destOrd="0" presId="urn:microsoft.com/office/officeart/2005/8/layout/orgChart1"/>
    <dgm:cxn modelId="{5F5DFFF4-2E4C-4915-9BB4-0AA9F5D3DDA4}" type="presParOf" srcId="{91394F21-D2F5-46AE-BF98-64C786FD7EA7}" destId="{1399746F-B077-4738-8DAE-2F45E11E084A}" srcOrd="1" destOrd="0" presId="urn:microsoft.com/office/officeart/2005/8/layout/orgChart1"/>
    <dgm:cxn modelId="{2F4D16DF-70B2-4D64-B8A6-651BAF80A5D0}" type="presParOf" srcId="{246F646B-6424-4EBA-A153-A1E9C3D3ACA4}" destId="{C4A95AEC-6F6E-4D91-8B06-7DB1A2738EB5}" srcOrd="1" destOrd="0" presId="urn:microsoft.com/office/officeart/2005/8/layout/orgChart1"/>
    <dgm:cxn modelId="{40BA69ED-8089-425B-8B12-89C68AC41554}" type="presParOf" srcId="{246F646B-6424-4EBA-A153-A1E9C3D3ACA4}" destId="{5672C176-1677-4CE0-B86B-F630ABFEE3DF}" srcOrd="2" destOrd="0" presId="urn:microsoft.com/office/officeart/2005/8/layout/orgChart1"/>
    <dgm:cxn modelId="{210A94DA-9705-4B3F-AC6B-CEC1E9D73E15}" type="presParOf" srcId="{DB3E56CF-5AA2-483B-AEBB-9330E499DD17}" destId="{86CC18BD-0522-46EE-A141-D13FB4B1A51A}" srcOrd="2" destOrd="0" presId="urn:microsoft.com/office/officeart/2005/8/layout/orgChart1"/>
    <dgm:cxn modelId="{B094E99B-9E77-45AB-A3BE-C7579E651CE0}" type="presParOf" srcId="{DB3E56CF-5AA2-483B-AEBB-9330E499DD17}" destId="{70958047-C8C2-4E69-927A-7545BAF2C17E}" srcOrd="3" destOrd="0" presId="urn:microsoft.com/office/officeart/2005/8/layout/orgChart1"/>
    <dgm:cxn modelId="{8BE68B50-F6BB-4F67-B33A-73A8DDEE8566}" type="presParOf" srcId="{70958047-C8C2-4E69-927A-7545BAF2C17E}" destId="{73D88748-3EE3-4E3C-9341-AC7BAF9D4C2D}" srcOrd="0" destOrd="0" presId="urn:microsoft.com/office/officeart/2005/8/layout/orgChart1"/>
    <dgm:cxn modelId="{78875CC0-C19A-469B-B5BE-CA16FD4ED075}" type="presParOf" srcId="{73D88748-3EE3-4E3C-9341-AC7BAF9D4C2D}" destId="{1DE29B64-2818-44A6-BC97-F0E829C2414B}" srcOrd="0" destOrd="0" presId="urn:microsoft.com/office/officeart/2005/8/layout/orgChart1"/>
    <dgm:cxn modelId="{613612BB-BFC4-44BD-A3DC-25ECD0BACB5F}" type="presParOf" srcId="{73D88748-3EE3-4E3C-9341-AC7BAF9D4C2D}" destId="{FEB7DAC5-63EC-4890-ABFD-279B5E60EBB7}" srcOrd="1" destOrd="0" presId="urn:microsoft.com/office/officeart/2005/8/layout/orgChart1"/>
    <dgm:cxn modelId="{767B66DF-8FED-43E9-BBFA-61F350CDF70D}" type="presParOf" srcId="{70958047-C8C2-4E69-927A-7545BAF2C17E}" destId="{2400B66E-1408-4050-8660-0EF8243D04E9}" srcOrd="1" destOrd="0" presId="urn:microsoft.com/office/officeart/2005/8/layout/orgChart1"/>
    <dgm:cxn modelId="{BA7A6BDE-3018-425A-B12C-86EE8FB5AF4F}" type="presParOf" srcId="{70958047-C8C2-4E69-927A-7545BAF2C17E}" destId="{0FEB8F1D-E944-478E-93A8-48CDADB61D21}"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9" Type="http://schemas.openxmlformats.org/officeDocument/2006/relationships/chart" Target="../charts/chart37.xml"/><Relationship Id="rId21" Type="http://schemas.openxmlformats.org/officeDocument/2006/relationships/chart" Target="../charts/chart19.xml"/><Relationship Id="rId34" Type="http://schemas.openxmlformats.org/officeDocument/2006/relationships/chart" Target="../charts/chart32.xml"/><Relationship Id="rId42" Type="http://schemas.openxmlformats.org/officeDocument/2006/relationships/chart" Target="../charts/chart40.xml"/><Relationship Id="rId47" Type="http://schemas.openxmlformats.org/officeDocument/2006/relationships/chart" Target="../charts/chart45.xml"/><Relationship Id="rId50" Type="http://schemas.openxmlformats.org/officeDocument/2006/relationships/chart" Target="../charts/chart48.xml"/><Relationship Id="rId55" Type="http://schemas.openxmlformats.org/officeDocument/2006/relationships/chart" Target="../charts/chart53.xml"/><Relationship Id="rId63" Type="http://schemas.openxmlformats.org/officeDocument/2006/relationships/chart" Target="../charts/chart61.xml"/><Relationship Id="rId68" Type="http://schemas.openxmlformats.org/officeDocument/2006/relationships/chart" Target="../charts/chart66.xml"/><Relationship Id="rId76" Type="http://schemas.openxmlformats.org/officeDocument/2006/relationships/chart" Target="../charts/chart74.xml"/><Relationship Id="rId7" Type="http://schemas.openxmlformats.org/officeDocument/2006/relationships/chart" Target="../charts/chart5.xml"/><Relationship Id="rId71" Type="http://schemas.openxmlformats.org/officeDocument/2006/relationships/chart" Target="../charts/chart69.xml"/><Relationship Id="rId2" Type="http://schemas.openxmlformats.org/officeDocument/2006/relationships/image" Target="../media/image4.jpeg"/><Relationship Id="rId16" Type="http://schemas.openxmlformats.org/officeDocument/2006/relationships/chart" Target="../charts/chart14.xml"/><Relationship Id="rId29" Type="http://schemas.openxmlformats.org/officeDocument/2006/relationships/chart" Target="../charts/chart27.xml"/><Relationship Id="rId11" Type="http://schemas.openxmlformats.org/officeDocument/2006/relationships/chart" Target="../charts/chart9.xml"/><Relationship Id="rId24" Type="http://schemas.openxmlformats.org/officeDocument/2006/relationships/chart" Target="../charts/chart22.xml"/><Relationship Id="rId32" Type="http://schemas.openxmlformats.org/officeDocument/2006/relationships/chart" Target="../charts/chart30.xml"/><Relationship Id="rId37" Type="http://schemas.openxmlformats.org/officeDocument/2006/relationships/chart" Target="../charts/chart35.xml"/><Relationship Id="rId40" Type="http://schemas.openxmlformats.org/officeDocument/2006/relationships/chart" Target="../charts/chart38.xml"/><Relationship Id="rId45" Type="http://schemas.openxmlformats.org/officeDocument/2006/relationships/chart" Target="../charts/chart43.xml"/><Relationship Id="rId53" Type="http://schemas.openxmlformats.org/officeDocument/2006/relationships/chart" Target="../charts/chart51.xml"/><Relationship Id="rId58" Type="http://schemas.openxmlformats.org/officeDocument/2006/relationships/chart" Target="../charts/chart56.xml"/><Relationship Id="rId66" Type="http://schemas.openxmlformats.org/officeDocument/2006/relationships/chart" Target="../charts/chart64.xml"/><Relationship Id="rId74" Type="http://schemas.openxmlformats.org/officeDocument/2006/relationships/chart" Target="../charts/chart72.xml"/><Relationship Id="rId5" Type="http://schemas.openxmlformats.org/officeDocument/2006/relationships/chart" Target="../charts/chart3.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36" Type="http://schemas.openxmlformats.org/officeDocument/2006/relationships/chart" Target="../charts/chart34.xml"/><Relationship Id="rId49" Type="http://schemas.openxmlformats.org/officeDocument/2006/relationships/chart" Target="../charts/chart47.xml"/><Relationship Id="rId57" Type="http://schemas.openxmlformats.org/officeDocument/2006/relationships/chart" Target="../charts/chart55.xml"/><Relationship Id="rId61" Type="http://schemas.openxmlformats.org/officeDocument/2006/relationships/chart" Target="../charts/chart59.xml"/><Relationship Id="rId10" Type="http://schemas.openxmlformats.org/officeDocument/2006/relationships/chart" Target="../charts/chart8.xml"/><Relationship Id="rId19" Type="http://schemas.openxmlformats.org/officeDocument/2006/relationships/chart" Target="../charts/chart17.xml"/><Relationship Id="rId31" Type="http://schemas.openxmlformats.org/officeDocument/2006/relationships/chart" Target="../charts/chart29.xml"/><Relationship Id="rId44" Type="http://schemas.openxmlformats.org/officeDocument/2006/relationships/chart" Target="../charts/chart42.xml"/><Relationship Id="rId52" Type="http://schemas.openxmlformats.org/officeDocument/2006/relationships/chart" Target="../charts/chart50.xml"/><Relationship Id="rId60" Type="http://schemas.openxmlformats.org/officeDocument/2006/relationships/chart" Target="../charts/chart58.xml"/><Relationship Id="rId65" Type="http://schemas.openxmlformats.org/officeDocument/2006/relationships/chart" Target="../charts/chart63.xml"/><Relationship Id="rId73" Type="http://schemas.openxmlformats.org/officeDocument/2006/relationships/chart" Target="../charts/chart71.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 Id="rId35" Type="http://schemas.openxmlformats.org/officeDocument/2006/relationships/chart" Target="../charts/chart33.xml"/><Relationship Id="rId43" Type="http://schemas.openxmlformats.org/officeDocument/2006/relationships/chart" Target="../charts/chart41.xml"/><Relationship Id="rId48" Type="http://schemas.openxmlformats.org/officeDocument/2006/relationships/chart" Target="../charts/chart46.xml"/><Relationship Id="rId56" Type="http://schemas.openxmlformats.org/officeDocument/2006/relationships/chart" Target="../charts/chart54.xml"/><Relationship Id="rId64" Type="http://schemas.openxmlformats.org/officeDocument/2006/relationships/chart" Target="../charts/chart62.xml"/><Relationship Id="rId69" Type="http://schemas.openxmlformats.org/officeDocument/2006/relationships/chart" Target="../charts/chart67.xml"/><Relationship Id="rId8" Type="http://schemas.openxmlformats.org/officeDocument/2006/relationships/chart" Target="../charts/chart6.xml"/><Relationship Id="rId51" Type="http://schemas.openxmlformats.org/officeDocument/2006/relationships/chart" Target="../charts/chart49.xml"/><Relationship Id="rId72" Type="http://schemas.openxmlformats.org/officeDocument/2006/relationships/chart" Target="../charts/chart70.xml"/><Relationship Id="rId3" Type="http://schemas.openxmlformats.org/officeDocument/2006/relationships/chart" Target="../charts/chart1.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chart" Target="../charts/chart31.xml"/><Relationship Id="rId38" Type="http://schemas.openxmlformats.org/officeDocument/2006/relationships/chart" Target="../charts/chart36.xml"/><Relationship Id="rId46" Type="http://schemas.openxmlformats.org/officeDocument/2006/relationships/chart" Target="../charts/chart44.xml"/><Relationship Id="rId59" Type="http://schemas.openxmlformats.org/officeDocument/2006/relationships/chart" Target="../charts/chart57.xml"/><Relationship Id="rId67" Type="http://schemas.openxmlformats.org/officeDocument/2006/relationships/chart" Target="../charts/chart65.xml"/><Relationship Id="rId20" Type="http://schemas.openxmlformats.org/officeDocument/2006/relationships/chart" Target="../charts/chart18.xml"/><Relationship Id="rId41" Type="http://schemas.openxmlformats.org/officeDocument/2006/relationships/chart" Target="../charts/chart39.xml"/><Relationship Id="rId54" Type="http://schemas.openxmlformats.org/officeDocument/2006/relationships/chart" Target="../charts/chart52.xml"/><Relationship Id="rId62" Type="http://schemas.openxmlformats.org/officeDocument/2006/relationships/chart" Target="../charts/chart60.xml"/><Relationship Id="rId70" Type="http://schemas.openxmlformats.org/officeDocument/2006/relationships/chart" Target="../charts/chart68.xml"/><Relationship Id="rId75" Type="http://schemas.openxmlformats.org/officeDocument/2006/relationships/chart" Target="../charts/chart73.xml"/><Relationship Id="rId1" Type="http://schemas.openxmlformats.org/officeDocument/2006/relationships/image" Target="../media/image2.jpeg"/><Relationship Id="rId6"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drawing1.xml><?xml version="1.0" encoding="utf-8"?>
<xdr:wsDr xmlns:xdr="http://schemas.openxmlformats.org/drawingml/2006/spreadsheetDrawing" xmlns:a="http://schemas.openxmlformats.org/drawingml/2006/main">
  <xdr:twoCellAnchor editAs="oneCell">
    <xdr:from>
      <xdr:col>1</xdr:col>
      <xdr:colOff>43395</xdr:colOff>
      <xdr:row>55</xdr:row>
      <xdr:rowOff>102660</xdr:rowOff>
    </xdr:from>
    <xdr:to>
      <xdr:col>2</xdr:col>
      <xdr:colOff>44451</xdr:colOff>
      <xdr:row>57</xdr:row>
      <xdr:rowOff>152400</xdr:rowOff>
    </xdr:to>
    <xdr:pic>
      <xdr:nvPicPr>
        <xdr:cNvPr id="5"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370" y="14066310"/>
          <a:ext cx="2991906" cy="487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91703</xdr:colOff>
      <xdr:row>88</xdr:row>
      <xdr:rowOff>110940</xdr:rowOff>
    </xdr:from>
    <xdr:to>
      <xdr:col>14</xdr:col>
      <xdr:colOff>586754</xdr:colOff>
      <xdr:row>91</xdr:row>
      <xdr:rowOff>176938</xdr:rowOff>
    </xdr:to>
    <xdr:pic>
      <xdr:nvPicPr>
        <xdr:cNvPr id="6"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4438" y="22309793"/>
          <a:ext cx="3543051" cy="681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10273</xdr:colOff>
      <xdr:row>119</xdr:row>
      <xdr:rowOff>118782</xdr:rowOff>
    </xdr:from>
    <xdr:to>
      <xdr:col>17</xdr:col>
      <xdr:colOff>487019</xdr:colOff>
      <xdr:row>123</xdr:row>
      <xdr:rowOff>131418</xdr:rowOff>
    </xdr:to>
    <xdr:pic>
      <xdr:nvPicPr>
        <xdr:cNvPr id="7"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7008" y="29265282"/>
          <a:ext cx="4286746" cy="832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790575</xdr:colOff>
          <xdr:row>6</xdr:row>
          <xdr:rowOff>28575</xdr:rowOff>
        </xdr:from>
        <xdr:to>
          <xdr:col>8</xdr:col>
          <xdr:colOff>733425</xdr:colOff>
          <xdr:row>6</xdr:row>
          <xdr:rowOff>228600</xdr:rowOff>
        </xdr:to>
        <xdr:sp macro="" textlink="">
          <xdr:nvSpPr>
            <xdr:cNvPr id="5124" name="Drop Down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7</xdr:row>
          <xdr:rowOff>38100</xdr:rowOff>
        </xdr:from>
        <xdr:to>
          <xdr:col>8</xdr:col>
          <xdr:colOff>733425</xdr:colOff>
          <xdr:row>7</xdr:row>
          <xdr:rowOff>238125</xdr:rowOff>
        </xdr:to>
        <xdr:sp macro="" textlink="">
          <xdr:nvSpPr>
            <xdr:cNvPr id="5125" name="Drop Down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28575</xdr:rowOff>
        </xdr:from>
        <xdr:to>
          <xdr:col>8</xdr:col>
          <xdr:colOff>733425</xdr:colOff>
          <xdr:row>10</xdr:row>
          <xdr:rowOff>238125</xdr:rowOff>
        </xdr:to>
        <xdr:sp macro="" textlink="">
          <xdr:nvSpPr>
            <xdr:cNvPr id="5133" name="Drop Down 13" hidden="1">
              <a:extLst>
                <a:ext uri="{63B3BB69-23CF-44E3-9099-C40C66FF867C}">
                  <a14:compatExt spid="_x0000_s5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47625</xdr:rowOff>
        </xdr:from>
        <xdr:to>
          <xdr:col>1</xdr:col>
          <xdr:colOff>2847975</xdr:colOff>
          <xdr:row>32</xdr:row>
          <xdr:rowOff>247650</xdr:rowOff>
        </xdr:to>
        <xdr:sp macro="" textlink="">
          <xdr:nvSpPr>
            <xdr:cNvPr id="5137" name="Drop Down 17" hidden="1">
              <a:extLst>
                <a:ext uri="{63B3BB69-23CF-44E3-9099-C40C66FF867C}">
                  <a14:compatExt spid="_x0000_s5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28575</xdr:rowOff>
        </xdr:from>
        <xdr:to>
          <xdr:col>1</xdr:col>
          <xdr:colOff>2895600</xdr:colOff>
          <xdr:row>25</xdr:row>
          <xdr:rowOff>228600</xdr:rowOff>
        </xdr:to>
        <xdr:sp macro="" textlink="">
          <xdr:nvSpPr>
            <xdr:cNvPr id="5138" name="Drop Down 18" hidden="1">
              <a:extLst>
                <a:ext uri="{63B3BB69-23CF-44E3-9099-C40C66FF867C}">
                  <a14:compatExt spid="_x0000_s513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0</xdr:colOff>
      <xdr:row>3</xdr:row>
      <xdr:rowOff>193674</xdr:rowOff>
    </xdr:from>
    <xdr:to>
      <xdr:col>32</xdr:col>
      <xdr:colOff>402167</xdr:colOff>
      <xdr:row>18</xdr:row>
      <xdr:rowOff>79374</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32</xdr:col>
      <xdr:colOff>409576</xdr:colOff>
      <xdr:row>4</xdr:row>
      <xdr:rowOff>150284</xdr:rowOff>
    </xdr:from>
    <xdr:to>
      <xdr:col>32</xdr:col>
      <xdr:colOff>723900</xdr:colOff>
      <xdr:row>10</xdr:row>
      <xdr:rowOff>178859</xdr:rowOff>
    </xdr:to>
    <xdr:sp macro="" textlink="">
      <xdr:nvSpPr>
        <xdr:cNvPr id="3" name="2 Cerrar llave"/>
        <xdr:cNvSpPr/>
      </xdr:nvSpPr>
      <xdr:spPr>
        <a:xfrm>
          <a:off x="21798493" y="1526117"/>
          <a:ext cx="314324" cy="1330325"/>
        </a:xfrm>
        <a:prstGeom prst="rightBrace">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31</xdr:col>
      <xdr:colOff>190500</xdr:colOff>
      <xdr:row>13</xdr:row>
      <xdr:rowOff>74083</xdr:rowOff>
    </xdr:from>
    <xdr:to>
      <xdr:col>32</xdr:col>
      <xdr:colOff>744141</xdr:colOff>
      <xdr:row>13</xdr:row>
      <xdr:rowOff>74084</xdr:rowOff>
    </xdr:to>
    <xdr:cxnSp macro="">
      <xdr:nvCxnSpPr>
        <xdr:cNvPr id="4" name="3 Conector recto de flecha"/>
        <xdr:cNvCxnSpPr/>
      </xdr:nvCxnSpPr>
      <xdr:spPr>
        <a:xfrm>
          <a:off x="20817417" y="3397250"/>
          <a:ext cx="1315641" cy="1"/>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31</xdr:col>
      <xdr:colOff>533400</xdr:colOff>
      <xdr:row>17</xdr:row>
      <xdr:rowOff>43391</xdr:rowOff>
    </xdr:from>
    <xdr:to>
      <xdr:col>32</xdr:col>
      <xdr:colOff>704850</xdr:colOff>
      <xdr:row>17</xdr:row>
      <xdr:rowOff>43391</xdr:rowOff>
    </xdr:to>
    <xdr:cxnSp macro="">
      <xdr:nvCxnSpPr>
        <xdr:cNvPr id="5" name="4 Conector recto de flecha"/>
        <xdr:cNvCxnSpPr/>
      </xdr:nvCxnSpPr>
      <xdr:spPr>
        <a:xfrm>
          <a:off x="21160317" y="4234391"/>
          <a:ext cx="933450" cy="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819150</xdr:colOff>
      <xdr:row>3</xdr:row>
      <xdr:rowOff>9525</xdr:rowOff>
    </xdr:from>
    <xdr:to>
      <xdr:col>1</xdr:col>
      <xdr:colOff>1562100</xdr:colOff>
      <xdr:row>8</xdr:row>
      <xdr:rowOff>57151</xdr:rowOff>
    </xdr:to>
    <xdr:pic>
      <xdr:nvPicPr>
        <xdr:cNvPr id="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076325" y="504825"/>
          <a:ext cx="742950" cy="857250"/>
        </a:xfrm>
        <a:prstGeom prst="rect">
          <a:avLst/>
        </a:prstGeom>
        <a:noFill/>
        <a:ln w="9525">
          <a:noFill/>
          <a:miter lim="800000"/>
          <a:headEnd/>
          <a:tailEnd/>
        </a:ln>
      </xdr:spPr>
    </xdr:pic>
    <xdr:clientData/>
  </xdr:twoCellAnchor>
  <xdr:twoCellAnchor>
    <xdr:from>
      <xdr:col>1</xdr:col>
      <xdr:colOff>2533650</xdr:colOff>
      <xdr:row>2</xdr:row>
      <xdr:rowOff>142875</xdr:rowOff>
    </xdr:from>
    <xdr:to>
      <xdr:col>6</xdr:col>
      <xdr:colOff>619532</xdr:colOff>
      <xdr:row>8</xdr:row>
      <xdr:rowOff>29470</xdr:rowOff>
    </xdr:to>
    <xdr:sp macro="" textlink="">
      <xdr:nvSpPr>
        <xdr:cNvPr id="6" name="5 CuadroTexto"/>
        <xdr:cNvSpPr txBox="1"/>
      </xdr:nvSpPr>
      <xdr:spPr>
        <a:xfrm>
          <a:off x="2790825" y="476250"/>
          <a:ext cx="4877207" cy="858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xdr:from>
      <xdr:col>7</xdr:col>
      <xdr:colOff>323850</xdr:colOff>
      <xdr:row>3</xdr:row>
      <xdr:rowOff>123825</xdr:rowOff>
    </xdr:from>
    <xdr:to>
      <xdr:col>8</xdr:col>
      <xdr:colOff>642735</xdr:colOff>
      <xdr:row>8</xdr:row>
      <xdr:rowOff>18652</xdr:rowOff>
    </xdr:to>
    <xdr:pic>
      <xdr:nvPicPr>
        <xdr:cNvPr id="7"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9048750" y="704850"/>
          <a:ext cx="1080885" cy="847327"/>
        </a:xfrm>
        <a:prstGeom prst="rect">
          <a:avLst/>
        </a:prstGeom>
        <a:noFill/>
        <a:ln w="9525">
          <a:noFill/>
          <a:miter lim="800000"/>
          <a:headEnd/>
          <a:tailEnd/>
        </a:ln>
      </xdr:spPr>
    </xdr:pic>
    <xdr:clientData/>
  </xdr:twoCellAnchor>
  <xdr:twoCellAnchor editAs="oneCell">
    <xdr:from>
      <xdr:col>1</xdr:col>
      <xdr:colOff>638174</xdr:colOff>
      <xdr:row>40</xdr:row>
      <xdr:rowOff>112058</xdr:rowOff>
    </xdr:from>
    <xdr:to>
      <xdr:col>1</xdr:col>
      <xdr:colOff>1404326</xdr:colOff>
      <xdr:row>46</xdr:row>
      <xdr:rowOff>56029</xdr:rowOff>
    </xdr:to>
    <xdr:pic>
      <xdr:nvPicPr>
        <xdr:cNvPr id="2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895909" y="6600264"/>
          <a:ext cx="766152" cy="885265"/>
        </a:xfrm>
        <a:prstGeom prst="rect">
          <a:avLst/>
        </a:prstGeom>
        <a:noFill/>
        <a:ln w="9525">
          <a:noFill/>
          <a:miter lim="800000"/>
          <a:headEnd/>
          <a:tailEnd/>
        </a:ln>
      </xdr:spPr>
    </xdr:pic>
    <xdr:clientData/>
  </xdr:twoCellAnchor>
  <xdr:twoCellAnchor>
    <xdr:from>
      <xdr:col>7</xdr:col>
      <xdr:colOff>193999</xdr:colOff>
      <xdr:row>41</xdr:row>
      <xdr:rowOff>80838</xdr:rowOff>
    </xdr:from>
    <xdr:to>
      <xdr:col>8</xdr:col>
      <xdr:colOff>512884</xdr:colOff>
      <xdr:row>45</xdr:row>
      <xdr:rowOff>166165</xdr:rowOff>
    </xdr:to>
    <xdr:pic>
      <xdr:nvPicPr>
        <xdr:cNvPr id="26"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8223574" y="652338"/>
          <a:ext cx="1147560" cy="875902"/>
        </a:xfrm>
        <a:prstGeom prst="rect">
          <a:avLst/>
        </a:prstGeom>
        <a:noFill/>
        <a:ln w="9525">
          <a:noFill/>
          <a:miter lim="800000"/>
          <a:headEnd/>
          <a:tailEnd/>
        </a:ln>
      </xdr:spPr>
    </xdr:pic>
    <xdr:clientData/>
  </xdr:twoCellAnchor>
  <xdr:twoCellAnchor>
    <xdr:from>
      <xdr:col>2</xdr:col>
      <xdr:colOff>183174</xdr:colOff>
      <xdr:row>41</xdr:row>
      <xdr:rowOff>12212</xdr:rowOff>
    </xdr:from>
    <xdr:to>
      <xdr:col>7</xdr:col>
      <xdr:colOff>107381</xdr:colOff>
      <xdr:row>46</xdr:row>
      <xdr:rowOff>60732</xdr:rowOff>
    </xdr:to>
    <xdr:sp macro="" textlink="">
      <xdr:nvSpPr>
        <xdr:cNvPr id="27" name="26 CuadroTexto"/>
        <xdr:cNvSpPr txBox="1"/>
      </xdr:nvSpPr>
      <xdr:spPr>
        <a:xfrm>
          <a:off x="3097824" y="583712"/>
          <a:ext cx="5039132" cy="103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editAs="oneCell">
    <xdr:from>
      <xdr:col>1</xdr:col>
      <xdr:colOff>628649</xdr:colOff>
      <xdr:row>79</xdr:row>
      <xdr:rowOff>152399</xdr:rowOff>
    </xdr:from>
    <xdr:to>
      <xdr:col>1</xdr:col>
      <xdr:colOff>1394801</xdr:colOff>
      <xdr:row>85</xdr:row>
      <xdr:rowOff>67235</xdr:rowOff>
    </xdr:to>
    <xdr:pic>
      <xdr:nvPicPr>
        <xdr:cNvPr id="2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886384" y="13610664"/>
          <a:ext cx="766152" cy="856130"/>
        </a:xfrm>
        <a:prstGeom prst="rect">
          <a:avLst/>
        </a:prstGeom>
        <a:noFill/>
        <a:ln w="9525">
          <a:noFill/>
          <a:miter lim="800000"/>
          <a:headEnd/>
          <a:tailEnd/>
        </a:ln>
      </xdr:spPr>
    </xdr:pic>
    <xdr:clientData/>
  </xdr:twoCellAnchor>
  <xdr:twoCellAnchor>
    <xdr:from>
      <xdr:col>7</xdr:col>
      <xdr:colOff>193999</xdr:colOff>
      <xdr:row>80</xdr:row>
      <xdr:rowOff>80838</xdr:rowOff>
    </xdr:from>
    <xdr:to>
      <xdr:col>8</xdr:col>
      <xdr:colOff>512884</xdr:colOff>
      <xdr:row>84</xdr:row>
      <xdr:rowOff>166165</xdr:rowOff>
    </xdr:to>
    <xdr:pic>
      <xdr:nvPicPr>
        <xdr:cNvPr id="29"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8223574" y="652338"/>
          <a:ext cx="1147560" cy="875902"/>
        </a:xfrm>
        <a:prstGeom prst="rect">
          <a:avLst/>
        </a:prstGeom>
        <a:noFill/>
        <a:ln w="9525">
          <a:noFill/>
          <a:miter lim="800000"/>
          <a:headEnd/>
          <a:tailEnd/>
        </a:ln>
      </xdr:spPr>
    </xdr:pic>
    <xdr:clientData/>
  </xdr:twoCellAnchor>
  <xdr:twoCellAnchor>
    <xdr:from>
      <xdr:col>2</xdr:col>
      <xdr:colOff>183174</xdr:colOff>
      <xdr:row>80</xdr:row>
      <xdr:rowOff>12212</xdr:rowOff>
    </xdr:from>
    <xdr:to>
      <xdr:col>7</xdr:col>
      <xdr:colOff>107381</xdr:colOff>
      <xdr:row>85</xdr:row>
      <xdr:rowOff>60732</xdr:rowOff>
    </xdr:to>
    <xdr:sp macro="" textlink="">
      <xdr:nvSpPr>
        <xdr:cNvPr id="30" name="29 CuadroTexto"/>
        <xdr:cNvSpPr txBox="1"/>
      </xdr:nvSpPr>
      <xdr:spPr>
        <a:xfrm>
          <a:off x="3097824" y="583712"/>
          <a:ext cx="5039132" cy="103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editAs="oneCell">
    <xdr:from>
      <xdr:col>1</xdr:col>
      <xdr:colOff>628649</xdr:colOff>
      <xdr:row>117</xdr:row>
      <xdr:rowOff>152399</xdr:rowOff>
    </xdr:from>
    <xdr:to>
      <xdr:col>1</xdr:col>
      <xdr:colOff>1394801</xdr:colOff>
      <xdr:row>124</xdr:row>
      <xdr:rowOff>38261</xdr:rowOff>
    </xdr:to>
    <xdr:pic>
      <xdr:nvPicPr>
        <xdr:cNvPr id="3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33449" y="533399"/>
          <a:ext cx="766152" cy="1028862"/>
        </a:xfrm>
        <a:prstGeom prst="rect">
          <a:avLst/>
        </a:prstGeom>
        <a:noFill/>
        <a:ln w="9525">
          <a:noFill/>
          <a:miter lim="800000"/>
          <a:headEnd/>
          <a:tailEnd/>
        </a:ln>
      </xdr:spPr>
    </xdr:pic>
    <xdr:clientData/>
  </xdr:twoCellAnchor>
  <xdr:twoCellAnchor>
    <xdr:from>
      <xdr:col>7</xdr:col>
      <xdr:colOff>193999</xdr:colOff>
      <xdr:row>118</xdr:row>
      <xdr:rowOff>80838</xdr:rowOff>
    </xdr:from>
    <xdr:to>
      <xdr:col>8</xdr:col>
      <xdr:colOff>512884</xdr:colOff>
      <xdr:row>122</xdr:row>
      <xdr:rowOff>166165</xdr:rowOff>
    </xdr:to>
    <xdr:pic>
      <xdr:nvPicPr>
        <xdr:cNvPr id="32"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8223574" y="652338"/>
          <a:ext cx="1147560" cy="875902"/>
        </a:xfrm>
        <a:prstGeom prst="rect">
          <a:avLst/>
        </a:prstGeom>
        <a:noFill/>
        <a:ln w="9525">
          <a:noFill/>
          <a:miter lim="800000"/>
          <a:headEnd/>
          <a:tailEnd/>
        </a:ln>
      </xdr:spPr>
    </xdr:pic>
    <xdr:clientData/>
  </xdr:twoCellAnchor>
  <xdr:twoCellAnchor>
    <xdr:from>
      <xdr:col>2</xdr:col>
      <xdr:colOff>183174</xdr:colOff>
      <xdr:row>118</xdr:row>
      <xdr:rowOff>12212</xdr:rowOff>
    </xdr:from>
    <xdr:to>
      <xdr:col>7</xdr:col>
      <xdr:colOff>107381</xdr:colOff>
      <xdr:row>123</xdr:row>
      <xdr:rowOff>60732</xdr:rowOff>
    </xdr:to>
    <xdr:sp macro="" textlink="">
      <xdr:nvSpPr>
        <xdr:cNvPr id="33" name="32 CuadroTexto"/>
        <xdr:cNvSpPr txBox="1"/>
      </xdr:nvSpPr>
      <xdr:spPr>
        <a:xfrm>
          <a:off x="3097824" y="583712"/>
          <a:ext cx="5039132" cy="103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628649</xdr:colOff>
      <xdr:row>2</xdr:row>
      <xdr:rowOff>152399</xdr:rowOff>
    </xdr:from>
    <xdr:to>
      <xdr:col>1</xdr:col>
      <xdr:colOff>1415143</xdr:colOff>
      <xdr:row>8</xdr:row>
      <xdr:rowOff>54428</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28006" y="492578"/>
          <a:ext cx="786494" cy="881743"/>
        </a:xfrm>
        <a:prstGeom prst="rect">
          <a:avLst/>
        </a:prstGeom>
        <a:noFill/>
        <a:ln w="9525">
          <a:noFill/>
          <a:miter lim="800000"/>
          <a:headEnd/>
          <a:tailEnd/>
        </a:ln>
      </xdr:spPr>
    </xdr:pic>
    <xdr:clientData/>
  </xdr:twoCellAnchor>
  <xdr:twoCellAnchor>
    <xdr:from>
      <xdr:col>9</xdr:col>
      <xdr:colOff>1012172</xdr:colOff>
      <xdr:row>3</xdr:row>
      <xdr:rowOff>68627</xdr:rowOff>
    </xdr:from>
    <xdr:to>
      <xdr:col>11</xdr:col>
      <xdr:colOff>183173</xdr:colOff>
      <xdr:row>7</xdr:row>
      <xdr:rowOff>153954</xdr:rowOff>
    </xdr:to>
    <xdr:pic>
      <xdr:nvPicPr>
        <xdr:cNvPr id="3"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12270722" y="640127"/>
          <a:ext cx="1142676" cy="875902"/>
        </a:xfrm>
        <a:prstGeom prst="rect">
          <a:avLst/>
        </a:prstGeom>
        <a:noFill/>
        <a:ln w="9525">
          <a:noFill/>
          <a:miter lim="800000"/>
          <a:headEnd/>
          <a:tailEnd/>
        </a:ln>
      </xdr:spPr>
    </xdr:pic>
    <xdr:clientData/>
  </xdr:twoCellAnchor>
  <xdr:twoCellAnchor>
    <xdr:from>
      <xdr:col>4</xdr:col>
      <xdr:colOff>632639</xdr:colOff>
      <xdr:row>2</xdr:row>
      <xdr:rowOff>164041</xdr:rowOff>
    </xdr:from>
    <xdr:to>
      <xdr:col>8</xdr:col>
      <xdr:colOff>876708</xdr:colOff>
      <xdr:row>8</xdr:row>
      <xdr:rowOff>97366</xdr:rowOff>
    </xdr:to>
    <xdr:sp macro="" textlink="">
      <xdr:nvSpPr>
        <xdr:cNvPr id="4" name="3 CuadroTexto"/>
        <xdr:cNvSpPr txBox="1"/>
      </xdr:nvSpPr>
      <xdr:spPr>
        <a:xfrm>
          <a:off x="6947714" y="545041"/>
          <a:ext cx="4111219"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editAs="oneCell">
    <xdr:from>
      <xdr:col>1</xdr:col>
      <xdr:colOff>628649</xdr:colOff>
      <xdr:row>23</xdr:row>
      <xdr:rowOff>152399</xdr:rowOff>
    </xdr:from>
    <xdr:to>
      <xdr:col>1</xdr:col>
      <xdr:colOff>1394801</xdr:colOff>
      <xdr:row>29</xdr:row>
      <xdr:rowOff>81643</xdr:rowOff>
    </xdr:to>
    <xdr:pic>
      <xdr:nvPicPr>
        <xdr:cNvPr id="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28006" y="4112078"/>
          <a:ext cx="766152" cy="908958"/>
        </a:xfrm>
        <a:prstGeom prst="rect">
          <a:avLst/>
        </a:prstGeom>
        <a:noFill/>
        <a:ln w="9525">
          <a:noFill/>
          <a:miter lim="800000"/>
          <a:headEnd/>
          <a:tailEnd/>
        </a:ln>
      </xdr:spPr>
    </xdr:pic>
    <xdr:clientData/>
  </xdr:twoCellAnchor>
  <xdr:twoCellAnchor>
    <xdr:from>
      <xdr:col>9</xdr:col>
      <xdr:colOff>839467</xdr:colOff>
      <xdr:row>24</xdr:row>
      <xdr:rowOff>54670</xdr:rowOff>
    </xdr:from>
    <xdr:to>
      <xdr:col>11</xdr:col>
      <xdr:colOff>20935</xdr:colOff>
      <xdr:row>28</xdr:row>
      <xdr:rowOff>143486</xdr:rowOff>
    </xdr:to>
    <xdr:pic>
      <xdr:nvPicPr>
        <xdr:cNvPr id="6"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11583667" y="626170"/>
          <a:ext cx="1153143" cy="879391"/>
        </a:xfrm>
        <a:prstGeom prst="rect">
          <a:avLst/>
        </a:prstGeom>
        <a:noFill/>
        <a:ln w="9525">
          <a:noFill/>
          <a:miter lim="800000"/>
          <a:headEnd/>
          <a:tailEnd/>
        </a:ln>
      </xdr:spPr>
    </xdr:pic>
    <xdr:clientData/>
  </xdr:twoCellAnchor>
  <xdr:twoCellAnchor>
    <xdr:from>
      <xdr:col>2</xdr:col>
      <xdr:colOff>2724301</xdr:colOff>
      <xdr:row>24</xdr:row>
      <xdr:rowOff>17502</xdr:rowOff>
    </xdr:from>
    <xdr:to>
      <xdr:col>6</xdr:col>
      <xdr:colOff>899385</xdr:colOff>
      <xdr:row>29</xdr:row>
      <xdr:rowOff>139234</xdr:rowOff>
    </xdr:to>
    <xdr:sp macro="" textlink="">
      <xdr:nvSpPr>
        <xdr:cNvPr id="7" name="6 CuadroTexto"/>
        <xdr:cNvSpPr txBox="1"/>
      </xdr:nvSpPr>
      <xdr:spPr>
        <a:xfrm>
          <a:off x="4743601" y="589002"/>
          <a:ext cx="3928184" cy="11123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628648</xdr:colOff>
      <xdr:row>2</xdr:row>
      <xdr:rowOff>152399</xdr:rowOff>
    </xdr:from>
    <xdr:to>
      <xdr:col>1</xdr:col>
      <xdr:colOff>1390649</xdr:colOff>
      <xdr:row>8</xdr:row>
      <xdr:rowOff>0</xdr:rowOff>
    </xdr:to>
    <xdr:pic>
      <xdr:nvPicPr>
        <xdr:cNvPr id="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33448" y="485774"/>
          <a:ext cx="762001" cy="819151"/>
        </a:xfrm>
        <a:prstGeom prst="rect">
          <a:avLst/>
        </a:prstGeom>
        <a:noFill/>
        <a:ln w="9525">
          <a:noFill/>
          <a:miter lim="800000"/>
          <a:headEnd/>
          <a:tailEnd/>
        </a:ln>
      </xdr:spPr>
    </xdr:pic>
    <xdr:clientData/>
  </xdr:twoCellAnchor>
  <xdr:twoCellAnchor>
    <xdr:from>
      <xdr:col>9</xdr:col>
      <xdr:colOff>267268</xdr:colOff>
      <xdr:row>3</xdr:row>
      <xdr:rowOff>7325</xdr:rowOff>
    </xdr:from>
    <xdr:to>
      <xdr:col>10</xdr:col>
      <xdr:colOff>586154</xdr:colOff>
      <xdr:row>7</xdr:row>
      <xdr:rowOff>92652</xdr:rowOff>
    </xdr:to>
    <xdr:pic>
      <xdr:nvPicPr>
        <xdr:cNvPr id="6"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13554643" y="578825"/>
          <a:ext cx="1147561" cy="875902"/>
        </a:xfrm>
        <a:prstGeom prst="rect">
          <a:avLst/>
        </a:prstGeom>
        <a:noFill/>
        <a:ln w="9525">
          <a:noFill/>
          <a:miter lim="800000"/>
          <a:headEnd/>
          <a:tailEnd/>
        </a:ln>
      </xdr:spPr>
    </xdr:pic>
    <xdr:clientData/>
  </xdr:twoCellAnchor>
  <xdr:twoCellAnchor>
    <xdr:from>
      <xdr:col>2</xdr:col>
      <xdr:colOff>3160427</xdr:colOff>
      <xdr:row>2</xdr:row>
      <xdr:rowOff>176253</xdr:rowOff>
    </xdr:from>
    <xdr:to>
      <xdr:col>6</xdr:col>
      <xdr:colOff>58533</xdr:colOff>
      <xdr:row>8</xdr:row>
      <xdr:rowOff>109578</xdr:rowOff>
    </xdr:to>
    <xdr:sp macro="" textlink="">
      <xdr:nvSpPr>
        <xdr:cNvPr id="7" name="6 CuadroTexto"/>
        <xdr:cNvSpPr txBox="1"/>
      </xdr:nvSpPr>
      <xdr:spPr>
        <a:xfrm>
          <a:off x="5217827" y="557253"/>
          <a:ext cx="4975306"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2203438</xdr:colOff>
      <xdr:row>1</xdr:row>
      <xdr:rowOff>103300</xdr:rowOff>
    </xdr:from>
    <xdr:to>
      <xdr:col>6</xdr:col>
      <xdr:colOff>639535</xdr:colOff>
      <xdr:row>6</xdr:row>
      <xdr:rowOff>36625</xdr:rowOff>
    </xdr:to>
    <xdr:sp macro="" textlink="">
      <xdr:nvSpPr>
        <xdr:cNvPr id="3" name="2 CuadroTexto"/>
        <xdr:cNvSpPr txBox="1"/>
      </xdr:nvSpPr>
      <xdr:spPr>
        <a:xfrm>
          <a:off x="1736713" y="303325"/>
          <a:ext cx="6722847"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15</xdr:col>
      <xdr:colOff>2203438</xdr:colOff>
      <xdr:row>1</xdr:row>
      <xdr:rowOff>103300</xdr:rowOff>
    </xdr:from>
    <xdr:to>
      <xdr:col>20</xdr:col>
      <xdr:colOff>639535</xdr:colOff>
      <xdr:row>6</xdr:row>
      <xdr:rowOff>36625</xdr:rowOff>
    </xdr:to>
    <xdr:sp macro="" textlink="">
      <xdr:nvSpPr>
        <xdr:cNvPr id="15" name="14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43</xdr:col>
      <xdr:colOff>299357</xdr:colOff>
      <xdr:row>2</xdr:row>
      <xdr:rowOff>2402</xdr:rowOff>
    </xdr:from>
    <xdr:to>
      <xdr:col>57</xdr:col>
      <xdr:colOff>979714</xdr:colOff>
      <xdr:row>5</xdr:row>
      <xdr:rowOff>186538</xdr:rowOff>
    </xdr:to>
    <xdr:pic>
      <xdr:nvPicPr>
        <xdr:cNvPr id="1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19" name="18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20" name="1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2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22" name="21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23" name="2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2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25" name="24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26" name="2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2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28" name="27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29" name="2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3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31" name="30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32" name="3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3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34" name="33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35" name="3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3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37" name="36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38" name="3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3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40" name="39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41" name="4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155</xdr:col>
      <xdr:colOff>299357</xdr:colOff>
      <xdr:row>2</xdr:row>
      <xdr:rowOff>2402</xdr:rowOff>
    </xdr:from>
    <xdr:to>
      <xdr:col>169</xdr:col>
      <xdr:colOff>979714</xdr:colOff>
      <xdr:row>5</xdr:row>
      <xdr:rowOff>186538</xdr:rowOff>
    </xdr:to>
    <xdr:pic>
      <xdr:nvPicPr>
        <xdr:cNvPr id="4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43" name="42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169</xdr:col>
      <xdr:colOff>1197429</xdr:colOff>
      <xdr:row>6</xdr:row>
      <xdr:rowOff>108857</xdr:rowOff>
    </xdr:to>
    <xdr:pic>
      <xdr:nvPicPr>
        <xdr:cNvPr id="44" name="4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4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46" name="45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47" name="4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4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49" name="48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50" name="4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211</xdr:col>
      <xdr:colOff>979714</xdr:colOff>
      <xdr:row>5</xdr:row>
      <xdr:rowOff>186538</xdr:rowOff>
    </xdr:to>
    <xdr:pic>
      <xdr:nvPicPr>
        <xdr:cNvPr id="5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52" name="51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211</xdr:col>
      <xdr:colOff>1197429</xdr:colOff>
      <xdr:row>6</xdr:row>
      <xdr:rowOff>108857</xdr:rowOff>
    </xdr:to>
    <xdr:pic>
      <xdr:nvPicPr>
        <xdr:cNvPr id="53" name="5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5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55" name="54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56" name="5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5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58" name="57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59" name="5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239</xdr:col>
      <xdr:colOff>2203438</xdr:colOff>
      <xdr:row>1</xdr:row>
      <xdr:rowOff>103300</xdr:rowOff>
    </xdr:from>
    <xdr:to>
      <xdr:col>244</xdr:col>
      <xdr:colOff>639535</xdr:colOff>
      <xdr:row>6</xdr:row>
      <xdr:rowOff>36625</xdr:rowOff>
    </xdr:to>
    <xdr:sp macro="" textlink="">
      <xdr:nvSpPr>
        <xdr:cNvPr id="61" name="60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253</xdr:col>
      <xdr:colOff>2203438</xdr:colOff>
      <xdr:row>1</xdr:row>
      <xdr:rowOff>103300</xdr:rowOff>
    </xdr:from>
    <xdr:to>
      <xdr:col>258</xdr:col>
      <xdr:colOff>639535</xdr:colOff>
      <xdr:row>6</xdr:row>
      <xdr:rowOff>36625</xdr:rowOff>
    </xdr:to>
    <xdr:sp macro="" textlink="">
      <xdr:nvSpPr>
        <xdr:cNvPr id="64" name="63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281</xdr:col>
      <xdr:colOff>299357</xdr:colOff>
      <xdr:row>2</xdr:row>
      <xdr:rowOff>2402</xdr:rowOff>
    </xdr:from>
    <xdr:to>
      <xdr:col>281</xdr:col>
      <xdr:colOff>1279071</xdr:colOff>
      <xdr:row>5</xdr:row>
      <xdr:rowOff>186538</xdr:rowOff>
    </xdr:to>
    <xdr:pic>
      <xdr:nvPicPr>
        <xdr:cNvPr id="6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67" name="66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68" name="6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2203438</xdr:colOff>
      <xdr:row>1</xdr:row>
      <xdr:rowOff>103300</xdr:rowOff>
    </xdr:from>
    <xdr:to>
      <xdr:col>20</xdr:col>
      <xdr:colOff>639535</xdr:colOff>
      <xdr:row>6</xdr:row>
      <xdr:rowOff>36625</xdr:rowOff>
    </xdr:to>
    <xdr:sp macro="" textlink="">
      <xdr:nvSpPr>
        <xdr:cNvPr id="70" name="69 CuadroTexto"/>
        <xdr:cNvSpPr txBox="1"/>
      </xdr:nvSpPr>
      <xdr:spPr>
        <a:xfrm>
          <a:off x="1770331"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15</xdr:col>
      <xdr:colOff>2203438</xdr:colOff>
      <xdr:row>1</xdr:row>
      <xdr:rowOff>103300</xdr:rowOff>
    </xdr:from>
    <xdr:to>
      <xdr:col>20</xdr:col>
      <xdr:colOff>639535</xdr:colOff>
      <xdr:row>6</xdr:row>
      <xdr:rowOff>36625</xdr:rowOff>
    </xdr:to>
    <xdr:sp macro="" textlink="">
      <xdr:nvSpPr>
        <xdr:cNvPr id="73" name="72 CuadroTexto"/>
        <xdr:cNvSpPr txBox="1"/>
      </xdr:nvSpPr>
      <xdr:spPr>
        <a:xfrm>
          <a:off x="1770331"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15</xdr:col>
      <xdr:colOff>2203438</xdr:colOff>
      <xdr:row>1</xdr:row>
      <xdr:rowOff>103300</xdr:rowOff>
    </xdr:from>
    <xdr:to>
      <xdr:col>20</xdr:col>
      <xdr:colOff>639535</xdr:colOff>
      <xdr:row>6</xdr:row>
      <xdr:rowOff>36625</xdr:rowOff>
    </xdr:to>
    <xdr:sp macro="" textlink="">
      <xdr:nvSpPr>
        <xdr:cNvPr id="76" name="75 CuadroTexto"/>
        <xdr:cNvSpPr txBox="1"/>
      </xdr:nvSpPr>
      <xdr:spPr>
        <a:xfrm>
          <a:off x="1635860"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43</xdr:col>
      <xdr:colOff>299357</xdr:colOff>
      <xdr:row>2</xdr:row>
      <xdr:rowOff>2402</xdr:rowOff>
    </xdr:from>
    <xdr:to>
      <xdr:col>57</xdr:col>
      <xdr:colOff>979714</xdr:colOff>
      <xdr:row>5</xdr:row>
      <xdr:rowOff>186538</xdr:rowOff>
    </xdr:to>
    <xdr:pic>
      <xdr:nvPicPr>
        <xdr:cNvPr id="7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79" name="7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80" name="7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8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82" name="8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83" name="8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85" name="8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86" name="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88" name="8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89" name="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91" name="9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92" name="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94" name="9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95" name="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97" name="9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98" name="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100" name="9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101" name="1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1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03" name="10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104" name="1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1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06" name="10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107" name="1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10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09" name="10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110" name="10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1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12" name="11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113" name="1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15" name="11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16" name="1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18" name="11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19" name="1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21" name="12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22" name="1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24" name="12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25" name="1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2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23" name="22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24" name="22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2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26" name="22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27" name="22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2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29" name="22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30" name="22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3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32" name="23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33" name="23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3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35" name="23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36" name="23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3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38" name="23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39" name="23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4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41" name="24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42" name="24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4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44" name="24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45" name="24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4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47" name="24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48" name="24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4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50" name="24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51" name="25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5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53" name="25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54" name="25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5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56" name="25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57" name="25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5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59" name="25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60" name="25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6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62" name="26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63" name="26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6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65" name="26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66" name="26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6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68" name="26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69" name="26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7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71" name="27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72" name="27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7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74" name="27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75" name="27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155</xdr:col>
      <xdr:colOff>299357</xdr:colOff>
      <xdr:row>2</xdr:row>
      <xdr:rowOff>2402</xdr:rowOff>
    </xdr:from>
    <xdr:to>
      <xdr:col>169</xdr:col>
      <xdr:colOff>979714</xdr:colOff>
      <xdr:row>5</xdr:row>
      <xdr:rowOff>186538</xdr:rowOff>
    </xdr:to>
    <xdr:pic>
      <xdr:nvPicPr>
        <xdr:cNvPr id="27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77" name="27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169</xdr:col>
      <xdr:colOff>1197429</xdr:colOff>
      <xdr:row>6</xdr:row>
      <xdr:rowOff>108857</xdr:rowOff>
    </xdr:to>
    <xdr:pic>
      <xdr:nvPicPr>
        <xdr:cNvPr id="278" name="27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7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80" name="27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81" name="28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155</xdr:col>
      <xdr:colOff>299357</xdr:colOff>
      <xdr:row>2</xdr:row>
      <xdr:rowOff>2402</xdr:rowOff>
    </xdr:from>
    <xdr:to>
      <xdr:col>169</xdr:col>
      <xdr:colOff>979714</xdr:colOff>
      <xdr:row>5</xdr:row>
      <xdr:rowOff>186538</xdr:rowOff>
    </xdr:to>
    <xdr:pic>
      <xdr:nvPicPr>
        <xdr:cNvPr id="28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83" name="28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169</xdr:col>
      <xdr:colOff>1197429</xdr:colOff>
      <xdr:row>6</xdr:row>
      <xdr:rowOff>108857</xdr:rowOff>
    </xdr:to>
    <xdr:pic>
      <xdr:nvPicPr>
        <xdr:cNvPr id="284" name="28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155</xdr:col>
      <xdr:colOff>299357</xdr:colOff>
      <xdr:row>2</xdr:row>
      <xdr:rowOff>2402</xdr:rowOff>
    </xdr:from>
    <xdr:to>
      <xdr:col>169</xdr:col>
      <xdr:colOff>979714</xdr:colOff>
      <xdr:row>5</xdr:row>
      <xdr:rowOff>186538</xdr:rowOff>
    </xdr:to>
    <xdr:pic>
      <xdr:nvPicPr>
        <xdr:cNvPr id="28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86" name="28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169</xdr:col>
      <xdr:colOff>1197429</xdr:colOff>
      <xdr:row>6</xdr:row>
      <xdr:rowOff>108857</xdr:rowOff>
    </xdr:to>
    <xdr:pic>
      <xdr:nvPicPr>
        <xdr:cNvPr id="287" name="28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155</xdr:col>
      <xdr:colOff>299357</xdr:colOff>
      <xdr:row>2</xdr:row>
      <xdr:rowOff>2402</xdr:rowOff>
    </xdr:from>
    <xdr:to>
      <xdr:col>169</xdr:col>
      <xdr:colOff>979714</xdr:colOff>
      <xdr:row>5</xdr:row>
      <xdr:rowOff>186538</xdr:rowOff>
    </xdr:to>
    <xdr:pic>
      <xdr:nvPicPr>
        <xdr:cNvPr id="28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89" name="28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169</xdr:col>
      <xdr:colOff>1197429</xdr:colOff>
      <xdr:row>6</xdr:row>
      <xdr:rowOff>108857</xdr:rowOff>
    </xdr:to>
    <xdr:pic>
      <xdr:nvPicPr>
        <xdr:cNvPr id="290" name="28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9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92" name="29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93" name="29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9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95" name="29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96" name="29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9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98" name="29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99" name="29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30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301" name="30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302" name="30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0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04" name="30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05" name="30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211</xdr:col>
      <xdr:colOff>979714</xdr:colOff>
      <xdr:row>5</xdr:row>
      <xdr:rowOff>186538</xdr:rowOff>
    </xdr:to>
    <xdr:pic>
      <xdr:nvPicPr>
        <xdr:cNvPr id="30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07" name="30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211</xdr:col>
      <xdr:colOff>1197429</xdr:colOff>
      <xdr:row>6</xdr:row>
      <xdr:rowOff>108857</xdr:rowOff>
    </xdr:to>
    <xdr:pic>
      <xdr:nvPicPr>
        <xdr:cNvPr id="308" name="30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0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10" name="30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11" name="31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1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13" name="31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14" name="31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1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16" name="31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17" name="31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211</xdr:col>
      <xdr:colOff>979714</xdr:colOff>
      <xdr:row>5</xdr:row>
      <xdr:rowOff>186538</xdr:rowOff>
    </xdr:to>
    <xdr:pic>
      <xdr:nvPicPr>
        <xdr:cNvPr id="31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19" name="31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211</xdr:col>
      <xdr:colOff>1197429</xdr:colOff>
      <xdr:row>6</xdr:row>
      <xdr:rowOff>108857</xdr:rowOff>
    </xdr:to>
    <xdr:pic>
      <xdr:nvPicPr>
        <xdr:cNvPr id="320" name="31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211</xdr:col>
      <xdr:colOff>979714</xdr:colOff>
      <xdr:row>5</xdr:row>
      <xdr:rowOff>186538</xdr:rowOff>
    </xdr:to>
    <xdr:pic>
      <xdr:nvPicPr>
        <xdr:cNvPr id="32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22" name="32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211</xdr:col>
      <xdr:colOff>1197429</xdr:colOff>
      <xdr:row>6</xdr:row>
      <xdr:rowOff>108857</xdr:rowOff>
    </xdr:to>
    <xdr:pic>
      <xdr:nvPicPr>
        <xdr:cNvPr id="323" name="32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211</xdr:col>
      <xdr:colOff>979714</xdr:colOff>
      <xdr:row>5</xdr:row>
      <xdr:rowOff>186538</xdr:rowOff>
    </xdr:to>
    <xdr:pic>
      <xdr:nvPicPr>
        <xdr:cNvPr id="32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25" name="32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211</xdr:col>
      <xdr:colOff>1197429</xdr:colOff>
      <xdr:row>6</xdr:row>
      <xdr:rowOff>108857</xdr:rowOff>
    </xdr:to>
    <xdr:pic>
      <xdr:nvPicPr>
        <xdr:cNvPr id="326" name="32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211</xdr:col>
      <xdr:colOff>979714</xdr:colOff>
      <xdr:row>5</xdr:row>
      <xdr:rowOff>186538</xdr:rowOff>
    </xdr:to>
    <xdr:pic>
      <xdr:nvPicPr>
        <xdr:cNvPr id="32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28" name="32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211</xdr:col>
      <xdr:colOff>1197429</xdr:colOff>
      <xdr:row>6</xdr:row>
      <xdr:rowOff>108857</xdr:rowOff>
    </xdr:to>
    <xdr:pic>
      <xdr:nvPicPr>
        <xdr:cNvPr id="329" name="32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3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31" name="33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32" name="33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3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34" name="33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35" name="33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3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37" name="33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38" name="33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3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40" name="33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41" name="34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4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43" name="34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44" name="34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4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46" name="34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47" name="34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4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49" name="34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50" name="34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5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52" name="35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53" name="35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5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55" name="35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56" name="35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239</xdr:col>
      <xdr:colOff>2203438</xdr:colOff>
      <xdr:row>1</xdr:row>
      <xdr:rowOff>103300</xdr:rowOff>
    </xdr:from>
    <xdr:to>
      <xdr:col>244</xdr:col>
      <xdr:colOff>639535</xdr:colOff>
      <xdr:row>6</xdr:row>
      <xdr:rowOff>36625</xdr:rowOff>
    </xdr:to>
    <xdr:sp macro="" textlink="">
      <xdr:nvSpPr>
        <xdr:cNvPr id="358" name="35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61" name="36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239</xdr:col>
      <xdr:colOff>2203438</xdr:colOff>
      <xdr:row>1</xdr:row>
      <xdr:rowOff>103300</xdr:rowOff>
    </xdr:from>
    <xdr:to>
      <xdr:col>244</xdr:col>
      <xdr:colOff>639535</xdr:colOff>
      <xdr:row>6</xdr:row>
      <xdr:rowOff>36625</xdr:rowOff>
    </xdr:to>
    <xdr:sp macro="" textlink="">
      <xdr:nvSpPr>
        <xdr:cNvPr id="364" name="36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239</xdr:col>
      <xdr:colOff>2203438</xdr:colOff>
      <xdr:row>1</xdr:row>
      <xdr:rowOff>103300</xdr:rowOff>
    </xdr:from>
    <xdr:to>
      <xdr:col>244</xdr:col>
      <xdr:colOff>639535</xdr:colOff>
      <xdr:row>6</xdr:row>
      <xdr:rowOff>36625</xdr:rowOff>
    </xdr:to>
    <xdr:sp macro="" textlink="">
      <xdr:nvSpPr>
        <xdr:cNvPr id="367" name="36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239</xdr:col>
      <xdr:colOff>2203438</xdr:colOff>
      <xdr:row>1</xdr:row>
      <xdr:rowOff>103300</xdr:rowOff>
    </xdr:from>
    <xdr:to>
      <xdr:col>244</xdr:col>
      <xdr:colOff>639535</xdr:colOff>
      <xdr:row>6</xdr:row>
      <xdr:rowOff>36625</xdr:rowOff>
    </xdr:to>
    <xdr:sp macro="" textlink="">
      <xdr:nvSpPr>
        <xdr:cNvPr id="370" name="36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73" name="37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76" name="37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79" name="37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85" name="38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86" name="3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295</xdr:col>
      <xdr:colOff>299357</xdr:colOff>
      <xdr:row>2</xdr:row>
      <xdr:rowOff>2402</xdr:rowOff>
    </xdr:from>
    <xdr:to>
      <xdr:col>337</xdr:col>
      <xdr:colOff>979714</xdr:colOff>
      <xdr:row>5</xdr:row>
      <xdr:rowOff>186538</xdr:rowOff>
    </xdr:to>
    <xdr:pic>
      <xdr:nvPicPr>
        <xdr:cNvPr id="3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388" name="38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337</xdr:col>
      <xdr:colOff>1197429</xdr:colOff>
      <xdr:row>6</xdr:row>
      <xdr:rowOff>108857</xdr:rowOff>
    </xdr:to>
    <xdr:pic>
      <xdr:nvPicPr>
        <xdr:cNvPr id="389" name="3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91" name="39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92" name="3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94" name="39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95" name="3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97" name="39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98" name="3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295</xdr:col>
      <xdr:colOff>299357</xdr:colOff>
      <xdr:row>2</xdr:row>
      <xdr:rowOff>2402</xdr:rowOff>
    </xdr:from>
    <xdr:to>
      <xdr:col>337</xdr:col>
      <xdr:colOff>979714</xdr:colOff>
      <xdr:row>5</xdr:row>
      <xdr:rowOff>186538</xdr:rowOff>
    </xdr:to>
    <xdr:pic>
      <xdr:nvPicPr>
        <xdr:cNvPr id="3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0" name="39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337</xdr:col>
      <xdr:colOff>1197429</xdr:colOff>
      <xdr:row>6</xdr:row>
      <xdr:rowOff>108857</xdr:rowOff>
    </xdr:to>
    <xdr:pic>
      <xdr:nvPicPr>
        <xdr:cNvPr id="401" name="4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295</xdr:col>
      <xdr:colOff>299357</xdr:colOff>
      <xdr:row>2</xdr:row>
      <xdr:rowOff>2402</xdr:rowOff>
    </xdr:from>
    <xdr:to>
      <xdr:col>337</xdr:col>
      <xdr:colOff>979714</xdr:colOff>
      <xdr:row>5</xdr:row>
      <xdr:rowOff>186538</xdr:rowOff>
    </xdr:to>
    <xdr:pic>
      <xdr:nvPicPr>
        <xdr:cNvPr id="4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3" name="40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337</xdr:col>
      <xdr:colOff>1197429</xdr:colOff>
      <xdr:row>6</xdr:row>
      <xdr:rowOff>108857</xdr:rowOff>
    </xdr:to>
    <xdr:pic>
      <xdr:nvPicPr>
        <xdr:cNvPr id="404" name="4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295</xdr:col>
      <xdr:colOff>299357</xdr:colOff>
      <xdr:row>2</xdr:row>
      <xdr:rowOff>2402</xdr:rowOff>
    </xdr:from>
    <xdr:to>
      <xdr:col>337</xdr:col>
      <xdr:colOff>979714</xdr:colOff>
      <xdr:row>5</xdr:row>
      <xdr:rowOff>186538</xdr:rowOff>
    </xdr:to>
    <xdr:pic>
      <xdr:nvPicPr>
        <xdr:cNvPr id="4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6" name="40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337</xdr:col>
      <xdr:colOff>1197429</xdr:colOff>
      <xdr:row>6</xdr:row>
      <xdr:rowOff>108857</xdr:rowOff>
    </xdr:to>
    <xdr:pic>
      <xdr:nvPicPr>
        <xdr:cNvPr id="407" name="4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295</xdr:col>
      <xdr:colOff>299357</xdr:colOff>
      <xdr:row>2</xdr:row>
      <xdr:rowOff>2402</xdr:rowOff>
    </xdr:from>
    <xdr:to>
      <xdr:col>337</xdr:col>
      <xdr:colOff>979714</xdr:colOff>
      <xdr:row>5</xdr:row>
      <xdr:rowOff>186538</xdr:rowOff>
    </xdr:to>
    <xdr:pic>
      <xdr:nvPicPr>
        <xdr:cNvPr id="40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9" name="40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337</xdr:col>
      <xdr:colOff>1197429</xdr:colOff>
      <xdr:row>6</xdr:row>
      <xdr:rowOff>108857</xdr:rowOff>
    </xdr:to>
    <xdr:pic>
      <xdr:nvPicPr>
        <xdr:cNvPr id="410" name="40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309</xdr:col>
      <xdr:colOff>299357</xdr:colOff>
      <xdr:row>2</xdr:row>
      <xdr:rowOff>2402</xdr:rowOff>
    </xdr:from>
    <xdr:to>
      <xdr:col>337</xdr:col>
      <xdr:colOff>979714</xdr:colOff>
      <xdr:row>5</xdr:row>
      <xdr:rowOff>186538</xdr:rowOff>
    </xdr:to>
    <xdr:pic>
      <xdr:nvPicPr>
        <xdr:cNvPr id="4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12" name="41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337</xdr:col>
      <xdr:colOff>1197429</xdr:colOff>
      <xdr:row>6</xdr:row>
      <xdr:rowOff>108857</xdr:rowOff>
    </xdr:to>
    <xdr:pic>
      <xdr:nvPicPr>
        <xdr:cNvPr id="413" name="4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323</xdr:col>
      <xdr:colOff>299357</xdr:colOff>
      <xdr:row>2</xdr:row>
      <xdr:rowOff>2402</xdr:rowOff>
    </xdr:from>
    <xdr:to>
      <xdr:col>337</xdr:col>
      <xdr:colOff>979714</xdr:colOff>
      <xdr:row>5</xdr:row>
      <xdr:rowOff>186538</xdr:rowOff>
    </xdr:to>
    <xdr:pic>
      <xdr:nvPicPr>
        <xdr:cNvPr id="4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15" name="41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337</xdr:col>
      <xdr:colOff>1197429</xdr:colOff>
      <xdr:row>6</xdr:row>
      <xdr:rowOff>108857</xdr:rowOff>
    </xdr:to>
    <xdr:pic>
      <xdr:nvPicPr>
        <xdr:cNvPr id="416" name="4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309</xdr:col>
      <xdr:colOff>299357</xdr:colOff>
      <xdr:row>2</xdr:row>
      <xdr:rowOff>2402</xdr:rowOff>
    </xdr:from>
    <xdr:to>
      <xdr:col>337</xdr:col>
      <xdr:colOff>979714</xdr:colOff>
      <xdr:row>5</xdr:row>
      <xdr:rowOff>186538</xdr:rowOff>
    </xdr:to>
    <xdr:pic>
      <xdr:nvPicPr>
        <xdr:cNvPr id="4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18" name="41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337</xdr:col>
      <xdr:colOff>1197429</xdr:colOff>
      <xdr:row>6</xdr:row>
      <xdr:rowOff>108857</xdr:rowOff>
    </xdr:to>
    <xdr:pic>
      <xdr:nvPicPr>
        <xdr:cNvPr id="419" name="4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309</xdr:col>
      <xdr:colOff>299357</xdr:colOff>
      <xdr:row>2</xdr:row>
      <xdr:rowOff>2402</xdr:rowOff>
    </xdr:from>
    <xdr:to>
      <xdr:col>337</xdr:col>
      <xdr:colOff>979714</xdr:colOff>
      <xdr:row>5</xdr:row>
      <xdr:rowOff>186538</xdr:rowOff>
    </xdr:to>
    <xdr:pic>
      <xdr:nvPicPr>
        <xdr:cNvPr id="4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21" name="42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337</xdr:col>
      <xdr:colOff>1197429</xdr:colOff>
      <xdr:row>6</xdr:row>
      <xdr:rowOff>108857</xdr:rowOff>
    </xdr:to>
    <xdr:pic>
      <xdr:nvPicPr>
        <xdr:cNvPr id="422" name="4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309</xdr:col>
      <xdr:colOff>299357</xdr:colOff>
      <xdr:row>2</xdr:row>
      <xdr:rowOff>2402</xdr:rowOff>
    </xdr:from>
    <xdr:to>
      <xdr:col>337</xdr:col>
      <xdr:colOff>979714</xdr:colOff>
      <xdr:row>5</xdr:row>
      <xdr:rowOff>186538</xdr:rowOff>
    </xdr:to>
    <xdr:pic>
      <xdr:nvPicPr>
        <xdr:cNvPr id="4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24" name="42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337</xdr:col>
      <xdr:colOff>1197429</xdr:colOff>
      <xdr:row>6</xdr:row>
      <xdr:rowOff>108857</xdr:rowOff>
    </xdr:to>
    <xdr:pic>
      <xdr:nvPicPr>
        <xdr:cNvPr id="425" name="4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323</xdr:col>
      <xdr:colOff>299357</xdr:colOff>
      <xdr:row>2</xdr:row>
      <xdr:rowOff>2402</xdr:rowOff>
    </xdr:from>
    <xdr:to>
      <xdr:col>337</xdr:col>
      <xdr:colOff>979714</xdr:colOff>
      <xdr:row>5</xdr:row>
      <xdr:rowOff>186538</xdr:rowOff>
    </xdr:to>
    <xdr:pic>
      <xdr:nvPicPr>
        <xdr:cNvPr id="4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27" name="42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337</xdr:col>
      <xdr:colOff>1197429</xdr:colOff>
      <xdr:row>6</xdr:row>
      <xdr:rowOff>108857</xdr:rowOff>
    </xdr:to>
    <xdr:pic>
      <xdr:nvPicPr>
        <xdr:cNvPr id="428" name="4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323</xdr:col>
      <xdr:colOff>299357</xdr:colOff>
      <xdr:row>2</xdr:row>
      <xdr:rowOff>2402</xdr:rowOff>
    </xdr:from>
    <xdr:to>
      <xdr:col>337</xdr:col>
      <xdr:colOff>979714</xdr:colOff>
      <xdr:row>5</xdr:row>
      <xdr:rowOff>186538</xdr:rowOff>
    </xdr:to>
    <xdr:pic>
      <xdr:nvPicPr>
        <xdr:cNvPr id="4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30" name="42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337</xdr:col>
      <xdr:colOff>1197429</xdr:colOff>
      <xdr:row>6</xdr:row>
      <xdr:rowOff>108857</xdr:rowOff>
    </xdr:to>
    <xdr:pic>
      <xdr:nvPicPr>
        <xdr:cNvPr id="431" name="4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323</xdr:col>
      <xdr:colOff>299357</xdr:colOff>
      <xdr:row>2</xdr:row>
      <xdr:rowOff>2402</xdr:rowOff>
    </xdr:from>
    <xdr:to>
      <xdr:col>337</xdr:col>
      <xdr:colOff>979714</xdr:colOff>
      <xdr:row>5</xdr:row>
      <xdr:rowOff>186538</xdr:rowOff>
    </xdr:to>
    <xdr:pic>
      <xdr:nvPicPr>
        <xdr:cNvPr id="4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33" name="43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337</xdr:col>
      <xdr:colOff>1197429</xdr:colOff>
      <xdr:row>6</xdr:row>
      <xdr:rowOff>108857</xdr:rowOff>
    </xdr:to>
    <xdr:pic>
      <xdr:nvPicPr>
        <xdr:cNvPr id="434" name="4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323</xdr:col>
      <xdr:colOff>299357</xdr:colOff>
      <xdr:row>2</xdr:row>
      <xdr:rowOff>2402</xdr:rowOff>
    </xdr:from>
    <xdr:to>
      <xdr:col>337</xdr:col>
      <xdr:colOff>979714</xdr:colOff>
      <xdr:row>5</xdr:row>
      <xdr:rowOff>186538</xdr:rowOff>
    </xdr:to>
    <xdr:pic>
      <xdr:nvPicPr>
        <xdr:cNvPr id="43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36" name="43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337</xdr:col>
      <xdr:colOff>1197429</xdr:colOff>
      <xdr:row>6</xdr:row>
      <xdr:rowOff>108857</xdr:rowOff>
    </xdr:to>
    <xdr:pic>
      <xdr:nvPicPr>
        <xdr:cNvPr id="437" name="43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3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39" name="43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40" name="43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42" name="44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43" name="4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45" name="44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46" name="4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48" name="44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49" name="4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51" name="45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52" name="4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54" name="45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55" name="4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5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57" name="45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58" name="45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5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60" name="45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61" name="46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6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63" name="46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64" name="46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6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66" name="46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67" name="46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6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69" name="46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70" name="46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7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72" name="47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73" name="47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7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75" name="47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76" name="47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7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78" name="47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79" name="47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81" name="48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82" name="48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84" name="48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85" name="48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87" name="48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88" name="48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90" name="48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91" name="49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49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493" name="49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494" name="49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49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496" name="49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497" name="49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49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499" name="49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500" name="49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50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502" name="50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503" name="50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50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505" name="50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506" name="50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0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08" name="50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09" name="50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1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11" name="51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12" name="51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1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14" name="51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15" name="51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1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17" name="51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18" name="51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421</xdr:col>
      <xdr:colOff>299357</xdr:colOff>
      <xdr:row>2</xdr:row>
      <xdr:rowOff>2402</xdr:rowOff>
    </xdr:from>
    <xdr:to>
      <xdr:col>463</xdr:col>
      <xdr:colOff>979714</xdr:colOff>
      <xdr:row>5</xdr:row>
      <xdr:rowOff>186538</xdr:rowOff>
    </xdr:to>
    <xdr:pic>
      <xdr:nvPicPr>
        <xdr:cNvPr id="51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20" name="51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463</xdr:col>
      <xdr:colOff>1197429</xdr:colOff>
      <xdr:row>6</xdr:row>
      <xdr:rowOff>108857</xdr:rowOff>
    </xdr:to>
    <xdr:pic>
      <xdr:nvPicPr>
        <xdr:cNvPr id="521" name="52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435</xdr:col>
      <xdr:colOff>299357</xdr:colOff>
      <xdr:row>2</xdr:row>
      <xdr:rowOff>2402</xdr:rowOff>
    </xdr:from>
    <xdr:to>
      <xdr:col>463</xdr:col>
      <xdr:colOff>979714</xdr:colOff>
      <xdr:row>5</xdr:row>
      <xdr:rowOff>186538</xdr:rowOff>
    </xdr:to>
    <xdr:pic>
      <xdr:nvPicPr>
        <xdr:cNvPr id="52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23" name="52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463</xdr:col>
      <xdr:colOff>1197429</xdr:colOff>
      <xdr:row>6</xdr:row>
      <xdr:rowOff>108857</xdr:rowOff>
    </xdr:to>
    <xdr:pic>
      <xdr:nvPicPr>
        <xdr:cNvPr id="524" name="52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421</xdr:col>
      <xdr:colOff>299357</xdr:colOff>
      <xdr:row>2</xdr:row>
      <xdr:rowOff>2402</xdr:rowOff>
    </xdr:from>
    <xdr:to>
      <xdr:col>463</xdr:col>
      <xdr:colOff>979714</xdr:colOff>
      <xdr:row>5</xdr:row>
      <xdr:rowOff>186538</xdr:rowOff>
    </xdr:to>
    <xdr:pic>
      <xdr:nvPicPr>
        <xdr:cNvPr id="52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26" name="52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463</xdr:col>
      <xdr:colOff>1197429</xdr:colOff>
      <xdr:row>6</xdr:row>
      <xdr:rowOff>108857</xdr:rowOff>
    </xdr:to>
    <xdr:pic>
      <xdr:nvPicPr>
        <xdr:cNvPr id="527" name="52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421</xdr:col>
      <xdr:colOff>299357</xdr:colOff>
      <xdr:row>2</xdr:row>
      <xdr:rowOff>2402</xdr:rowOff>
    </xdr:from>
    <xdr:to>
      <xdr:col>463</xdr:col>
      <xdr:colOff>979714</xdr:colOff>
      <xdr:row>5</xdr:row>
      <xdr:rowOff>186538</xdr:rowOff>
    </xdr:to>
    <xdr:pic>
      <xdr:nvPicPr>
        <xdr:cNvPr id="52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29" name="52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463</xdr:col>
      <xdr:colOff>1197429</xdr:colOff>
      <xdr:row>6</xdr:row>
      <xdr:rowOff>108857</xdr:rowOff>
    </xdr:to>
    <xdr:pic>
      <xdr:nvPicPr>
        <xdr:cNvPr id="530" name="52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421</xdr:col>
      <xdr:colOff>299357</xdr:colOff>
      <xdr:row>2</xdr:row>
      <xdr:rowOff>2402</xdr:rowOff>
    </xdr:from>
    <xdr:to>
      <xdr:col>463</xdr:col>
      <xdr:colOff>979714</xdr:colOff>
      <xdr:row>5</xdr:row>
      <xdr:rowOff>186538</xdr:rowOff>
    </xdr:to>
    <xdr:pic>
      <xdr:nvPicPr>
        <xdr:cNvPr id="53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32" name="53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463</xdr:col>
      <xdr:colOff>1197429</xdr:colOff>
      <xdr:row>6</xdr:row>
      <xdr:rowOff>108857</xdr:rowOff>
    </xdr:to>
    <xdr:pic>
      <xdr:nvPicPr>
        <xdr:cNvPr id="533" name="53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435</xdr:col>
      <xdr:colOff>299357</xdr:colOff>
      <xdr:row>2</xdr:row>
      <xdr:rowOff>2402</xdr:rowOff>
    </xdr:from>
    <xdr:to>
      <xdr:col>463</xdr:col>
      <xdr:colOff>979714</xdr:colOff>
      <xdr:row>5</xdr:row>
      <xdr:rowOff>186538</xdr:rowOff>
    </xdr:to>
    <xdr:pic>
      <xdr:nvPicPr>
        <xdr:cNvPr id="53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35" name="53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463</xdr:col>
      <xdr:colOff>1197429</xdr:colOff>
      <xdr:row>6</xdr:row>
      <xdr:rowOff>108857</xdr:rowOff>
    </xdr:to>
    <xdr:pic>
      <xdr:nvPicPr>
        <xdr:cNvPr id="536" name="53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435</xdr:col>
      <xdr:colOff>299357</xdr:colOff>
      <xdr:row>2</xdr:row>
      <xdr:rowOff>2402</xdr:rowOff>
    </xdr:from>
    <xdr:to>
      <xdr:col>463</xdr:col>
      <xdr:colOff>979714</xdr:colOff>
      <xdr:row>5</xdr:row>
      <xdr:rowOff>186538</xdr:rowOff>
    </xdr:to>
    <xdr:pic>
      <xdr:nvPicPr>
        <xdr:cNvPr id="53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38" name="53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463</xdr:col>
      <xdr:colOff>1197429</xdr:colOff>
      <xdr:row>6</xdr:row>
      <xdr:rowOff>108857</xdr:rowOff>
    </xdr:to>
    <xdr:pic>
      <xdr:nvPicPr>
        <xdr:cNvPr id="539" name="53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435</xdr:col>
      <xdr:colOff>299357</xdr:colOff>
      <xdr:row>2</xdr:row>
      <xdr:rowOff>2402</xdr:rowOff>
    </xdr:from>
    <xdr:to>
      <xdr:col>463</xdr:col>
      <xdr:colOff>979714</xdr:colOff>
      <xdr:row>5</xdr:row>
      <xdr:rowOff>186538</xdr:rowOff>
    </xdr:to>
    <xdr:pic>
      <xdr:nvPicPr>
        <xdr:cNvPr id="54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41" name="54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463</xdr:col>
      <xdr:colOff>1197429</xdr:colOff>
      <xdr:row>6</xdr:row>
      <xdr:rowOff>108857</xdr:rowOff>
    </xdr:to>
    <xdr:pic>
      <xdr:nvPicPr>
        <xdr:cNvPr id="542" name="54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435</xdr:col>
      <xdr:colOff>299357</xdr:colOff>
      <xdr:row>2</xdr:row>
      <xdr:rowOff>2402</xdr:rowOff>
    </xdr:from>
    <xdr:to>
      <xdr:col>463</xdr:col>
      <xdr:colOff>979714</xdr:colOff>
      <xdr:row>5</xdr:row>
      <xdr:rowOff>186538</xdr:rowOff>
    </xdr:to>
    <xdr:pic>
      <xdr:nvPicPr>
        <xdr:cNvPr id="54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44" name="54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463</xdr:col>
      <xdr:colOff>1197429</xdr:colOff>
      <xdr:row>6</xdr:row>
      <xdr:rowOff>108857</xdr:rowOff>
    </xdr:to>
    <xdr:pic>
      <xdr:nvPicPr>
        <xdr:cNvPr id="545" name="54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449</xdr:col>
      <xdr:colOff>299357</xdr:colOff>
      <xdr:row>2</xdr:row>
      <xdr:rowOff>2402</xdr:rowOff>
    </xdr:from>
    <xdr:to>
      <xdr:col>463</xdr:col>
      <xdr:colOff>979714</xdr:colOff>
      <xdr:row>5</xdr:row>
      <xdr:rowOff>186538</xdr:rowOff>
    </xdr:to>
    <xdr:pic>
      <xdr:nvPicPr>
        <xdr:cNvPr id="54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47" name="54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463</xdr:col>
      <xdr:colOff>1197429</xdr:colOff>
      <xdr:row>6</xdr:row>
      <xdr:rowOff>108857</xdr:rowOff>
    </xdr:to>
    <xdr:pic>
      <xdr:nvPicPr>
        <xdr:cNvPr id="548" name="54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4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50" name="54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51" name="55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449</xdr:col>
      <xdr:colOff>299357</xdr:colOff>
      <xdr:row>2</xdr:row>
      <xdr:rowOff>2402</xdr:rowOff>
    </xdr:from>
    <xdr:to>
      <xdr:col>463</xdr:col>
      <xdr:colOff>979714</xdr:colOff>
      <xdr:row>5</xdr:row>
      <xdr:rowOff>186538</xdr:rowOff>
    </xdr:to>
    <xdr:pic>
      <xdr:nvPicPr>
        <xdr:cNvPr id="55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53" name="55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463</xdr:col>
      <xdr:colOff>1197429</xdr:colOff>
      <xdr:row>6</xdr:row>
      <xdr:rowOff>108857</xdr:rowOff>
    </xdr:to>
    <xdr:pic>
      <xdr:nvPicPr>
        <xdr:cNvPr id="554" name="55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449</xdr:col>
      <xdr:colOff>299357</xdr:colOff>
      <xdr:row>2</xdr:row>
      <xdr:rowOff>2402</xdr:rowOff>
    </xdr:from>
    <xdr:to>
      <xdr:col>463</xdr:col>
      <xdr:colOff>979714</xdr:colOff>
      <xdr:row>5</xdr:row>
      <xdr:rowOff>186538</xdr:rowOff>
    </xdr:to>
    <xdr:pic>
      <xdr:nvPicPr>
        <xdr:cNvPr id="55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56" name="55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463</xdr:col>
      <xdr:colOff>1197429</xdr:colOff>
      <xdr:row>6</xdr:row>
      <xdr:rowOff>108857</xdr:rowOff>
    </xdr:to>
    <xdr:pic>
      <xdr:nvPicPr>
        <xdr:cNvPr id="557" name="55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449</xdr:col>
      <xdr:colOff>299357</xdr:colOff>
      <xdr:row>2</xdr:row>
      <xdr:rowOff>2402</xdr:rowOff>
    </xdr:from>
    <xdr:to>
      <xdr:col>463</xdr:col>
      <xdr:colOff>979714</xdr:colOff>
      <xdr:row>5</xdr:row>
      <xdr:rowOff>186538</xdr:rowOff>
    </xdr:to>
    <xdr:pic>
      <xdr:nvPicPr>
        <xdr:cNvPr id="55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59" name="55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463</xdr:col>
      <xdr:colOff>1197429</xdr:colOff>
      <xdr:row>6</xdr:row>
      <xdr:rowOff>108857</xdr:rowOff>
    </xdr:to>
    <xdr:pic>
      <xdr:nvPicPr>
        <xdr:cNvPr id="560" name="55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6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62" name="56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63" name="56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6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65" name="56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66" name="56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6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68" name="56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69" name="56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7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71" name="57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72" name="57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7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74" name="57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75" name="57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7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77" name="57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78" name="57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7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80" name="57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81" name="58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8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83" name="58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84" name="58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8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86" name="58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87" name="58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8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89" name="58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0" name="58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9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92" name="59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3" name="59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9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95" name="59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6" name="59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9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98" name="59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9" name="59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2203438</xdr:colOff>
      <xdr:row>1</xdr:row>
      <xdr:rowOff>103300</xdr:rowOff>
    </xdr:from>
    <xdr:to>
      <xdr:col>20</xdr:col>
      <xdr:colOff>639535</xdr:colOff>
      <xdr:row>6</xdr:row>
      <xdr:rowOff>36625</xdr:rowOff>
    </xdr:to>
    <xdr:sp macro="" textlink="">
      <xdr:nvSpPr>
        <xdr:cNvPr id="604" name="603 CuadroTexto"/>
        <xdr:cNvSpPr txBox="1"/>
      </xdr:nvSpPr>
      <xdr:spPr>
        <a:xfrm>
          <a:off x="1635860"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15</xdr:col>
      <xdr:colOff>2203438</xdr:colOff>
      <xdr:row>1</xdr:row>
      <xdr:rowOff>103300</xdr:rowOff>
    </xdr:from>
    <xdr:to>
      <xdr:col>20</xdr:col>
      <xdr:colOff>639535</xdr:colOff>
      <xdr:row>6</xdr:row>
      <xdr:rowOff>36625</xdr:rowOff>
    </xdr:to>
    <xdr:sp macro="" textlink="">
      <xdr:nvSpPr>
        <xdr:cNvPr id="608" name="607 CuadroTexto"/>
        <xdr:cNvSpPr txBox="1"/>
      </xdr:nvSpPr>
      <xdr:spPr>
        <a:xfrm>
          <a:off x="1635860"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12" name="611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13" name="6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15" name="614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16" name="6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18" name="617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19" name="6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21" name="620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22" name="6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24" name="623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25" name="6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27" name="626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28" name="6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0" name="629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31" name="6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3" name="632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34" name="6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3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6" name="635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37" name="63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3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9" name="638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40" name="63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42" name="641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43" name="6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45" name="644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46" name="6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48" name="647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49" name="6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51" name="650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52" name="6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54" name="653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55" name="6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5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57" name="656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58" name="65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57</xdr:col>
      <xdr:colOff>979714</xdr:colOff>
      <xdr:row>5</xdr:row>
      <xdr:rowOff>186538</xdr:rowOff>
    </xdr:to>
    <xdr:pic>
      <xdr:nvPicPr>
        <xdr:cNvPr id="65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60" name="659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57</xdr:col>
      <xdr:colOff>1197429</xdr:colOff>
      <xdr:row>6</xdr:row>
      <xdr:rowOff>108857</xdr:rowOff>
    </xdr:to>
    <xdr:pic>
      <xdr:nvPicPr>
        <xdr:cNvPr id="661" name="66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59</xdr:col>
      <xdr:colOff>108857</xdr:colOff>
      <xdr:row>75</xdr:row>
      <xdr:rowOff>176893</xdr:rowOff>
    </xdr:from>
    <xdr:to>
      <xdr:col>68</xdr:col>
      <xdr:colOff>20809</xdr:colOff>
      <xdr:row>100</xdr:row>
      <xdr:rowOff>36019</xdr:rowOff>
    </xdr:to>
    <xdr:graphicFrame macro="">
      <xdr:nvGraphicFramePr>
        <xdr:cNvPr id="606" name="60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73</xdr:col>
      <xdr:colOff>122464</xdr:colOff>
      <xdr:row>75</xdr:row>
      <xdr:rowOff>176894</xdr:rowOff>
    </xdr:from>
    <xdr:to>
      <xdr:col>82</xdr:col>
      <xdr:colOff>27214</xdr:colOff>
      <xdr:row>100</xdr:row>
      <xdr:rowOff>36020</xdr:rowOff>
    </xdr:to>
    <xdr:graphicFrame macro="">
      <xdr:nvGraphicFramePr>
        <xdr:cNvPr id="610" name="60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87</xdr:col>
      <xdr:colOff>108857</xdr:colOff>
      <xdr:row>75</xdr:row>
      <xdr:rowOff>176894</xdr:rowOff>
    </xdr:from>
    <xdr:to>
      <xdr:col>96</xdr:col>
      <xdr:colOff>13607</xdr:colOff>
      <xdr:row>100</xdr:row>
      <xdr:rowOff>36020</xdr:rowOff>
    </xdr:to>
    <xdr:graphicFrame macro="">
      <xdr:nvGraphicFramePr>
        <xdr:cNvPr id="662" name="66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101</xdr:col>
      <xdr:colOff>108857</xdr:colOff>
      <xdr:row>75</xdr:row>
      <xdr:rowOff>122464</xdr:rowOff>
    </xdr:from>
    <xdr:to>
      <xdr:col>110</xdr:col>
      <xdr:colOff>13607</xdr:colOff>
      <xdr:row>99</xdr:row>
      <xdr:rowOff>185697</xdr:rowOff>
    </xdr:to>
    <xdr:graphicFrame macro="">
      <xdr:nvGraphicFramePr>
        <xdr:cNvPr id="663" name="66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115</xdr:col>
      <xdr:colOff>108858</xdr:colOff>
      <xdr:row>75</xdr:row>
      <xdr:rowOff>149680</xdr:rowOff>
    </xdr:from>
    <xdr:to>
      <xdr:col>124</xdr:col>
      <xdr:colOff>13608</xdr:colOff>
      <xdr:row>100</xdr:row>
      <xdr:rowOff>8806</xdr:rowOff>
    </xdr:to>
    <xdr:graphicFrame macro="">
      <xdr:nvGraphicFramePr>
        <xdr:cNvPr id="664" name="66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129</xdr:col>
      <xdr:colOff>149679</xdr:colOff>
      <xdr:row>75</xdr:row>
      <xdr:rowOff>190501</xdr:rowOff>
    </xdr:from>
    <xdr:to>
      <xdr:col>138</xdr:col>
      <xdr:colOff>54428</xdr:colOff>
      <xdr:row>100</xdr:row>
      <xdr:rowOff>49627</xdr:rowOff>
    </xdr:to>
    <xdr:graphicFrame macro="">
      <xdr:nvGraphicFramePr>
        <xdr:cNvPr id="665" name="66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143</xdr:col>
      <xdr:colOff>122464</xdr:colOff>
      <xdr:row>75</xdr:row>
      <xdr:rowOff>176893</xdr:rowOff>
    </xdr:from>
    <xdr:to>
      <xdr:col>152</xdr:col>
      <xdr:colOff>27214</xdr:colOff>
      <xdr:row>100</xdr:row>
      <xdr:rowOff>36019</xdr:rowOff>
    </xdr:to>
    <xdr:graphicFrame macro="">
      <xdr:nvGraphicFramePr>
        <xdr:cNvPr id="666" name="66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157</xdr:col>
      <xdr:colOff>95250</xdr:colOff>
      <xdr:row>75</xdr:row>
      <xdr:rowOff>190501</xdr:rowOff>
    </xdr:from>
    <xdr:to>
      <xdr:col>163</xdr:col>
      <xdr:colOff>0</xdr:colOff>
      <xdr:row>100</xdr:row>
      <xdr:rowOff>49627</xdr:rowOff>
    </xdr:to>
    <xdr:graphicFrame macro="">
      <xdr:nvGraphicFramePr>
        <xdr:cNvPr id="667" name="66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171</xdr:col>
      <xdr:colOff>95250</xdr:colOff>
      <xdr:row>76</xdr:row>
      <xdr:rowOff>13607</xdr:rowOff>
    </xdr:from>
    <xdr:to>
      <xdr:col>177</xdr:col>
      <xdr:colOff>0</xdr:colOff>
      <xdr:row>100</xdr:row>
      <xdr:rowOff>76841</xdr:rowOff>
    </xdr:to>
    <xdr:graphicFrame macro="">
      <xdr:nvGraphicFramePr>
        <xdr:cNvPr id="668" name="66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185</xdr:col>
      <xdr:colOff>108857</xdr:colOff>
      <xdr:row>75</xdr:row>
      <xdr:rowOff>149679</xdr:rowOff>
    </xdr:from>
    <xdr:to>
      <xdr:col>194</xdr:col>
      <xdr:colOff>13607</xdr:colOff>
      <xdr:row>100</xdr:row>
      <xdr:rowOff>8805</xdr:rowOff>
    </xdr:to>
    <xdr:graphicFrame macro="">
      <xdr:nvGraphicFramePr>
        <xdr:cNvPr id="669" name="66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199</xdr:col>
      <xdr:colOff>136071</xdr:colOff>
      <xdr:row>75</xdr:row>
      <xdr:rowOff>136071</xdr:rowOff>
    </xdr:from>
    <xdr:to>
      <xdr:col>208</xdr:col>
      <xdr:colOff>40821</xdr:colOff>
      <xdr:row>99</xdr:row>
      <xdr:rowOff>199304</xdr:rowOff>
    </xdr:to>
    <xdr:graphicFrame macro="">
      <xdr:nvGraphicFramePr>
        <xdr:cNvPr id="670" name="66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213</xdr:col>
      <xdr:colOff>68035</xdr:colOff>
      <xdr:row>75</xdr:row>
      <xdr:rowOff>190501</xdr:rowOff>
    </xdr:from>
    <xdr:to>
      <xdr:col>218</xdr:col>
      <xdr:colOff>27214</xdr:colOff>
      <xdr:row>100</xdr:row>
      <xdr:rowOff>49627</xdr:rowOff>
    </xdr:to>
    <xdr:graphicFrame macro="">
      <xdr:nvGraphicFramePr>
        <xdr:cNvPr id="671" name="67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227</xdr:col>
      <xdr:colOff>68036</xdr:colOff>
      <xdr:row>75</xdr:row>
      <xdr:rowOff>163286</xdr:rowOff>
    </xdr:from>
    <xdr:to>
      <xdr:col>232</xdr:col>
      <xdr:colOff>27214</xdr:colOff>
      <xdr:row>100</xdr:row>
      <xdr:rowOff>22412</xdr:rowOff>
    </xdr:to>
    <xdr:graphicFrame macro="">
      <xdr:nvGraphicFramePr>
        <xdr:cNvPr id="672" name="67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241</xdr:col>
      <xdr:colOff>108857</xdr:colOff>
      <xdr:row>75</xdr:row>
      <xdr:rowOff>190501</xdr:rowOff>
    </xdr:from>
    <xdr:to>
      <xdr:col>250</xdr:col>
      <xdr:colOff>13607</xdr:colOff>
      <xdr:row>100</xdr:row>
      <xdr:rowOff>49627</xdr:rowOff>
    </xdr:to>
    <xdr:graphicFrame macro="">
      <xdr:nvGraphicFramePr>
        <xdr:cNvPr id="673" name="67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255</xdr:col>
      <xdr:colOff>95250</xdr:colOff>
      <xdr:row>76</xdr:row>
      <xdr:rowOff>0</xdr:rowOff>
    </xdr:from>
    <xdr:to>
      <xdr:col>261</xdr:col>
      <xdr:colOff>0</xdr:colOff>
      <xdr:row>100</xdr:row>
      <xdr:rowOff>63234</xdr:rowOff>
    </xdr:to>
    <xdr:graphicFrame macro="">
      <xdr:nvGraphicFramePr>
        <xdr:cNvPr id="674" name="67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283</xdr:col>
      <xdr:colOff>122464</xdr:colOff>
      <xdr:row>75</xdr:row>
      <xdr:rowOff>176893</xdr:rowOff>
    </xdr:from>
    <xdr:to>
      <xdr:col>292</xdr:col>
      <xdr:colOff>27214</xdr:colOff>
      <xdr:row>100</xdr:row>
      <xdr:rowOff>36019</xdr:rowOff>
    </xdr:to>
    <xdr:graphicFrame macro="">
      <xdr:nvGraphicFramePr>
        <xdr:cNvPr id="675" name="67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297</xdr:col>
      <xdr:colOff>68036</xdr:colOff>
      <xdr:row>75</xdr:row>
      <xdr:rowOff>176894</xdr:rowOff>
    </xdr:from>
    <xdr:to>
      <xdr:col>302</xdr:col>
      <xdr:colOff>27215</xdr:colOff>
      <xdr:row>100</xdr:row>
      <xdr:rowOff>36020</xdr:rowOff>
    </xdr:to>
    <xdr:graphicFrame macro="">
      <xdr:nvGraphicFramePr>
        <xdr:cNvPr id="676" name="67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311</xdr:col>
      <xdr:colOff>81643</xdr:colOff>
      <xdr:row>76</xdr:row>
      <xdr:rowOff>0</xdr:rowOff>
    </xdr:from>
    <xdr:to>
      <xdr:col>316</xdr:col>
      <xdr:colOff>40822</xdr:colOff>
      <xdr:row>100</xdr:row>
      <xdr:rowOff>63234</xdr:rowOff>
    </xdr:to>
    <xdr:graphicFrame macro="">
      <xdr:nvGraphicFramePr>
        <xdr:cNvPr id="677" name="67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325</xdr:col>
      <xdr:colOff>95250</xdr:colOff>
      <xdr:row>75</xdr:row>
      <xdr:rowOff>190501</xdr:rowOff>
    </xdr:from>
    <xdr:to>
      <xdr:col>331</xdr:col>
      <xdr:colOff>0</xdr:colOff>
      <xdr:row>100</xdr:row>
      <xdr:rowOff>49627</xdr:rowOff>
    </xdr:to>
    <xdr:graphicFrame macro="">
      <xdr:nvGraphicFramePr>
        <xdr:cNvPr id="678" name="67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339</xdr:col>
      <xdr:colOff>81643</xdr:colOff>
      <xdr:row>75</xdr:row>
      <xdr:rowOff>190501</xdr:rowOff>
    </xdr:from>
    <xdr:to>
      <xdr:col>344</xdr:col>
      <xdr:colOff>40821</xdr:colOff>
      <xdr:row>100</xdr:row>
      <xdr:rowOff>49627</xdr:rowOff>
    </xdr:to>
    <xdr:graphicFrame macro="">
      <xdr:nvGraphicFramePr>
        <xdr:cNvPr id="679" name="67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353</xdr:col>
      <xdr:colOff>108857</xdr:colOff>
      <xdr:row>75</xdr:row>
      <xdr:rowOff>190501</xdr:rowOff>
    </xdr:from>
    <xdr:to>
      <xdr:col>362</xdr:col>
      <xdr:colOff>13607</xdr:colOff>
      <xdr:row>100</xdr:row>
      <xdr:rowOff>49627</xdr:rowOff>
    </xdr:to>
    <xdr:graphicFrame macro="">
      <xdr:nvGraphicFramePr>
        <xdr:cNvPr id="680" name="67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367</xdr:col>
      <xdr:colOff>163285</xdr:colOff>
      <xdr:row>75</xdr:row>
      <xdr:rowOff>190501</xdr:rowOff>
    </xdr:from>
    <xdr:to>
      <xdr:col>376</xdr:col>
      <xdr:colOff>68035</xdr:colOff>
      <xdr:row>100</xdr:row>
      <xdr:rowOff>49627</xdr:rowOff>
    </xdr:to>
    <xdr:graphicFrame macro="">
      <xdr:nvGraphicFramePr>
        <xdr:cNvPr id="681" name="68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381</xdr:col>
      <xdr:colOff>68036</xdr:colOff>
      <xdr:row>76</xdr:row>
      <xdr:rowOff>0</xdr:rowOff>
    </xdr:from>
    <xdr:to>
      <xdr:col>386</xdr:col>
      <xdr:colOff>27214</xdr:colOff>
      <xdr:row>100</xdr:row>
      <xdr:rowOff>63234</xdr:rowOff>
    </xdr:to>
    <xdr:graphicFrame macro="">
      <xdr:nvGraphicFramePr>
        <xdr:cNvPr id="682" name="68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395</xdr:col>
      <xdr:colOff>95250</xdr:colOff>
      <xdr:row>75</xdr:row>
      <xdr:rowOff>176894</xdr:rowOff>
    </xdr:from>
    <xdr:to>
      <xdr:col>401</xdr:col>
      <xdr:colOff>0</xdr:colOff>
      <xdr:row>100</xdr:row>
      <xdr:rowOff>36020</xdr:rowOff>
    </xdr:to>
    <xdr:graphicFrame macro="">
      <xdr:nvGraphicFramePr>
        <xdr:cNvPr id="683" name="68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409</xdr:col>
      <xdr:colOff>149679</xdr:colOff>
      <xdr:row>75</xdr:row>
      <xdr:rowOff>190501</xdr:rowOff>
    </xdr:from>
    <xdr:to>
      <xdr:col>418</xdr:col>
      <xdr:colOff>54429</xdr:colOff>
      <xdr:row>100</xdr:row>
      <xdr:rowOff>49627</xdr:rowOff>
    </xdr:to>
    <xdr:graphicFrame macro="">
      <xdr:nvGraphicFramePr>
        <xdr:cNvPr id="684" name="68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423</xdr:col>
      <xdr:colOff>122464</xdr:colOff>
      <xdr:row>75</xdr:row>
      <xdr:rowOff>176893</xdr:rowOff>
    </xdr:from>
    <xdr:to>
      <xdr:col>432</xdr:col>
      <xdr:colOff>27214</xdr:colOff>
      <xdr:row>100</xdr:row>
      <xdr:rowOff>36019</xdr:rowOff>
    </xdr:to>
    <xdr:graphicFrame macro="">
      <xdr:nvGraphicFramePr>
        <xdr:cNvPr id="685" name="68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437</xdr:col>
      <xdr:colOff>68035</xdr:colOff>
      <xdr:row>75</xdr:row>
      <xdr:rowOff>176894</xdr:rowOff>
    </xdr:from>
    <xdr:to>
      <xdr:col>442</xdr:col>
      <xdr:colOff>27213</xdr:colOff>
      <xdr:row>100</xdr:row>
      <xdr:rowOff>36020</xdr:rowOff>
    </xdr:to>
    <xdr:graphicFrame macro="">
      <xdr:nvGraphicFramePr>
        <xdr:cNvPr id="686" name="68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451</xdr:col>
      <xdr:colOff>122464</xdr:colOff>
      <xdr:row>75</xdr:row>
      <xdr:rowOff>176894</xdr:rowOff>
    </xdr:from>
    <xdr:to>
      <xdr:col>460</xdr:col>
      <xdr:colOff>27214</xdr:colOff>
      <xdr:row>100</xdr:row>
      <xdr:rowOff>36020</xdr:rowOff>
    </xdr:to>
    <xdr:graphicFrame macro="">
      <xdr:nvGraphicFramePr>
        <xdr:cNvPr id="687" name="68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465</xdr:col>
      <xdr:colOff>95250</xdr:colOff>
      <xdr:row>75</xdr:row>
      <xdr:rowOff>190501</xdr:rowOff>
    </xdr:from>
    <xdr:to>
      <xdr:col>471</xdr:col>
      <xdr:colOff>0</xdr:colOff>
      <xdr:row>100</xdr:row>
      <xdr:rowOff>49627</xdr:rowOff>
    </xdr:to>
    <xdr:graphicFrame macro="">
      <xdr:nvGraphicFramePr>
        <xdr:cNvPr id="688" name="68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479</xdr:col>
      <xdr:colOff>81642</xdr:colOff>
      <xdr:row>76</xdr:row>
      <xdr:rowOff>0</xdr:rowOff>
    </xdr:from>
    <xdr:to>
      <xdr:col>484</xdr:col>
      <xdr:colOff>40820</xdr:colOff>
      <xdr:row>100</xdr:row>
      <xdr:rowOff>63234</xdr:rowOff>
    </xdr:to>
    <xdr:graphicFrame macro="">
      <xdr:nvGraphicFramePr>
        <xdr:cNvPr id="689" name="68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493</xdr:col>
      <xdr:colOff>81643</xdr:colOff>
      <xdr:row>76</xdr:row>
      <xdr:rowOff>0</xdr:rowOff>
    </xdr:from>
    <xdr:to>
      <xdr:col>498</xdr:col>
      <xdr:colOff>40822</xdr:colOff>
      <xdr:row>100</xdr:row>
      <xdr:rowOff>63234</xdr:rowOff>
    </xdr:to>
    <xdr:graphicFrame macro="">
      <xdr:nvGraphicFramePr>
        <xdr:cNvPr id="690" name="68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521</xdr:col>
      <xdr:colOff>122465</xdr:colOff>
      <xdr:row>76</xdr:row>
      <xdr:rowOff>0</xdr:rowOff>
    </xdr:from>
    <xdr:to>
      <xdr:col>530</xdr:col>
      <xdr:colOff>27215</xdr:colOff>
      <xdr:row>100</xdr:row>
      <xdr:rowOff>63234</xdr:rowOff>
    </xdr:to>
    <xdr:graphicFrame macro="">
      <xdr:nvGraphicFramePr>
        <xdr:cNvPr id="691" name="69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29</xdr:col>
      <xdr:colOff>2203438</xdr:colOff>
      <xdr:row>1</xdr:row>
      <xdr:rowOff>103300</xdr:rowOff>
    </xdr:from>
    <xdr:to>
      <xdr:col>34</xdr:col>
      <xdr:colOff>639535</xdr:colOff>
      <xdr:row>6</xdr:row>
      <xdr:rowOff>36625</xdr:rowOff>
    </xdr:to>
    <xdr:sp macro="" textlink="">
      <xdr:nvSpPr>
        <xdr:cNvPr id="693" name="692 CuadroTexto"/>
        <xdr:cNvSpPr txBox="1"/>
      </xdr:nvSpPr>
      <xdr:spPr>
        <a:xfrm>
          <a:off x="12990867" y="301127"/>
          <a:ext cx="6801245" cy="922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29</xdr:col>
      <xdr:colOff>2203438</xdr:colOff>
      <xdr:row>1</xdr:row>
      <xdr:rowOff>103300</xdr:rowOff>
    </xdr:from>
    <xdr:to>
      <xdr:col>34</xdr:col>
      <xdr:colOff>639535</xdr:colOff>
      <xdr:row>6</xdr:row>
      <xdr:rowOff>36625</xdr:rowOff>
    </xdr:to>
    <xdr:sp macro="" textlink="">
      <xdr:nvSpPr>
        <xdr:cNvPr id="696" name="695 CuadroTexto"/>
        <xdr:cNvSpPr txBox="1"/>
      </xdr:nvSpPr>
      <xdr:spPr>
        <a:xfrm>
          <a:off x="12990867" y="301127"/>
          <a:ext cx="6801245" cy="922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29</xdr:col>
      <xdr:colOff>2203438</xdr:colOff>
      <xdr:row>1</xdr:row>
      <xdr:rowOff>103300</xdr:rowOff>
    </xdr:from>
    <xdr:to>
      <xdr:col>34</xdr:col>
      <xdr:colOff>639535</xdr:colOff>
      <xdr:row>6</xdr:row>
      <xdr:rowOff>36625</xdr:rowOff>
    </xdr:to>
    <xdr:sp macro="" textlink="">
      <xdr:nvSpPr>
        <xdr:cNvPr id="699" name="698 CuadroTexto"/>
        <xdr:cNvSpPr txBox="1"/>
      </xdr:nvSpPr>
      <xdr:spPr>
        <a:xfrm>
          <a:off x="12990867" y="301127"/>
          <a:ext cx="6801245" cy="922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29</xdr:col>
      <xdr:colOff>2203438</xdr:colOff>
      <xdr:row>1</xdr:row>
      <xdr:rowOff>103300</xdr:rowOff>
    </xdr:from>
    <xdr:to>
      <xdr:col>34</xdr:col>
      <xdr:colOff>639535</xdr:colOff>
      <xdr:row>6</xdr:row>
      <xdr:rowOff>36625</xdr:rowOff>
    </xdr:to>
    <xdr:sp macro="" textlink="">
      <xdr:nvSpPr>
        <xdr:cNvPr id="702" name="701 CuadroTexto"/>
        <xdr:cNvSpPr txBox="1"/>
      </xdr:nvSpPr>
      <xdr:spPr>
        <a:xfrm>
          <a:off x="12990867" y="301127"/>
          <a:ext cx="6801245" cy="922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29</xdr:col>
      <xdr:colOff>2203438</xdr:colOff>
      <xdr:row>1</xdr:row>
      <xdr:rowOff>103300</xdr:rowOff>
    </xdr:from>
    <xdr:to>
      <xdr:col>34</xdr:col>
      <xdr:colOff>639535</xdr:colOff>
      <xdr:row>6</xdr:row>
      <xdr:rowOff>36625</xdr:rowOff>
    </xdr:to>
    <xdr:sp macro="" textlink="">
      <xdr:nvSpPr>
        <xdr:cNvPr id="705" name="704 CuadroTexto"/>
        <xdr:cNvSpPr txBox="1"/>
      </xdr:nvSpPr>
      <xdr:spPr>
        <a:xfrm>
          <a:off x="12990867" y="301127"/>
          <a:ext cx="6801245" cy="922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29</xdr:col>
      <xdr:colOff>2203438</xdr:colOff>
      <xdr:row>1</xdr:row>
      <xdr:rowOff>103300</xdr:rowOff>
    </xdr:from>
    <xdr:to>
      <xdr:col>34</xdr:col>
      <xdr:colOff>639535</xdr:colOff>
      <xdr:row>6</xdr:row>
      <xdr:rowOff>36625</xdr:rowOff>
    </xdr:to>
    <xdr:sp macro="" textlink="">
      <xdr:nvSpPr>
        <xdr:cNvPr id="708" name="707 CuadroTexto"/>
        <xdr:cNvSpPr txBox="1"/>
      </xdr:nvSpPr>
      <xdr:spPr>
        <a:xfrm>
          <a:off x="12990867" y="301127"/>
          <a:ext cx="6801245" cy="922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697" name="696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698" name="697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0" name="699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1" name="700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3" name="702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4" name="703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57</xdr:col>
      <xdr:colOff>299357</xdr:colOff>
      <xdr:row>2</xdr:row>
      <xdr:rowOff>2402</xdr:rowOff>
    </xdr:from>
    <xdr:to>
      <xdr:col>57</xdr:col>
      <xdr:colOff>1279071</xdr:colOff>
      <xdr:row>5</xdr:row>
      <xdr:rowOff>186538</xdr:rowOff>
    </xdr:to>
    <xdr:pic>
      <xdr:nvPicPr>
        <xdr:cNvPr id="7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12" name="711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13" name="7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15" name="714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16" name="7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18" name="717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19" name="7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21" name="720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22" name="7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24" name="723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25" name="7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27" name="726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28" name="7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0" name="729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31" name="7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3" name="732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34" name="7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3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6" name="735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37" name="73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3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9" name="738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0" name="73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42" name="741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3" name="7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45" name="744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6" name="7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48" name="747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9" name="7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51" name="750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52" name="7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54" name="753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55" name="7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57" name="756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58" name="75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60" name="759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61" name="76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62" name="761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3" name="762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4" name="763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5" name="764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6" name="765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7" name="766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71</xdr:col>
      <xdr:colOff>299357</xdr:colOff>
      <xdr:row>2</xdr:row>
      <xdr:rowOff>2402</xdr:rowOff>
    </xdr:from>
    <xdr:to>
      <xdr:col>85</xdr:col>
      <xdr:colOff>979714</xdr:colOff>
      <xdr:row>5</xdr:row>
      <xdr:rowOff>186538</xdr:rowOff>
    </xdr:to>
    <xdr:pic>
      <xdr:nvPicPr>
        <xdr:cNvPr id="76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69" name="76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770" name="76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77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72" name="77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773" name="77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77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75" name="77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776" name="77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77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78" name="77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779" name="77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78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81" name="78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782" name="78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73</xdr:col>
      <xdr:colOff>108857</xdr:colOff>
      <xdr:row>75</xdr:row>
      <xdr:rowOff>176893</xdr:rowOff>
    </xdr:from>
    <xdr:to>
      <xdr:col>82</xdr:col>
      <xdr:colOff>20809</xdr:colOff>
      <xdr:row>100</xdr:row>
      <xdr:rowOff>36019</xdr:rowOff>
    </xdr:to>
    <xdr:graphicFrame macro="">
      <xdr:nvGraphicFramePr>
        <xdr:cNvPr id="783" name="78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editAs="oneCell">
    <xdr:from>
      <xdr:col>71</xdr:col>
      <xdr:colOff>299357</xdr:colOff>
      <xdr:row>2</xdr:row>
      <xdr:rowOff>2402</xdr:rowOff>
    </xdr:from>
    <xdr:to>
      <xdr:col>85</xdr:col>
      <xdr:colOff>979714</xdr:colOff>
      <xdr:row>5</xdr:row>
      <xdr:rowOff>186538</xdr:rowOff>
    </xdr:to>
    <xdr:pic>
      <xdr:nvPicPr>
        <xdr:cNvPr id="7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85" name="78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786" name="7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7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88" name="78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789" name="7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7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91" name="79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792" name="7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7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94" name="79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795" name="7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7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97" name="79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798" name="7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7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0" name="79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01" name="8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3" name="80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04" name="8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6" name="80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07" name="8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0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9" name="80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10" name="80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12" name="81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13" name="8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15" name="81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16" name="8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18" name="81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19" name="8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21" name="82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22" name="8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24" name="82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25" name="8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27" name="82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28" name="8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30" name="82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31" name="8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33" name="83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34" name="8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35" name="83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6" name="83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7" name="83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8" name="83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9" name="83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40" name="83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71</xdr:col>
      <xdr:colOff>299357</xdr:colOff>
      <xdr:row>2</xdr:row>
      <xdr:rowOff>2402</xdr:rowOff>
    </xdr:from>
    <xdr:to>
      <xdr:col>85</xdr:col>
      <xdr:colOff>979714</xdr:colOff>
      <xdr:row>5</xdr:row>
      <xdr:rowOff>186538</xdr:rowOff>
    </xdr:to>
    <xdr:pic>
      <xdr:nvPicPr>
        <xdr:cNvPr id="8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42" name="84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43" name="8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45" name="84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46" name="8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48" name="84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49" name="8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51" name="85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52" name="8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54" name="85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55" name="8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5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58" name="85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59" name="85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6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61" name="86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62" name="86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6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64" name="86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65" name="86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6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67" name="86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68" name="86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6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0" name="86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71" name="87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7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3" name="87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74" name="87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7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6" name="87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77" name="87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7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9" name="87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80" name="87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8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82" name="88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83" name="88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85" name="88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86" name="8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88" name="88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89" name="8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91" name="89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92" name="8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94" name="89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95" name="8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97" name="89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898" name="8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8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0" name="89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901" name="9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9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3" name="90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904" name="9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85</xdr:col>
      <xdr:colOff>979714</xdr:colOff>
      <xdr:row>5</xdr:row>
      <xdr:rowOff>186538</xdr:rowOff>
    </xdr:to>
    <xdr:pic>
      <xdr:nvPicPr>
        <xdr:cNvPr id="9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6" name="90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85</xdr:col>
      <xdr:colOff>1197429</xdr:colOff>
      <xdr:row>6</xdr:row>
      <xdr:rowOff>108857</xdr:rowOff>
    </xdr:to>
    <xdr:pic>
      <xdr:nvPicPr>
        <xdr:cNvPr id="907" name="9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8" name="90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09" name="90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0" name="90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1" name="91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2" name="91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3" name="91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505</xdr:col>
      <xdr:colOff>299357</xdr:colOff>
      <xdr:row>2</xdr:row>
      <xdr:rowOff>2402</xdr:rowOff>
    </xdr:from>
    <xdr:to>
      <xdr:col>519</xdr:col>
      <xdr:colOff>979714</xdr:colOff>
      <xdr:row>5</xdr:row>
      <xdr:rowOff>186538</xdr:rowOff>
    </xdr:to>
    <xdr:pic>
      <xdr:nvPicPr>
        <xdr:cNvPr id="9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15" name="914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519</xdr:col>
      <xdr:colOff>1197429</xdr:colOff>
      <xdr:row>6</xdr:row>
      <xdr:rowOff>108857</xdr:rowOff>
    </xdr:to>
    <xdr:pic>
      <xdr:nvPicPr>
        <xdr:cNvPr id="916" name="9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505</xdr:col>
      <xdr:colOff>299357</xdr:colOff>
      <xdr:row>2</xdr:row>
      <xdr:rowOff>2402</xdr:rowOff>
    </xdr:from>
    <xdr:to>
      <xdr:col>519</xdr:col>
      <xdr:colOff>979714</xdr:colOff>
      <xdr:row>5</xdr:row>
      <xdr:rowOff>186538</xdr:rowOff>
    </xdr:to>
    <xdr:pic>
      <xdr:nvPicPr>
        <xdr:cNvPr id="9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18" name="917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519</xdr:col>
      <xdr:colOff>1197429</xdr:colOff>
      <xdr:row>6</xdr:row>
      <xdr:rowOff>108857</xdr:rowOff>
    </xdr:to>
    <xdr:pic>
      <xdr:nvPicPr>
        <xdr:cNvPr id="919" name="9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505</xdr:col>
      <xdr:colOff>299357</xdr:colOff>
      <xdr:row>2</xdr:row>
      <xdr:rowOff>2402</xdr:rowOff>
    </xdr:from>
    <xdr:to>
      <xdr:col>519</xdr:col>
      <xdr:colOff>979714</xdr:colOff>
      <xdr:row>5</xdr:row>
      <xdr:rowOff>186538</xdr:rowOff>
    </xdr:to>
    <xdr:pic>
      <xdr:nvPicPr>
        <xdr:cNvPr id="9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21" name="920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519</xdr:col>
      <xdr:colOff>1197429</xdr:colOff>
      <xdr:row>6</xdr:row>
      <xdr:rowOff>108857</xdr:rowOff>
    </xdr:to>
    <xdr:pic>
      <xdr:nvPicPr>
        <xdr:cNvPr id="922" name="9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505</xdr:col>
      <xdr:colOff>299357</xdr:colOff>
      <xdr:row>2</xdr:row>
      <xdr:rowOff>2402</xdr:rowOff>
    </xdr:from>
    <xdr:to>
      <xdr:col>519</xdr:col>
      <xdr:colOff>979714</xdr:colOff>
      <xdr:row>5</xdr:row>
      <xdr:rowOff>186538</xdr:rowOff>
    </xdr:to>
    <xdr:pic>
      <xdr:nvPicPr>
        <xdr:cNvPr id="9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24" name="923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519</xdr:col>
      <xdr:colOff>1197429</xdr:colOff>
      <xdr:row>6</xdr:row>
      <xdr:rowOff>108857</xdr:rowOff>
    </xdr:to>
    <xdr:pic>
      <xdr:nvPicPr>
        <xdr:cNvPr id="925" name="9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505</xdr:col>
      <xdr:colOff>299357</xdr:colOff>
      <xdr:row>2</xdr:row>
      <xdr:rowOff>2402</xdr:rowOff>
    </xdr:from>
    <xdr:to>
      <xdr:col>519</xdr:col>
      <xdr:colOff>979714</xdr:colOff>
      <xdr:row>5</xdr:row>
      <xdr:rowOff>186538</xdr:rowOff>
    </xdr:to>
    <xdr:pic>
      <xdr:nvPicPr>
        <xdr:cNvPr id="9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27" name="926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519</xdr:col>
      <xdr:colOff>1197429</xdr:colOff>
      <xdr:row>6</xdr:row>
      <xdr:rowOff>108857</xdr:rowOff>
    </xdr:to>
    <xdr:pic>
      <xdr:nvPicPr>
        <xdr:cNvPr id="928" name="9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507</xdr:col>
      <xdr:colOff>81643</xdr:colOff>
      <xdr:row>76</xdr:row>
      <xdr:rowOff>0</xdr:rowOff>
    </xdr:from>
    <xdr:to>
      <xdr:col>512</xdr:col>
      <xdr:colOff>40822</xdr:colOff>
      <xdr:row>100</xdr:row>
      <xdr:rowOff>63234</xdr:rowOff>
    </xdr:to>
    <xdr:graphicFrame macro="">
      <xdr:nvGraphicFramePr>
        <xdr:cNvPr id="929" name="92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editAs="oneCell">
    <xdr:from>
      <xdr:col>267</xdr:col>
      <xdr:colOff>299357</xdr:colOff>
      <xdr:row>2</xdr:row>
      <xdr:rowOff>2402</xdr:rowOff>
    </xdr:from>
    <xdr:to>
      <xdr:col>267</xdr:col>
      <xdr:colOff>1279071</xdr:colOff>
      <xdr:row>5</xdr:row>
      <xdr:rowOff>186538</xdr:rowOff>
    </xdr:to>
    <xdr:pic>
      <xdr:nvPicPr>
        <xdr:cNvPr id="93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31" name="930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273</xdr:col>
      <xdr:colOff>1319893</xdr:colOff>
      <xdr:row>6</xdr:row>
      <xdr:rowOff>108857</xdr:rowOff>
    </xdr:to>
    <xdr:pic>
      <xdr:nvPicPr>
        <xdr:cNvPr id="932" name="93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267</xdr:col>
      <xdr:colOff>299357</xdr:colOff>
      <xdr:row>2</xdr:row>
      <xdr:rowOff>2402</xdr:rowOff>
    </xdr:from>
    <xdr:to>
      <xdr:col>267</xdr:col>
      <xdr:colOff>1279071</xdr:colOff>
      <xdr:row>5</xdr:row>
      <xdr:rowOff>186538</xdr:rowOff>
    </xdr:to>
    <xdr:pic>
      <xdr:nvPicPr>
        <xdr:cNvPr id="93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34" name="933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273</xdr:col>
      <xdr:colOff>1319893</xdr:colOff>
      <xdr:row>6</xdr:row>
      <xdr:rowOff>108857</xdr:rowOff>
    </xdr:to>
    <xdr:pic>
      <xdr:nvPicPr>
        <xdr:cNvPr id="935" name="93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267</xdr:col>
      <xdr:colOff>299357</xdr:colOff>
      <xdr:row>2</xdr:row>
      <xdr:rowOff>2402</xdr:rowOff>
    </xdr:from>
    <xdr:to>
      <xdr:col>267</xdr:col>
      <xdr:colOff>1279071</xdr:colOff>
      <xdr:row>5</xdr:row>
      <xdr:rowOff>186538</xdr:rowOff>
    </xdr:to>
    <xdr:pic>
      <xdr:nvPicPr>
        <xdr:cNvPr id="93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37" name="936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273</xdr:col>
      <xdr:colOff>1319893</xdr:colOff>
      <xdr:row>6</xdr:row>
      <xdr:rowOff>108857</xdr:rowOff>
    </xdr:to>
    <xdr:pic>
      <xdr:nvPicPr>
        <xdr:cNvPr id="938" name="93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267</xdr:col>
      <xdr:colOff>299357</xdr:colOff>
      <xdr:row>2</xdr:row>
      <xdr:rowOff>2402</xdr:rowOff>
    </xdr:from>
    <xdr:to>
      <xdr:col>267</xdr:col>
      <xdr:colOff>1279071</xdr:colOff>
      <xdr:row>5</xdr:row>
      <xdr:rowOff>186538</xdr:rowOff>
    </xdr:to>
    <xdr:pic>
      <xdr:nvPicPr>
        <xdr:cNvPr id="93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0" name="939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273</xdr:col>
      <xdr:colOff>1319893</xdr:colOff>
      <xdr:row>6</xdr:row>
      <xdr:rowOff>108857</xdr:rowOff>
    </xdr:to>
    <xdr:pic>
      <xdr:nvPicPr>
        <xdr:cNvPr id="941" name="94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267</xdr:col>
      <xdr:colOff>299357</xdr:colOff>
      <xdr:row>2</xdr:row>
      <xdr:rowOff>2402</xdr:rowOff>
    </xdr:from>
    <xdr:to>
      <xdr:col>267</xdr:col>
      <xdr:colOff>1279071</xdr:colOff>
      <xdr:row>5</xdr:row>
      <xdr:rowOff>186538</xdr:rowOff>
    </xdr:to>
    <xdr:pic>
      <xdr:nvPicPr>
        <xdr:cNvPr id="94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3" name="942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273</xdr:col>
      <xdr:colOff>1319893</xdr:colOff>
      <xdr:row>6</xdr:row>
      <xdr:rowOff>108857</xdr:rowOff>
    </xdr:to>
    <xdr:pic>
      <xdr:nvPicPr>
        <xdr:cNvPr id="944" name="94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267</xdr:col>
      <xdr:colOff>299357</xdr:colOff>
      <xdr:row>2</xdr:row>
      <xdr:rowOff>2402</xdr:rowOff>
    </xdr:from>
    <xdr:to>
      <xdr:col>267</xdr:col>
      <xdr:colOff>1279071</xdr:colOff>
      <xdr:row>5</xdr:row>
      <xdr:rowOff>186538</xdr:rowOff>
    </xdr:to>
    <xdr:pic>
      <xdr:nvPicPr>
        <xdr:cNvPr id="94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6" name="945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269</xdr:col>
      <xdr:colOff>95250</xdr:colOff>
      <xdr:row>76</xdr:row>
      <xdr:rowOff>0</xdr:rowOff>
    </xdr:from>
    <xdr:to>
      <xdr:col>275</xdr:col>
      <xdr:colOff>0</xdr:colOff>
      <xdr:row>100</xdr:row>
      <xdr:rowOff>63234</xdr:rowOff>
    </xdr:to>
    <xdr:graphicFrame macro="">
      <xdr:nvGraphicFramePr>
        <xdr:cNvPr id="948" name="94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9" name="948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0" name="949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1" name="950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2" name="951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3" name="952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267</xdr:col>
      <xdr:colOff>489857</xdr:colOff>
      <xdr:row>2</xdr:row>
      <xdr:rowOff>2402</xdr:rowOff>
    </xdr:from>
    <xdr:to>
      <xdr:col>267</xdr:col>
      <xdr:colOff>1266825</xdr:colOff>
      <xdr:row>5</xdr:row>
      <xdr:rowOff>186538</xdr:rowOff>
    </xdr:to>
    <xdr:pic>
      <xdr:nvPicPr>
        <xdr:cNvPr id="95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3213786" y="410616"/>
          <a:ext cx="776968"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5" name="954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3</xdr:col>
      <xdr:colOff>95250</xdr:colOff>
      <xdr:row>75</xdr:row>
      <xdr:rowOff>190500</xdr:rowOff>
    </xdr:from>
    <xdr:to>
      <xdr:col>9</xdr:col>
      <xdr:colOff>7202</xdr:colOff>
      <xdr:row>100</xdr:row>
      <xdr:rowOff>49626</xdr:rowOff>
    </xdr:to>
    <xdr:graphicFrame macro="">
      <xdr:nvGraphicFramePr>
        <xdr:cNvPr id="856" name="85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17</xdr:col>
      <xdr:colOff>68036</xdr:colOff>
      <xdr:row>75</xdr:row>
      <xdr:rowOff>190501</xdr:rowOff>
    </xdr:from>
    <xdr:to>
      <xdr:col>22</xdr:col>
      <xdr:colOff>27214</xdr:colOff>
      <xdr:row>100</xdr:row>
      <xdr:rowOff>49627</xdr:rowOff>
    </xdr:to>
    <xdr:graphicFrame macro="">
      <xdr:nvGraphicFramePr>
        <xdr:cNvPr id="957" name="95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45</xdr:col>
      <xdr:colOff>68036</xdr:colOff>
      <xdr:row>76</xdr:row>
      <xdr:rowOff>0</xdr:rowOff>
    </xdr:from>
    <xdr:to>
      <xdr:col>50</xdr:col>
      <xdr:colOff>27214</xdr:colOff>
      <xdr:row>100</xdr:row>
      <xdr:rowOff>63234</xdr:rowOff>
    </xdr:to>
    <xdr:graphicFrame macro="">
      <xdr:nvGraphicFramePr>
        <xdr:cNvPr id="959" name="95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editAs="oneCell">
    <xdr:from>
      <xdr:col>1</xdr:col>
      <xdr:colOff>707571</xdr:colOff>
      <xdr:row>2</xdr:row>
      <xdr:rowOff>0</xdr:rowOff>
    </xdr:from>
    <xdr:to>
      <xdr:col>1</xdr:col>
      <xdr:colOff>1484539</xdr:colOff>
      <xdr:row>5</xdr:row>
      <xdr:rowOff>184136</xdr:rowOff>
    </xdr:to>
    <xdr:pic>
      <xdr:nvPicPr>
        <xdr:cNvPr id="96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789214" y="408214"/>
          <a:ext cx="776968" cy="796458"/>
        </a:xfrm>
        <a:prstGeom prst="rect">
          <a:avLst/>
        </a:prstGeom>
        <a:noFill/>
        <a:ln w="9525">
          <a:noFill/>
          <a:miter lim="800000"/>
          <a:headEnd/>
          <a:tailEnd/>
        </a:ln>
      </xdr:spPr>
    </xdr:pic>
    <xdr:clientData/>
  </xdr:twoCellAnchor>
  <xdr:twoCellAnchor editAs="oneCell">
    <xdr:from>
      <xdr:col>7</xdr:col>
      <xdr:colOff>176893</xdr:colOff>
      <xdr:row>1</xdr:row>
      <xdr:rowOff>108857</xdr:rowOff>
    </xdr:from>
    <xdr:to>
      <xdr:col>7</xdr:col>
      <xdr:colOff>978354</xdr:colOff>
      <xdr:row>6</xdr:row>
      <xdr:rowOff>40821</xdr:rowOff>
    </xdr:to>
    <xdr:pic>
      <xdr:nvPicPr>
        <xdr:cNvPr id="963" name="96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12679" y="312964"/>
          <a:ext cx="801461"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95250</xdr:colOff>
      <xdr:row>75</xdr:row>
      <xdr:rowOff>190500</xdr:rowOff>
    </xdr:from>
    <xdr:to>
      <xdr:col>23</xdr:col>
      <xdr:colOff>7202</xdr:colOff>
      <xdr:row>100</xdr:row>
      <xdr:rowOff>49626</xdr:rowOff>
    </xdr:to>
    <xdr:graphicFrame macro="">
      <xdr:nvGraphicFramePr>
        <xdr:cNvPr id="965" name="96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45</xdr:col>
      <xdr:colOff>95250</xdr:colOff>
      <xdr:row>75</xdr:row>
      <xdr:rowOff>190500</xdr:rowOff>
    </xdr:from>
    <xdr:to>
      <xdr:col>51</xdr:col>
      <xdr:colOff>7202</xdr:colOff>
      <xdr:row>100</xdr:row>
      <xdr:rowOff>49626</xdr:rowOff>
    </xdr:to>
    <xdr:graphicFrame macro="">
      <xdr:nvGraphicFramePr>
        <xdr:cNvPr id="967" name="96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59</xdr:col>
      <xdr:colOff>95250</xdr:colOff>
      <xdr:row>75</xdr:row>
      <xdr:rowOff>190500</xdr:rowOff>
    </xdr:from>
    <xdr:to>
      <xdr:col>65</xdr:col>
      <xdr:colOff>7202</xdr:colOff>
      <xdr:row>100</xdr:row>
      <xdr:rowOff>49626</xdr:rowOff>
    </xdr:to>
    <xdr:graphicFrame macro="">
      <xdr:nvGraphicFramePr>
        <xdr:cNvPr id="968" name="96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73</xdr:col>
      <xdr:colOff>95250</xdr:colOff>
      <xdr:row>75</xdr:row>
      <xdr:rowOff>190500</xdr:rowOff>
    </xdr:from>
    <xdr:to>
      <xdr:col>79</xdr:col>
      <xdr:colOff>7202</xdr:colOff>
      <xdr:row>100</xdr:row>
      <xdr:rowOff>49626</xdr:rowOff>
    </xdr:to>
    <xdr:graphicFrame macro="">
      <xdr:nvGraphicFramePr>
        <xdr:cNvPr id="969" name="96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87</xdr:col>
      <xdr:colOff>95250</xdr:colOff>
      <xdr:row>75</xdr:row>
      <xdr:rowOff>190500</xdr:rowOff>
    </xdr:from>
    <xdr:to>
      <xdr:col>93</xdr:col>
      <xdr:colOff>7202</xdr:colOff>
      <xdr:row>100</xdr:row>
      <xdr:rowOff>49626</xdr:rowOff>
    </xdr:to>
    <xdr:graphicFrame macro="">
      <xdr:nvGraphicFramePr>
        <xdr:cNvPr id="970" name="96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101</xdr:col>
      <xdr:colOff>95250</xdr:colOff>
      <xdr:row>75</xdr:row>
      <xdr:rowOff>190500</xdr:rowOff>
    </xdr:from>
    <xdr:to>
      <xdr:col>107</xdr:col>
      <xdr:colOff>7202</xdr:colOff>
      <xdr:row>100</xdr:row>
      <xdr:rowOff>49626</xdr:rowOff>
    </xdr:to>
    <xdr:graphicFrame macro="">
      <xdr:nvGraphicFramePr>
        <xdr:cNvPr id="971" name="97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115</xdr:col>
      <xdr:colOff>95250</xdr:colOff>
      <xdr:row>75</xdr:row>
      <xdr:rowOff>190500</xdr:rowOff>
    </xdr:from>
    <xdr:to>
      <xdr:col>121</xdr:col>
      <xdr:colOff>7202</xdr:colOff>
      <xdr:row>100</xdr:row>
      <xdr:rowOff>49626</xdr:rowOff>
    </xdr:to>
    <xdr:graphicFrame macro="">
      <xdr:nvGraphicFramePr>
        <xdr:cNvPr id="972" name="97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129</xdr:col>
      <xdr:colOff>95250</xdr:colOff>
      <xdr:row>75</xdr:row>
      <xdr:rowOff>190500</xdr:rowOff>
    </xdr:from>
    <xdr:to>
      <xdr:col>135</xdr:col>
      <xdr:colOff>7202</xdr:colOff>
      <xdr:row>100</xdr:row>
      <xdr:rowOff>49626</xdr:rowOff>
    </xdr:to>
    <xdr:graphicFrame macro="">
      <xdr:nvGraphicFramePr>
        <xdr:cNvPr id="973" name="97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143</xdr:col>
      <xdr:colOff>95250</xdr:colOff>
      <xdr:row>75</xdr:row>
      <xdr:rowOff>190500</xdr:rowOff>
    </xdr:from>
    <xdr:to>
      <xdr:col>149</xdr:col>
      <xdr:colOff>7202</xdr:colOff>
      <xdr:row>100</xdr:row>
      <xdr:rowOff>49626</xdr:rowOff>
    </xdr:to>
    <xdr:graphicFrame macro="">
      <xdr:nvGraphicFramePr>
        <xdr:cNvPr id="974" name="97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157</xdr:col>
      <xdr:colOff>95250</xdr:colOff>
      <xdr:row>75</xdr:row>
      <xdr:rowOff>190500</xdr:rowOff>
    </xdr:from>
    <xdr:to>
      <xdr:col>163</xdr:col>
      <xdr:colOff>7202</xdr:colOff>
      <xdr:row>100</xdr:row>
      <xdr:rowOff>49626</xdr:rowOff>
    </xdr:to>
    <xdr:graphicFrame macro="">
      <xdr:nvGraphicFramePr>
        <xdr:cNvPr id="975" name="97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171</xdr:col>
      <xdr:colOff>95250</xdr:colOff>
      <xdr:row>75</xdr:row>
      <xdr:rowOff>190500</xdr:rowOff>
    </xdr:from>
    <xdr:to>
      <xdr:col>177</xdr:col>
      <xdr:colOff>7202</xdr:colOff>
      <xdr:row>100</xdr:row>
      <xdr:rowOff>49626</xdr:rowOff>
    </xdr:to>
    <xdr:graphicFrame macro="">
      <xdr:nvGraphicFramePr>
        <xdr:cNvPr id="976" name="97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185</xdr:col>
      <xdr:colOff>95250</xdr:colOff>
      <xdr:row>75</xdr:row>
      <xdr:rowOff>190500</xdr:rowOff>
    </xdr:from>
    <xdr:to>
      <xdr:col>191</xdr:col>
      <xdr:colOff>7202</xdr:colOff>
      <xdr:row>100</xdr:row>
      <xdr:rowOff>49626</xdr:rowOff>
    </xdr:to>
    <xdr:graphicFrame macro="">
      <xdr:nvGraphicFramePr>
        <xdr:cNvPr id="977" name="97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199</xdr:col>
      <xdr:colOff>95250</xdr:colOff>
      <xdr:row>75</xdr:row>
      <xdr:rowOff>190500</xdr:rowOff>
    </xdr:from>
    <xdr:to>
      <xdr:col>205</xdr:col>
      <xdr:colOff>7202</xdr:colOff>
      <xdr:row>100</xdr:row>
      <xdr:rowOff>49626</xdr:rowOff>
    </xdr:to>
    <xdr:graphicFrame macro="">
      <xdr:nvGraphicFramePr>
        <xdr:cNvPr id="978" name="97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213</xdr:col>
      <xdr:colOff>95250</xdr:colOff>
      <xdr:row>75</xdr:row>
      <xdr:rowOff>190500</xdr:rowOff>
    </xdr:from>
    <xdr:to>
      <xdr:col>219</xdr:col>
      <xdr:colOff>7202</xdr:colOff>
      <xdr:row>100</xdr:row>
      <xdr:rowOff>49626</xdr:rowOff>
    </xdr:to>
    <xdr:graphicFrame macro="">
      <xdr:nvGraphicFramePr>
        <xdr:cNvPr id="979" name="97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227</xdr:col>
      <xdr:colOff>95250</xdr:colOff>
      <xdr:row>75</xdr:row>
      <xdr:rowOff>190500</xdr:rowOff>
    </xdr:from>
    <xdr:to>
      <xdr:col>233</xdr:col>
      <xdr:colOff>7202</xdr:colOff>
      <xdr:row>100</xdr:row>
      <xdr:rowOff>49626</xdr:rowOff>
    </xdr:to>
    <xdr:graphicFrame macro="">
      <xdr:nvGraphicFramePr>
        <xdr:cNvPr id="980" name="97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241</xdr:col>
      <xdr:colOff>95250</xdr:colOff>
      <xdr:row>75</xdr:row>
      <xdr:rowOff>190500</xdr:rowOff>
    </xdr:from>
    <xdr:to>
      <xdr:col>247</xdr:col>
      <xdr:colOff>7202</xdr:colOff>
      <xdr:row>100</xdr:row>
      <xdr:rowOff>49626</xdr:rowOff>
    </xdr:to>
    <xdr:graphicFrame macro="">
      <xdr:nvGraphicFramePr>
        <xdr:cNvPr id="981" name="98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255</xdr:col>
      <xdr:colOff>95250</xdr:colOff>
      <xdr:row>75</xdr:row>
      <xdr:rowOff>190500</xdr:rowOff>
    </xdr:from>
    <xdr:to>
      <xdr:col>261</xdr:col>
      <xdr:colOff>7202</xdr:colOff>
      <xdr:row>100</xdr:row>
      <xdr:rowOff>49626</xdr:rowOff>
    </xdr:to>
    <xdr:graphicFrame macro="">
      <xdr:nvGraphicFramePr>
        <xdr:cNvPr id="982" name="98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269</xdr:col>
      <xdr:colOff>95250</xdr:colOff>
      <xdr:row>75</xdr:row>
      <xdr:rowOff>190500</xdr:rowOff>
    </xdr:from>
    <xdr:to>
      <xdr:col>275</xdr:col>
      <xdr:colOff>7202</xdr:colOff>
      <xdr:row>100</xdr:row>
      <xdr:rowOff>49626</xdr:rowOff>
    </xdr:to>
    <xdr:graphicFrame macro="">
      <xdr:nvGraphicFramePr>
        <xdr:cNvPr id="983" name="98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283</xdr:col>
      <xdr:colOff>95250</xdr:colOff>
      <xdr:row>75</xdr:row>
      <xdr:rowOff>190500</xdr:rowOff>
    </xdr:from>
    <xdr:to>
      <xdr:col>289</xdr:col>
      <xdr:colOff>7202</xdr:colOff>
      <xdr:row>100</xdr:row>
      <xdr:rowOff>49626</xdr:rowOff>
    </xdr:to>
    <xdr:graphicFrame macro="">
      <xdr:nvGraphicFramePr>
        <xdr:cNvPr id="984" name="98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297</xdr:col>
      <xdr:colOff>95250</xdr:colOff>
      <xdr:row>75</xdr:row>
      <xdr:rowOff>190500</xdr:rowOff>
    </xdr:from>
    <xdr:to>
      <xdr:col>303</xdr:col>
      <xdr:colOff>7202</xdr:colOff>
      <xdr:row>100</xdr:row>
      <xdr:rowOff>49626</xdr:rowOff>
    </xdr:to>
    <xdr:graphicFrame macro="">
      <xdr:nvGraphicFramePr>
        <xdr:cNvPr id="985" name="98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311</xdr:col>
      <xdr:colOff>95250</xdr:colOff>
      <xdr:row>75</xdr:row>
      <xdr:rowOff>190500</xdr:rowOff>
    </xdr:from>
    <xdr:to>
      <xdr:col>317</xdr:col>
      <xdr:colOff>7202</xdr:colOff>
      <xdr:row>100</xdr:row>
      <xdr:rowOff>49626</xdr:rowOff>
    </xdr:to>
    <xdr:graphicFrame macro="">
      <xdr:nvGraphicFramePr>
        <xdr:cNvPr id="986" name="98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325</xdr:col>
      <xdr:colOff>95250</xdr:colOff>
      <xdr:row>75</xdr:row>
      <xdr:rowOff>190500</xdr:rowOff>
    </xdr:from>
    <xdr:to>
      <xdr:col>331</xdr:col>
      <xdr:colOff>7202</xdr:colOff>
      <xdr:row>100</xdr:row>
      <xdr:rowOff>49626</xdr:rowOff>
    </xdr:to>
    <xdr:graphicFrame macro="">
      <xdr:nvGraphicFramePr>
        <xdr:cNvPr id="987" name="98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339</xdr:col>
      <xdr:colOff>95250</xdr:colOff>
      <xdr:row>75</xdr:row>
      <xdr:rowOff>190500</xdr:rowOff>
    </xdr:from>
    <xdr:to>
      <xdr:col>345</xdr:col>
      <xdr:colOff>7202</xdr:colOff>
      <xdr:row>100</xdr:row>
      <xdr:rowOff>49626</xdr:rowOff>
    </xdr:to>
    <xdr:graphicFrame macro="">
      <xdr:nvGraphicFramePr>
        <xdr:cNvPr id="988" name="98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353</xdr:col>
      <xdr:colOff>95250</xdr:colOff>
      <xdr:row>75</xdr:row>
      <xdr:rowOff>190500</xdr:rowOff>
    </xdr:from>
    <xdr:to>
      <xdr:col>359</xdr:col>
      <xdr:colOff>7202</xdr:colOff>
      <xdr:row>100</xdr:row>
      <xdr:rowOff>49626</xdr:rowOff>
    </xdr:to>
    <xdr:graphicFrame macro="">
      <xdr:nvGraphicFramePr>
        <xdr:cNvPr id="989" name="98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367</xdr:col>
      <xdr:colOff>95250</xdr:colOff>
      <xdr:row>75</xdr:row>
      <xdr:rowOff>190500</xdr:rowOff>
    </xdr:from>
    <xdr:to>
      <xdr:col>373</xdr:col>
      <xdr:colOff>7202</xdr:colOff>
      <xdr:row>100</xdr:row>
      <xdr:rowOff>49626</xdr:rowOff>
    </xdr:to>
    <xdr:graphicFrame macro="">
      <xdr:nvGraphicFramePr>
        <xdr:cNvPr id="990" name="98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381</xdr:col>
      <xdr:colOff>95250</xdr:colOff>
      <xdr:row>75</xdr:row>
      <xdr:rowOff>190500</xdr:rowOff>
    </xdr:from>
    <xdr:to>
      <xdr:col>387</xdr:col>
      <xdr:colOff>7202</xdr:colOff>
      <xdr:row>100</xdr:row>
      <xdr:rowOff>49626</xdr:rowOff>
    </xdr:to>
    <xdr:graphicFrame macro="">
      <xdr:nvGraphicFramePr>
        <xdr:cNvPr id="991" name="99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395</xdr:col>
      <xdr:colOff>95250</xdr:colOff>
      <xdr:row>75</xdr:row>
      <xdr:rowOff>190500</xdr:rowOff>
    </xdr:from>
    <xdr:to>
      <xdr:col>401</xdr:col>
      <xdr:colOff>7202</xdr:colOff>
      <xdr:row>100</xdr:row>
      <xdr:rowOff>49626</xdr:rowOff>
    </xdr:to>
    <xdr:graphicFrame macro="">
      <xdr:nvGraphicFramePr>
        <xdr:cNvPr id="992" name="99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409</xdr:col>
      <xdr:colOff>95250</xdr:colOff>
      <xdr:row>75</xdr:row>
      <xdr:rowOff>190500</xdr:rowOff>
    </xdr:from>
    <xdr:to>
      <xdr:col>415</xdr:col>
      <xdr:colOff>7202</xdr:colOff>
      <xdr:row>100</xdr:row>
      <xdr:rowOff>49626</xdr:rowOff>
    </xdr:to>
    <xdr:graphicFrame macro="">
      <xdr:nvGraphicFramePr>
        <xdr:cNvPr id="993" name="99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423</xdr:col>
      <xdr:colOff>95250</xdr:colOff>
      <xdr:row>75</xdr:row>
      <xdr:rowOff>190500</xdr:rowOff>
    </xdr:from>
    <xdr:to>
      <xdr:col>429</xdr:col>
      <xdr:colOff>7202</xdr:colOff>
      <xdr:row>100</xdr:row>
      <xdr:rowOff>49626</xdr:rowOff>
    </xdr:to>
    <xdr:graphicFrame macro="">
      <xdr:nvGraphicFramePr>
        <xdr:cNvPr id="994" name="99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437</xdr:col>
      <xdr:colOff>95250</xdr:colOff>
      <xdr:row>75</xdr:row>
      <xdr:rowOff>190500</xdr:rowOff>
    </xdr:from>
    <xdr:to>
      <xdr:col>443</xdr:col>
      <xdr:colOff>7202</xdr:colOff>
      <xdr:row>100</xdr:row>
      <xdr:rowOff>49626</xdr:rowOff>
    </xdr:to>
    <xdr:graphicFrame macro="">
      <xdr:nvGraphicFramePr>
        <xdr:cNvPr id="995" name="99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451</xdr:col>
      <xdr:colOff>95250</xdr:colOff>
      <xdr:row>75</xdr:row>
      <xdr:rowOff>190500</xdr:rowOff>
    </xdr:from>
    <xdr:to>
      <xdr:col>457</xdr:col>
      <xdr:colOff>7202</xdr:colOff>
      <xdr:row>100</xdr:row>
      <xdr:rowOff>49626</xdr:rowOff>
    </xdr:to>
    <xdr:graphicFrame macro="">
      <xdr:nvGraphicFramePr>
        <xdr:cNvPr id="996" name="99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465</xdr:col>
      <xdr:colOff>95250</xdr:colOff>
      <xdr:row>75</xdr:row>
      <xdr:rowOff>190500</xdr:rowOff>
    </xdr:from>
    <xdr:to>
      <xdr:col>471</xdr:col>
      <xdr:colOff>7202</xdr:colOff>
      <xdr:row>100</xdr:row>
      <xdr:rowOff>49626</xdr:rowOff>
    </xdr:to>
    <xdr:graphicFrame macro="">
      <xdr:nvGraphicFramePr>
        <xdr:cNvPr id="997" name="99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479</xdr:col>
      <xdr:colOff>95250</xdr:colOff>
      <xdr:row>75</xdr:row>
      <xdr:rowOff>190500</xdr:rowOff>
    </xdr:from>
    <xdr:to>
      <xdr:col>485</xdr:col>
      <xdr:colOff>7202</xdr:colOff>
      <xdr:row>100</xdr:row>
      <xdr:rowOff>49626</xdr:rowOff>
    </xdr:to>
    <xdr:graphicFrame macro="">
      <xdr:nvGraphicFramePr>
        <xdr:cNvPr id="998" name="99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493</xdr:col>
      <xdr:colOff>95250</xdr:colOff>
      <xdr:row>75</xdr:row>
      <xdr:rowOff>190500</xdr:rowOff>
    </xdr:from>
    <xdr:to>
      <xdr:col>499</xdr:col>
      <xdr:colOff>7202</xdr:colOff>
      <xdr:row>100</xdr:row>
      <xdr:rowOff>49626</xdr:rowOff>
    </xdr:to>
    <xdr:graphicFrame macro="">
      <xdr:nvGraphicFramePr>
        <xdr:cNvPr id="999" name="99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507</xdr:col>
      <xdr:colOff>95250</xdr:colOff>
      <xdr:row>75</xdr:row>
      <xdr:rowOff>190500</xdr:rowOff>
    </xdr:from>
    <xdr:to>
      <xdr:col>513</xdr:col>
      <xdr:colOff>7202</xdr:colOff>
      <xdr:row>100</xdr:row>
      <xdr:rowOff>49626</xdr:rowOff>
    </xdr:to>
    <xdr:graphicFrame macro="">
      <xdr:nvGraphicFramePr>
        <xdr:cNvPr id="1000" name="99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521</xdr:col>
      <xdr:colOff>95250</xdr:colOff>
      <xdr:row>75</xdr:row>
      <xdr:rowOff>190500</xdr:rowOff>
    </xdr:from>
    <xdr:to>
      <xdr:col>527</xdr:col>
      <xdr:colOff>7202</xdr:colOff>
      <xdr:row>100</xdr:row>
      <xdr:rowOff>49626</xdr:rowOff>
    </xdr:to>
    <xdr:graphicFrame macro="">
      <xdr:nvGraphicFramePr>
        <xdr:cNvPr id="1001" name="100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299357</xdr:colOff>
      <xdr:row>2</xdr:row>
      <xdr:rowOff>2402</xdr:rowOff>
    </xdr:from>
    <xdr:to>
      <xdr:col>1</xdr:col>
      <xdr:colOff>1279071</xdr:colOff>
      <xdr:row>5</xdr:row>
      <xdr:rowOff>186538</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89857" y="410616"/>
          <a:ext cx="979714" cy="796458"/>
        </a:xfrm>
        <a:prstGeom prst="rect">
          <a:avLst/>
        </a:prstGeom>
        <a:noFill/>
        <a:ln w="9525">
          <a:noFill/>
          <a:miter lim="800000"/>
          <a:headEnd/>
          <a:tailEnd/>
        </a:ln>
      </xdr:spPr>
    </xdr:pic>
    <xdr:clientData/>
  </xdr:twoCellAnchor>
  <xdr:twoCellAnchor>
    <xdr:from>
      <xdr:col>1</xdr:col>
      <xdr:colOff>2203438</xdr:colOff>
      <xdr:row>1</xdr:row>
      <xdr:rowOff>103300</xdr:rowOff>
    </xdr:from>
    <xdr:to>
      <xdr:col>6</xdr:col>
      <xdr:colOff>639535</xdr:colOff>
      <xdr:row>6</xdr:row>
      <xdr:rowOff>36625</xdr:rowOff>
    </xdr:to>
    <xdr:sp macro="" textlink="">
      <xdr:nvSpPr>
        <xdr:cNvPr id="3" name="2 CuadroTexto"/>
        <xdr:cNvSpPr txBox="1"/>
      </xdr:nvSpPr>
      <xdr:spPr>
        <a:xfrm>
          <a:off x="2393938" y="303325"/>
          <a:ext cx="6618072"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xdr:col>
      <xdr:colOff>122464</xdr:colOff>
      <xdr:row>1</xdr:row>
      <xdr:rowOff>176893</xdr:rowOff>
    </xdr:from>
    <xdr:to>
      <xdr:col>7</xdr:col>
      <xdr:colOff>1319893</xdr:colOff>
      <xdr:row>6</xdr:row>
      <xdr:rowOff>108857</xdr:rowOff>
    </xdr:to>
    <xdr:pic>
      <xdr:nvPicPr>
        <xdr:cNvPr id="5" name="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9907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436469</xdr:colOff>
      <xdr:row>44</xdr:row>
      <xdr:rowOff>156881</xdr:rowOff>
    </xdr:from>
    <xdr:to>
      <xdr:col>12</xdr:col>
      <xdr:colOff>1079688</xdr:colOff>
      <xdr:row>101</xdr:row>
      <xdr:rowOff>78440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13448</xdr:colOff>
      <xdr:row>101</xdr:row>
      <xdr:rowOff>11205</xdr:rowOff>
    </xdr:from>
    <xdr:to>
      <xdr:col>12</xdr:col>
      <xdr:colOff>1146923</xdr:colOff>
      <xdr:row>160</xdr:row>
      <xdr:rowOff>33619</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PEC/imprimir/Ajustado_Modelo_de_costos_INPEC_10_01_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ONSOLIDADO_GENERAL_SEDES_PAE_1502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ivan.zapata/Documents/IZS/4.%20INSTITUTO%202013/1.%20GCB%202013/FINALES/1.%20Mod%20Costos%20programa%20Generaciones%20con%20Bienestar%20180220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ndres%20Mutis/DLyA/MODELO%20DE%20COSTOS%20GENERACIONES%20CON%20BIENESTAR/ACTUALIZACION/GENERACIONES%20TRADICIONALES/1.%20Precosteo%20GCB%2007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ECCION%20TECNICA%20ICBF/Archivos%20FONADE/COSTEO%20DIAGNOSTIC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iego.quintanilla/Escritorio/Jardines%20Sociales/Estudio%20de%20Costos%20Jardines%20Socia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9.30\Disco%20local%20(F)\Datos\2012\ANTEPROYECTO\INGRESOS\BASE%20PND%202011-2014%20-%20PR%20SOCIAL%20feb%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rgbog90\d\DOCUME~1\J0ZAMB~1\CONFIG~1\Temp\PP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Huber.Garcia/Mis%20documentos/Datos/Rafa/PLANTA-2008/AMPLIACION%20PLANTA/DATOS_COSTOS-SUPERNUMERARIOS-401_CUPOS-19-08-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diego.quintanilla/Escritorio/ICBF/Direcci&#243;n%20de%20Logistica%20y%20Abastecimiento/Consultoria%20Bienestarina/CONSULTORIA%20BIENESTARINA%2031-07-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diego.quintanilla/Escritorio/ICBF/Direcci&#243;n%20de%20Logistica%20y%20Abastecimiento/Encuesta%20Nacional%20de%20Juventud/E.C.%20Encuesta%20Nacional%20de%20Juventu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diego.quintanilla/Configuraci&#243;n%20local/Archivos%20temporales%20de%20Internet/Content.Outlook/Y3XOUI2P/Revisado_Edilberto_Desayunos_Infantiles_con_Amor_Nov_26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cell r="E6">
            <v>2233354</v>
          </cell>
        </row>
        <row r="7">
          <cell r="B7" t="str">
            <v>Directivo 2</v>
          </cell>
          <cell r="E7">
            <v>2497580</v>
          </cell>
        </row>
        <row r="8">
          <cell r="B8" t="str">
            <v>Directivo 3</v>
          </cell>
          <cell r="E8">
            <v>2637233</v>
          </cell>
        </row>
        <row r="9">
          <cell r="B9" t="str">
            <v>Directivo 4</v>
          </cell>
          <cell r="E9">
            <v>2803049</v>
          </cell>
        </row>
        <row r="10">
          <cell r="B10" t="str">
            <v>Directivo 5</v>
          </cell>
          <cell r="E10">
            <v>2875180</v>
          </cell>
        </row>
        <row r="11">
          <cell r="B11" t="str">
            <v>Directivo 6</v>
          </cell>
          <cell r="E11">
            <v>3002689</v>
          </cell>
        </row>
        <row r="12">
          <cell r="B12" t="str">
            <v>Directivo 7</v>
          </cell>
          <cell r="E12">
            <v>3182234</v>
          </cell>
        </row>
        <row r="13">
          <cell r="B13" t="str">
            <v>Directivo 8</v>
          </cell>
          <cell r="E13">
            <v>3252416</v>
          </cell>
        </row>
        <row r="14">
          <cell r="B14" t="str">
            <v>Directivo 9</v>
          </cell>
          <cell r="E14">
            <v>3372970</v>
          </cell>
        </row>
        <row r="15">
          <cell r="B15" t="str">
            <v>Directivo 10</v>
          </cell>
          <cell r="E15">
            <v>3623537</v>
          </cell>
        </row>
        <row r="16">
          <cell r="B16" t="str">
            <v>Directivo 11</v>
          </cell>
          <cell r="E16">
            <v>3679737</v>
          </cell>
        </row>
        <row r="17">
          <cell r="B17" t="str">
            <v>Directivo 12</v>
          </cell>
          <cell r="E17">
            <v>3795848</v>
          </cell>
        </row>
        <row r="18">
          <cell r="B18" t="str">
            <v>Directivo 13</v>
          </cell>
          <cell r="E18">
            <v>3960173</v>
          </cell>
        </row>
        <row r="19">
          <cell r="B19" t="str">
            <v>Directivo 14</v>
          </cell>
          <cell r="E19">
            <v>4260338</v>
          </cell>
        </row>
        <row r="20">
          <cell r="B20" t="str">
            <v>Directivo 15</v>
          </cell>
          <cell r="E20">
            <v>4319249</v>
          </cell>
        </row>
        <row r="21">
          <cell r="B21" t="str">
            <v>Directivo 16</v>
          </cell>
          <cell r="E21">
            <v>4555421</v>
          </cell>
        </row>
        <row r="22">
          <cell r="B22" t="str">
            <v>Directivo 17</v>
          </cell>
          <cell r="E22">
            <v>4933677</v>
          </cell>
        </row>
        <row r="23">
          <cell r="B23" t="str">
            <v>Directivo 18</v>
          </cell>
          <cell r="E23">
            <v>5312782</v>
          </cell>
        </row>
        <row r="24">
          <cell r="B24" t="str">
            <v>Directivo 19</v>
          </cell>
          <cell r="E24">
            <v>5842185</v>
          </cell>
        </row>
        <row r="25">
          <cell r="B25" t="str">
            <v>Directivo 20</v>
          </cell>
          <cell r="E25">
            <v>5922203</v>
          </cell>
        </row>
        <row r="26">
          <cell r="B26" t="str">
            <v>Directivo 21</v>
          </cell>
          <cell r="E26">
            <v>6553250</v>
          </cell>
        </row>
        <row r="27">
          <cell r="B27" t="str">
            <v>Directivo 22</v>
          </cell>
          <cell r="E27">
            <v>7197704</v>
          </cell>
        </row>
        <row r="28">
          <cell r="B28" t="str">
            <v>Directivo 23</v>
          </cell>
          <cell r="E28">
            <v>7766751</v>
          </cell>
        </row>
        <row r="29">
          <cell r="B29" t="str">
            <v>Directivo 24</v>
          </cell>
          <cell r="E29">
            <v>8374274</v>
          </cell>
        </row>
        <row r="30">
          <cell r="B30" t="str">
            <v>Directivo 25</v>
          </cell>
          <cell r="E30">
            <v>8809736</v>
          </cell>
        </row>
        <row r="31">
          <cell r="B31" t="str">
            <v>Directivo 26</v>
          </cell>
          <cell r="E31">
            <v>9246513</v>
          </cell>
        </row>
        <row r="32">
          <cell r="B32" t="str">
            <v>Directivo 27</v>
          </cell>
          <cell r="E32">
            <v>9761707</v>
          </cell>
        </row>
        <row r="33">
          <cell r="B33" t="str">
            <v>asesor 1</v>
          </cell>
          <cell r="E33">
            <v>2179619</v>
          </cell>
        </row>
        <row r="34">
          <cell r="B34" t="str">
            <v>asesor 2</v>
          </cell>
          <cell r="E34">
            <v>2357013</v>
          </cell>
        </row>
        <row r="35">
          <cell r="B35" t="str">
            <v>asesor 3</v>
          </cell>
          <cell r="E35">
            <v>2572258</v>
          </cell>
        </row>
        <row r="36">
          <cell r="B36" t="str">
            <v>asesor 4</v>
          </cell>
          <cell r="E36">
            <v>2927532</v>
          </cell>
        </row>
        <row r="37">
          <cell r="B37" t="str">
            <v>asesor 5</v>
          </cell>
          <cell r="E37">
            <v>3002689</v>
          </cell>
        </row>
        <row r="38">
          <cell r="B38" t="str">
            <v>asesor 6</v>
          </cell>
          <cell r="E38">
            <v>3399927</v>
          </cell>
        </row>
        <row r="39">
          <cell r="B39" t="str">
            <v>asesor 7</v>
          </cell>
          <cell r="E39">
            <v>3795848</v>
          </cell>
        </row>
        <row r="40">
          <cell r="B40" t="str">
            <v>asesor 8</v>
          </cell>
          <cell r="E40">
            <v>4154020</v>
          </cell>
        </row>
        <row r="41">
          <cell r="B41" t="str">
            <v>asesor 9</v>
          </cell>
          <cell r="E41">
            <v>4365588</v>
          </cell>
        </row>
        <row r="42">
          <cell r="B42" t="str">
            <v>asesor 10</v>
          </cell>
          <cell r="E42">
            <v>4539658</v>
          </cell>
        </row>
        <row r="43">
          <cell r="B43" t="str">
            <v>asesor 11</v>
          </cell>
          <cell r="E43">
            <v>4773304</v>
          </cell>
        </row>
        <row r="44">
          <cell r="B44" t="str">
            <v>asesor 12</v>
          </cell>
          <cell r="E44">
            <v>5013419</v>
          </cell>
        </row>
        <row r="45">
          <cell r="B45" t="str">
            <v>asesor 13</v>
          </cell>
          <cell r="E45">
            <v>5496701</v>
          </cell>
        </row>
        <row r="46">
          <cell r="B46" t="str">
            <v>asesor 14</v>
          </cell>
          <cell r="E46">
            <v>5802065</v>
          </cell>
        </row>
        <row r="47">
          <cell r="B47" t="str">
            <v>asesor 15</v>
          </cell>
          <cell r="E47">
            <v>5921433</v>
          </cell>
        </row>
        <row r="48">
          <cell r="B48" t="str">
            <v>asesor 16</v>
          </cell>
          <cell r="E48">
            <v>6506604</v>
          </cell>
        </row>
        <row r="49">
          <cell r="B49" t="str">
            <v>asesor 17</v>
          </cell>
          <cell r="E49">
            <v>7188672</v>
          </cell>
        </row>
        <row r="50">
          <cell r="B50" t="str">
            <v>asesor 18</v>
          </cell>
          <cell r="E50">
            <v>7802839</v>
          </cell>
        </row>
        <row r="51">
          <cell r="B51" t="str">
            <v>profesional  1</v>
          </cell>
          <cell r="E51">
            <v>1315939</v>
          </cell>
        </row>
        <row r="52">
          <cell r="B52" t="str">
            <v>profesional  2</v>
          </cell>
          <cell r="E52">
            <v>1454601</v>
          </cell>
        </row>
        <row r="53">
          <cell r="B53" t="str">
            <v>profesional  3</v>
          </cell>
          <cell r="E53">
            <v>1520238</v>
          </cell>
        </row>
        <row r="54">
          <cell r="B54" t="str">
            <v>profesional  4</v>
          </cell>
          <cell r="E54">
            <v>1600782</v>
          </cell>
        </row>
        <row r="55">
          <cell r="B55" t="str">
            <v>profesional  5</v>
          </cell>
          <cell r="E55">
            <v>1693321</v>
          </cell>
        </row>
        <row r="56">
          <cell r="B56" t="str">
            <v>profesional  6</v>
          </cell>
          <cell r="E56">
            <v>1752286</v>
          </cell>
        </row>
        <row r="57">
          <cell r="B57" t="str">
            <v>profesional  7</v>
          </cell>
          <cell r="E57">
            <v>1839033</v>
          </cell>
        </row>
        <row r="58">
          <cell r="B58" t="str">
            <v>profesional  8</v>
          </cell>
          <cell r="E58">
            <v>1930469</v>
          </cell>
        </row>
        <row r="59">
          <cell r="B59" t="str">
            <v>profesional  9</v>
          </cell>
          <cell r="E59">
            <v>2013569</v>
          </cell>
        </row>
        <row r="60">
          <cell r="B60" t="str">
            <v>profesional  10</v>
          </cell>
          <cell r="E60">
            <v>2082275</v>
          </cell>
        </row>
        <row r="61">
          <cell r="B61" t="str">
            <v>profesional  11</v>
          </cell>
          <cell r="E61">
            <v>2169943</v>
          </cell>
        </row>
        <row r="62">
          <cell r="B62" t="str">
            <v>profesional  12</v>
          </cell>
          <cell r="E62">
            <v>2302196</v>
          </cell>
        </row>
        <row r="63">
          <cell r="B63" t="str">
            <v>profesional  13</v>
          </cell>
          <cell r="E63">
            <v>2494331</v>
          </cell>
        </row>
        <row r="64">
          <cell r="B64" t="str">
            <v>profesional  14</v>
          </cell>
          <cell r="E64">
            <v>2669283</v>
          </cell>
        </row>
        <row r="65">
          <cell r="B65" t="str">
            <v>profesional  15</v>
          </cell>
          <cell r="E65">
            <v>2951171</v>
          </cell>
        </row>
        <row r="66">
          <cell r="B66" t="str">
            <v>profesional  16</v>
          </cell>
          <cell r="E66">
            <v>3181780</v>
          </cell>
        </row>
        <row r="67">
          <cell r="B67" t="str">
            <v>profesional  17</v>
          </cell>
          <cell r="E67">
            <v>3346665</v>
          </cell>
        </row>
        <row r="68">
          <cell r="B68" t="str">
            <v>profesional  18</v>
          </cell>
          <cell r="E68">
            <v>3604191</v>
          </cell>
        </row>
        <row r="69">
          <cell r="B69" t="str">
            <v>profesional  19</v>
          </cell>
          <cell r="E69">
            <v>3876862</v>
          </cell>
        </row>
        <row r="70">
          <cell r="B70" t="str">
            <v>profesional  20</v>
          </cell>
          <cell r="E70">
            <v>4173350</v>
          </cell>
        </row>
        <row r="71">
          <cell r="B71" t="str">
            <v>profesional  21</v>
          </cell>
          <cell r="E71">
            <v>4448103</v>
          </cell>
        </row>
        <row r="72">
          <cell r="B72" t="str">
            <v>profesional  22</v>
          </cell>
          <cell r="E72">
            <v>4784075</v>
          </cell>
        </row>
        <row r="73">
          <cell r="B73" t="str">
            <v>profesional  23</v>
          </cell>
          <cell r="E73">
            <v>5054940</v>
          </cell>
        </row>
        <row r="74">
          <cell r="B74" t="str">
            <v>profesional  24</v>
          </cell>
          <cell r="E74">
            <v>5450909</v>
          </cell>
        </row>
        <row r="75">
          <cell r="B75" t="str">
            <v>tecnico 1</v>
          </cell>
          <cell r="E75">
            <v>566700</v>
          </cell>
        </row>
        <row r="76">
          <cell r="B76" t="str">
            <v>tecnico  2</v>
          </cell>
          <cell r="E76">
            <v>613926</v>
          </cell>
        </row>
        <row r="77">
          <cell r="B77" t="str">
            <v>tecnico  3</v>
          </cell>
          <cell r="E77">
            <v>689588</v>
          </cell>
        </row>
        <row r="78">
          <cell r="B78" t="str">
            <v>tecnico  4</v>
          </cell>
          <cell r="E78">
            <v>730670</v>
          </cell>
        </row>
        <row r="79">
          <cell r="B79" t="str">
            <v>tecnico  5</v>
          </cell>
          <cell r="E79">
            <v>777282</v>
          </cell>
        </row>
        <row r="80">
          <cell r="B80" t="str">
            <v>tecnico  6</v>
          </cell>
          <cell r="E80">
            <v>935516</v>
          </cell>
        </row>
        <row r="81">
          <cell r="B81" t="str">
            <v>tecnico  7</v>
          </cell>
          <cell r="E81">
            <v>996878</v>
          </cell>
        </row>
        <row r="82">
          <cell r="B82" t="str">
            <v>tecnico  8</v>
          </cell>
          <cell r="E82">
            <v>1022146</v>
          </cell>
        </row>
        <row r="83">
          <cell r="B83" t="str">
            <v>tecnico  9</v>
          </cell>
          <cell r="E83">
            <v>1124891</v>
          </cell>
        </row>
        <row r="84">
          <cell r="B84" t="str">
            <v>tecnico  10</v>
          </cell>
          <cell r="E84">
            <v>1177140</v>
          </cell>
        </row>
        <row r="85">
          <cell r="B85" t="str">
            <v>tecnico  11</v>
          </cell>
          <cell r="E85">
            <v>1240971</v>
          </cell>
        </row>
        <row r="86">
          <cell r="B86" t="str">
            <v>tecnico  12</v>
          </cell>
          <cell r="E86">
            <v>1315939</v>
          </cell>
        </row>
        <row r="87">
          <cell r="B87" t="str">
            <v>tecnico  13</v>
          </cell>
          <cell r="E87">
            <v>1403343</v>
          </cell>
        </row>
        <row r="88">
          <cell r="B88" t="str">
            <v>tecnico  14</v>
          </cell>
          <cell r="E88">
            <v>1454601</v>
          </cell>
        </row>
        <row r="89">
          <cell r="B89" t="str">
            <v>tecnico  15</v>
          </cell>
          <cell r="E89">
            <v>1520238</v>
          </cell>
        </row>
        <row r="90">
          <cell r="B90" t="str">
            <v>tecnico  16</v>
          </cell>
          <cell r="E90">
            <v>1717662</v>
          </cell>
        </row>
        <row r="91">
          <cell r="B91" t="str">
            <v>tecnico  17</v>
          </cell>
          <cell r="E91">
            <v>1838799</v>
          </cell>
        </row>
        <row r="92">
          <cell r="B92" t="str">
            <v>tecnico  18</v>
          </cell>
          <cell r="E92">
            <v>2020686</v>
          </cell>
        </row>
        <row r="93">
          <cell r="B93" t="str">
            <v>asistencial  1</v>
          </cell>
          <cell r="E93">
            <v>566700</v>
          </cell>
        </row>
        <row r="94">
          <cell r="B94" t="str">
            <v>asistencial  2</v>
          </cell>
        </row>
        <row r="95">
          <cell r="B95" t="str">
            <v>asistencial  3</v>
          </cell>
        </row>
        <row r="96">
          <cell r="B96" t="str">
            <v>asistencial  4</v>
          </cell>
        </row>
        <row r="97">
          <cell r="B97" t="str">
            <v>asistencial  5</v>
          </cell>
        </row>
        <row r="98">
          <cell r="B98" t="str">
            <v>asistencial  6</v>
          </cell>
        </row>
        <row r="99">
          <cell r="B99" t="str">
            <v>asistencial  7</v>
          </cell>
        </row>
        <row r="100">
          <cell r="B100" t="str">
            <v>asistencial  8</v>
          </cell>
        </row>
        <row r="101">
          <cell r="B101" t="str">
            <v>asistencial  9</v>
          </cell>
        </row>
        <row r="102">
          <cell r="B102" t="str">
            <v>asistencial  10</v>
          </cell>
        </row>
        <row r="103">
          <cell r="B103" t="str">
            <v>asistencial  11</v>
          </cell>
        </row>
        <row r="104">
          <cell r="B104" t="str">
            <v>asistencial  12</v>
          </cell>
        </row>
        <row r="105">
          <cell r="B105" t="str">
            <v>asistencial  13</v>
          </cell>
        </row>
        <row r="106">
          <cell r="B106" t="str">
            <v>asistencial  14</v>
          </cell>
        </row>
        <row r="107">
          <cell r="B107" t="str">
            <v>asistencial  15</v>
          </cell>
        </row>
        <row r="108">
          <cell r="B108" t="str">
            <v>asistencial  16</v>
          </cell>
        </row>
        <row r="109">
          <cell r="B109" t="str">
            <v>asistencial  17</v>
          </cell>
        </row>
        <row r="110">
          <cell r="B110" t="str">
            <v>asistencial  18</v>
          </cell>
        </row>
        <row r="111">
          <cell r="B111" t="str">
            <v>asistencial  19</v>
          </cell>
        </row>
        <row r="112">
          <cell r="B112" t="str">
            <v>asistencial  20</v>
          </cell>
        </row>
        <row r="113">
          <cell r="B113" t="str">
            <v>asistencial  21</v>
          </cell>
        </row>
        <row r="114">
          <cell r="B114" t="str">
            <v>asistencial  22</v>
          </cell>
        </row>
        <row r="115">
          <cell r="B115" t="str">
            <v>asistencial  23</v>
          </cell>
        </row>
        <row r="116">
          <cell r="B116" t="str">
            <v>asistencial  24</v>
          </cell>
        </row>
        <row r="117">
          <cell r="B117" t="str">
            <v>asistencial  25</v>
          </cell>
        </row>
        <row r="118">
          <cell r="B118" t="str">
            <v>asistencial  26</v>
          </cell>
        </row>
        <row r="119">
          <cell r="B119" t="str">
            <v>Internos</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índice"/>
      <sheetName val="Parametros Generales"/>
      <sheetName val="Salarios de Ref"/>
      <sheetName val="Componentes T.H."/>
      <sheetName val="Cost x Depart"/>
      <sheetName val="Res de Costos X Dept"/>
      <sheetName val="Res de Costos Pais"/>
      <sheetName val="Analisis de Escenarios"/>
      <sheetName val="Transporte y Viaticos"/>
      <sheetName val="Codigos"/>
      <sheetName val="Cot. Refrig. "/>
      <sheetName val="Cot. Papeleria"/>
      <sheetName val="Cot Int y Cel"/>
      <sheetName val="Cot. Chalecos"/>
    </sheetNames>
    <sheetDataSet>
      <sheetData sheetId="0"/>
      <sheetData sheetId="1"/>
      <sheetData sheetId="2"/>
      <sheetData sheetId="3"/>
      <sheetData sheetId="4"/>
      <sheetData sheetId="5"/>
      <sheetData sheetId="6"/>
      <sheetData sheetId="7"/>
      <sheetData sheetId="8">
        <row r="88">
          <cell r="B88" t="str">
            <v>Amazonas</v>
          </cell>
          <cell r="D88">
            <v>364882.35400057031</v>
          </cell>
          <cell r="E88">
            <v>1094644.7546058367</v>
          </cell>
        </row>
        <row r="89">
          <cell r="D89">
            <v>21892.572056694313</v>
          </cell>
          <cell r="E89">
            <v>74660.408309280945</v>
          </cell>
        </row>
        <row r="90">
          <cell r="D90">
            <v>364882.35400057031</v>
          </cell>
          <cell r="E90">
            <v>1094644.7546058367</v>
          </cell>
        </row>
        <row r="91">
          <cell r="D91">
            <v>29189.711509613338</v>
          </cell>
          <cell r="E91">
            <v>43785.144113388626</v>
          </cell>
        </row>
        <row r="92">
          <cell r="D92">
            <v>21892.572056694313</v>
          </cell>
          <cell r="E92">
            <v>0</v>
          </cell>
        </row>
        <row r="93">
          <cell r="D93">
            <v>29189.711509613338</v>
          </cell>
          <cell r="E93">
            <v>43786.297811325843</v>
          </cell>
        </row>
        <row r="94">
          <cell r="D94">
            <v>58358.656456356715</v>
          </cell>
          <cell r="E94">
            <v>79217.515161301533</v>
          </cell>
        </row>
        <row r="95">
          <cell r="D95">
            <v>20039.733169518346</v>
          </cell>
          <cell r="E95">
            <v>50651.954235724435</v>
          </cell>
        </row>
        <row r="96">
          <cell r="D96">
            <v>55768.604587296926</v>
          </cell>
          <cell r="E96">
            <v>163372.8574939064</v>
          </cell>
        </row>
        <row r="97">
          <cell r="D97">
            <v>200818.43144226892</v>
          </cell>
          <cell r="E97">
            <v>511638.50010469137</v>
          </cell>
        </row>
        <row r="98">
          <cell r="D98">
            <v>117996.76392509085</v>
          </cell>
          <cell r="E98">
            <v>125351.5882748709</v>
          </cell>
        </row>
        <row r="99">
          <cell r="D99">
            <v>29189.711509613338</v>
          </cell>
          <cell r="E99">
            <v>123642.9616298475</v>
          </cell>
        </row>
        <row r="100">
          <cell r="D100">
            <v>227039.67815941415</v>
          </cell>
          <cell r="E100">
            <v>1063371.4646216033</v>
          </cell>
        </row>
        <row r="101">
          <cell r="D101">
            <v>29189.711509613338</v>
          </cell>
          <cell r="E101">
            <v>43786.297811325843</v>
          </cell>
        </row>
        <row r="102">
          <cell r="D102">
            <v>55960.118444875501</v>
          </cell>
          <cell r="E102">
            <v>103520.16220884929</v>
          </cell>
        </row>
        <row r="103">
          <cell r="D103">
            <v>364882.35400057031</v>
          </cell>
          <cell r="E103">
            <v>1094644.7546058367</v>
          </cell>
        </row>
        <row r="104">
          <cell r="D104">
            <v>52442.493434290504</v>
          </cell>
          <cell r="E104">
            <v>108723.33990571326</v>
          </cell>
        </row>
        <row r="105">
          <cell r="D105">
            <v>364882.35400057031</v>
          </cell>
          <cell r="E105">
            <v>1094644.7546058367</v>
          </cell>
        </row>
        <row r="106">
          <cell r="D106">
            <v>13814.379100277069</v>
          </cell>
          <cell r="E106">
            <v>20465.447708352676</v>
          </cell>
        </row>
        <row r="107">
          <cell r="D107">
            <v>29189.711509613338</v>
          </cell>
          <cell r="E107">
            <v>43786.297811325843</v>
          </cell>
        </row>
        <row r="108">
          <cell r="D108">
            <v>33852.958571858202</v>
          </cell>
          <cell r="E108">
            <v>93800.257087767401</v>
          </cell>
        </row>
        <row r="109">
          <cell r="D109">
            <v>36922.948782801679</v>
          </cell>
          <cell r="E109">
            <v>103521.31590678649</v>
          </cell>
        </row>
        <row r="110">
          <cell r="D110">
            <v>71358.524812956181</v>
          </cell>
          <cell r="E110">
            <v>145573.60571847006</v>
          </cell>
        </row>
        <row r="111">
          <cell r="D111">
            <v>143898.43631362601</v>
          </cell>
          <cell r="E111">
            <v>151316.71404995324</v>
          </cell>
        </row>
        <row r="112">
          <cell r="D112">
            <v>29189.711509613338</v>
          </cell>
          <cell r="E112">
            <v>123642.9616298475</v>
          </cell>
        </row>
        <row r="113">
          <cell r="D113">
            <v>42082.285958051318</v>
          </cell>
          <cell r="E113">
            <v>51164.19611985029</v>
          </cell>
        </row>
        <row r="114">
          <cell r="D114">
            <v>332564.96738315246</v>
          </cell>
          <cell r="E114">
            <v>0</v>
          </cell>
        </row>
        <row r="115">
          <cell r="D115">
            <v>29189.711509613338</v>
          </cell>
          <cell r="E115">
            <v>43786.297811325843</v>
          </cell>
        </row>
        <row r="116">
          <cell r="D116">
            <v>29189.711509613338</v>
          </cell>
          <cell r="E116">
            <v>123642.9616298475</v>
          </cell>
        </row>
        <row r="117">
          <cell r="D117">
            <v>43361.736970428734</v>
          </cell>
          <cell r="E117">
            <v>75722.964109460969</v>
          </cell>
        </row>
        <row r="118">
          <cell r="D118">
            <v>21892.572056694313</v>
          </cell>
          <cell r="E118">
            <v>29189.711509613338</v>
          </cell>
        </row>
        <row r="119">
          <cell r="D119">
            <v>613965.73864645464</v>
          </cell>
          <cell r="E119">
            <v>1224094.2779537144</v>
          </cell>
        </row>
        <row r="120">
          <cell r="D120">
            <v>364882.35400057031</v>
          </cell>
          <cell r="E120">
            <v>1094644.7546058367</v>
          </cell>
        </row>
      </sheetData>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índice"/>
      <sheetName val="Parametros Generales"/>
      <sheetName val="Salarios de Ref"/>
      <sheetName val="Componentes T.H."/>
      <sheetName val="Transporte "/>
      <sheetName val="Codigos"/>
      <sheetName val="Cot. Refrig. "/>
      <sheetName val="Cot. Papeleria"/>
      <sheetName val="Cot Int y Cel"/>
      <sheetName val="Cot. Chalecos"/>
      <sheetName val="Cost x Depart"/>
      <sheetName val="Res de Costos X Dept"/>
      <sheetName val="Res de Costos Pais"/>
      <sheetName val="COSTOS TOTALES AJUSTADOS"/>
    </sheetNames>
    <sheetDataSet>
      <sheetData sheetId="0" refreshError="1"/>
      <sheetData sheetId="1">
        <row r="6">
          <cell r="C6">
            <v>6.5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índice"/>
      <sheetName val="Tal Humano"/>
      <sheetName val="JS Seguimiento Evaluación"/>
      <sheetName val="Resumen de Costos"/>
      <sheetName val="tabla de Viaticos"/>
      <sheetName val="Cotización tiq Aereos"/>
    </sheetNames>
    <sheetDataSet>
      <sheetData sheetId="0"/>
      <sheetData sheetId="1">
        <row r="10">
          <cell r="B10" t="str">
            <v>Supervisores</v>
          </cell>
        </row>
      </sheetData>
      <sheetData sheetId="2"/>
      <sheetData sheetId="3">
        <row r="9">
          <cell r="H9">
            <v>178802722.29566669</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ajustada"/>
      <sheetName val="Hoja3"/>
      <sheetName val="DIFERENCIAS SENA"/>
      <sheetName val="Tablas"/>
      <sheetName val="TD 1"/>
      <sheetName val="TD 2"/>
      <sheetName val="TD3"/>
      <sheetName val="Hoja2"/>
      <sheetName val="Pto Proyect Trabajo MPS"/>
      <sheetName val="Pto Proyect Salud MPS"/>
      <sheetName val="Cuadro Plan de Inversiones"/>
      <sheetName val="RESUMEN P.I. ENERO 17"/>
      <sheetName val="Hoja1"/>
      <sheetName val="Hoja4"/>
      <sheetName val="Pto Proyect Subdireccion Empleo"/>
      <sheetName val="Pto Proyect Subd Salud"/>
      <sheetName val="Aprob-Solicit"/>
    </sheetNames>
    <sheetDataSet>
      <sheetData sheetId="0"/>
      <sheetData sheetId="1"/>
      <sheetData sheetId="2"/>
      <sheetData sheetId="3">
        <row r="2">
          <cell r="B2" t="str">
            <v>Central</v>
          </cell>
          <cell r="D2" t="str">
            <v>Nación</v>
          </cell>
          <cell r="E2" t="str">
            <v>1.1 Innovación para la prosperidad</v>
          </cell>
          <cell r="F2" t="str">
            <v>1.1.1 Conocimiento e innovacion</v>
          </cell>
          <cell r="G2" t="str">
            <v>1. Crecimiento sostenible y competitividad</v>
          </cell>
        </row>
        <row r="3">
          <cell r="D3" t="str">
            <v>Propios</v>
          </cell>
          <cell r="E3" t="str">
            <v>1.2 Competitividad y crecimiento de la productividad</v>
          </cell>
          <cell r="F3" t="str">
            <v>1.1.2 Emprendimiento empresarial</v>
          </cell>
          <cell r="G3" t="str">
            <v>2. Igualdad de oportunidades para la prosperidad social</v>
          </cell>
        </row>
        <row r="4">
          <cell r="D4" t="str">
            <v>SGP</v>
          </cell>
          <cell r="E4" t="str">
            <v>1.3 Locomotoras para el crecimiento y la generación de empleo</v>
          </cell>
          <cell r="F4" t="str">
            <v>1.1.3 Propiedad intelectual, instrumento de innovación</v>
          </cell>
          <cell r="G4" t="str">
            <v>3. Consolidación de la Paz</v>
          </cell>
        </row>
        <row r="5">
          <cell r="D5" t="str">
            <v>Funcionamiento</v>
          </cell>
          <cell r="E5" t="str">
            <v>2.1 Política Integral de desarrollo y protección social</v>
          </cell>
          <cell r="F5" t="str">
            <v>1.1.4 Promoción y protección de la competencia en los mercados</v>
          </cell>
          <cell r="G5" t="str">
            <v>4. Sostenibilidad ambiental y prevención del riesgo</v>
          </cell>
        </row>
        <row r="6">
          <cell r="D6" t="str">
            <v>Cooperación internacional</v>
          </cell>
          <cell r="E6" t="str">
            <v>2.2 Promoción social</v>
          </cell>
          <cell r="F6" t="str">
            <v>1.2.1 Desarrollo de competencias y formalización para la prosperidad</v>
          </cell>
          <cell r="G6" t="str">
            <v>5. Soportes transversales de la prosperidad democrática</v>
          </cell>
        </row>
        <row r="7">
          <cell r="D7" t="str">
            <v>EICE</v>
          </cell>
          <cell r="E7" t="str">
            <v>2.3 Políticas diferenciadas para la inclusión social</v>
          </cell>
          <cell r="F7" t="str">
            <v>1.2.2 Infraestructura para la competitividad</v>
          </cell>
        </row>
        <row r="8">
          <cell r="D8" t="str">
            <v>E. Territoriales</v>
          </cell>
          <cell r="E8" t="str">
            <v>3.1 Seguridad – orden público y seguridad ciudadana</v>
          </cell>
          <cell r="F8" t="str">
            <v>1.2.3 Apoyos transversales a la competitividad</v>
          </cell>
        </row>
        <row r="9">
          <cell r="D9" t="str">
            <v>Privado</v>
          </cell>
          <cell r="E9" t="str">
            <v>3.2 Justicia</v>
          </cell>
          <cell r="F9" t="str">
            <v>1.3.1 Nuevos sectores basados en la innovación</v>
          </cell>
        </row>
        <row r="10">
          <cell r="D10" t="str">
            <v>Privado con capital público</v>
          </cell>
          <cell r="E10" t="str">
            <v>3.3 Derechos humanos, derecho internacional humanitario y justicia transicional</v>
          </cell>
          <cell r="F10" t="str">
            <v>1.3.2 Agropecuaria y desarrollo rural</v>
          </cell>
        </row>
        <row r="11">
          <cell r="E11" t="str">
            <v>4.1 Gestión ambiental para el desarrollo sostenible</v>
          </cell>
          <cell r="F11" t="str">
            <v>1.3.3 Infraestructura de transporte</v>
          </cell>
        </row>
        <row r="12">
          <cell r="E12" t="str">
            <v>4.2 Gestión del riesgo de desastres: Buen gobierno para comunidades seguras</v>
          </cell>
          <cell r="F12" t="str">
            <v>1.3.4 Desarrollo minero y expansión energética</v>
          </cell>
        </row>
        <row r="13">
          <cell r="E13" t="str">
            <v>4.3 Respuesta a la ola invernal</v>
          </cell>
          <cell r="F13" t="str">
            <v>1.3.5 Vivienda y ciudades amables</v>
          </cell>
        </row>
        <row r="14">
          <cell r="E14" t="str">
            <v>4.4 Canasta y eficiencia energética</v>
          </cell>
          <cell r="F14" t="str">
            <v>2.1.1 Primera infancia</v>
          </cell>
        </row>
        <row r="15">
          <cell r="E15" t="str">
            <v>5.1 Buen gobierno, lucha contra la corrupción y participación ciudadana</v>
          </cell>
          <cell r="F15" t="str">
            <v>2.1.2 Niñez, adolescencia y juventud</v>
          </cell>
        </row>
        <row r="16">
          <cell r="E16" t="str">
            <v xml:space="preserve">5.2 Relevancia internacional </v>
          </cell>
          <cell r="F16" t="str">
            <v>2.1.3 Formación de capital humano</v>
          </cell>
        </row>
        <row r="17">
          <cell r="E17" t="str">
            <v>5.3 Apoyos transversales al desarrollo regional</v>
          </cell>
          <cell r="F17" t="str">
            <v>2.1.4 Acceso y calidad en salud: universal y sostenible</v>
          </cell>
        </row>
        <row r="18">
          <cell r="F18" t="str">
            <v>2.1.5 Empleabilidad, emprendimiento y generación de ingresos</v>
          </cell>
        </row>
        <row r="19">
          <cell r="F19" t="str">
            <v>2.1.6 Promoción de la cultura</v>
          </cell>
        </row>
        <row r="20">
          <cell r="F20" t="str">
            <v>2.1.7 Deporte y recreación</v>
          </cell>
        </row>
        <row r="21">
          <cell r="F21" t="str">
            <v>2.2.1 Red para la superación de la pobreza extrema</v>
          </cell>
        </row>
        <row r="22">
          <cell r="F22" t="str">
            <v>2.2.2 Política para la población victima del desplazamiento forzado por la violencia</v>
          </cell>
        </row>
        <row r="23">
          <cell r="F23" t="str">
            <v>2.3.1 Grupos étnicos</v>
          </cell>
        </row>
        <row r="24">
          <cell r="F24" t="str">
            <v>2.3.2 Género</v>
          </cell>
        </row>
        <row r="25">
          <cell r="F25" t="str">
            <v>5.1.1 Buen gobierno</v>
          </cell>
        </row>
        <row r="26">
          <cell r="F26" t="str">
            <v>5.1.2 Estrategias contra la corrupción</v>
          </cell>
        </row>
        <row r="27">
          <cell r="F27" t="str">
            <v>5.1.3 Participación ciudadana y capital social</v>
          </cell>
        </row>
        <row r="28">
          <cell r="F28" t="str">
            <v>5.2.1 Inserción productiva a los mercados internacionales</v>
          </cell>
        </row>
        <row r="29">
          <cell r="F29" t="str">
            <v>5.2.2 Política internacional</v>
          </cell>
        </row>
        <row r="30">
          <cell r="F30" t="str">
            <v>5.2.3 Políticas de desarrollo fronterizo</v>
          </cell>
        </row>
        <row r="31">
          <cell r="F31" t="str">
            <v>5.3.1 Fortalecimiento institucional de los entes territoriales y relación Nación-Territorio</v>
          </cell>
        </row>
        <row r="32">
          <cell r="F32" t="str">
            <v>5.3.2 Consolidación del sistema de ciudades</v>
          </cell>
        </row>
        <row r="33">
          <cell r="F33" t="str">
            <v>5.3.3 Planes de consolidación</v>
          </cell>
        </row>
        <row r="34">
          <cell r="F34" t="str">
            <v>5.3.4 Turismo como motor del desarrollo regional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mFuncionario"/>
      <sheetName val="ActividadRE"/>
      <sheetName val="DeseanCapacitacionEn"/>
      <sheetName val="Empresa"/>
      <sheetName val="EstadoMadCabFamilia"/>
      <sheetName val="Funcionario"/>
      <sheetName val="GruporUPS"/>
      <sheetName val="Indemnizacion"/>
      <sheetName val="InfLaboral"/>
      <sheetName val="LimitacionAuditiva"/>
      <sheetName val="LimitacionFisicaOMental"/>
      <sheetName val="LimitacionVisual"/>
      <sheetName val="MadreCabezaFamilia"/>
      <sheetName val="NivelEducacionBasica"/>
      <sheetName val="NivelEducacionSuperior"/>
      <sheetName val="PagoRE"/>
      <sheetName val="PMCL"/>
      <sheetName val="ProximoPension"/>
      <sheetName val="RECapacitacion"/>
      <sheetName val="REContPrivada"/>
      <sheetName val="Seguimiento"/>
      <sheetName val="TipoEmpres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a_Super"/>
      <sheetName val="Planta_Super (2)"/>
      <sheetName val="Costo_401-Final-Año"/>
      <sheetName val="Costo_Final-14-10-09"/>
      <sheetName val="Resm-22-10-09"/>
      <sheetName val="Hoja17"/>
      <sheetName val="11-08-2009"/>
      <sheetName val="Costo_Final-Fase V"/>
      <sheetName val="Costo_Final-Fase VI"/>
      <sheetName val="Costo_Final-Asap_3-GRA-2 Y 5"/>
      <sheetName val="RESM_Costo-Supern-26-05-09"/>
      <sheetName val="RESM_Costo-Supern (4)"/>
      <sheetName val="RESM_Costo-Supern"/>
      <sheetName val="RESM_Costo-Supern (2)"/>
      <sheetName val="RESM_Costo-Supern (3)"/>
      <sheetName val="Costo_Final-Año-714"/>
      <sheetName val="Fase V_VI-Grad-15"/>
      <sheetName val="Fase V_VI-Grad-13-5"/>
      <sheetName val="Vlr_traslado-4-05-09"/>
      <sheetName val="DATOS-ESC-2-VAC-295_05-09"/>
      <sheetName val="RESM_COSTOS_ESC-1"/>
      <sheetName val="RESM_COSTOS_ESC-2"/>
      <sheetName val="COSTO_ASAP"/>
      <sheetName val="Incrementos_Salarial"/>
      <sheetName val="Historico-Supern"/>
      <sheetName val="Costo_Final-Seis Meses"/>
      <sheetName val="Costo_Final-Mes"/>
      <sheetName val="Costo_Final-Año"/>
      <sheetName val="Hoja6"/>
      <sheetName val="Hoja3"/>
      <sheetName val="Resm Cupo"/>
      <sheetName val="Resm Cupo (2)"/>
      <sheetName val="Hoja4"/>
      <sheetName val="Hoja2"/>
      <sheetName val="Equi-Psico-Costos-23-10-09"/>
      <sheetName val="Hoja7"/>
      <sheetName val="Hoja1"/>
      <sheetName val="Hoja8"/>
      <sheetName val="Hoja12"/>
      <sheetName val="Datos-seis M"/>
      <sheetName val="Hoja13"/>
      <sheetName val="20-01-2010"/>
      <sheetName val="Hoja11"/>
      <sheetName val="Hoja10"/>
      <sheetName val="Hoja14"/>
      <sheetName val="Hoja15"/>
      <sheetName val="Hoja9"/>
      <sheetName val="Resm_Dtos-Just-Vig_Fut-2010"/>
      <sheetName val="Hoja16 (2)"/>
      <sheetName val="Hoja7 (2)"/>
      <sheetName val="D_FAMILIA-244-30-DIAS"/>
      <sheetName val="Costo_Final-7-12-09"/>
      <sheetName val="Hoja16"/>
      <sheetName val="Hoja5"/>
      <sheetName val="Hoja18"/>
      <sheetName val="Hoja18 (2)"/>
      <sheetName val="Costo-Super-Proy140-23-03-2010"/>
      <sheetName val="Costo-Super-Sede Nal-23-03-10"/>
      <sheetName val="Resm-23-03-10"/>
      <sheetName val="Hoja22"/>
      <sheetName val="2-07-2010"/>
      <sheetName val="Costo_Nomina_30-06-10-Super"/>
      <sheetName val="Hoja23"/>
      <sheetName val="Hoja21"/>
      <sheetName val="Costo_Nomina_30-09-10-Super"/>
      <sheetName val="Hoja9 (2)"/>
      <sheetName val="Hoja9 (3)"/>
      <sheetName val="Traslados-Super-2010"/>
      <sheetName val="Hoja19"/>
      <sheetName val="Hoja20"/>
      <sheetName val="Hoja24"/>
      <sheetName val="Costo_Nomina_31-12-10-Super"/>
      <sheetName val="PROGRA-PAC-NOV-10"/>
      <sheetName val="Traslados-Super-2010-10-19"/>
      <sheetName val="2011"/>
      <sheetName val="Costos-325-2011"/>
      <sheetName val="Hoja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índice"/>
      <sheetName val="Tal Humano"/>
      <sheetName val="Resumen de Costos"/>
      <sheetName val="tabla de Viaticos"/>
      <sheetName val="Cotización tiq Aereos"/>
    </sheetNames>
    <sheetDataSet>
      <sheetData sheetId="0"/>
      <sheetData sheetId="1"/>
      <sheetData sheetId="2">
        <row r="15">
          <cell r="J15">
            <v>4</v>
          </cell>
        </row>
      </sheetData>
      <sheetData sheetId="3"/>
      <sheetData sheetId="4">
        <row r="11">
          <cell r="G11">
            <v>479191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índice"/>
      <sheetName val="Indices empleados y Parametros"/>
      <sheetName val="RESUMEN "/>
      <sheetName val="Logistica Integral"/>
      <sheetName val="Logistica No Integral"/>
      <sheetName val="Impuestos y comisiones"/>
      <sheetName val="Cantidades y Ctos Prod Totales"/>
      <sheetName val="Tot_Frecuencias x Ciclo-Leche "/>
      <sheetName val="Total lacteo_galletas_bienest_A"/>
      <sheetName val="Calculo und regionalizado_A"/>
      <sheetName val="Frecuencia Lacteos "/>
      <sheetName val="Tot_Frecuencias x Ciclo-Acompañ"/>
      <sheetName val="Frecuencia Acompañante"/>
      <sheetName val="Costos Unitarios Acompañante"/>
      <sheetName val="Materiales_Acompañantes"/>
      <sheetName val="Formulacion_Prod_Acompañan"/>
      <sheetName val="Costos Unitarios Lacteos"/>
      <sheetName val="Materiales Productos Lacteos"/>
      <sheetName val="Formulacion_Productos_Lacteos"/>
      <sheetName val="Macros y Cobertura"/>
      <sheetName val="Cobertura"/>
      <sheetName val="FT_26_Nov_2012"/>
      <sheetName val="Los precios Leche --&gt;"/>
      <sheetName val="Precios historicos Leche-MADR"/>
      <sheetName val="Proyección valor Lacteo MADR"/>
      <sheetName val="Fuente negociac. y new prod--&gt;"/>
      <sheetName val="NEGO 1er SEM 2012"/>
      <sheetName val="NEGO 1ro y 2do Sem x Dpto"/>
      <sheetName val="Formulacion New productos"/>
      <sheetName val="COSTO COMISIÓN "/>
      <sheetName val="Con BMC--&gt;"/>
      <sheetName val="Logistica CON_BMC"/>
      <sheetName val="Productos CON_BMC "/>
      <sheetName val="Con 650 benef --&gt;"/>
      <sheetName val="Total lacteo_galletas_bienest_B"/>
      <sheetName val="Calculo und regionalizado_B"/>
      <sheetName val="Estados financieros --&gt;"/>
      <sheetName val="An Financ E.S."/>
      <sheetName val="Cotizaciones_Logistica"/>
      <sheetName val="Proyecto plie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tel:3103301760" TargetMode="External"/><Relationship Id="rId2" Type="http://schemas.openxmlformats.org/officeDocument/2006/relationships/hyperlink" Target="tel:3103301760" TargetMode="External"/><Relationship Id="rId1" Type="http://schemas.openxmlformats.org/officeDocument/2006/relationships/hyperlink" Target="tel:3759300" TargetMode="External"/><Relationship Id="rId4"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tabColor theme="4"/>
  </sheetPr>
  <dimension ref="A1:J49"/>
  <sheetViews>
    <sheetView showGridLines="0" tabSelected="1" workbookViewId="0">
      <selection activeCell="B3" sqref="B3:I4"/>
    </sheetView>
  </sheetViews>
  <sheetFormatPr baseColWidth="10" defaultColWidth="0" defaultRowHeight="21.75" customHeight="1" zeroHeight="1"/>
  <cols>
    <col min="1" max="1" width="1.42578125" style="420" customWidth="1"/>
    <col min="2" max="2" width="3.7109375" style="420" customWidth="1"/>
    <col min="3" max="3" width="26.85546875" style="420" bestFit="1" customWidth="1"/>
    <col min="4" max="6" width="11.42578125" style="420" customWidth="1"/>
    <col min="7" max="7" width="5" style="420" customWidth="1"/>
    <col min="8" max="8" width="18.140625" style="420" customWidth="1"/>
    <col min="9" max="9" width="6.5703125" style="420" bestFit="1" customWidth="1"/>
    <col min="10" max="10" width="1.140625" style="420" customWidth="1"/>
    <col min="11" max="16384" width="11.42578125" style="420" hidden="1"/>
  </cols>
  <sheetData>
    <row r="1" spans="2:9" ht="9" customHeight="1" thickBot="1"/>
    <row r="2" spans="2:9" ht="15.75" customHeight="1" thickBot="1">
      <c r="B2" s="612"/>
      <c r="C2" s="613"/>
      <c r="D2" s="613"/>
      <c r="E2" s="613"/>
      <c r="F2" s="613"/>
      <c r="G2" s="613"/>
      <c r="H2" s="613"/>
      <c r="I2" s="614"/>
    </row>
    <row r="3" spans="2:9" ht="21.75" customHeight="1">
      <c r="B3" s="1" t="s">
        <v>1645</v>
      </c>
      <c r="C3" s="1025"/>
      <c r="D3" s="1025"/>
      <c r="E3" s="1025"/>
      <c r="F3" s="1025"/>
      <c r="G3" s="1025"/>
      <c r="H3" s="1025"/>
      <c r="I3" s="1026"/>
    </row>
    <row r="4" spans="2:9" ht="21.75" customHeight="1" thickBot="1">
      <c r="B4" s="1027"/>
      <c r="C4" s="1028"/>
      <c r="D4" s="1028"/>
      <c r="E4" s="1028"/>
      <c r="F4" s="1028"/>
      <c r="G4" s="1028"/>
      <c r="H4" s="1028"/>
      <c r="I4" s="1029"/>
    </row>
    <row r="5" spans="2:9" ht="11.25" customHeight="1">
      <c r="B5" s="615"/>
      <c r="C5" s="611"/>
      <c r="D5" s="611"/>
      <c r="E5" s="611"/>
      <c r="F5" s="611"/>
      <c r="G5" s="611"/>
      <c r="H5" s="611"/>
      <c r="I5" s="616"/>
    </row>
    <row r="6" spans="2:9" ht="21.75" customHeight="1">
      <c r="B6" s="615"/>
      <c r="C6" s="1033" t="s">
        <v>1549</v>
      </c>
      <c r="D6" s="1033"/>
      <c r="E6" s="1033"/>
      <c r="F6" s="1033"/>
      <c r="G6" s="1033"/>
      <c r="H6" s="1033"/>
      <c r="I6" s="618"/>
    </row>
    <row r="7" spans="2:9" ht="11.25" customHeight="1">
      <c r="B7" s="615"/>
      <c r="C7" s="617"/>
      <c r="D7" s="617"/>
      <c r="E7" s="617"/>
      <c r="F7" s="617"/>
      <c r="G7" s="617"/>
      <c r="H7" s="617"/>
      <c r="I7" s="618"/>
    </row>
    <row r="8" spans="2:9" ht="23.25" customHeight="1">
      <c r="B8" s="615"/>
      <c r="C8" s="622" t="s">
        <v>1518</v>
      </c>
      <c r="D8" s="617"/>
      <c r="E8" s="617"/>
      <c r="F8" s="617"/>
      <c r="G8" s="617"/>
      <c r="H8" s="617"/>
      <c r="I8" s="618"/>
    </row>
    <row r="9" spans="2:9" ht="23.25" customHeight="1">
      <c r="B9" s="615"/>
      <c r="C9" s="622" t="s">
        <v>1550</v>
      </c>
      <c r="D9" s="617"/>
      <c r="E9" s="617"/>
      <c r="F9" s="617"/>
      <c r="G9" s="617"/>
      <c r="H9" s="617"/>
      <c r="I9" s="618"/>
    </row>
    <row r="10" spans="2:9" ht="23.25" customHeight="1">
      <c r="B10" s="615"/>
      <c r="C10" s="622" t="s">
        <v>1551</v>
      </c>
      <c r="D10" s="617"/>
      <c r="E10" s="617"/>
      <c r="F10" s="617"/>
      <c r="G10" s="617"/>
      <c r="H10" s="617"/>
      <c r="I10" s="618"/>
    </row>
    <row r="11" spans="2:9" ht="23.25" customHeight="1">
      <c r="B11" s="615"/>
      <c r="C11" s="622" t="s">
        <v>1627</v>
      </c>
      <c r="D11" s="617"/>
      <c r="E11" s="617"/>
      <c r="F11" s="617"/>
      <c r="G11" s="617"/>
      <c r="H11" s="617"/>
      <c r="I11" s="618"/>
    </row>
    <row r="12" spans="2:9" ht="23.25" customHeight="1">
      <c r="B12" s="615"/>
      <c r="C12" s="622" t="s">
        <v>1563</v>
      </c>
      <c r="D12" s="617"/>
      <c r="E12" s="617"/>
      <c r="F12" s="617"/>
      <c r="G12" s="617"/>
      <c r="H12" s="617"/>
      <c r="I12" s="618"/>
    </row>
    <row r="13" spans="2:9" ht="23.25" customHeight="1">
      <c r="B13" s="615"/>
      <c r="C13" s="622" t="s">
        <v>1519</v>
      </c>
      <c r="D13" s="617"/>
      <c r="E13" s="617"/>
      <c r="F13" s="617"/>
      <c r="G13" s="617"/>
      <c r="H13" s="617"/>
      <c r="I13" s="618"/>
    </row>
    <row r="14" spans="2:9" ht="23.25" customHeight="1">
      <c r="B14" s="615"/>
      <c r="C14" s="622" t="s">
        <v>1564</v>
      </c>
      <c r="D14" s="617"/>
      <c r="E14" s="617"/>
      <c r="F14" s="617"/>
      <c r="G14" s="617"/>
      <c r="H14" s="617"/>
      <c r="I14" s="618"/>
    </row>
    <row r="15" spans="2:9" ht="23.25" customHeight="1">
      <c r="B15" s="615"/>
      <c r="C15" s="622" t="s">
        <v>1520</v>
      </c>
      <c r="D15" s="617"/>
      <c r="E15" s="617"/>
      <c r="F15" s="617"/>
      <c r="G15" s="617"/>
      <c r="H15" s="617"/>
      <c r="I15" s="618"/>
    </row>
    <row r="16" spans="2:9" ht="23.25" customHeight="1">
      <c r="B16" s="615"/>
      <c r="C16" s="622" t="s">
        <v>1521</v>
      </c>
      <c r="D16" s="617"/>
      <c r="E16" s="617"/>
      <c r="F16" s="617"/>
      <c r="G16" s="617"/>
      <c r="H16" s="617"/>
      <c r="I16" s="618"/>
    </row>
    <row r="17" spans="2:9" ht="23.25" customHeight="1">
      <c r="B17" s="615"/>
      <c r="C17" s="622" t="s">
        <v>1569</v>
      </c>
      <c r="D17" s="617"/>
      <c r="E17" s="617"/>
      <c r="F17" s="617"/>
      <c r="G17" s="617"/>
      <c r="H17" s="617"/>
      <c r="I17" s="618"/>
    </row>
    <row r="18" spans="2:9" ht="23.25" customHeight="1">
      <c r="B18" s="615"/>
      <c r="C18" s="622" t="s">
        <v>1552</v>
      </c>
      <c r="D18" s="617"/>
      <c r="E18" s="617"/>
      <c r="F18" s="617"/>
      <c r="G18" s="617"/>
      <c r="H18" s="617"/>
      <c r="I18" s="618"/>
    </row>
    <row r="19" spans="2:9" ht="23.25" customHeight="1">
      <c r="B19" s="615"/>
      <c r="C19" s="622" t="s">
        <v>1587</v>
      </c>
      <c r="D19" s="617"/>
      <c r="E19" s="617"/>
      <c r="F19" s="617"/>
      <c r="G19" s="617"/>
      <c r="H19" s="617"/>
      <c r="I19" s="618"/>
    </row>
    <row r="20" spans="2:9" ht="23.25" customHeight="1">
      <c r="B20" s="615"/>
      <c r="C20" s="790" t="s">
        <v>1609</v>
      </c>
      <c r="D20" s="617"/>
      <c r="E20" s="617"/>
      <c r="F20" s="617"/>
      <c r="G20" s="617"/>
      <c r="H20" s="617"/>
      <c r="I20" s="618"/>
    </row>
    <row r="21" spans="2:9" ht="10.5" customHeight="1" thickBot="1">
      <c r="B21" s="619"/>
      <c r="C21" s="620"/>
      <c r="D21" s="620"/>
      <c r="E21" s="620"/>
      <c r="F21" s="620"/>
      <c r="G21" s="620"/>
      <c r="H21" s="620"/>
      <c r="I21" s="621"/>
    </row>
    <row r="22" spans="2:9" ht="7.5" customHeight="1" thickBot="1"/>
    <row r="23" spans="2:9" ht="23.25" customHeight="1" thickBot="1">
      <c r="B23" s="612"/>
      <c r="C23" s="613"/>
      <c r="D23" s="613"/>
      <c r="E23" s="613"/>
      <c r="F23" s="613"/>
      <c r="G23" s="613"/>
      <c r="H23" s="613"/>
      <c r="I23" s="614"/>
    </row>
    <row r="24" spans="2:9" ht="23.25" customHeight="1">
      <c r="B24" s="615"/>
      <c r="C24" s="1" t="s">
        <v>1639</v>
      </c>
      <c r="D24" s="1025"/>
      <c r="E24" s="1025"/>
      <c r="F24" s="1025"/>
      <c r="G24" s="1025"/>
      <c r="H24" s="1026"/>
      <c r="I24" s="616"/>
    </row>
    <row r="25" spans="2:9" ht="23.25" customHeight="1" thickBot="1">
      <c r="B25" s="615"/>
      <c r="C25" s="1027"/>
      <c r="D25" s="1028"/>
      <c r="E25" s="1028"/>
      <c r="F25" s="1028"/>
      <c r="G25" s="1028"/>
      <c r="H25" s="1029"/>
      <c r="I25" s="616"/>
    </row>
    <row r="26" spans="2:9" ht="23.25" customHeight="1" thickBot="1">
      <c r="B26" s="615"/>
      <c r="C26" s="611"/>
      <c r="D26" s="611"/>
      <c r="E26" s="611"/>
      <c r="F26" s="611"/>
      <c r="G26" s="611"/>
      <c r="H26" s="611"/>
      <c r="I26" s="616"/>
    </row>
    <row r="27" spans="2:9" ht="23.25" customHeight="1" thickBot="1">
      <c r="B27" s="615"/>
      <c r="C27" s="1030" t="s">
        <v>1553</v>
      </c>
      <c r="D27" s="1031"/>
      <c r="E27" s="1031"/>
      <c r="F27" s="1031"/>
      <c r="G27" s="1032"/>
      <c r="H27" s="636" t="s">
        <v>1554</v>
      </c>
      <c r="I27" s="618"/>
    </row>
    <row r="28" spans="2:9" ht="21.75" customHeight="1">
      <c r="B28" s="615"/>
      <c r="C28" s="634" t="str">
        <f>+'Res de Costos Pais'!B16</f>
        <v>VALOR TOTAL TALENTO HUMANO</v>
      </c>
      <c r="D28" s="625"/>
      <c r="E28" s="625"/>
      <c r="F28" s="625"/>
      <c r="G28" s="626"/>
      <c r="H28" s="635">
        <f>+'Res de Costos Pais'!H16</f>
        <v>1234231084.9374354</v>
      </c>
      <c r="I28" s="785"/>
    </row>
    <row r="29" spans="2:9" ht="21.75" customHeight="1">
      <c r="B29" s="615"/>
      <c r="C29" s="627" t="str">
        <f>+'Res de Costos Pais'!B89</f>
        <v>VALOR TOTAL TRANSPORTE</v>
      </c>
      <c r="D29" s="623"/>
      <c r="E29" s="623"/>
      <c r="F29" s="623"/>
      <c r="G29" s="624"/>
      <c r="H29" s="628">
        <f>+'Res de Costos Pais'!H89</f>
        <v>841024859.42992294</v>
      </c>
      <c r="I29" s="785"/>
    </row>
    <row r="30" spans="2:9" ht="21.75" customHeight="1">
      <c r="B30" s="615"/>
      <c r="C30" s="627" t="str">
        <f>+'Res de Costos Pais'!B98</f>
        <v>TOTAL OTROS COSTOS</v>
      </c>
      <c r="D30" s="623"/>
      <c r="E30" s="623"/>
      <c r="F30" s="623"/>
      <c r="G30" s="624"/>
      <c r="H30" s="628">
        <f>+'Res de Costos Pais'!H98</f>
        <v>2053770978.7163084</v>
      </c>
      <c r="I30" s="785"/>
    </row>
    <row r="31" spans="2:9" ht="21.75" customHeight="1">
      <c r="B31" s="615"/>
      <c r="C31" s="629" t="str">
        <f>+'Res de Costos Pais'!B100</f>
        <v>SUBTOTAL 1 (TALENTO HUMANO + TRANSPORTE + OTROS COSTOS)</v>
      </c>
      <c r="D31" s="623"/>
      <c r="E31" s="623"/>
      <c r="F31" s="623"/>
      <c r="G31" s="624"/>
      <c r="H31" s="630">
        <f>+'Res de Costos Pais'!H100</f>
        <v>4129026923.0836668</v>
      </c>
      <c r="I31" s="786"/>
    </row>
    <row r="32" spans="2:9" ht="21.75" customHeight="1">
      <c r="B32" s="615"/>
      <c r="C32" s="627" t="str">
        <f>+'Res de Costos Pais'!B104</f>
        <v xml:space="preserve">TOTAL ADMINISTRACIÓN </v>
      </c>
      <c r="D32" s="623"/>
      <c r="E32" s="623"/>
      <c r="F32" s="623"/>
      <c r="G32" s="624"/>
      <c r="H32" s="628">
        <f>+'Res de Costos Pais'!H104</f>
        <v>330322153.84669334</v>
      </c>
      <c r="I32" s="785"/>
    </row>
    <row r="33" spans="2:9" ht="21.75" customHeight="1">
      <c r="B33" s="615"/>
      <c r="C33" s="629" t="str">
        <f>+'Res de Costos Pais'!B106</f>
        <v>SUBTOTAL 2 = (SUBTOTAL 1 + ADMINISTRACIÓN)</v>
      </c>
      <c r="D33" s="623"/>
      <c r="E33" s="623"/>
      <c r="F33" s="623"/>
      <c r="G33" s="624"/>
      <c r="H33" s="630">
        <f>+'Res de Costos Pais'!H106</f>
        <v>4459349076.9303598</v>
      </c>
      <c r="I33" s="786"/>
    </row>
    <row r="34" spans="2:9" ht="21.75" customHeight="1">
      <c r="B34" s="615"/>
      <c r="C34" s="627" t="str">
        <f>+'Res de Costos Pais'!B111</f>
        <v xml:space="preserve">TOTAL IMPUESTOS </v>
      </c>
      <c r="D34" s="623"/>
      <c r="E34" s="623"/>
      <c r="F34" s="623"/>
      <c r="G34" s="624"/>
      <c r="H34" s="628">
        <f>+'Res de Costos Pais'!H111</f>
        <v>43077312.08314728</v>
      </c>
      <c r="I34" s="785"/>
    </row>
    <row r="35" spans="2:9" ht="21.75" customHeight="1">
      <c r="B35" s="615"/>
      <c r="C35" s="629" t="str">
        <f>+'Res de Costos Pais'!B113</f>
        <v>SUBTOTAL 3= (SUBTOTAL 2 + IMPUESTOS)</v>
      </c>
      <c r="D35" s="623"/>
      <c r="E35" s="623"/>
      <c r="F35" s="623"/>
      <c r="G35" s="624"/>
      <c r="H35" s="630">
        <f>+'Res de Costos Pais'!H113</f>
        <v>4502426389.0135069</v>
      </c>
      <c r="I35" s="786"/>
    </row>
    <row r="36" spans="2:9" ht="21.75" customHeight="1">
      <c r="B36" s="615"/>
      <c r="C36" s="627" t="str">
        <f>+'Res de Costos Pais'!B122</f>
        <v>TOTAL POLIZAS</v>
      </c>
      <c r="D36" s="623"/>
      <c r="E36" s="623"/>
      <c r="F36" s="623"/>
      <c r="G36" s="624"/>
      <c r="H36" s="628">
        <f>+'Res de Costos Pais'!H122</f>
        <v>10130459.375280391</v>
      </c>
      <c r="I36" s="785"/>
    </row>
    <row r="37" spans="2:9" ht="21.75" customHeight="1">
      <c r="B37" s="615"/>
      <c r="C37" s="629" t="str">
        <f>+'Res de Costos Pais'!B124</f>
        <v>SUBTOTAL 4 =  (SUBTOTAL 3 + POLIZAS)</v>
      </c>
      <c r="D37" s="623"/>
      <c r="E37" s="623"/>
      <c r="F37" s="623"/>
      <c r="G37" s="624"/>
      <c r="H37" s="630">
        <f>+'Res de Costos Pais'!H124</f>
        <v>4512556848.3887873</v>
      </c>
      <c r="I37" s="786"/>
    </row>
    <row r="38" spans="2:9" ht="21.75" customHeight="1">
      <c r="B38" s="615"/>
      <c r="C38" s="627" t="str">
        <f>+'Res de Costos Pais'!B126</f>
        <v>GRAVAMEN MOVIMIENTO FINANCIERO</v>
      </c>
      <c r="D38" s="623"/>
      <c r="E38" s="623"/>
      <c r="F38" s="623"/>
      <c r="G38" s="624"/>
      <c r="H38" s="628">
        <f>+'Res de Costos Pais'!H126</f>
        <v>18050227.393555149</v>
      </c>
      <c r="I38" s="785"/>
    </row>
    <row r="39" spans="2:9" ht="21.75" customHeight="1">
      <c r="B39" s="615"/>
      <c r="C39" s="629" t="str">
        <f>+'Res de Costos Pais'!B128</f>
        <v>COSTO TOTALES DE ENCUENTROS VIVENCIALES = (SUBTOTAL 4 + GMF)</v>
      </c>
      <c r="D39" s="623"/>
      <c r="E39" s="623"/>
      <c r="F39" s="623"/>
      <c r="G39" s="624"/>
      <c r="H39" s="630">
        <f>+'Res de Costos Pais'!H128</f>
        <v>4530607075.782342</v>
      </c>
      <c r="I39" s="787"/>
    </row>
    <row r="40" spans="2:9" ht="21.75" customHeight="1" thickBot="1">
      <c r="B40" s="615"/>
      <c r="C40" s="631" t="str">
        <f>+'Res de Costos Pais'!B129</f>
        <v>Meta Social</v>
      </c>
      <c r="D40" s="632"/>
      <c r="E40" s="632"/>
      <c r="F40" s="632"/>
      <c r="G40" s="633"/>
      <c r="H40" s="788">
        <f>+'Res de Costos Pais'!H129</f>
        <v>15000</v>
      </c>
      <c r="I40" s="618"/>
    </row>
    <row r="41" spans="2:9" ht="21.75" customHeight="1">
      <c r="B41" s="615"/>
      <c r="C41" s="791" t="s">
        <v>1610</v>
      </c>
      <c r="D41" s="792"/>
      <c r="E41" s="792"/>
      <c r="F41" s="792"/>
      <c r="G41" s="793"/>
      <c r="H41" s="794">
        <f>+'Cost x Depart'!AN72</f>
        <v>116169412.19954725</v>
      </c>
      <c r="I41" s="787"/>
    </row>
    <row r="42" spans="2:9" ht="21.75" customHeight="1">
      <c r="B42" s="615"/>
      <c r="C42" s="791" t="s">
        <v>1611</v>
      </c>
      <c r="D42" s="792"/>
      <c r="E42" s="792"/>
      <c r="F42" s="792"/>
      <c r="G42" s="793"/>
      <c r="H42" s="795">
        <f>+'Cost x Depart'!AP72</f>
        <v>52087296.471965656</v>
      </c>
      <c r="I42" s="787"/>
    </row>
    <row r="43" spans="2:9" ht="21.75" customHeight="1">
      <c r="B43" s="615"/>
      <c r="C43" s="791" t="s">
        <v>1612</v>
      </c>
      <c r="D43" s="792"/>
      <c r="E43" s="792"/>
      <c r="F43" s="792"/>
      <c r="G43" s="793"/>
      <c r="H43" s="794">
        <f>+H39+H41+H42</f>
        <v>4698863784.4538546</v>
      </c>
      <c r="I43" s="796">
        <f>+H43-'Cost x Depart'!AQ72</f>
        <v>0</v>
      </c>
    </row>
    <row r="44" spans="2:9" ht="21.75" customHeight="1" thickBot="1">
      <c r="B44" s="615"/>
      <c r="C44" s="797" t="s">
        <v>1613</v>
      </c>
      <c r="D44" s="798"/>
      <c r="E44" s="798"/>
      <c r="F44" s="798"/>
      <c r="G44" s="799"/>
      <c r="H44" s="805">
        <f>+'COSTOS TOTALES AJUSTADOS'!M39</f>
        <v>4698844700</v>
      </c>
      <c r="I44" s="800"/>
    </row>
    <row r="45" spans="2:9" ht="21.75" customHeight="1" thickBot="1">
      <c r="B45" s="619"/>
      <c r="C45" s="801" t="s">
        <v>1614</v>
      </c>
      <c r="D45" s="802"/>
      <c r="E45" s="802"/>
      <c r="F45" s="802"/>
      <c r="G45" s="802"/>
      <c r="H45" s="806">
        <f>+H43-H44</f>
        <v>19084.453854560852</v>
      </c>
      <c r="I45" s="803"/>
    </row>
    <row r="46" spans="2:9" ht="9.75" customHeight="1">
      <c r="C46" s="804"/>
      <c r="D46" s="804"/>
      <c r="E46" s="804"/>
      <c r="F46" s="804"/>
      <c r="G46" s="804"/>
      <c r="H46" s="969">
        <v>41562</v>
      </c>
      <c r="I46" s="804"/>
    </row>
    <row r="47" spans="2:9" ht="21.75" hidden="1" customHeight="1"/>
    <row r="48" spans="2:9" ht="21.75" hidden="1" customHeight="1"/>
    <row r="49" ht="21.75" hidden="1" customHeight="1"/>
  </sheetData>
  <mergeCells count="4">
    <mergeCell ref="C24:H25"/>
    <mergeCell ref="C27:G27"/>
    <mergeCell ref="C6:H6"/>
    <mergeCell ref="B3:I4"/>
  </mergeCells>
  <hyperlinks>
    <hyperlink ref="C8" location="'Parametros Generales'!A1" display="Parametros Clave"/>
    <hyperlink ref="C9" location="'Salarios de Ref'!A1" display="'Salarios de Ref'!A1"/>
    <hyperlink ref="C10" location="'Componentes T.H.'!A1" display="'Componentes T.H.'!A1"/>
    <hyperlink ref="C18" location="'Res de Costos Pais'!A1" display="Resumen de Costos"/>
    <hyperlink ref="C17" location="'Cost x Depart'!A1" display="Costos por Departamento "/>
    <hyperlink ref="C11" location="Transporte!A1" display="Transporte de Referencia"/>
    <hyperlink ref="C12" location="'CODIGOS'!A1" display="'CODIGOS'!A1"/>
    <hyperlink ref="C13" location="'Cot. Refrig. '!A1" display="'Cot. Refrig. '!A1"/>
    <hyperlink ref="C14" location="'Cot. Papeleria'!A1" display="'Cot. Papeleria'!A1"/>
    <hyperlink ref="C15" location="'Cot Int y Cel'!A1" display="'Cot Int y Cel'!A1"/>
    <hyperlink ref="C16" location="'Cot. Chalecos'!A1" display="'Cot. Chalecos'!A1"/>
    <hyperlink ref="C19" location="'Res de Costos X Dept'!A1" display="Resumen de Costos Por Departamento"/>
    <hyperlink ref="C20" location="'COSTOS TOTALES AJUSTADOS'!A1" display="Costos Totales Ajustados"/>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B1:K20"/>
  <sheetViews>
    <sheetView showGridLines="0" topLeftCell="A19" zoomScale="85" zoomScaleNormal="85" workbookViewId="0">
      <selection activeCell="B1" sqref="B1"/>
    </sheetView>
  </sheetViews>
  <sheetFormatPr baseColWidth="10" defaultRowHeight="12.75"/>
  <cols>
    <col min="1" max="1" width="4.5703125" style="363" customWidth="1"/>
    <col min="2" max="2" width="26.28515625" style="363" customWidth="1"/>
    <col min="3" max="3" width="60.28515625" style="363" customWidth="1"/>
    <col min="4" max="4" width="18.140625" style="363" customWidth="1"/>
    <col min="5" max="5" width="15" style="363" customWidth="1"/>
    <col min="6" max="6" width="14.42578125" style="363" customWidth="1"/>
    <col min="7" max="7" width="14" style="363" customWidth="1"/>
    <col min="8" max="8" width="16.140625" style="363" customWidth="1"/>
    <col min="9" max="9" width="17.140625" style="363" customWidth="1"/>
    <col min="10" max="10" width="13" style="363" bestFit="1" customWidth="1"/>
    <col min="11" max="11" width="16.140625" style="363" customWidth="1"/>
    <col min="12" max="16384" width="11.42578125" style="363"/>
  </cols>
  <sheetData>
    <row r="1" spans="2:11" s="340" customFormat="1" ht="15">
      <c r="B1" s="4" t="s">
        <v>1555</v>
      </c>
    </row>
    <row r="2" spans="2:11" s="340" customFormat="1" ht="13.5" thickBot="1">
      <c r="B2" s="341"/>
      <c r="C2" s="342"/>
      <c r="D2" s="342"/>
      <c r="E2" s="342"/>
      <c r="F2" s="342"/>
      <c r="G2" s="343"/>
      <c r="H2" s="343"/>
      <c r="I2" s="343"/>
      <c r="J2" s="343"/>
      <c r="K2" s="344"/>
    </row>
    <row r="3" spans="2:11" s="340" customFormat="1">
      <c r="B3" s="345"/>
      <c r="C3" s="346"/>
      <c r="D3" s="346"/>
      <c r="E3" s="346"/>
      <c r="F3" s="346"/>
      <c r="G3" s="347"/>
      <c r="H3" s="347"/>
      <c r="I3" s="348"/>
      <c r="J3" s="349"/>
      <c r="K3" s="350"/>
    </row>
    <row r="4" spans="2:11" s="340" customFormat="1">
      <c r="B4" s="351"/>
      <c r="C4" s="352"/>
      <c r="D4" s="352"/>
      <c r="E4" s="352"/>
      <c r="F4" s="352"/>
      <c r="G4" s="352"/>
      <c r="H4" s="352"/>
      <c r="I4" s="353"/>
      <c r="J4" s="353"/>
      <c r="K4" s="354"/>
    </row>
    <row r="5" spans="2:11" s="340" customFormat="1">
      <c r="B5" s="351"/>
      <c r="C5" s="352"/>
      <c r="D5" s="352"/>
      <c r="E5" s="352"/>
      <c r="F5" s="352"/>
      <c r="G5" s="352"/>
      <c r="H5" s="352"/>
      <c r="I5" s="352"/>
      <c r="J5" s="355"/>
      <c r="K5" s="354"/>
    </row>
    <row r="6" spans="2:11" s="340" customFormat="1">
      <c r="B6" s="351"/>
      <c r="C6" s="352"/>
      <c r="D6" s="352"/>
      <c r="E6" s="352"/>
      <c r="F6" s="352"/>
      <c r="G6" s="352"/>
      <c r="H6" s="352"/>
      <c r="I6" s="352"/>
      <c r="J6" s="355"/>
      <c r="K6" s="354"/>
    </row>
    <row r="7" spans="2:11" s="340" customFormat="1">
      <c r="B7" s="351"/>
      <c r="K7" s="356"/>
    </row>
    <row r="8" spans="2:11" s="340" customFormat="1">
      <c r="B8" s="351"/>
      <c r="K8" s="356"/>
    </row>
    <row r="9" spans="2:11" s="340" customFormat="1" ht="13.5" thickBot="1">
      <c r="B9" s="357"/>
      <c r="C9" s="358"/>
      <c r="D9" s="358"/>
      <c r="E9" s="358"/>
      <c r="F9" s="358"/>
      <c r="G9" s="358"/>
      <c r="H9" s="358"/>
      <c r="I9" s="358"/>
      <c r="J9" s="358"/>
      <c r="K9" s="359"/>
    </row>
    <row r="10" spans="2:11" s="340" customFormat="1">
      <c r="B10" s="1137" t="s">
        <v>1436</v>
      </c>
      <c r="C10" s="1138"/>
      <c r="D10" s="1138"/>
      <c r="E10" s="1138"/>
      <c r="F10" s="1138"/>
      <c r="G10" s="1138"/>
      <c r="H10" s="1138"/>
      <c r="I10" s="1138"/>
      <c r="J10" s="1138"/>
      <c r="K10" s="1139"/>
    </row>
    <row r="11" spans="2:11" s="340" customFormat="1">
      <c r="B11" s="1137"/>
      <c r="C11" s="1138"/>
      <c r="D11" s="1138"/>
      <c r="E11" s="1138"/>
      <c r="F11" s="1138"/>
      <c r="G11" s="1138"/>
      <c r="H11" s="1138"/>
      <c r="I11" s="1138"/>
      <c r="J11" s="1138"/>
      <c r="K11" s="1139"/>
    </row>
    <row r="12" spans="2:11" s="340" customFormat="1">
      <c r="B12" s="1140"/>
      <c r="C12" s="1141"/>
      <c r="D12" s="1141"/>
      <c r="E12" s="1141"/>
      <c r="F12" s="1141"/>
      <c r="G12" s="1141"/>
      <c r="H12" s="1141"/>
      <c r="I12" s="1141"/>
      <c r="J12" s="1141"/>
      <c r="K12" s="1142"/>
    </row>
    <row r="13" spans="2:11" s="340" customFormat="1">
      <c r="B13" s="1143" t="s">
        <v>1444</v>
      </c>
      <c r="C13" s="1144"/>
      <c r="D13" s="1144"/>
      <c r="E13" s="1144"/>
      <c r="F13" s="1144"/>
      <c r="G13" s="1144"/>
      <c r="H13" s="1144"/>
      <c r="I13" s="1144"/>
      <c r="J13" s="1144"/>
      <c r="K13" s="1145"/>
    </row>
    <row r="14" spans="2:11" ht="25.5">
      <c r="B14" s="360" t="s">
        <v>1358</v>
      </c>
      <c r="C14" s="361" t="s">
        <v>1415</v>
      </c>
      <c r="D14" s="376" t="s">
        <v>1416</v>
      </c>
      <c r="E14" s="361" t="s">
        <v>1418</v>
      </c>
      <c r="F14" s="361" t="s">
        <v>1437</v>
      </c>
      <c r="G14" s="361" t="s">
        <v>1361</v>
      </c>
      <c r="H14" s="361" t="s">
        <v>1413</v>
      </c>
      <c r="I14" s="361" t="s">
        <v>1363</v>
      </c>
      <c r="J14" s="361" t="s">
        <v>1364</v>
      </c>
      <c r="K14" s="362" t="s">
        <v>1365</v>
      </c>
    </row>
    <row r="15" spans="2:11" ht="153">
      <c r="B15" s="1133" t="s">
        <v>1438</v>
      </c>
      <c r="C15" s="374" t="s">
        <v>1439</v>
      </c>
      <c r="D15" s="1146" t="s">
        <v>1440</v>
      </c>
      <c r="E15" s="364">
        <v>2200</v>
      </c>
      <c r="F15" s="365">
        <f>(49000)*'Parametros Generales'!C27</f>
        <v>50470</v>
      </c>
      <c r="G15" s="366">
        <f t="shared" ref="G15:G20" si="0">ROUND(F15*16%,0)</f>
        <v>8075</v>
      </c>
      <c r="H15" s="366">
        <f t="shared" ref="H15:H20" si="1">ROUND((G15+F15),0)</f>
        <v>58545</v>
      </c>
      <c r="I15" s="367">
        <f t="shared" ref="I15:I20" si="2">ROUND(F15*E15,0)</f>
        <v>111034000</v>
      </c>
      <c r="J15" s="367">
        <f t="shared" ref="J15:J20" si="3">ROUND(I15*16%,0)</f>
        <v>17765440</v>
      </c>
      <c r="K15" s="368">
        <f>ROUND(I15+J15,0)</f>
        <v>128799440</v>
      </c>
    </row>
    <row r="16" spans="2:11" ht="51.75" thickBot="1">
      <c r="B16" s="1134"/>
      <c r="C16" s="375" t="s">
        <v>1441</v>
      </c>
      <c r="D16" s="1136"/>
      <c r="E16" s="369">
        <v>2200</v>
      </c>
      <c r="F16" s="370">
        <f>(43000)*'Parametros Generales'!C27</f>
        <v>44290</v>
      </c>
      <c r="G16" s="371">
        <f t="shared" si="0"/>
        <v>7086</v>
      </c>
      <c r="H16" s="371">
        <f t="shared" si="1"/>
        <v>51376</v>
      </c>
      <c r="I16" s="372">
        <f t="shared" si="2"/>
        <v>97438000</v>
      </c>
      <c r="J16" s="372">
        <f t="shared" si="3"/>
        <v>15590080</v>
      </c>
      <c r="K16" s="373">
        <f t="shared" ref="K16:K20" si="4">ROUND(I16+J16,0)</f>
        <v>113028080</v>
      </c>
    </row>
    <row r="17" spans="2:11" ht="153">
      <c r="B17" s="1133" t="s">
        <v>1438</v>
      </c>
      <c r="C17" s="374" t="s">
        <v>1439</v>
      </c>
      <c r="D17" s="1135" t="s">
        <v>1442</v>
      </c>
      <c r="E17" s="364">
        <v>2200</v>
      </c>
      <c r="F17" s="365">
        <f>(35000)*'Parametros Generales'!C27</f>
        <v>36050</v>
      </c>
      <c r="G17" s="366">
        <f t="shared" si="0"/>
        <v>5768</v>
      </c>
      <c r="H17" s="366">
        <f t="shared" si="1"/>
        <v>41818</v>
      </c>
      <c r="I17" s="367">
        <f t="shared" si="2"/>
        <v>79310000</v>
      </c>
      <c r="J17" s="367">
        <f t="shared" si="3"/>
        <v>12689600</v>
      </c>
      <c r="K17" s="368">
        <f t="shared" si="4"/>
        <v>91999600</v>
      </c>
    </row>
    <row r="18" spans="2:11" ht="51.75" thickBot="1">
      <c r="B18" s="1134"/>
      <c r="C18" s="375" t="s">
        <v>1441</v>
      </c>
      <c r="D18" s="1136"/>
      <c r="E18" s="369">
        <v>2200</v>
      </c>
      <c r="F18" s="370">
        <f>(32000)*'Parametros Generales'!C27</f>
        <v>32960</v>
      </c>
      <c r="G18" s="371">
        <f t="shared" si="0"/>
        <v>5274</v>
      </c>
      <c r="H18" s="371">
        <f t="shared" si="1"/>
        <v>38234</v>
      </c>
      <c r="I18" s="372">
        <f t="shared" si="2"/>
        <v>72512000</v>
      </c>
      <c r="J18" s="372">
        <f t="shared" si="3"/>
        <v>11601920</v>
      </c>
      <c r="K18" s="373">
        <f t="shared" si="4"/>
        <v>84113920</v>
      </c>
    </row>
    <row r="19" spans="2:11" ht="153">
      <c r="B19" s="1133" t="s">
        <v>1438</v>
      </c>
      <c r="C19" s="374" t="s">
        <v>1439</v>
      </c>
      <c r="D19" s="1135" t="s">
        <v>1443</v>
      </c>
      <c r="E19" s="364">
        <v>2200</v>
      </c>
      <c r="F19" s="365">
        <f>(32000)*'Parametros Generales'!C27</f>
        <v>32960</v>
      </c>
      <c r="G19" s="366">
        <f t="shared" si="0"/>
        <v>5274</v>
      </c>
      <c r="H19" s="366">
        <f t="shared" si="1"/>
        <v>38234</v>
      </c>
      <c r="I19" s="367">
        <f t="shared" si="2"/>
        <v>72512000</v>
      </c>
      <c r="J19" s="367">
        <f t="shared" si="3"/>
        <v>11601920</v>
      </c>
      <c r="K19" s="368">
        <f t="shared" si="4"/>
        <v>84113920</v>
      </c>
    </row>
    <row r="20" spans="2:11" ht="51.75" thickBot="1">
      <c r="B20" s="1134"/>
      <c r="C20" s="375" t="s">
        <v>1441</v>
      </c>
      <c r="D20" s="1136"/>
      <c r="E20" s="369">
        <v>2200</v>
      </c>
      <c r="F20" s="370">
        <f>(29000)*'Parametros Generales'!C27</f>
        <v>29870</v>
      </c>
      <c r="G20" s="371">
        <f t="shared" si="0"/>
        <v>4779</v>
      </c>
      <c r="H20" s="371">
        <f t="shared" si="1"/>
        <v>34649</v>
      </c>
      <c r="I20" s="372">
        <f t="shared" si="2"/>
        <v>65714000</v>
      </c>
      <c r="J20" s="372">
        <f t="shared" si="3"/>
        <v>10514240</v>
      </c>
      <c r="K20" s="373">
        <f t="shared" si="4"/>
        <v>76228240</v>
      </c>
    </row>
  </sheetData>
  <mergeCells count="8">
    <mergeCell ref="B19:B20"/>
    <mergeCell ref="D19:D20"/>
    <mergeCell ref="B10:K12"/>
    <mergeCell ref="B13:K13"/>
    <mergeCell ref="B15:B16"/>
    <mergeCell ref="D15:D16"/>
    <mergeCell ref="B17:B18"/>
    <mergeCell ref="D17:D18"/>
  </mergeCells>
  <hyperlinks>
    <hyperlink ref="B1" location="'Hoja índice'!A1" display="Indic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4"/>
    <outlinePr applyStyles="1" summaryBelow="0"/>
  </sheetPr>
  <dimension ref="A1:AQ114"/>
  <sheetViews>
    <sheetView showGridLines="0" topLeftCell="AE1" zoomScaleNormal="100" zoomScaleSheetLayoutView="100" workbookViewId="0">
      <pane ySplit="1" topLeftCell="A2" activePane="bottomLeft" state="frozen"/>
      <selection activeCell="F1" sqref="F1"/>
      <selection pane="bottomLeft" activeCell="AO74" sqref="AO74"/>
    </sheetView>
  </sheetViews>
  <sheetFormatPr baseColWidth="10" defaultRowHeight="13.5" outlineLevelRow="1"/>
  <cols>
    <col min="1" max="1" width="6.140625" style="714" customWidth="1"/>
    <col min="2" max="2" width="7" style="291" bestFit="1" customWidth="1"/>
    <col min="3" max="3" width="18.42578125" style="291" customWidth="1"/>
    <col min="4" max="4" width="8.5703125" style="291" hidden="1" customWidth="1"/>
    <col min="5" max="5" width="27" style="292" customWidth="1"/>
    <col min="6" max="6" width="11" style="291" hidden="1" customWidth="1"/>
    <col min="7" max="7" width="12.5703125" style="293" hidden="1" customWidth="1"/>
    <col min="8" max="8" width="10.42578125" style="307" customWidth="1"/>
    <col min="9" max="9" width="26.7109375" style="307" hidden="1" customWidth="1"/>
    <col min="10" max="11" width="13.85546875" style="307" hidden="1" customWidth="1"/>
    <col min="12" max="12" width="9.5703125" style="307" hidden="1" customWidth="1"/>
    <col min="13" max="13" width="8.140625" style="719" customWidth="1"/>
    <col min="14" max="14" width="11" style="293" hidden="1" customWidth="1"/>
    <col min="15" max="16" width="12.85546875" style="293" hidden="1" customWidth="1"/>
    <col min="17" max="17" width="12.85546875" style="719" customWidth="1"/>
    <col min="18" max="18" width="10.7109375" style="719" customWidth="1"/>
    <col min="19" max="19" width="12.42578125" style="294" hidden="1" customWidth="1"/>
    <col min="20" max="20" width="12.85546875" style="294" hidden="1" customWidth="1"/>
    <col min="21" max="21" width="13.5703125" style="294" hidden="1" customWidth="1"/>
    <col min="22" max="22" width="16" style="294" bestFit="1" customWidth="1"/>
    <col min="23" max="23" width="16.7109375" style="294" customWidth="1"/>
    <col min="24" max="25" width="16.5703125" style="290" bestFit="1" customWidth="1"/>
    <col min="26" max="26" width="16.28515625" style="294" bestFit="1" customWidth="1"/>
    <col min="27" max="27" width="13" style="294" bestFit="1" customWidth="1"/>
    <col min="28" max="28" width="14" style="294" customWidth="1"/>
    <col min="29" max="29" width="16.140625" style="294" customWidth="1"/>
    <col min="30" max="30" width="13.42578125" style="294" customWidth="1"/>
    <col min="31" max="31" width="15.85546875" style="294" customWidth="1"/>
    <col min="32" max="32" width="17.28515625" style="294" customWidth="1"/>
    <col min="33" max="33" width="16.28515625" style="294" customWidth="1"/>
    <col min="34" max="34" width="15.28515625" style="294" bestFit="1" customWidth="1"/>
    <col min="35" max="35" width="12.85546875" style="295" customWidth="1"/>
    <col min="36" max="36" width="13" style="294" customWidth="1"/>
    <col min="37" max="37" width="18.5703125" style="290" bestFit="1" customWidth="1"/>
    <col min="38" max="38" width="11.7109375" style="745" customWidth="1"/>
    <col min="39" max="39" width="11.42578125" style="291"/>
    <col min="40" max="42" width="15.7109375" style="291" customWidth="1"/>
    <col min="43" max="43" width="16.28515625" style="291" customWidth="1"/>
    <col min="44" max="16384" width="11.42578125" style="291"/>
  </cols>
  <sheetData>
    <row r="1" spans="1:43" s="29" customFormat="1" ht="64.5" thickBot="1">
      <c r="A1" s="4" t="s">
        <v>1555</v>
      </c>
      <c r="B1" s="894" t="s">
        <v>1287</v>
      </c>
      <c r="C1" s="895" t="s">
        <v>1289</v>
      </c>
      <c r="D1" s="895" t="s">
        <v>1288</v>
      </c>
      <c r="E1" s="896" t="s">
        <v>1588</v>
      </c>
      <c r="F1" s="897" t="s">
        <v>1290</v>
      </c>
      <c r="G1" s="895"/>
      <c r="H1" s="895" t="s">
        <v>1592</v>
      </c>
      <c r="I1" s="898"/>
      <c r="J1" s="898"/>
      <c r="K1" s="895"/>
      <c r="L1" s="895"/>
      <c r="M1" s="899" t="s">
        <v>35</v>
      </c>
      <c r="N1" s="895"/>
      <c r="O1" s="895"/>
      <c r="P1" s="895"/>
      <c r="Q1" s="899" t="str">
        <f>+'Componentes T.H.'!B8</f>
        <v>Coordinador Metodológico</v>
      </c>
      <c r="R1" s="899" t="s">
        <v>1203</v>
      </c>
      <c r="S1" s="900"/>
      <c r="T1" s="900"/>
      <c r="U1" s="900"/>
      <c r="V1" s="900" t="str">
        <f>+Q1</f>
        <v>Coordinador Metodológico</v>
      </c>
      <c r="W1" s="900" t="str">
        <f>+R1</f>
        <v>Promotor de Derechos</v>
      </c>
      <c r="X1" s="900" t="s">
        <v>36</v>
      </c>
      <c r="Y1" s="900" t="s">
        <v>37</v>
      </c>
      <c r="Z1" s="900" t="s">
        <v>38</v>
      </c>
      <c r="AA1" s="900" t="s">
        <v>39</v>
      </c>
      <c r="AB1" s="900" t="s">
        <v>40</v>
      </c>
      <c r="AC1" s="900" t="s">
        <v>41</v>
      </c>
      <c r="AD1" s="900" t="s">
        <v>42</v>
      </c>
      <c r="AE1" s="900" t="s">
        <v>43</v>
      </c>
      <c r="AF1" s="900" t="s">
        <v>1600</v>
      </c>
      <c r="AG1" s="900" t="s">
        <v>1590</v>
      </c>
      <c r="AH1" s="900" t="s">
        <v>1302</v>
      </c>
      <c r="AI1" s="900" t="s">
        <v>1283</v>
      </c>
      <c r="AJ1" s="900" t="s">
        <v>1285</v>
      </c>
      <c r="AK1" s="900" t="s">
        <v>1615</v>
      </c>
      <c r="AL1" s="901" t="s">
        <v>1529</v>
      </c>
      <c r="AM1" s="902" t="s">
        <v>1603</v>
      </c>
      <c r="AN1" s="902" t="s">
        <v>1604</v>
      </c>
      <c r="AO1" s="902" t="s">
        <v>1638</v>
      </c>
      <c r="AP1" s="902" t="s">
        <v>1617</v>
      </c>
      <c r="AQ1" s="902" t="s">
        <v>1618</v>
      </c>
    </row>
    <row r="2" spans="1:43" s="199" customFormat="1">
      <c r="A2" s="713">
        <v>1</v>
      </c>
      <c r="B2" s="863">
        <v>5</v>
      </c>
      <c r="C2" s="869" t="s">
        <v>44</v>
      </c>
      <c r="D2" s="590"/>
      <c r="E2" s="869" t="s">
        <v>44</v>
      </c>
      <c r="F2" s="870">
        <f>+SUM(F3:F3)</f>
        <v>0</v>
      </c>
      <c r="G2" s="871"/>
      <c r="H2" s="700">
        <f>+SUM(H3:H3)</f>
        <v>700</v>
      </c>
      <c r="I2" s="872"/>
      <c r="J2" s="873"/>
      <c r="K2" s="874"/>
      <c r="L2" s="875"/>
      <c r="M2" s="703">
        <f>+SUM(M3:M3)</f>
        <v>28</v>
      </c>
      <c r="N2" s="703"/>
      <c r="O2" s="703"/>
      <c r="P2" s="703"/>
      <c r="Q2" s="703">
        <f>+R2/'Parametros Generales'!$C$10</f>
        <v>0.7</v>
      </c>
      <c r="R2" s="703">
        <f>+SUM(R3:R3)</f>
        <v>7</v>
      </c>
      <c r="S2" s="738"/>
      <c r="T2" s="738"/>
      <c r="U2" s="738"/>
      <c r="V2" s="756">
        <f>+VLOOKUP(V$1,'Componentes T.H.'!$B$4:$R$22,'Componentes T.H.'!$Q$1,0)*'Parametros Generales'!$C$6*'Cost x Depart'!Q2</f>
        <v>9364608.8539306335</v>
      </c>
      <c r="W2" s="876">
        <f>+R2*'Componentes T.H.'!$Q$9*'Parametros Generales'!$C$6</f>
        <v>48232841.776483022</v>
      </c>
      <c r="X2" s="755">
        <f>IF((VLOOKUP(C3,Transporte!$B$87:$F$120,4,0)*R2*'Parametros Generales'!$C$12)-(R2*'Componentes T.H.'!$E$9*'Parametros Generales'!$C$6)&lt;0,0,(VLOOKUP(C3,Transporte!$B$87:$F$120,4,0)*R2*'Parametros Generales'!$C$12)-(R2*'Componentes T.H.'!$E$9*'Parametros Generales'!$C$6))</f>
        <v>5745928.3497028612</v>
      </c>
      <c r="Y2" s="876">
        <f>VLOOKUP(C3,Transporte!$B$87:$F$120,4,0)*R2*'Parametros Generales'!$J$14*'Parametros Generales'!$C$6</f>
        <v>2262477.7124257153</v>
      </c>
      <c r="Z2" s="755">
        <f>+(N2+O2+Q2)*'Parametros Generales'!$C$6*'Parametros Generales'!$J$7</f>
        <v>184293.19999999998</v>
      </c>
      <c r="AA2" s="755">
        <f>+SUM(N2:R2)*'Parametros Generales'!$C$6*'Parametros Generales'!$J$8</f>
        <v>1850648.8</v>
      </c>
      <c r="AB2" s="970">
        <f>+M2*'Parametros Generales'!$C$6*'Parametros Generales'!$J$9</f>
        <v>24340134</v>
      </c>
      <c r="AC2" s="970">
        <f>+H2*'Parametros Generales'!$J$10*'Parametros Generales'!$C$6*'Parametros Generales'!$C$11</f>
        <v>69071974.473427728</v>
      </c>
      <c r="AD2" s="755">
        <f>+'Parametros Generales'!$J$11*SUM(N2:R2)</f>
        <v>395595.2</v>
      </c>
      <c r="AE2" s="755">
        <f>+SUM(S2:AD2)</f>
        <v>161448502.36596996</v>
      </c>
      <c r="AF2" s="755">
        <f>+AE2*(SUM('Res de Costos Pais'!G103:G103))</f>
        <v>12915880.189277597</v>
      </c>
      <c r="AG2" s="755">
        <f>+AE2+AF2</f>
        <v>174364382.55524755</v>
      </c>
      <c r="AH2" s="755">
        <f>+AG2*SUM('Res de Costos Pais'!$G$109:$G$110)</f>
        <v>1684359.9354836913</v>
      </c>
      <c r="AI2" s="755">
        <f>+(AG2+AH2)*'Res de Costos Pais'!$G$122</f>
        <v>396109.67060414533</v>
      </c>
      <c r="AJ2" s="755">
        <f>+(AG2+AH2+AI2)*'Res de Costos Pais'!$G$126</f>
        <v>705779.40864534152</v>
      </c>
      <c r="AK2" s="755">
        <f>+AG2+AH2+AI2+AJ2</f>
        <v>177150631.56998071</v>
      </c>
      <c r="AL2" s="740">
        <f>IF(ISERROR((+(AK2/H2)/'Parametros Generales'!$C$6)),0,(+(AK2/H2)/'Parametros Generales'!$C$6))</f>
        <v>38934.204740655099</v>
      </c>
      <c r="AM2" s="971">
        <f>+(AL2/'Parametros Generales'!$C$11)*'Parametros Generales'!$C$14</f>
        <v>6489.0341234425168</v>
      </c>
      <c r="AN2" s="971">
        <f>+AM2*H2</f>
        <v>4542323.8864097614</v>
      </c>
      <c r="AO2" s="971">
        <f>+((((IF(H2=0,0,((V2+W2)/'Parametros Generales'!$C$6*'Parametros Generales'!$C$16*'Parametros Generales'!$C$15)/H2))*(1+'Res de Costos Pais'!$G$103))*(1+'Res de Costos Pais'!$G$109+'Res de Costos Pais'!$G$110)*(1+'Res de Costos Pais'!$G$122)*(1+'Res de Costos Pais'!$G$126)))</f>
        <v>3472.4864314643764</v>
      </c>
      <c r="AP2" s="971">
        <f>+AO2*H2</f>
        <v>2430740.5020250636</v>
      </c>
      <c r="AQ2" s="972">
        <f>+AK2+AN2+AP2</f>
        <v>184123695.95841554</v>
      </c>
    </row>
    <row r="3" spans="1:43" s="29" customFormat="1" outlineLevel="1">
      <c r="A3" s="712"/>
      <c r="B3" s="864">
        <v>5</v>
      </c>
      <c r="C3" s="195" t="s">
        <v>44</v>
      </c>
      <c r="D3" s="196"/>
      <c r="E3" s="706"/>
      <c r="F3" s="877"/>
      <c r="G3" s="878"/>
      <c r="H3" s="696">
        <v>700</v>
      </c>
      <c r="I3" s="872"/>
      <c r="J3" s="879"/>
      <c r="K3" s="880"/>
      <c r="L3" s="875"/>
      <c r="M3" s="704">
        <f>+H3/'Parametros Generales'!$C$8</f>
        <v>28</v>
      </c>
      <c r="N3" s="704"/>
      <c r="O3" s="704"/>
      <c r="P3" s="704"/>
      <c r="Q3" s="704"/>
      <c r="R3" s="704">
        <f>+(M3/'Parametros Generales'!$C$9)</f>
        <v>7</v>
      </c>
      <c r="S3" s="738"/>
      <c r="T3" s="738"/>
      <c r="U3" s="738"/>
      <c r="V3" s="756"/>
      <c r="W3" s="973"/>
      <c r="X3" s="876"/>
      <c r="Y3" s="974"/>
      <c r="Z3" s="975"/>
      <c r="AA3" s="975"/>
      <c r="AB3" s="976"/>
      <c r="AC3" s="976"/>
      <c r="AD3" s="975"/>
      <c r="AE3" s="975"/>
      <c r="AF3" s="975"/>
      <c r="AG3" s="975"/>
      <c r="AH3" s="975"/>
      <c r="AI3" s="975"/>
      <c r="AJ3" s="975"/>
      <c r="AK3" s="974"/>
      <c r="AL3" s="741"/>
      <c r="AM3" s="977"/>
      <c r="AN3" s="977"/>
      <c r="AO3" s="977"/>
      <c r="AP3" s="977"/>
      <c r="AQ3" s="977"/>
    </row>
    <row r="4" spans="1:43" s="199" customFormat="1" hidden="1">
      <c r="A4" s="713">
        <v>2</v>
      </c>
      <c r="B4" s="866">
        <v>5</v>
      </c>
      <c r="C4" s="197" t="s">
        <v>109</v>
      </c>
      <c r="D4" s="198"/>
      <c r="E4" s="707" t="s">
        <v>109</v>
      </c>
      <c r="F4" s="882">
        <f>+SUM(F5:F5)</f>
        <v>0</v>
      </c>
      <c r="G4" s="883"/>
      <c r="H4" s="308">
        <f>+SUM(H5:H5)</f>
        <v>0</v>
      </c>
      <c r="I4" s="872"/>
      <c r="J4" s="873"/>
      <c r="K4" s="874"/>
      <c r="L4" s="875"/>
      <c r="M4" s="699">
        <f>+SUM(M5:M5)</f>
        <v>0</v>
      </c>
      <c r="N4" s="699"/>
      <c r="O4" s="699"/>
      <c r="P4" s="699"/>
      <c r="Q4" s="699">
        <f>+R4/'Parametros Generales'!$C$10</f>
        <v>0</v>
      </c>
      <c r="R4" s="699">
        <f>+SUM(R5:R5)</f>
        <v>0</v>
      </c>
      <c r="S4" s="739"/>
      <c r="T4" s="739"/>
      <c r="U4" s="739"/>
      <c r="V4" s="970">
        <f>+VLOOKUP(V$1,'Componentes T.H.'!$B$4:$R$22,'Componentes T.H.'!$Q$1,0)*'Parametros Generales'!$C$6*'Cost x Depart'!Q4</f>
        <v>0</v>
      </c>
      <c r="W4" s="876">
        <f>+R4*'Componentes T.H.'!$Q$9*'Parametros Generales'!$C$6</f>
        <v>0</v>
      </c>
      <c r="X4" s="755">
        <f>IF((VLOOKUP(C5,Transporte!$B$87:$F$120,4,0)*R4*'Parametros Generales'!$C$12)-(R4*'Componentes T.H.'!$E$9*'Parametros Generales'!$C$6)&lt;0,0,(VLOOKUP(C5,Transporte!$B$87:$F$120,4,0)*R4*'Parametros Generales'!$C$12)-(R4*'Componentes T.H.'!$E$9*'Parametros Generales'!$C$6))</f>
        <v>0</v>
      </c>
      <c r="Y4" s="876">
        <f>VLOOKUP(C5,Transporte!$B$87:$F$120,4,0)*R4*'Parametros Generales'!$J$14*'Parametros Generales'!$C$6</f>
        <v>0</v>
      </c>
      <c r="Z4" s="974">
        <f>+(N4+O4+Q4)*'Parametros Generales'!$C$6*'Parametros Generales'!$J$7</f>
        <v>0</v>
      </c>
      <c r="AA4" s="974">
        <f>+SUM(N4:R4)*'Parametros Generales'!$C$6*'Parametros Generales'!$J$8</f>
        <v>0</v>
      </c>
      <c r="AB4" s="970">
        <f>+M4*'Parametros Generales'!$C$6*'Parametros Generales'!$J$9</f>
        <v>0</v>
      </c>
      <c r="AC4" s="970">
        <f>+H4*'Parametros Generales'!$J$10*'Parametros Generales'!$C$6*'Parametros Generales'!$C$11</f>
        <v>0</v>
      </c>
      <c r="AD4" s="974">
        <f>+'Parametros Generales'!$J$11*SUM(N4:R4)</f>
        <v>0</v>
      </c>
      <c r="AE4" s="978">
        <f>+SUM(S4:AD4)</f>
        <v>0</v>
      </c>
      <c r="AF4" s="974">
        <f>+AE4*(SUM('Res de Costos Pais'!G103:G103))</f>
        <v>0</v>
      </c>
      <c r="AG4" s="974">
        <f>+AE4+AF4</f>
        <v>0</v>
      </c>
      <c r="AH4" s="974">
        <f>+AG4*SUM('Res de Costos Pais'!$G$109:$G$110)</f>
        <v>0</v>
      </c>
      <c r="AI4" s="974">
        <f>+(AG4+AH4)*'Res de Costos Pais'!$G$122</f>
        <v>0</v>
      </c>
      <c r="AJ4" s="974">
        <f>+(AG4+AH4+AI4)*'Res de Costos Pais'!$G$126</f>
        <v>0</v>
      </c>
      <c r="AK4" s="974">
        <f>+AG4+AH4+AI4+AJ4</f>
        <v>0</v>
      </c>
      <c r="AL4" s="741">
        <f>IF(ISERROR((+(AK4/H4)/'Parametros Generales'!$C$6)),0,(+(AK4/H4)/'Parametros Generales'!$C$6))</f>
        <v>0</v>
      </c>
      <c r="AM4" s="971">
        <f>+(AL4/'Parametros Generales'!$C$11)*'Parametros Generales'!$C$14</f>
        <v>0</v>
      </c>
      <c r="AN4" s="971">
        <f>+AM4*H4</f>
        <v>0</v>
      </c>
      <c r="AO4" s="971">
        <f>+((((IF(H4=0,0,((V4+W4)/'Parametros Generales'!$C$6*'Parametros Generales'!$C$16*'Parametros Generales'!$C$15)/H4))*(1+'Res de Costos Pais'!$G$103))*(1+'Res de Costos Pais'!$G$109+'Res de Costos Pais'!$G$110)*(1+'Res de Costos Pais'!$G$122)*(1+'Res de Costos Pais'!$G$126)))*1.001</f>
        <v>0</v>
      </c>
      <c r="AP4" s="971">
        <f>+AO4*H4</f>
        <v>0</v>
      </c>
      <c r="AQ4" s="972">
        <f>+AK4+AN4+AP4</f>
        <v>0</v>
      </c>
    </row>
    <row r="5" spans="1:43" s="29" customFormat="1" hidden="1" outlineLevel="1">
      <c r="A5" s="712"/>
      <c r="B5" s="864">
        <v>5</v>
      </c>
      <c r="C5" s="195" t="s">
        <v>44</v>
      </c>
      <c r="D5" s="196"/>
      <c r="E5" s="706"/>
      <c r="F5" s="877"/>
      <c r="G5" s="878"/>
      <c r="H5" s="696">
        <v>0</v>
      </c>
      <c r="I5" s="872"/>
      <c r="J5" s="879"/>
      <c r="K5" s="880"/>
      <c r="L5" s="875"/>
      <c r="M5" s="704">
        <f>+H5/'Parametros Generales'!$C$8</f>
        <v>0</v>
      </c>
      <c r="N5" s="704"/>
      <c r="O5" s="704"/>
      <c r="P5" s="704"/>
      <c r="Q5" s="704"/>
      <c r="R5" s="704">
        <f>+(M5/'Parametros Generales'!$C$9)</f>
        <v>0</v>
      </c>
      <c r="S5" s="738"/>
      <c r="T5" s="738"/>
      <c r="U5" s="738"/>
      <c r="V5" s="756"/>
      <c r="W5" s="973"/>
      <c r="X5" s="876"/>
      <c r="Y5" s="974"/>
      <c r="Z5" s="975"/>
      <c r="AA5" s="975"/>
      <c r="AB5" s="976"/>
      <c r="AC5" s="976"/>
      <c r="AD5" s="975"/>
      <c r="AE5" s="975"/>
      <c r="AF5" s="975"/>
      <c r="AG5" s="975"/>
      <c r="AH5" s="975"/>
      <c r="AI5" s="975"/>
      <c r="AJ5" s="975"/>
      <c r="AK5" s="978"/>
      <c r="AL5" s="979"/>
      <c r="AM5" s="977"/>
      <c r="AN5" s="977"/>
      <c r="AO5" s="977"/>
      <c r="AP5" s="977"/>
      <c r="AQ5" s="977"/>
    </row>
    <row r="6" spans="1:43" s="199" customFormat="1" hidden="1">
      <c r="A6" s="713">
        <v>3</v>
      </c>
      <c r="B6" s="866">
        <v>8</v>
      </c>
      <c r="C6" s="197" t="s">
        <v>1531</v>
      </c>
      <c r="D6" s="198"/>
      <c r="E6" s="707" t="s">
        <v>1531</v>
      </c>
      <c r="F6" s="882">
        <f>SUM(F7:F7)</f>
        <v>0</v>
      </c>
      <c r="G6" s="883"/>
      <c r="H6" s="308">
        <f>+SUM(H7:H7)</f>
        <v>0</v>
      </c>
      <c r="I6" s="884"/>
      <c r="J6" s="873"/>
      <c r="K6" s="874"/>
      <c r="L6" s="875"/>
      <c r="M6" s="699">
        <f>+SUM(M7:M7)</f>
        <v>0</v>
      </c>
      <c r="N6" s="699"/>
      <c r="O6" s="699"/>
      <c r="P6" s="699"/>
      <c r="Q6" s="699">
        <f>+R6/'Parametros Generales'!$C$10</f>
        <v>0</v>
      </c>
      <c r="R6" s="699">
        <f>+SUM(R7:R7)</f>
        <v>0</v>
      </c>
      <c r="S6" s="739"/>
      <c r="T6" s="739"/>
      <c r="U6" s="739"/>
      <c r="V6" s="970">
        <f>+VLOOKUP(V$1,'Componentes T.H.'!$B$4:$R$22,'Componentes T.H.'!$Q$1,0)*'Parametros Generales'!$C$6*'Cost x Depart'!Q6</f>
        <v>0</v>
      </c>
      <c r="W6" s="876">
        <f>+R6*'Componentes T.H.'!$Q$9*'Parametros Generales'!$C$6</f>
        <v>0</v>
      </c>
      <c r="X6" s="755">
        <f>IF((VLOOKUP(C7,Transporte!$B$87:$F$120,4,0)*R6*'Parametros Generales'!$C$12)-(R6*'Componentes T.H.'!$E$9*'Parametros Generales'!$C$6)&lt;0,0,(VLOOKUP(C7,Transporte!$B$87:$F$120,4,0)*R6*'Parametros Generales'!$C$12)-(R6*'Componentes T.H.'!$E$9*'Parametros Generales'!$C$6))</f>
        <v>0</v>
      </c>
      <c r="Y6" s="876">
        <f>VLOOKUP(C7,Transporte!$B$87:$F$120,4,0)*R6*'Parametros Generales'!$J$14*'Parametros Generales'!$C$6</f>
        <v>0</v>
      </c>
      <c r="Z6" s="974">
        <f>+(N6+O6+Q6)*'Parametros Generales'!$C$6*'Parametros Generales'!$J$7</f>
        <v>0</v>
      </c>
      <c r="AA6" s="974">
        <f>+SUM(N6:R6)*'Parametros Generales'!$C$6*'Parametros Generales'!$J$8</f>
        <v>0</v>
      </c>
      <c r="AB6" s="970">
        <f>+M6*'Parametros Generales'!$C$6*'Parametros Generales'!$J$9</f>
        <v>0</v>
      </c>
      <c r="AC6" s="970">
        <f>+H6*'Parametros Generales'!$J$10*'Parametros Generales'!$C$6*'Parametros Generales'!$C$11</f>
        <v>0</v>
      </c>
      <c r="AD6" s="974">
        <f>+'Parametros Generales'!$J$11*SUM(N6:R6)</f>
        <v>0</v>
      </c>
      <c r="AE6" s="978">
        <f>+SUM(S6:AD6)</f>
        <v>0</v>
      </c>
      <c r="AF6" s="974">
        <f>+AE6*(SUM('Res de Costos Pais'!G103:G103))</f>
        <v>0</v>
      </c>
      <c r="AG6" s="974">
        <f>+AE6+AF6</f>
        <v>0</v>
      </c>
      <c r="AH6" s="974">
        <f>+AG6*SUM('Res de Costos Pais'!$G$109:$G$110)</f>
        <v>0</v>
      </c>
      <c r="AI6" s="974">
        <f>+(AG6+AH6)*'Res de Costos Pais'!$G$122</f>
        <v>0</v>
      </c>
      <c r="AJ6" s="974">
        <f>+(AG6+AH6+AI6)*'Res de Costos Pais'!$G$126</f>
        <v>0</v>
      </c>
      <c r="AK6" s="974">
        <f>+AG6+AH6+AI6+AJ6</f>
        <v>0</v>
      </c>
      <c r="AL6" s="741">
        <f>IF(ISERROR((+(AK6/H6)/'Parametros Generales'!$C$6)),0,(+(AK6/H6)/'Parametros Generales'!$C$6))</f>
        <v>0</v>
      </c>
      <c r="AM6" s="971">
        <f>+(AL6/'Parametros Generales'!$C$11)*'Parametros Generales'!$C$14</f>
        <v>0</v>
      </c>
      <c r="AN6" s="971">
        <f>+AM6*H6</f>
        <v>0</v>
      </c>
      <c r="AO6" s="971">
        <f>+((((IF(H6=0,0,((V6+W6)/'Parametros Generales'!$C$6*'Parametros Generales'!$C$16*'Parametros Generales'!$C$15)/H6))*(1+'Res de Costos Pais'!$G$103))*(1+'Res de Costos Pais'!$G$109+'Res de Costos Pais'!$G$110)*(1+'Res de Costos Pais'!$G$122)*(1+'Res de Costos Pais'!$G$126)))*1.001</f>
        <v>0</v>
      </c>
      <c r="AP6" s="971">
        <f>+AO6*H6</f>
        <v>0</v>
      </c>
      <c r="AQ6" s="972">
        <f>+AK6+AN6+AP6</f>
        <v>0</v>
      </c>
    </row>
    <row r="7" spans="1:43" s="29" customFormat="1" hidden="1" outlineLevel="1">
      <c r="A7" s="712"/>
      <c r="B7" s="864">
        <v>8</v>
      </c>
      <c r="C7" s="195" t="s">
        <v>1531</v>
      </c>
      <c r="D7" s="196"/>
      <c r="E7" s="706"/>
      <c r="F7" s="877"/>
      <c r="G7" s="878"/>
      <c r="H7" s="696">
        <v>0</v>
      </c>
      <c r="I7" s="872"/>
      <c r="J7" s="879"/>
      <c r="K7" s="880"/>
      <c r="L7" s="875"/>
      <c r="M7" s="704">
        <f>+H7/'Parametros Generales'!$C$8</f>
        <v>0</v>
      </c>
      <c r="N7" s="704"/>
      <c r="O7" s="704"/>
      <c r="P7" s="704"/>
      <c r="Q7" s="704"/>
      <c r="R7" s="704">
        <f>+(M7/'Parametros Generales'!$C$9)</f>
        <v>0</v>
      </c>
      <c r="S7" s="738"/>
      <c r="T7" s="738"/>
      <c r="U7" s="738"/>
      <c r="V7" s="756"/>
      <c r="W7" s="973"/>
      <c r="X7" s="876"/>
      <c r="Y7" s="974"/>
      <c r="Z7" s="975"/>
      <c r="AA7" s="975"/>
      <c r="AB7" s="976"/>
      <c r="AC7" s="976"/>
      <c r="AD7" s="975"/>
      <c r="AE7" s="975"/>
      <c r="AF7" s="975"/>
      <c r="AG7" s="975"/>
      <c r="AH7" s="975"/>
      <c r="AI7" s="975"/>
      <c r="AJ7" s="975"/>
      <c r="AK7" s="978"/>
      <c r="AL7" s="979"/>
      <c r="AM7" s="977"/>
      <c r="AN7" s="977"/>
      <c r="AO7" s="977"/>
      <c r="AP7" s="977"/>
      <c r="AQ7" s="977"/>
    </row>
    <row r="8" spans="1:43" s="199" customFormat="1">
      <c r="A8" s="713">
        <v>4</v>
      </c>
      <c r="B8" s="866">
        <v>13</v>
      </c>
      <c r="C8" s="194" t="s">
        <v>1535</v>
      </c>
      <c r="D8" s="198"/>
      <c r="E8" s="194" t="s">
        <v>1535</v>
      </c>
      <c r="F8" s="882">
        <f>SUM(F9:F9)</f>
        <v>0</v>
      </c>
      <c r="G8" s="883"/>
      <c r="H8" s="308">
        <f>+SUM(H9:H9)</f>
        <v>1800</v>
      </c>
      <c r="I8" s="872"/>
      <c r="J8" s="873"/>
      <c r="K8" s="874"/>
      <c r="L8" s="875"/>
      <c r="M8" s="699">
        <f>+SUM(M9:M9)</f>
        <v>72</v>
      </c>
      <c r="N8" s="699"/>
      <c r="O8" s="699"/>
      <c r="P8" s="699"/>
      <c r="Q8" s="699">
        <f>+R8/'Parametros Generales'!$C$10</f>
        <v>1.8</v>
      </c>
      <c r="R8" s="699">
        <f>+SUM(R9:R9)</f>
        <v>18</v>
      </c>
      <c r="S8" s="739"/>
      <c r="T8" s="739"/>
      <c r="U8" s="739"/>
      <c r="V8" s="970">
        <f>+VLOOKUP(V$1,'Componentes T.H.'!$B$4:$R$22,'Componentes T.H.'!$Q$1,0)*'Parametros Generales'!$C$6*'Cost x Depart'!Q8</f>
        <v>24080422.767250199</v>
      </c>
      <c r="W8" s="876">
        <f>+R8*'Componentes T.H.'!$Q$9*'Parametros Generales'!$C$6</f>
        <v>124027307.42524204</v>
      </c>
      <c r="X8" s="755">
        <f>IF((VLOOKUP(C9,Transporte!$B$87:$F$120,4,0)*R8*'Parametros Generales'!$C$12)-(R8*'Componentes T.H.'!$E$9*'Parametros Generales'!$C$6)&lt;0,0,(VLOOKUP(C9,Transporte!$B$87:$F$120,4,0)*R8*'Parametros Generales'!$C$12)-(R8*'Componentes T.H.'!$E$9*'Parametros Generales'!$C$6))</f>
        <v>9092722.7665327638</v>
      </c>
      <c r="Y8" s="876">
        <f>VLOOKUP(C9,Transporte!$B$87:$F$120,4,0)*R8*'Parametros Generales'!$J$14*'Parametros Generales'!$C$6</f>
        <v>4397169.441633191</v>
      </c>
      <c r="Z8" s="974">
        <f>+(N8+O8+Q8)*'Parametros Generales'!$C$6*'Parametros Generales'!$J$7</f>
        <v>473896.80000000005</v>
      </c>
      <c r="AA8" s="974">
        <f>+SUM(N8:R8)*'Parametros Generales'!$C$6*'Parametros Generales'!$J$8</f>
        <v>4758811.2</v>
      </c>
      <c r="AB8" s="970">
        <f>+M8*'Parametros Generales'!$C$6*'Parametros Generales'!$J$9</f>
        <v>62588916</v>
      </c>
      <c r="AC8" s="970">
        <f>+H8*'Parametros Generales'!$J$10*'Parametros Generales'!$C$6*'Parametros Generales'!$C$11</f>
        <v>177613648.64595699</v>
      </c>
      <c r="AD8" s="974">
        <f>+'Parametros Generales'!$J$11*SUM(N8:R8)</f>
        <v>1017244.8</v>
      </c>
      <c r="AE8" s="978">
        <f>+SUM(S8:AD8)</f>
        <v>408050139.84661525</v>
      </c>
      <c r="AF8" s="974">
        <f>+AE8*(SUM('Res de Costos Pais'!G103:G103))</f>
        <v>32644011.187729221</v>
      </c>
      <c r="AG8" s="974">
        <f>+AE8+AF8</f>
        <v>440694151.03434449</v>
      </c>
      <c r="AH8" s="974">
        <f>+AG8*SUM('Res de Costos Pais'!$G$109:$G$110)</f>
        <v>4257105.4989917679</v>
      </c>
      <c r="AI8" s="974">
        <f>+(AG8+AH8)*'Res de Costos Pais'!$G$122</f>
        <v>1001140.3272000067</v>
      </c>
      <c r="AJ8" s="974">
        <f>+(AG8+AH8+AI8)*'Res de Costos Pais'!$G$126</f>
        <v>1783809.5874421452</v>
      </c>
      <c r="AK8" s="974">
        <f>+AG8+AH8+AI8+AJ8</f>
        <v>447736206.44797844</v>
      </c>
      <c r="AL8" s="741">
        <f>IF(ISERROR((+(AK8/H8)/'Parametros Generales'!$C$6)),0,(+(AK8/H8)/'Parametros Generales'!$C$6))</f>
        <v>38268.051833160549</v>
      </c>
      <c r="AM8" s="971">
        <f>+(AL8/'Parametros Generales'!$C$11)*'Parametros Generales'!$C$14</f>
        <v>6378.0086388600912</v>
      </c>
      <c r="AN8" s="971">
        <f>+AM8*H8</f>
        <v>11480415.549948163</v>
      </c>
      <c r="AO8" s="971">
        <f>+((((IF(H8=0,0,((V8+W8)/'Parametros Generales'!$C$6*'Parametros Generales'!$C$16*'Parametros Generales'!$C$15)/H8))*(1+'Res de Costos Pais'!$G$103))*(1+'Res de Costos Pais'!$G$109+'Res de Costos Pais'!$G$110)*(1+'Res de Costos Pais'!$G$122)*(1+'Res de Costos Pais'!$G$126)))</f>
        <v>3472.4864314643769</v>
      </c>
      <c r="AP8" s="971">
        <f>+AO8*H8</f>
        <v>6250475.5766358785</v>
      </c>
      <c r="AQ8" s="972">
        <f>+AK8+AN8+AP8</f>
        <v>465467097.57456249</v>
      </c>
    </row>
    <row r="9" spans="1:43" s="29" customFormat="1" outlineLevel="1">
      <c r="A9" s="712"/>
      <c r="B9" s="864">
        <v>13</v>
      </c>
      <c r="C9" s="195" t="s">
        <v>1535</v>
      </c>
      <c r="D9" s="196"/>
      <c r="E9" s="706"/>
      <c r="F9" s="877"/>
      <c r="G9" s="878"/>
      <c r="H9" s="696">
        <v>1800</v>
      </c>
      <c r="I9" s="872"/>
      <c r="J9" s="879"/>
      <c r="K9" s="880"/>
      <c r="L9" s="875"/>
      <c r="M9" s="704">
        <f>+H9/'Parametros Generales'!$C$8</f>
        <v>72</v>
      </c>
      <c r="N9" s="704"/>
      <c r="O9" s="704"/>
      <c r="P9" s="704"/>
      <c r="Q9" s="704"/>
      <c r="R9" s="704">
        <f>+(M9/'Parametros Generales'!$C$9)</f>
        <v>18</v>
      </c>
      <c r="S9" s="738"/>
      <c r="T9" s="738"/>
      <c r="U9" s="738"/>
      <c r="V9" s="756"/>
      <c r="W9" s="973"/>
      <c r="X9" s="876"/>
      <c r="Y9" s="974"/>
      <c r="Z9" s="975"/>
      <c r="AA9" s="975"/>
      <c r="AB9" s="976"/>
      <c r="AC9" s="976"/>
      <c r="AD9" s="975"/>
      <c r="AE9" s="975"/>
      <c r="AF9" s="975"/>
      <c r="AG9" s="975"/>
      <c r="AH9" s="975"/>
      <c r="AI9" s="975"/>
      <c r="AJ9" s="975"/>
      <c r="AK9" s="978"/>
      <c r="AL9" s="979"/>
      <c r="AM9" s="977"/>
      <c r="AN9" s="977"/>
      <c r="AO9" s="977"/>
      <c r="AP9" s="977"/>
      <c r="AQ9" s="977"/>
    </row>
    <row r="10" spans="1:43" s="199" customFormat="1" hidden="1">
      <c r="A10" s="713">
        <v>5</v>
      </c>
      <c r="B10" s="866">
        <v>15</v>
      </c>
      <c r="C10" s="194" t="s">
        <v>1536</v>
      </c>
      <c r="D10" s="198"/>
      <c r="E10" s="707" t="s">
        <v>180</v>
      </c>
      <c r="F10" s="882">
        <f>SUM(F11:F11)</f>
        <v>0</v>
      </c>
      <c r="G10" s="883"/>
      <c r="H10" s="308">
        <f>+SUM(H11:H11)</f>
        <v>0</v>
      </c>
      <c r="I10" s="872"/>
      <c r="J10" s="873"/>
      <c r="K10" s="874"/>
      <c r="L10" s="875"/>
      <c r="M10" s="699">
        <f>+SUM(M11:M11)</f>
        <v>0</v>
      </c>
      <c r="N10" s="699"/>
      <c r="O10" s="699"/>
      <c r="P10" s="699"/>
      <c r="Q10" s="699">
        <f>+R10/'Parametros Generales'!$C$10</f>
        <v>0</v>
      </c>
      <c r="R10" s="699">
        <f>+SUM(R11:R11)</f>
        <v>0</v>
      </c>
      <c r="S10" s="739"/>
      <c r="T10" s="739"/>
      <c r="U10" s="739"/>
      <c r="V10" s="970">
        <f>+VLOOKUP(V$1,'Componentes T.H.'!$B$4:$R$22,'Componentes T.H.'!$Q$1,0)*'Parametros Generales'!$C$6*'Cost x Depart'!Q10</f>
        <v>0</v>
      </c>
      <c r="W10" s="876">
        <f>+R10*'Componentes T.H.'!$Q$9*'Parametros Generales'!$C$6</f>
        <v>0</v>
      </c>
      <c r="X10" s="755">
        <f>IF((VLOOKUP(C11,Transporte!$B$87:$F$120,4,0)*R10*'Parametros Generales'!$C$12)-(R10*'Componentes T.H.'!$E$9*'Parametros Generales'!$C$6)&lt;0,0,(VLOOKUP(C11,Transporte!$B$87:$F$120,4,0)*R10*'Parametros Generales'!$C$12)-(R10*'Componentes T.H.'!$E$9*'Parametros Generales'!$C$6))</f>
        <v>0</v>
      </c>
      <c r="Y10" s="876">
        <f>VLOOKUP(C11,Transporte!$B$87:$F$120,4,0)*R10*'Parametros Generales'!$J$14*'Parametros Generales'!$C$6</f>
        <v>0</v>
      </c>
      <c r="Z10" s="974">
        <f>+(N10+O10+Q10)*'Parametros Generales'!$C$6*'Parametros Generales'!$J$7</f>
        <v>0</v>
      </c>
      <c r="AA10" s="974">
        <f>+SUM(N10:R10)*'Parametros Generales'!$C$6*'Parametros Generales'!$J$8</f>
        <v>0</v>
      </c>
      <c r="AB10" s="970">
        <f>+M10*'Parametros Generales'!$C$6*'Parametros Generales'!$J$9</f>
        <v>0</v>
      </c>
      <c r="AC10" s="970">
        <f>+H10*'Parametros Generales'!$J$10*'Parametros Generales'!$C$6*'Parametros Generales'!$C$11</f>
        <v>0</v>
      </c>
      <c r="AD10" s="974">
        <f>+'Parametros Generales'!$J$11*SUM(N10:R10)</f>
        <v>0</v>
      </c>
      <c r="AE10" s="978">
        <f>+SUM(S10:AD10)</f>
        <v>0</v>
      </c>
      <c r="AF10" s="974">
        <f>+AE10*(SUM('Res de Costos Pais'!G103:G103))</f>
        <v>0</v>
      </c>
      <c r="AG10" s="974">
        <f>+AE10+AF10</f>
        <v>0</v>
      </c>
      <c r="AH10" s="974">
        <f>+AG10*SUM('Res de Costos Pais'!$G$109:$G$110)</f>
        <v>0</v>
      </c>
      <c r="AI10" s="974">
        <f>+(AG10+AH10)*'Res de Costos Pais'!$G$122</f>
        <v>0</v>
      </c>
      <c r="AJ10" s="974">
        <f>+(AG10+AH10+AI10)*'Res de Costos Pais'!$G$126</f>
        <v>0</v>
      </c>
      <c r="AK10" s="974">
        <f>+AG10+AH10+AI10+AJ10</f>
        <v>0</v>
      </c>
      <c r="AL10" s="741">
        <f>IF(ISERROR((+(AK10/H10)/'Parametros Generales'!$C$6)),0,(+(AK10/H10)/'Parametros Generales'!$C$6))</f>
        <v>0</v>
      </c>
      <c r="AM10" s="971">
        <f>+(AL10/'Parametros Generales'!$C$11)*'Parametros Generales'!$C$14</f>
        <v>0</v>
      </c>
      <c r="AN10" s="971">
        <f>+AM10*H10</f>
        <v>0</v>
      </c>
      <c r="AO10" s="971">
        <f>+((((IF(H10=0,0,((V10+W10)/'Parametros Generales'!$C$6*'Parametros Generales'!$C$16*'Parametros Generales'!$C$15)/H10))*(1+'Res de Costos Pais'!$G$103))*(1+'Res de Costos Pais'!$G$109+'Res de Costos Pais'!$G$110)*(1+'Res de Costos Pais'!$G$122)*(1+'Res de Costos Pais'!$G$126)))*1.001</f>
        <v>0</v>
      </c>
      <c r="AP10" s="971">
        <f>+AO10*H10</f>
        <v>0</v>
      </c>
      <c r="AQ10" s="972">
        <f>+AK10+AN10+AP10</f>
        <v>0</v>
      </c>
    </row>
    <row r="11" spans="1:43" s="29" customFormat="1" hidden="1" outlineLevel="1">
      <c r="A11" s="712"/>
      <c r="B11" s="864">
        <v>15</v>
      </c>
      <c r="C11" s="195" t="s">
        <v>1536</v>
      </c>
      <c r="D11" s="196"/>
      <c r="E11" s="706"/>
      <c r="F11" s="877"/>
      <c r="G11" s="878"/>
      <c r="H11" s="696">
        <v>0</v>
      </c>
      <c r="I11" s="872"/>
      <c r="J11" s="879"/>
      <c r="K11" s="880"/>
      <c r="L11" s="875"/>
      <c r="M11" s="704">
        <f>+H11/'Parametros Generales'!$C$8</f>
        <v>0</v>
      </c>
      <c r="N11" s="704"/>
      <c r="O11" s="704"/>
      <c r="P11" s="704"/>
      <c r="Q11" s="704"/>
      <c r="R11" s="704">
        <f>+(M11/'Parametros Generales'!$C$9)</f>
        <v>0</v>
      </c>
      <c r="S11" s="738"/>
      <c r="T11" s="738"/>
      <c r="U11" s="738"/>
      <c r="V11" s="756"/>
      <c r="W11" s="973"/>
      <c r="X11" s="876"/>
      <c r="Y11" s="974"/>
      <c r="Z11" s="975"/>
      <c r="AA11" s="975"/>
      <c r="AB11" s="976"/>
      <c r="AC11" s="976"/>
      <c r="AD11" s="975"/>
      <c r="AE11" s="975"/>
      <c r="AF11" s="975"/>
      <c r="AG11" s="975"/>
      <c r="AH11" s="975"/>
      <c r="AI11" s="975"/>
      <c r="AJ11" s="975"/>
      <c r="AK11" s="978"/>
      <c r="AL11" s="979"/>
      <c r="AM11" s="977"/>
      <c r="AN11" s="977"/>
      <c r="AO11" s="977"/>
      <c r="AP11" s="977"/>
      <c r="AQ11" s="977"/>
    </row>
    <row r="12" spans="1:43" s="199" customFormat="1">
      <c r="A12" s="713">
        <v>6</v>
      </c>
      <c r="B12" s="866">
        <v>17</v>
      </c>
      <c r="C12" s="197" t="s">
        <v>212</v>
      </c>
      <c r="D12" s="198"/>
      <c r="E12" s="707" t="s">
        <v>212</v>
      </c>
      <c r="F12" s="308">
        <f>+SUM(F13:F13)</f>
        <v>0</v>
      </c>
      <c r="G12" s="883"/>
      <c r="H12" s="308">
        <f>+SUM(H13:H13)</f>
        <v>100</v>
      </c>
      <c r="I12" s="872"/>
      <c r="J12" s="873"/>
      <c r="K12" s="874"/>
      <c r="L12" s="875"/>
      <c r="M12" s="699">
        <f>+SUM(M13:M13)</f>
        <v>4</v>
      </c>
      <c r="N12" s="699"/>
      <c r="O12" s="699"/>
      <c r="P12" s="699"/>
      <c r="Q12" s="699">
        <f>+R12/'Parametros Generales'!$C$10</f>
        <v>0.1</v>
      </c>
      <c r="R12" s="699">
        <f>+SUM(R13:R13)</f>
        <v>1</v>
      </c>
      <c r="S12" s="739"/>
      <c r="T12" s="739"/>
      <c r="U12" s="739"/>
      <c r="V12" s="970">
        <f>+VLOOKUP(V$1,'Componentes T.H.'!$B$4:$R$22,'Componentes T.H.'!$Q$1,0)*'Parametros Generales'!$C$6*'Cost x Depart'!Q12</f>
        <v>1337801.2648472334</v>
      </c>
      <c r="W12" s="876">
        <f>+R12*'Componentes T.H.'!$Q$9*'Parametros Generales'!$C$6</f>
        <v>6890405.968069002</v>
      </c>
      <c r="X12" s="755">
        <f>IF((VLOOKUP(C13,Transporte!$B$87:$F$120,4,0)*R12*'Parametros Generales'!$C$12)-(R12*'Componentes T.H.'!$E$9*'Parametros Generales'!$C$6)&lt;0,0,(VLOOKUP(C13,Transporte!$B$87:$F$120,4,0)*R12*'Parametros Generales'!$C$12)-(R12*'Componentes T.H.'!$E$9*'Parametros Generales'!$C$6))</f>
        <v>474564.19435620075</v>
      </c>
      <c r="Y12" s="876">
        <f>VLOOKUP(C13,Transporte!$B$87:$F$120,4,0)*R12*'Parametros Generales'!$J$14*'Parametros Generales'!$C$6</f>
        <v>236640.42358905019</v>
      </c>
      <c r="Z12" s="974">
        <f>+(N12+O12+Q12)*'Parametros Generales'!$C$6*'Parametros Generales'!$J$7</f>
        <v>26327.600000000002</v>
      </c>
      <c r="AA12" s="974">
        <f>+SUM(N12:R12)*'Parametros Generales'!$C$6*'Parametros Generales'!$J$8</f>
        <v>264378.40000000002</v>
      </c>
      <c r="AB12" s="970">
        <f>+M12*'Parametros Generales'!$C$6*'Parametros Generales'!$J$9</f>
        <v>3477162</v>
      </c>
      <c r="AC12" s="970">
        <f>+H12*'Parametros Generales'!$J$10*'Parametros Generales'!$C$6*'Parametros Generales'!$C$11</f>
        <v>9867424.9247753881</v>
      </c>
      <c r="AD12" s="974">
        <f>+'Parametros Generales'!$J$11*SUM(N12:R12)</f>
        <v>56513.600000000006</v>
      </c>
      <c r="AE12" s="978">
        <f>+SUM(S12:AD12)</f>
        <v>22631218.375636876</v>
      </c>
      <c r="AF12" s="974">
        <f>+AE12*(SUM('Res de Costos Pais'!G103:G103))</f>
        <v>1810497.4700509501</v>
      </c>
      <c r="AG12" s="974">
        <f>+AE12+AF12</f>
        <v>24441715.845687825</v>
      </c>
      <c r="AH12" s="974">
        <f>+AG12*SUM('Res de Costos Pais'!$G$109:$G$110)</f>
        <v>236106.97506934439</v>
      </c>
      <c r="AI12" s="974">
        <f>+(AG12+AH12)*'Res de Costos Pais'!$G$122</f>
        <v>55525.101346703639</v>
      </c>
      <c r="AJ12" s="974">
        <f>+(AG12+AH12+AI12)*'Res de Costos Pais'!$G$126</f>
        <v>98933.391688415504</v>
      </c>
      <c r="AK12" s="974">
        <f>+AG12+AH12+AI12+AJ12</f>
        <v>24832281.313792288</v>
      </c>
      <c r="AL12" s="741">
        <f>IF(ISERROR((+(AK12/H12)/'Parametros Generales'!$C$6)),0,(+(AK12/H12)/'Parametros Generales'!$C$6))</f>
        <v>38203.509713526597</v>
      </c>
      <c r="AM12" s="971">
        <f>+(AL12/'Parametros Generales'!$C$11)*'Parametros Generales'!$C$14</f>
        <v>6367.2516189210992</v>
      </c>
      <c r="AN12" s="971">
        <f>+AM12*H12</f>
        <v>636725.1618921099</v>
      </c>
      <c r="AO12" s="971">
        <f>+((((IF(H12=0,0,((V12+W12)/'Parametros Generales'!$C$6*'Parametros Generales'!$C$16*'Parametros Generales'!$C$15)/H12))*(1+'Res de Costos Pais'!$G$103))*(1+'Res de Costos Pais'!$G$109+'Res de Costos Pais'!$G$110)*(1+'Res de Costos Pais'!$G$122)*(1+'Res de Costos Pais'!$G$126)))</f>
        <v>3472.4864314643764</v>
      </c>
      <c r="AP12" s="971">
        <f>+AO12*H12</f>
        <v>347248.64314643765</v>
      </c>
      <c r="AQ12" s="972">
        <f>+AK12+AN12+AP12</f>
        <v>25816255.118830834</v>
      </c>
    </row>
    <row r="13" spans="1:43" s="29" customFormat="1" outlineLevel="1">
      <c r="A13" s="712"/>
      <c r="B13" s="864">
        <v>17</v>
      </c>
      <c r="C13" s="195" t="s">
        <v>212</v>
      </c>
      <c r="D13" s="196"/>
      <c r="E13" s="706"/>
      <c r="F13" s="877"/>
      <c r="G13" s="878"/>
      <c r="H13" s="696">
        <v>100</v>
      </c>
      <c r="I13" s="872"/>
      <c r="J13" s="879"/>
      <c r="K13" s="880"/>
      <c r="L13" s="875"/>
      <c r="M13" s="704">
        <f>+H13/'Parametros Generales'!$C$8</f>
        <v>4</v>
      </c>
      <c r="N13" s="704"/>
      <c r="O13" s="704"/>
      <c r="P13" s="704"/>
      <c r="Q13" s="704"/>
      <c r="R13" s="704">
        <f>+(M13/'Parametros Generales'!$C$9)</f>
        <v>1</v>
      </c>
      <c r="S13" s="738"/>
      <c r="T13" s="738"/>
      <c r="U13" s="738"/>
      <c r="V13" s="756"/>
      <c r="W13" s="973"/>
      <c r="X13" s="876"/>
      <c r="Y13" s="974"/>
      <c r="Z13" s="975"/>
      <c r="AA13" s="975"/>
      <c r="AB13" s="976"/>
      <c r="AC13" s="976"/>
      <c r="AD13" s="975"/>
      <c r="AE13" s="975"/>
      <c r="AF13" s="975"/>
      <c r="AG13" s="975"/>
      <c r="AH13" s="975"/>
      <c r="AI13" s="975"/>
      <c r="AJ13" s="975"/>
      <c r="AK13" s="978"/>
      <c r="AL13" s="979"/>
      <c r="AM13" s="977"/>
      <c r="AN13" s="977"/>
      <c r="AO13" s="977"/>
      <c r="AP13" s="977"/>
      <c r="AQ13" s="977"/>
    </row>
    <row r="14" spans="1:43" s="199" customFormat="1">
      <c r="A14" s="713">
        <v>7</v>
      </c>
      <c r="B14" s="866">
        <v>18</v>
      </c>
      <c r="C14" s="197" t="s">
        <v>1537</v>
      </c>
      <c r="D14" s="198"/>
      <c r="E14" s="197" t="s">
        <v>1537</v>
      </c>
      <c r="F14" s="308">
        <f>+SUM(F15:F15)</f>
        <v>0</v>
      </c>
      <c r="G14" s="883"/>
      <c r="H14" s="308">
        <f>+SUM(H15:H15)</f>
        <v>1300</v>
      </c>
      <c r="I14" s="872"/>
      <c r="J14" s="873"/>
      <c r="K14" s="874"/>
      <c r="L14" s="875"/>
      <c r="M14" s="699">
        <f>+SUM(M15:M15)</f>
        <v>52</v>
      </c>
      <c r="N14" s="699"/>
      <c r="O14" s="699"/>
      <c r="P14" s="699"/>
      <c r="Q14" s="699">
        <f>+R14/'Parametros Generales'!$C$10</f>
        <v>1.3</v>
      </c>
      <c r="R14" s="699">
        <f>+SUM(R15:R15)</f>
        <v>13</v>
      </c>
      <c r="S14" s="739"/>
      <c r="T14" s="739"/>
      <c r="U14" s="739"/>
      <c r="V14" s="970">
        <f>+VLOOKUP(V$1,'Componentes T.H.'!$B$4:$R$22,'Componentes T.H.'!$Q$1,0)*'Parametros Generales'!$C$6*'Cost x Depart'!Q14</f>
        <v>17391416.443014033</v>
      </c>
      <c r="W14" s="876">
        <f>+R14*'Componentes T.H.'!$Q$9*'Parametros Generales'!$C$6</f>
        <v>89575277.584897026</v>
      </c>
      <c r="X14" s="755">
        <f>IF((VLOOKUP(C15,Transporte!$B$87:$F$120,4,0)*R14*'Parametros Generales'!$C$12)-(R14*'Componentes T.H.'!$E$9*'Parametros Generales'!$C$6)&lt;0,0,(VLOOKUP(C15,Transporte!$B$87:$F$120,4,0)*R14*'Parametros Generales'!$C$12)-(R14*'Componentes T.H.'!$E$9*'Parametros Generales'!$C$6))</f>
        <v>32009986.804475062</v>
      </c>
      <c r="Y14" s="876">
        <f>VLOOKUP(C15,Transporte!$B$87:$F$120,4,0)*R14*'Parametros Generales'!$J$14*'Parametros Generales'!$C$6</f>
        <v>9536488.5761187654</v>
      </c>
      <c r="Z14" s="974">
        <f>+(N14+O14+Q14)*'Parametros Generales'!$C$6*'Parametros Generales'!$J$7</f>
        <v>342258.80000000005</v>
      </c>
      <c r="AA14" s="974">
        <f>+SUM(N14:R14)*'Parametros Generales'!$C$6*'Parametros Generales'!$J$8</f>
        <v>3436919.2</v>
      </c>
      <c r="AB14" s="970">
        <f>+M14*'Parametros Generales'!$C$6*'Parametros Generales'!$J$9</f>
        <v>45203106</v>
      </c>
      <c r="AC14" s="970">
        <f>+H14*'Parametros Generales'!$J$10*'Parametros Generales'!$C$6*'Parametros Generales'!$C$11</f>
        <v>128276524.02208003</v>
      </c>
      <c r="AD14" s="974">
        <f>+'Parametros Generales'!$J$11*SUM(N14:R14)</f>
        <v>734676.8</v>
      </c>
      <c r="AE14" s="978">
        <f>+SUM(S14:AD14)</f>
        <v>326506654.23058492</v>
      </c>
      <c r="AF14" s="974">
        <f>+AE14*(SUM('Res de Costos Pais'!G103:G103))</f>
        <v>26120532.338446796</v>
      </c>
      <c r="AG14" s="974">
        <f>+AE14+AF14</f>
        <v>352627186.56903172</v>
      </c>
      <c r="AH14" s="974">
        <f>+AG14*SUM('Res de Costos Pais'!$G$109:$G$110)</f>
        <v>3406378.6222568466</v>
      </c>
      <c r="AI14" s="974">
        <f>+(AG14+AH14)*'Res de Costos Pais'!$G$122</f>
        <v>801075.52168039943</v>
      </c>
      <c r="AJ14" s="974">
        <f>+(AG14+AH14+AI14)*'Res de Costos Pais'!$G$126</f>
        <v>1427338.562851876</v>
      </c>
      <c r="AK14" s="974">
        <f>+AG14+AH14+AI14+AJ14</f>
        <v>358261979.27582085</v>
      </c>
      <c r="AL14" s="741">
        <f>IF(ISERROR((+(AK14/H14)/'Parametros Generales'!$C$6)),0,(+(AK14/H14)/'Parametros Generales'!$C$6))</f>
        <v>42397.86736991963</v>
      </c>
      <c r="AM14" s="971">
        <f>+(AL14/'Parametros Generales'!$C$11)*'Parametros Generales'!$C$14</f>
        <v>7066.311228319938</v>
      </c>
      <c r="AN14" s="971">
        <f>+AM14*H14</f>
        <v>9186204.5968159195</v>
      </c>
      <c r="AO14" s="971">
        <f>+((((IF(H14=0,0,((V14+W14)/'Parametros Generales'!$C$6*'Parametros Generales'!$C$16*'Parametros Generales'!$C$15)/H14))*(1+'Res de Costos Pais'!$G$103))*(1+'Res de Costos Pais'!$G$109+'Res de Costos Pais'!$G$110)*(1+'Res de Costos Pais'!$G$122)*(1+'Res de Costos Pais'!$G$126)))</f>
        <v>3472.4864314643769</v>
      </c>
      <c r="AP14" s="971">
        <f>+AO14*H14</f>
        <v>4514232.3609036896</v>
      </c>
      <c r="AQ14" s="972">
        <f>+AK14+AN14+AP14</f>
        <v>371962416.23354048</v>
      </c>
    </row>
    <row r="15" spans="1:43" s="29" customFormat="1" outlineLevel="1">
      <c r="A15" s="712"/>
      <c r="B15" s="864">
        <v>18</v>
      </c>
      <c r="C15" s="195" t="s">
        <v>1537</v>
      </c>
      <c r="D15" s="196"/>
      <c r="E15" s="706"/>
      <c r="F15" s="877"/>
      <c r="G15" s="878"/>
      <c r="H15" s="696">
        <v>1300</v>
      </c>
      <c r="I15" s="872"/>
      <c r="J15" s="885"/>
      <c r="K15" s="886"/>
      <c r="L15" s="875"/>
      <c r="M15" s="704">
        <f>+H15/'Parametros Generales'!$C$8</f>
        <v>52</v>
      </c>
      <c r="N15" s="704"/>
      <c r="O15" s="704"/>
      <c r="P15" s="704"/>
      <c r="Q15" s="704"/>
      <c r="R15" s="704">
        <f>+(M15/'Parametros Generales'!$C$9)</f>
        <v>13</v>
      </c>
      <c r="S15" s="738"/>
      <c r="T15" s="738"/>
      <c r="U15" s="738"/>
      <c r="V15" s="756"/>
      <c r="W15" s="973"/>
      <c r="X15" s="876"/>
      <c r="Y15" s="974"/>
      <c r="Z15" s="975"/>
      <c r="AA15" s="975"/>
      <c r="AB15" s="976"/>
      <c r="AC15" s="976"/>
      <c r="AD15" s="975"/>
      <c r="AE15" s="975"/>
      <c r="AF15" s="975"/>
      <c r="AG15" s="975"/>
      <c r="AH15" s="975"/>
      <c r="AI15" s="975"/>
      <c r="AJ15" s="975"/>
      <c r="AK15" s="978"/>
      <c r="AL15" s="979"/>
      <c r="AM15" s="977"/>
      <c r="AN15" s="977"/>
      <c r="AO15" s="977"/>
      <c r="AP15" s="977"/>
      <c r="AQ15" s="977"/>
    </row>
    <row r="16" spans="1:43" s="199" customFormat="1">
      <c r="A16" s="713">
        <v>8</v>
      </c>
      <c r="B16" s="866">
        <v>19</v>
      </c>
      <c r="C16" s="197" t="s">
        <v>253</v>
      </c>
      <c r="D16" s="198"/>
      <c r="E16" s="707" t="s">
        <v>253</v>
      </c>
      <c r="F16" s="308">
        <f>+SUM(F17:F17)</f>
        <v>0</v>
      </c>
      <c r="G16" s="883"/>
      <c r="H16" s="308">
        <f>+SUM(H17:H17)</f>
        <v>100</v>
      </c>
      <c r="I16" s="872"/>
      <c r="J16" s="873"/>
      <c r="K16" s="874"/>
      <c r="L16" s="875"/>
      <c r="M16" s="699">
        <f>+SUM(M17:M17)</f>
        <v>4</v>
      </c>
      <c r="N16" s="699"/>
      <c r="O16" s="699"/>
      <c r="P16" s="699"/>
      <c r="Q16" s="699">
        <f>+R16/'Parametros Generales'!$C$10</f>
        <v>0.1</v>
      </c>
      <c r="R16" s="699">
        <f>+SUM(R17:R17)</f>
        <v>1</v>
      </c>
      <c r="S16" s="739"/>
      <c r="T16" s="739"/>
      <c r="U16" s="739"/>
      <c r="V16" s="970">
        <f>+VLOOKUP(V$1,'Componentes T.H.'!$B$4:$R$22,'Componentes T.H.'!$Q$1,0)*'Parametros Generales'!$C$6*'Cost x Depart'!Q16</f>
        <v>1337801.2648472334</v>
      </c>
      <c r="W16" s="876">
        <f>+R16*'Componentes T.H.'!$Q$9*'Parametros Generales'!$C$6</f>
        <v>6890405.968069002</v>
      </c>
      <c r="X16" s="755">
        <f>IF((VLOOKUP(C17,Transporte!$B$87:$F$120,4,0)*R16*'Parametros Generales'!$C$12)-(R16*'Componentes T.H.'!$E$9*'Parametros Generales'!$C$6)&lt;0,0,(VLOOKUP(C17,Transporte!$B$87:$F$120,4,0)*R16*'Parametros Generales'!$C$12)-(R16*'Componentes T.H.'!$E$9*'Parametros Generales'!$C$6))</f>
        <v>2786436.9359574877</v>
      </c>
      <c r="Y16" s="876">
        <f>VLOOKUP(C17,Transporte!$B$87:$F$120,4,0)*R16*'Parametros Generales'!$J$14*'Parametros Generales'!$C$6</f>
        <v>814608.60898937192</v>
      </c>
      <c r="Z16" s="974">
        <f>+(N16+O16+Q16)*'Parametros Generales'!$C$6*'Parametros Generales'!$J$7</f>
        <v>26327.600000000002</v>
      </c>
      <c r="AA16" s="974">
        <f>+SUM(N16:R16)*'Parametros Generales'!$C$6*'Parametros Generales'!$J$8</f>
        <v>264378.40000000002</v>
      </c>
      <c r="AB16" s="970">
        <f>+M16*'Parametros Generales'!$C$6*'Parametros Generales'!$J$9</f>
        <v>3477162</v>
      </c>
      <c r="AC16" s="970">
        <f>+H16*'Parametros Generales'!$J$10*'Parametros Generales'!$C$6*'Parametros Generales'!$C$11</f>
        <v>9867424.9247753881</v>
      </c>
      <c r="AD16" s="974">
        <f>+'Parametros Generales'!$J$11*SUM(N16:R16)</f>
        <v>56513.600000000006</v>
      </c>
      <c r="AE16" s="978">
        <f>+SUM(S16:AD16)</f>
        <v>25521059.302638486</v>
      </c>
      <c r="AF16" s="974">
        <f>+AE16*(SUM('Res de Costos Pais'!G103:G103))</f>
        <v>2041684.7442110789</v>
      </c>
      <c r="AG16" s="974">
        <f>+AE16+AF16</f>
        <v>27562744.046849564</v>
      </c>
      <c r="AH16" s="974">
        <f>+AG16*SUM('Res de Costos Pais'!$G$109:$G$110)</f>
        <v>266256.10749256681</v>
      </c>
      <c r="AI16" s="974">
        <f>+(AG16+AH16)*'Res de Costos Pais'!$G$122</f>
        <v>62615.250347269801</v>
      </c>
      <c r="AJ16" s="974">
        <f>+(AG16+AH16+AI16)*'Res de Costos Pais'!$G$126</f>
        <v>111566.4616187576</v>
      </c>
      <c r="AK16" s="974">
        <f>+AG16+AH16+AI16+AJ16</f>
        <v>28003181.86630816</v>
      </c>
      <c r="AL16" s="741">
        <f>IF(ISERROR((+(AK16/H16)/'Parametros Generales'!$C$6)),0,(+(AK16/H16)/'Parametros Generales'!$C$6))</f>
        <v>43081.818255858714</v>
      </c>
      <c r="AM16" s="971">
        <f>+(AL16/'Parametros Generales'!$C$11)*'Parametros Generales'!$C$14</f>
        <v>7180.3030426431187</v>
      </c>
      <c r="AN16" s="971">
        <f>+AM16*H16</f>
        <v>718030.30426431191</v>
      </c>
      <c r="AO16" s="971">
        <f>+((((IF(H16=0,0,((V16+W16)/'Parametros Generales'!$C$6*'Parametros Generales'!$C$16*'Parametros Generales'!$C$15)/H16))*(1+'Res de Costos Pais'!$G$103))*(1+'Res de Costos Pais'!$G$109+'Res de Costos Pais'!$G$110)*(1+'Res de Costos Pais'!$G$122)*(1+'Res de Costos Pais'!$G$126)))</f>
        <v>3472.4864314643764</v>
      </c>
      <c r="AP16" s="971">
        <f>+AO16*H16</f>
        <v>347248.64314643765</v>
      </c>
      <c r="AQ16" s="972">
        <f>+AK16+AN16+AP16</f>
        <v>29068460.813718908</v>
      </c>
    </row>
    <row r="17" spans="1:43" s="29" customFormat="1" outlineLevel="1">
      <c r="A17" s="712"/>
      <c r="B17" s="864">
        <v>19</v>
      </c>
      <c r="C17" s="195" t="s">
        <v>253</v>
      </c>
      <c r="D17" s="196"/>
      <c r="E17" s="706"/>
      <c r="F17" s="877"/>
      <c r="G17" s="878"/>
      <c r="H17" s="696">
        <v>100</v>
      </c>
      <c r="I17" s="872"/>
      <c r="J17" s="879"/>
      <c r="K17" s="880"/>
      <c r="L17" s="875"/>
      <c r="M17" s="704">
        <f>+H17/'Parametros Generales'!$C$8</f>
        <v>4</v>
      </c>
      <c r="N17" s="704"/>
      <c r="O17" s="704"/>
      <c r="P17" s="704"/>
      <c r="Q17" s="704"/>
      <c r="R17" s="704">
        <f>+(M17/'Parametros Generales'!$C$9)</f>
        <v>1</v>
      </c>
      <c r="S17" s="738"/>
      <c r="T17" s="738"/>
      <c r="U17" s="738"/>
      <c r="V17" s="756"/>
      <c r="W17" s="973"/>
      <c r="X17" s="876"/>
      <c r="Y17" s="974"/>
      <c r="Z17" s="975"/>
      <c r="AA17" s="975"/>
      <c r="AB17" s="976"/>
      <c r="AC17" s="976"/>
      <c r="AD17" s="975"/>
      <c r="AE17" s="975"/>
      <c r="AF17" s="975"/>
      <c r="AG17" s="975"/>
      <c r="AH17" s="975"/>
      <c r="AI17" s="975"/>
      <c r="AJ17" s="975"/>
      <c r="AK17" s="978"/>
      <c r="AL17" s="979"/>
      <c r="AM17" s="977"/>
      <c r="AN17" s="977"/>
      <c r="AO17" s="977"/>
      <c r="AP17" s="977"/>
      <c r="AQ17" s="977"/>
    </row>
    <row r="18" spans="1:43" s="199" customFormat="1">
      <c r="A18" s="713">
        <v>9</v>
      </c>
      <c r="B18" s="866">
        <v>20</v>
      </c>
      <c r="C18" s="197" t="s">
        <v>287</v>
      </c>
      <c r="D18" s="198"/>
      <c r="E18" s="707" t="s">
        <v>287</v>
      </c>
      <c r="F18" s="308">
        <f>+SUM(F19:F19)</f>
        <v>0</v>
      </c>
      <c r="G18" s="883"/>
      <c r="H18" s="308">
        <f>+SUM(H19:H19)</f>
        <v>500</v>
      </c>
      <c r="I18" s="872"/>
      <c r="J18" s="873"/>
      <c r="K18" s="874"/>
      <c r="L18" s="875"/>
      <c r="M18" s="699">
        <f>+SUM(M19:M19)</f>
        <v>20</v>
      </c>
      <c r="N18" s="699"/>
      <c r="O18" s="699"/>
      <c r="P18" s="699"/>
      <c r="Q18" s="699">
        <f>+R18/'Parametros Generales'!$C$10</f>
        <v>0.5</v>
      </c>
      <c r="R18" s="699">
        <f>+SUM(R19:R19)</f>
        <v>5</v>
      </c>
      <c r="S18" s="739"/>
      <c r="T18" s="739"/>
      <c r="U18" s="739"/>
      <c r="V18" s="970">
        <f>+VLOOKUP(V$1,'Componentes T.H.'!$B$4:$R$22,'Componentes T.H.'!$Q$1,0)*'Parametros Generales'!$C$6*'Cost x Depart'!Q18</f>
        <v>6689006.3242361667</v>
      </c>
      <c r="W18" s="876">
        <f>+R18*'Componentes T.H.'!$Q$9*'Parametros Generales'!$C$6</f>
        <v>34452029.84034501</v>
      </c>
      <c r="X18" s="755">
        <f>IF((VLOOKUP(C19,Transporte!$B$87:$F$120,4,0)*R18*'Parametros Generales'!$C$12)-(R18*'Componentes T.H.'!$E$9*'Parametros Generales'!$C$6)&lt;0,0,(VLOOKUP(C19,Transporte!$B$87:$F$120,4,0)*R18*'Parametros Generales'!$C$12)-(R18*'Componentes T.H.'!$E$9*'Parametros Generales'!$C$6))</f>
        <v>7872159.9666869026</v>
      </c>
      <c r="Y18" s="876">
        <f>VLOOKUP(C19,Transporte!$B$87:$F$120,4,0)*R18*'Parametros Generales'!$J$14*'Parametros Generales'!$C$6</f>
        <v>2558036.8666717256</v>
      </c>
      <c r="Z18" s="974">
        <f>+(N18+O18+Q18)*'Parametros Generales'!$C$6*'Parametros Generales'!$J$7</f>
        <v>131638</v>
      </c>
      <c r="AA18" s="974">
        <f>+SUM(N18:R18)*'Parametros Generales'!$C$6*'Parametros Generales'!$J$8</f>
        <v>1321892</v>
      </c>
      <c r="AB18" s="970">
        <f>+M18*'Parametros Generales'!$C$6*'Parametros Generales'!$J$9</f>
        <v>17385810</v>
      </c>
      <c r="AC18" s="970">
        <f>+H18*'Parametros Generales'!$J$10*'Parametros Generales'!$C$6*'Parametros Generales'!$C$11</f>
        <v>49337124.623876944</v>
      </c>
      <c r="AD18" s="974">
        <f>+'Parametros Generales'!$J$11*SUM(N18:R18)</f>
        <v>282568</v>
      </c>
      <c r="AE18" s="978">
        <f>+SUM(S18:AD18)</f>
        <v>120030265.62181675</v>
      </c>
      <c r="AF18" s="974">
        <f>+AE18*(SUM('Res de Costos Pais'!G103:G103))</f>
        <v>9602421.249745341</v>
      </c>
      <c r="AG18" s="974">
        <f>+AE18+AF18</f>
        <v>129632686.87156209</v>
      </c>
      <c r="AH18" s="974">
        <f>+AG18*SUM('Res de Costos Pais'!$G$109:$G$110)</f>
        <v>1252251.75517929</v>
      </c>
      <c r="AI18" s="974">
        <f>+(AG18+AH18)*'Res de Costos Pais'!$G$122</f>
        <v>294491.11191016814</v>
      </c>
      <c r="AJ18" s="974">
        <f>+(AG18+AH18+AI18)*'Res de Costos Pais'!$G$126</f>
        <v>524717.71895460621</v>
      </c>
      <c r="AK18" s="974">
        <f>+AG18+AH18+AI18+AJ18</f>
        <v>131704147.45760615</v>
      </c>
      <c r="AL18" s="741">
        <f>IF(ISERROR((+(AK18/H18)/'Parametros Generales'!$C$6)),0,(+(AK18/H18)/'Parametros Generales'!$C$6))</f>
        <v>40524.353063878822</v>
      </c>
      <c r="AM18" s="971">
        <f>+(AL18/'Parametros Generales'!$C$11)*'Parametros Generales'!$C$14</f>
        <v>6754.0588439798039</v>
      </c>
      <c r="AN18" s="971">
        <f>+AM18*H18</f>
        <v>3377029.4219899019</v>
      </c>
      <c r="AO18" s="971">
        <f>+((((IF(H18=0,0,((V18+W18)/'Parametros Generales'!$C$6*'Parametros Generales'!$C$16*'Parametros Generales'!$C$15)/H18))*(1+'Res de Costos Pais'!$G$103))*(1+'Res de Costos Pais'!$G$109+'Res de Costos Pais'!$G$110)*(1+'Res de Costos Pais'!$G$122)*(1+'Res de Costos Pais'!$G$126)))</f>
        <v>3472.4864314643769</v>
      </c>
      <c r="AP18" s="971">
        <f>+AO18*H18</f>
        <v>1736243.2157321884</v>
      </c>
      <c r="AQ18" s="972">
        <f>+AK18+AN18+AP18</f>
        <v>136817420.09532824</v>
      </c>
    </row>
    <row r="19" spans="1:43" s="29" customFormat="1" outlineLevel="1">
      <c r="A19" s="712"/>
      <c r="B19" s="864">
        <v>20</v>
      </c>
      <c r="C19" s="195" t="s">
        <v>287</v>
      </c>
      <c r="D19" s="196"/>
      <c r="E19" s="706"/>
      <c r="F19" s="877"/>
      <c r="G19" s="878"/>
      <c r="H19" s="696">
        <v>500</v>
      </c>
      <c r="I19" s="884"/>
      <c r="J19" s="879"/>
      <c r="K19" s="880"/>
      <c r="L19" s="875"/>
      <c r="M19" s="704">
        <f>+H19/'Parametros Generales'!$C$8</f>
        <v>20</v>
      </c>
      <c r="N19" s="704"/>
      <c r="O19" s="704"/>
      <c r="P19" s="704"/>
      <c r="Q19" s="704"/>
      <c r="R19" s="704">
        <f>+(M19/'Parametros Generales'!$C$9)</f>
        <v>5</v>
      </c>
      <c r="S19" s="738"/>
      <c r="T19" s="738"/>
      <c r="U19" s="738"/>
      <c r="V19" s="756"/>
      <c r="W19" s="973"/>
      <c r="X19" s="876"/>
      <c r="Y19" s="974"/>
      <c r="Z19" s="975"/>
      <c r="AA19" s="975"/>
      <c r="AB19" s="976"/>
      <c r="AC19" s="976"/>
      <c r="AD19" s="975"/>
      <c r="AE19" s="975"/>
      <c r="AF19" s="975"/>
      <c r="AG19" s="975"/>
      <c r="AH19" s="975"/>
      <c r="AI19" s="975"/>
      <c r="AJ19" s="975"/>
      <c r="AK19" s="978"/>
      <c r="AL19" s="979"/>
      <c r="AM19" s="977"/>
      <c r="AN19" s="977"/>
      <c r="AO19" s="977"/>
      <c r="AP19" s="977"/>
      <c r="AQ19" s="977"/>
    </row>
    <row r="20" spans="1:43" s="199" customFormat="1">
      <c r="A20" s="713">
        <v>10</v>
      </c>
      <c r="B20" s="866">
        <v>23</v>
      </c>
      <c r="C20" s="197" t="s">
        <v>1532</v>
      </c>
      <c r="D20" s="198"/>
      <c r="E20" s="707" t="s">
        <v>1532</v>
      </c>
      <c r="F20" s="308">
        <f>+SUM(F21:F21)</f>
        <v>0</v>
      </c>
      <c r="G20" s="883"/>
      <c r="H20" s="308">
        <f>+SUM(H21:H21)</f>
        <v>900</v>
      </c>
      <c r="I20" s="884"/>
      <c r="J20" s="873"/>
      <c r="K20" s="874"/>
      <c r="L20" s="875"/>
      <c r="M20" s="699">
        <f>+SUM(M21:M21)</f>
        <v>36</v>
      </c>
      <c r="N20" s="699"/>
      <c r="O20" s="699"/>
      <c r="P20" s="699"/>
      <c r="Q20" s="699">
        <f>+R20/'Parametros Generales'!$C$10</f>
        <v>0.9</v>
      </c>
      <c r="R20" s="699">
        <f>+SUM(R21:R21)</f>
        <v>9</v>
      </c>
      <c r="S20" s="739"/>
      <c r="T20" s="739"/>
      <c r="U20" s="739"/>
      <c r="V20" s="970">
        <f>+VLOOKUP(V$1,'Componentes T.H.'!$B$4:$R$22,'Componentes T.H.'!$Q$1,0)*'Parametros Generales'!$C$6*'Cost x Depart'!Q20</f>
        <v>12040211.383625099</v>
      </c>
      <c r="W20" s="876">
        <f>+R20*'Componentes T.H.'!$Q$9*'Parametros Generales'!$C$6</f>
        <v>62013653.712621018</v>
      </c>
      <c r="X20" s="755">
        <f>IF((VLOOKUP(C21,Transporte!$B$87:$F$120,4,0)*R20*'Parametros Generales'!$C$12)-(R20*'Componentes T.H.'!$E$9*'Parametros Generales'!$C$6)&lt;0,0,(VLOOKUP(C21,Transporte!$B$87:$F$120,4,0)*R20*'Parametros Generales'!$C$12)-(R20*'Componentes T.H.'!$E$9*'Parametros Generales'!$C$6))</f>
        <v>4546361.3832663819</v>
      </c>
      <c r="Y20" s="876">
        <f>VLOOKUP(C21,Transporte!$B$87:$F$120,4,0)*R20*'Parametros Generales'!$J$14*'Parametros Generales'!$C$6</f>
        <v>2198584.7208165955</v>
      </c>
      <c r="Z20" s="974">
        <f>+(N20+O20+Q20)*'Parametros Generales'!$C$6*'Parametros Generales'!$J$7</f>
        <v>236948.40000000002</v>
      </c>
      <c r="AA20" s="974">
        <f>+SUM(N20:R20)*'Parametros Generales'!$C$6*'Parametros Generales'!$J$8</f>
        <v>2379405.6</v>
      </c>
      <c r="AB20" s="970">
        <f>+M20*'Parametros Generales'!$C$6*'Parametros Generales'!$J$9</f>
        <v>31294458</v>
      </c>
      <c r="AC20" s="970">
        <f>+H20*'Parametros Generales'!$J$10*'Parametros Generales'!$C$6*'Parametros Generales'!$C$11</f>
        <v>88806824.322978497</v>
      </c>
      <c r="AD20" s="974">
        <f>+'Parametros Generales'!$J$11*SUM(N20:R20)</f>
        <v>508622.4</v>
      </c>
      <c r="AE20" s="978">
        <f>+SUM(S20:AD20)</f>
        <v>204025069.92330763</v>
      </c>
      <c r="AF20" s="974">
        <f>+AE20*(SUM('Res de Costos Pais'!G103:G103))</f>
        <v>16322005.59386461</v>
      </c>
      <c r="AG20" s="974">
        <f>+AE20+AF20</f>
        <v>220347075.51717225</v>
      </c>
      <c r="AH20" s="974">
        <f>+AG20*SUM('Res de Costos Pais'!$G$109:$G$110)</f>
        <v>2128552.7494958839</v>
      </c>
      <c r="AI20" s="974">
        <f>+(AG20+AH20)*'Res de Costos Pais'!$G$122</f>
        <v>500570.16360000335</v>
      </c>
      <c r="AJ20" s="974">
        <f>+(AG20+AH20+AI20)*'Res de Costos Pais'!$G$126</f>
        <v>891904.79372107261</v>
      </c>
      <c r="AK20" s="974">
        <f>+AG20+AH20+AI20+AJ20</f>
        <v>223868103.22398922</v>
      </c>
      <c r="AL20" s="741">
        <f>IF(ISERROR((+(AK20/H20)/'Parametros Generales'!$C$6)),0,(+(AK20/H20)/'Parametros Generales'!$C$6))</f>
        <v>38268.051833160549</v>
      </c>
      <c r="AM20" s="971">
        <f>+(AL20/'Parametros Generales'!$C$11)*'Parametros Generales'!$C$14</f>
        <v>6378.0086388600912</v>
      </c>
      <c r="AN20" s="971">
        <f>+AM20*H20</f>
        <v>5740207.7749740817</v>
      </c>
      <c r="AO20" s="971">
        <f>+((((IF(H20=0,0,((V20+W20)/'Parametros Generales'!$C$6*'Parametros Generales'!$C$16*'Parametros Generales'!$C$15)/H20))*(1+'Res de Costos Pais'!$G$103))*(1+'Res de Costos Pais'!$G$109+'Res de Costos Pais'!$G$110)*(1+'Res de Costos Pais'!$G$122)*(1+'Res de Costos Pais'!$G$126)))</f>
        <v>3472.4864314643769</v>
      </c>
      <c r="AP20" s="971">
        <f>+AO20*H20</f>
        <v>3125237.7883179393</v>
      </c>
      <c r="AQ20" s="972">
        <f>+AK20+AN20+AP20</f>
        <v>232733548.78728124</v>
      </c>
    </row>
    <row r="21" spans="1:43" s="29" customFormat="1" outlineLevel="1">
      <c r="A21" s="712"/>
      <c r="B21" s="864">
        <v>23</v>
      </c>
      <c r="C21" s="195" t="s">
        <v>1532</v>
      </c>
      <c r="D21" s="196"/>
      <c r="E21" s="706"/>
      <c r="F21" s="877"/>
      <c r="G21" s="878"/>
      <c r="H21" s="696">
        <v>900</v>
      </c>
      <c r="I21" s="872"/>
      <c r="J21" s="879"/>
      <c r="K21" s="880"/>
      <c r="L21" s="875"/>
      <c r="M21" s="704">
        <f>+H21/'Parametros Generales'!$C$8</f>
        <v>36</v>
      </c>
      <c r="N21" s="704"/>
      <c r="O21" s="704"/>
      <c r="P21" s="704"/>
      <c r="Q21" s="704"/>
      <c r="R21" s="704">
        <f>+(M21/'Parametros Generales'!$C$9)</f>
        <v>9</v>
      </c>
      <c r="S21" s="738"/>
      <c r="T21" s="738"/>
      <c r="U21" s="738"/>
      <c r="V21" s="756"/>
      <c r="W21" s="973"/>
      <c r="X21" s="876"/>
      <c r="Y21" s="974"/>
      <c r="Z21" s="975"/>
      <c r="AA21" s="975"/>
      <c r="AB21" s="976"/>
      <c r="AC21" s="976"/>
      <c r="AD21" s="975"/>
      <c r="AE21" s="975"/>
      <c r="AF21" s="975"/>
      <c r="AG21" s="975"/>
      <c r="AH21" s="975"/>
      <c r="AI21" s="975"/>
      <c r="AJ21" s="975"/>
      <c r="AK21" s="978"/>
      <c r="AL21" s="979"/>
      <c r="AM21" s="977"/>
      <c r="AN21" s="977"/>
      <c r="AO21" s="977"/>
      <c r="AP21" s="977"/>
      <c r="AQ21" s="977"/>
    </row>
    <row r="22" spans="1:43" s="199" customFormat="1" hidden="1">
      <c r="A22" s="713">
        <v>11</v>
      </c>
      <c r="B22" s="866">
        <v>25</v>
      </c>
      <c r="C22" s="197" t="s">
        <v>341</v>
      </c>
      <c r="D22" s="198"/>
      <c r="E22" s="707" t="s">
        <v>341</v>
      </c>
      <c r="F22" s="308">
        <f>+SUM(F23:F23)</f>
        <v>0</v>
      </c>
      <c r="G22" s="883"/>
      <c r="H22" s="308">
        <f>+SUM(H23:H23)</f>
        <v>0</v>
      </c>
      <c r="I22" s="872"/>
      <c r="J22" s="873"/>
      <c r="K22" s="874"/>
      <c r="L22" s="875"/>
      <c r="M22" s="699">
        <f>+SUM(M23:M23)</f>
        <v>0</v>
      </c>
      <c r="N22" s="699"/>
      <c r="O22" s="699"/>
      <c r="P22" s="699"/>
      <c r="Q22" s="699">
        <f>+R22/'Parametros Generales'!$C$10</f>
        <v>0</v>
      </c>
      <c r="R22" s="699">
        <f>+SUM(R23:R23)</f>
        <v>0</v>
      </c>
      <c r="S22" s="739"/>
      <c r="T22" s="739"/>
      <c r="U22" s="739"/>
      <c r="V22" s="970">
        <f>+VLOOKUP(V$1,'Componentes T.H.'!$B$4:$R$22,'Componentes T.H.'!$Q$1,0)*'Parametros Generales'!$C$6*'Cost x Depart'!Q22</f>
        <v>0</v>
      </c>
      <c r="W22" s="876">
        <f>+R22*'Componentes T.H.'!$Q$9*'Parametros Generales'!$C$6</f>
        <v>0</v>
      </c>
      <c r="X22" s="755">
        <f>IF((VLOOKUP(C23,Transporte!$B$87:$F$120,4,0)*R22*'Parametros Generales'!$C$12)-(R22*'Componentes T.H.'!$E$9*'Parametros Generales'!$C$6)&lt;0,0,(VLOOKUP(C23,Transporte!$B$87:$F$120,4,0)*R22*'Parametros Generales'!$C$12)-(R22*'Componentes T.H.'!$E$9*'Parametros Generales'!$C$6))</f>
        <v>0</v>
      </c>
      <c r="Y22" s="876">
        <f>VLOOKUP(C23,Transporte!$B$87:$F$120,4,0)*R22*'Parametros Generales'!$J$14*'Parametros Generales'!$C$6</f>
        <v>0</v>
      </c>
      <c r="Z22" s="974">
        <f>+(N22+O22+Q22)*'Parametros Generales'!$C$6*'Parametros Generales'!$J$7</f>
        <v>0</v>
      </c>
      <c r="AA22" s="974">
        <f>+SUM(N22:R22)*'Parametros Generales'!$C$6*'Parametros Generales'!$J$8</f>
        <v>0</v>
      </c>
      <c r="AB22" s="970">
        <f>+M22*'Parametros Generales'!$C$6*'Parametros Generales'!$J$9</f>
        <v>0</v>
      </c>
      <c r="AC22" s="970">
        <f>+H22*'Parametros Generales'!$J$10*'Parametros Generales'!$C$6*'Parametros Generales'!$C$11</f>
        <v>0</v>
      </c>
      <c r="AD22" s="974">
        <f>+'Parametros Generales'!$J$11*SUM(N22:R22)</f>
        <v>0</v>
      </c>
      <c r="AE22" s="978">
        <f>+SUM(S22:AD22)</f>
        <v>0</v>
      </c>
      <c r="AF22" s="974">
        <f>+AE22*(SUM('Res de Costos Pais'!G103:G103))</f>
        <v>0</v>
      </c>
      <c r="AG22" s="974">
        <f>+AE22+AF22</f>
        <v>0</v>
      </c>
      <c r="AH22" s="974">
        <f>+AG22*SUM('Res de Costos Pais'!$G$109:$G$110)</f>
        <v>0</v>
      </c>
      <c r="AI22" s="974">
        <f>+(AG22+AH22)*'Res de Costos Pais'!$G$122</f>
        <v>0</v>
      </c>
      <c r="AJ22" s="974">
        <f>+(AG22+AH22+AI22)*'Res de Costos Pais'!$G$126</f>
        <v>0</v>
      </c>
      <c r="AK22" s="974">
        <f>+AG22+AH22+AI22+AJ22</f>
        <v>0</v>
      </c>
      <c r="AL22" s="741">
        <f>IF(ISERROR((+(AK22/H22)/'Parametros Generales'!$C$6)),0,(+(AK22/H22)/'Parametros Generales'!$C$6))</f>
        <v>0</v>
      </c>
      <c r="AM22" s="971">
        <f>+(AL22/'Parametros Generales'!$C$11)*'Parametros Generales'!$C$14</f>
        <v>0</v>
      </c>
      <c r="AN22" s="971">
        <f>+AM22*H22</f>
        <v>0</v>
      </c>
      <c r="AO22" s="971">
        <f>+((((IF(H22=0,0,((V22+W22)/'Parametros Generales'!$C$6*'Parametros Generales'!$C$16*'Parametros Generales'!$C$15)/H22))*(1+'Res de Costos Pais'!$G$103))*(1+'Res de Costos Pais'!$G$109+'Res de Costos Pais'!$G$110)*(1+'Res de Costos Pais'!$G$122)*(1+'Res de Costos Pais'!$G$126)))*1.001</f>
        <v>0</v>
      </c>
      <c r="AP22" s="971">
        <f>+AO22*H22</f>
        <v>0</v>
      </c>
      <c r="AQ22" s="972">
        <f>+AK22+AN22+AP22</f>
        <v>0</v>
      </c>
    </row>
    <row r="23" spans="1:43" s="29" customFormat="1" hidden="1" outlineLevel="1">
      <c r="A23" s="712"/>
      <c r="B23" s="864">
        <v>25</v>
      </c>
      <c r="C23" s="195" t="s">
        <v>341</v>
      </c>
      <c r="D23" s="196"/>
      <c r="E23" s="706"/>
      <c r="F23" s="877"/>
      <c r="G23" s="878"/>
      <c r="H23" s="696">
        <v>0</v>
      </c>
      <c r="I23" s="872"/>
      <c r="J23" s="879"/>
      <c r="K23" s="880"/>
      <c r="L23" s="875"/>
      <c r="M23" s="704">
        <f>+H23/'Parametros Generales'!$C$8</f>
        <v>0</v>
      </c>
      <c r="N23" s="704"/>
      <c r="O23" s="704"/>
      <c r="P23" s="704"/>
      <c r="Q23" s="704"/>
      <c r="R23" s="704">
        <f>+(M23/'Parametros Generales'!$C$9)</f>
        <v>0</v>
      </c>
      <c r="S23" s="738"/>
      <c r="T23" s="738"/>
      <c r="U23" s="738"/>
      <c r="V23" s="756"/>
      <c r="W23" s="973"/>
      <c r="X23" s="876"/>
      <c r="Y23" s="974"/>
      <c r="Z23" s="975"/>
      <c r="AA23" s="975"/>
      <c r="AB23" s="976"/>
      <c r="AC23" s="976"/>
      <c r="AD23" s="975"/>
      <c r="AE23" s="975"/>
      <c r="AF23" s="975"/>
      <c r="AG23" s="975"/>
      <c r="AH23" s="975"/>
      <c r="AI23" s="975"/>
      <c r="AJ23" s="975"/>
      <c r="AK23" s="978"/>
      <c r="AL23" s="979"/>
      <c r="AM23" s="977"/>
      <c r="AN23" s="977"/>
      <c r="AO23" s="977"/>
      <c r="AP23" s="977"/>
      <c r="AQ23" s="977"/>
    </row>
    <row r="24" spans="1:43" s="199" customFormat="1">
      <c r="A24" s="713">
        <v>12</v>
      </c>
      <c r="B24" s="866">
        <v>27</v>
      </c>
      <c r="C24" s="197" t="s">
        <v>1533</v>
      </c>
      <c r="D24" s="198"/>
      <c r="E24" s="707" t="s">
        <v>1533</v>
      </c>
      <c r="F24" s="308">
        <f>+SUM(F25:F25)</f>
        <v>0</v>
      </c>
      <c r="G24" s="883"/>
      <c r="H24" s="308">
        <f>+SUM(H25:H25)</f>
        <v>650</v>
      </c>
      <c r="I24" s="872"/>
      <c r="J24" s="873"/>
      <c r="K24" s="874"/>
      <c r="L24" s="875"/>
      <c r="M24" s="699">
        <f>+SUM(M25:M25)</f>
        <v>26</v>
      </c>
      <c r="N24" s="699"/>
      <c r="O24" s="699"/>
      <c r="P24" s="699"/>
      <c r="Q24" s="699">
        <f>+R24/'Parametros Generales'!$C$10</f>
        <v>0.65</v>
      </c>
      <c r="R24" s="699">
        <f>+SUM(R25:R25)</f>
        <v>6.5</v>
      </c>
      <c r="S24" s="739"/>
      <c r="T24" s="739"/>
      <c r="U24" s="739"/>
      <c r="V24" s="970">
        <f>+VLOOKUP(V$1,'Componentes T.H.'!$B$4:$R$22,'Componentes T.H.'!$Q$1,0)*'Parametros Generales'!$C$6*'Cost x Depart'!Q24</f>
        <v>8695708.2215070166</v>
      </c>
      <c r="W24" s="876">
        <f>+R24*'Componentes T.H.'!$Q$9*'Parametros Generales'!$C$6</f>
        <v>44787638.792448513</v>
      </c>
      <c r="X24" s="755">
        <f>IF((VLOOKUP(C25,Transporte!$B$87:$F$120,4,0)*R24*'Parametros Generales'!$C$12)-(R24*'Componentes T.H.'!$E$9*'Parametros Generales'!$C$6)&lt;0,0,(VLOOKUP(C25,Transporte!$B$87:$F$120,4,0)*R24*'Parametros Generales'!$C$12)-(R24*'Componentes T.H.'!$E$9*'Parametros Generales'!$C$6))</f>
        <v>109242950.06194586</v>
      </c>
      <c r="Y24" s="876">
        <f>VLOOKUP(C25,Transporte!$B$87:$F$120,4,0)*R24*'Parametros Generales'!$J$14*'Parametros Generales'!$C$6</f>
        <v>28077733.452986464</v>
      </c>
      <c r="Z24" s="974">
        <f>+(N24+O24+Q24)*'Parametros Generales'!$C$6*'Parametros Generales'!$J$7</f>
        <v>171129.40000000002</v>
      </c>
      <c r="AA24" s="974">
        <f>+SUM(N24:R24)*'Parametros Generales'!$C$6*'Parametros Generales'!$J$8</f>
        <v>1718459.6</v>
      </c>
      <c r="AB24" s="970">
        <f>+M24*'Parametros Generales'!$C$6*'Parametros Generales'!$J$9</f>
        <v>22601553</v>
      </c>
      <c r="AC24" s="970">
        <f>+H24*'Parametros Generales'!$J$10*'Parametros Generales'!$C$6*'Parametros Generales'!$C$11</f>
        <v>64138262.011040017</v>
      </c>
      <c r="AD24" s="974">
        <f>+'Parametros Generales'!$J$11*SUM(N24:R24)</f>
        <v>367338.4</v>
      </c>
      <c r="AE24" s="978">
        <f>+SUM(S24:AD24)</f>
        <v>279800772.93992788</v>
      </c>
      <c r="AF24" s="974">
        <f>+AE24*(SUM('Res de Costos Pais'!G103:G103))</f>
        <v>22384061.83519423</v>
      </c>
      <c r="AG24" s="974">
        <f>+AE24+AF24</f>
        <v>302184834.77512211</v>
      </c>
      <c r="AH24" s="974">
        <f>+AG24*SUM('Res de Costos Pais'!$G$109:$G$110)</f>
        <v>2919105.5039276797</v>
      </c>
      <c r="AI24" s="974">
        <f>+(AG24+AH24)*'Res de Costos Pais'!$G$122</f>
        <v>686483.86562786216</v>
      </c>
      <c r="AJ24" s="974">
        <f>+(AG24+AH24+AI24)*'Res de Costos Pais'!$G$126</f>
        <v>1223161.6965787108</v>
      </c>
      <c r="AK24" s="974">
        <f>+AG24+AH24+AI24+AJ24</f>
        <v>307013585.84125638</v>
      </c>
      <c r="AL24" s="741">
        <f>IF(ISERROR((+(AK24/H24)/'Parametros Generales'!$C$6)),0,(+(AK24/H24)/'Parametros Generales'!$C$6))</f>
        <v>72665.937477220446</v>
      </c>
      <c r="AM24" s="971">
        <f>+(AL24/'Parametros Generales'!$C$11)*'Parametros Generales'!$C$14</f>
        <v>12110.989579536741</v>
      </c>
      <c r="AN24" s="971">
        <f>+AM24*H24</f>
        <v>7872143.2266988819</v>
      </c>
      <c r="AO24" s="971">
        <f>+((((IF(H24=0,0,((V24+W24)/'Parametros Generales'!$C$6*'Parametros Generales'!$C$16*'Parametros Generales'!$C$15)/H24))*(1+'Res de Costos Pais'!$G$103))*(1+'Res de Costos Pais'!$G$109+'Res de Costos Pais'!$G$110)*(1+'Res de Costos Pais'!$G$122)*(1+'Res de Costos Pais'!$G$126)))</f>
        <v>3472.4864314643769</v>
      </c>
      <c r="AP24" s="971">
        <f>+AO24*H24</f>
        <v>2257116.1804518448</v>
      </c>
      <c r="AQ24" s="972">
        <f>+AK24+AN24+AP24</f>
        <v>317142845.24840713</v>
      </c>
    </row>
    <row r="25" spans="1:43" s="29" customFormat="1" outlineLevel="1">
      <c r="A25" s="712"/>
      <c r="B25" s="864">
        <v>27</v>
      </c>
      <c r="C25" s="195" t="s">
        <v>1533</v>
      </c>
      <c r="D25" s="196"/>
      <c r="E25" s="706"/>
      <c r="F25" s="877"/>
      <c r="G25" s="878"/>
      <c r="H25" s="696">
        <v>650</v>
      </c>
      <c r="I25" s="872"/>
      <c r="J25" s="879"/>
      <c r="K25" s="880"/>
      <c r="L25" s="875"/>
      <c r="M25" s="704">
        <f>+H25/'Parametros Generales'!$C$8</f>
        <v>26</v>
      </c>
      <c r="N25" s="704"/>
      <c r="O25" s="704"/>
      <c r="P25" s="704"/>
      <c r="Q25" s="704"/>
      <c r="R25" s="704">
        <f>+(M25/'Parametros Generales'!$C$9)</f>
        <v>6.5</v>
      </c>
      <c r="S25" s="738"/>
      <c r="T25" s="738"/>
      <c r="U25" s="738"/>
      <c r="V25" s="756"/>
      <c r="W25" s="973"/>
      <c r="X25" s="876"/>
      <c r="Y25" s="974"/>
      <c r="Z25" s="975"/>
      <c r="AA25" s="975"/>
      <c r="AB25" s="976"/>
      <c r="AC25" s="976"/>
      <c r="AD25" s="975"/>
      <c r="AE25" s="975"/>
      <c r="AF25" s="975"/>
      <c r="AG25" s="975"/>
      <c r="AH25" s="975"/>
      <c r="AI25" s="975"/>
      <c r="AJ25" s="975"/>
      <c r="AK25" s="978"/>
      <c r="AL25" s="979"/>
      <c r="AM25" s="977"/>
      <c r="AN25" s="977"/>
      <c r="AO25" s="977"/>
      <c r="AP25" s="977"/>
      <c r="AQ25" s="977"/>
    </row>
    <row r="26" spans="1:43" s="199" customFormat="1">
      <c r="A26" s="713">
        <v>13</v>
      </c>
      <c r="B26" s="866">
        <v>41</v>
      </c>
      <c r="C26" s="197" t="s">
        <v>399</v>
      </c>
      <c r="D26" s="198"/>
      <c r="E26" s="707" t="s">
        <v>399</v>
      </c>
      <c r="F26" s="308">
        <f>+SUM(F27:F27)</f>
        <v>0</v>
      </c>
      <c r="G26" s="883"/>
      <c r="H26" s="308">
        <f>+SUM(H27:H27)</f>
        <v>600</v>
      </c>
      <c r="I26" s="872"/>
      <c r="J26" s="873"/>
      <c r="K26" s="874"/>
      <c r="L26" s="875"/>
      <c r="M26" s="699">
        <f>+SUM(M27:M27)</f>
        <v>24</v>
      </c>
      <c r="N26" s="699"/>
      <c r="O26" s="699"/>
      <c r="P26" s="699"/>
      <c r="Q26" s="699">
        <f>+R26/'Parametros Generales'!$C$10</f>
        <v>0.6</v>
      </c>
      <c r="R26" s="699">
        <f>+SUM(R27:R27)</f>
        <v>6</v>
      </c>
      <c r="S26" s="739"/>
      <c r="T26" s="739"/>
      <c r="U26" s="739"/>
      <c r="V26" s="970">
        <f>+VLOOKUP(V$1,'Componentes T.H.'!$B$4:$R$22,'Componentes T.H.'!$Q$1,0)*'Parametros Generales'!$C$6*'Cost x Depart'!Q26</f>
        <v>8026807.5890833996</v>
      </c>
      <c r="W26" s="876">
        <f>+R26*'Componentes T.H.'!$Q$9*'Parametros Generales'!$C$6</f>
        <v>41342435.808414012</v>
      </c>
      <c r="X26" s="755">
        <f>IF((VLOOKUP(C27,Transporte!$B$87:$F$120,4,0)*R26*'Parametros Generales'!$C$12)-(R26*'Componentes T.H.'!$E$9*'Parametros Generales'!$C$6)&lt;0,0,(VLOOKUP(C27,Transporte!$B$87:$F$120,4,0)*R26*'Parametros Generales'!$C$12)-(R26*'Componentes T.H.'!$E$9*'Parametros Generales'!$C$6))</f>
        <v>0</v>
      </c>
      <c r="Y26" s="876">
        <f>VLOOKUP(C27,Transporte!$B$87:$F$120,4,0)*R26*'Parametros Generales'!$J$14*'Parametros Generales'!$C$6</f>
        <v>688510.32145132835</v>
      </c>
      <c r="Z26" s="974">
        <f>+(N26+O26+Q26)*'Parametros Generales'!$C$6*'Parametros Generales'!$J$7</f>
        <v>157965.6</v>
      </c>
      <c r="AA26" s="974">
        <f>+SUM(N26:R26)*'Parametros Generales'!$C$6*'Parametros Generales'!$J$8</f>
        <v>1586270.4</v>
      </c>
      <c r="AB26" s="970">
        <f>+M26*'Parametros Generales'!$C$6*'Parametros Generales'!$J$9</f>
        <v>20862972</v>
      </c>
      <c r="AC26" s="970">
        <f>+H26*'Parametros Generales'!$J$10*'Parametros Generales'!$C$6*'Parametros Generales'!$C$11</f>
        <v>59204549.548652329</v>
      </c>
      <c r="AD26" s="974">
        <f>+'Parametros Generales'!$J$11*SUM(N26:R26)</f>
        <v>339081.6</v>
      </c>
      <c r="AE26" s="978">
        <f>+SUM(S26:AD26)</f>
        <v>132208592.86760107</v>
      </c>
      <c r="AF26" s="974">
        <f>+AE26*(SUM('Res de Costos Pais'!G103:G103))</f>
        <v>10576687.429408086</v>
      </c>
      <c r="AG26" s="974">
        <f>+AE26+AF26</f>
        <v>142785280.29700914</v>
      </c>
      <c r="AH26" s="974">
        <f>+AG26*SUM('Res de Costos Pais'!$G$109:$G$110)</f>
        <v>1379305.8076691083</v>
      </c>
      <c r="AI26" s="974">
        <f>+(AG26+AH26)*'Res de Costos Pais'!$G$122</f>
        <v>324370.31873552606</v>
      </c>
      <c r="AJ26" s="974">
        <f>+(AG26+AH26+AI26)*'Res de Costos Pais'!$G$126</f>
        <v>577955.82569365518</v>
      </c>
      <c r="AK26" s="974">
        <f>+AG26+AH26+AI26+AJ26</f>
        <v>145066912.24910745</v>
      </c>
      <c r="AL26" s="741">
        <f>IF(ISERROR((+(AK26/H26)/'Parametros Generales'!$C$6)),0,(+(AK26/H26)/'Parametros Generales'!$C$6))</f>
        <v>37196.644166437807</v>
      </c>
      <c r="AM26" s="971">
        <f>+(AL26/'Parametros Generales'!$C$11)*'Parametros Generales'!$C$14</f>
        <v>6199.4406944063012</v>
      </c>
      <c r="AN26" s="971">
        <f>+AM26*H26</f>
        <v>3719664.4166437807</v>
      </c>
      <c r="AO26" s="971">
        <f>+((((IF(H26=0,0,((V26+W26)/'Parametros Generales'!$C$6*'Parametros Generales'!$C$16*'Parametros Generales'!$C$15)/H26))*(1+'Res de Costos Pais'!$G$103))*(1+'Res de Costos Pais'!$G$109+'Res de Costos Pais'!$G$110)*(1+'Res de Costos Pais'!$G$122)*(1+'Res de Costos Pais'!$G$126)))</f>
        <v>3472.4864314643764</v>
      </c>
      <c r="AP26" s="971">
        <f>+AO26*H26</f>
        <v>2083491.8588786258</v>
      </c>
      <c r="AQ26" s="972">
        <f>+AK26+AN26+AP26</f>
        <v>150870068.52462983</v>
      </c>
    </row>
    <row r="27" spans="1:43" s="29" customFormat="1" outlineLevel="1">
      <c r="A27" s="712"/>
      <c r="B27" s="864">
        <v>41</v>
      </c>
      <c r="C27" s="195" t="s">
        <v>399</v>
      </c>
      <c r="D27" s="196"/>
      <c r="E27" s="706"/>
      <c r="F27" s="877"/>
      <c r="G27" s="878"/>
      <c r="H27" s="696">
        <v>600</v>
      </c>
      <c r="I27" s="872"/>
      <c r="J27" s="879"/>
      <c r="K27" s="880"/>
      <c r="L27" s="875"/>
      <c r="M27" s="704">
        <f>+H27/'Parametros Generales'!$C$8</f>
        <v>24</v>
      </c>
      <c r="N27" s="704"/>
      <c r="O27" s="704"/>
      <c r="P27" s="704"/>
      <c r="Q27" s="704"/>
      <c r="R27" s="704">
        <f>+(M27/'Parametros Generales'!$C$9)</f>
        <v>6</v>
      </c>
      <c r="S27" s="738"/>
      <c r="T27" s="738"/>
      <c r="U27" s="738"/>
      <c r="V27" s="756"/>
      <c r="W27" s="973"/>
      <c r="X27" s="876"/>
      <c r="Y27" s="974"/>
      <c r="Z27" s="975"/>
      <c r="AA27" s="975"/>
      <c r="AB27" s="976"/>
      <c r="AC27" s="976"/>
      <c r="AD27" s="975"/>
      <c r="AE27" s="975"/>
      <c r="AF27" s="975"/>
      <c r="AG27" s="975"/>
      <c r="AH27" s="975"/>
      <c r="AI27" s="975"/>
      <c r="AJ27" s="975"/>
      <c r="AK27" s="978"/>
      <c r="AL27" s="979"/>
      <c r="AM27" s="977"/>
      <c r="AN27" s="977"/>
      <c r="AO27" s="977"/>
      <c r="AP27" s="977"/>
      <c r="AQ27" s="977"/>
    </row>
    <row r="28" spans="1:43" s="199" customFormat="1" hidden="1">
      <c r="A28" s="713">
        <v>14</v>
      </c>
      <c r="B28" s="866">
        <v>44</v>
      </c>
      <c r="C28" s="197" t="s">
        <v>420</v>
      </c>
      <c r="D28" s="198"/>
      <c r="E28" s="707" t="s">
        <v>420</v>
      </c>
      <c r="F28" s="308">
        <f>+SUM(F29:F29)</f>
        <v>0</v>
      </c>
      <c r="G28" s="883"/>
      <c r="H28" s="308">
        <f>+SUM(H29:H29)</f>
        <v>0</v>
      </c>
      <c r="I28" s="872"/>
      <c r="J28" s="873"/>
      <c r="K28" s="874"/>
      <c r="L28" s="875"/>
      <c r="M28" s="699">
        <f>+SUM(M29:M29)</f>
        <v>0</v>
      </c>
      <c r="N28" s="699"/>
      <c r="O28" s="699"/>
      <c r="P28" s="699"/>
      <c r="Q28" s="699">
        <f>+R28/'Parametros Generales'!$C$10</f>
        <v>0</v>
      </c>
      <c r="R28" s="699">
        <f>+SUM(R29:R29)</f>
        <v>0</v>
      </c>
      <c r="S28" s="739"/>
      <c r="T28" s="739"/>
      <c r="U28" s="739"/>
      <c r="V28" s="970">
        <f>+VLOOKUP(V$1,'Componentes T.H.'!$B$4:$R$22,'Componentes T.H.'!$Q$1,0)*'Parametros Generales'!$C$6*'Cost x Depart'!Q28</f>
        <v>0</v>
      </c>
      <c r="W28" s="876">
        <f>+R28*'Componentes T.H.'!$Q$9*'Parametros Generales'!$C$6</f>
        <v>0</v>
      </c>
      <c r="X28" s="755">
        <f>IF((VLOOKUP(C29,Transporte!$B$87:$F$120,4,0)*R28*'Parametros Generales'!$C$12)-(R28*'Componentes T.H.'!$E$9*'Parametros Generales'!$C$6)&lt;0,0,(VLOOKUP(C29,Transporte!$B$87:$F$120,4,0)*R28*'Parametros Generales'!$C$12)-(R28*'Componentes T.H.'!$E$9*'Parametros Generales'!$C$6))</f>
        <v>0</v>
      </c>
      <c r="Y28" s="876">
        <f>VLOOKUP(C29,Transporte!$B$87:$F$120,4,0)*R28*'Parametros Generales'!$J$14*'Parametros Generales'!$C$6</f>
        <v>0</v>
      </c>
      <c r="Z28" s="974">
        <f>+(N28+O28+Q28)*'Parametros Generales'!$C$6*'Parametros Generales'!$J$7</f>
        <v>0</v>
      </c>
      <c r="AA28" s="974">
        <f>+SUM(N28:R28)*'Parametros Generales'!$C$6*'Parametros Generales'!$J$8</f>
        <v>0</v>
      </c>
      <c r="AB28" s="970">
        <f>+M28*'Parametros Generales'!$C$6*'Parametros Generales'!$J$9</f>
        <v>0</v>
      </c>
      <c r="AC28" s="970">
        <f>+H28*'Parametros Generales'!$J$10*'Parametros Generales'!$C$6*'Parametros Generales'!$C$11</f>
        <v>0</v>
      </c>
      <c r="AD28" s="974">
        <f>+'Parametros Generales'!$J$11*SUM(N28:R28)</f>
        <v>0</v>
      </c>
      <c r="AE28" s="978">
        <f>+SUM(S28:AD28)</f>
        <v>0</v>
      </c>
      <c r="AF28" s="974">
        <f>+AE28*(SUM('Res de Costos Pais'!G103:G103))</f>
        <v>0</v>
      </c>
      <c r="AG28" s="974">
        <f>+AE28+AF28</f>
        <v>0</v>
      </c>
      <c r="AH28" s="974">
        <f>+AG28*SUM('Res de Costos Pais'!$G$109:$G$110)</f>
        <v>0</v>
      </c>
      <c r="AI28" s="974">
        <f>+(AG28+AH28)*'Res de Costos Pais'!$G$122</f>
        <v>0</v>
      </c>
      <c r="AJ28" s="974">
        <f>+(AG28+AH28+AI28)*'Res de Costos Pais'!$G$126</f>
        <v>0</v>
      </c>
      <c r="AK28" s="974">
        <f>+AG28+AH28+AI28+AJ28</f>
        <v>0</v>
      </c>
      <c r="AL28" s="741">
        <f>IF(ISERROR((+(AK28/H28)/'Parametros Generales'!$C$6)),0,(+(AK28/H28)/'Parametros Generales'!$C$6))</f>
        <v>0</v>
      </c>
      <c r="AM28" s="971">
        <f>+(AL28/'Parametros Generales'!$C$11)*'Parametros Generales'!$C$14</f>
        <v>0</v>
      </c>
      <c r="AN28" s="971">
        <f>+AM28*H28</f>
        <v>0</v>
      </c>
      <c r="AO28" s="971">
        <f>+((((IF(H28=0,0,((V28+W28)/'Parametros Generales'!$C$6*'Parametros Generales'!$C$16*'Parametros Generales'!$C$15)/H28))*(1+'Res de Costos Pais'!$G$103))*(1+'Res de Costos Pais'!$G$109+'Res de Costos Pais'!$G$110)*(1+'Res de Costos Pais'!$G$122)*(1+'Res de Costos Pais'!$G$126)))*1.001</f>
        <v>0</v>
      </c>
      <c r="AP28" s="971">
        <f>+AO28*H28</f>
        <v>0</v>
      </c>
      <c r="AQ28" s="972">
        <f>+AK28+AN28+AP28</f>
        <v>0</v>
      </c>
    </row>
    <row r="29" spans="1:43" s="29" customFormat="1" hidden="1" outlineLevel="1">
      <c r="A29" s="712"/>
      <c r="B29" s="864">
        <v>44</v>
      </c>
      <c r="C29" s="195" t="s">
        <v>420</v>
      </c>
      <c r="D29" s="196"/>
      <c r="E29" s="706"/>
      <c r="F29" s="877"/>
      <c r="G29" s="878"/>
      <c r="H29" s="696">
        <v>0</v>
      </c>
      <c r="I29" s="872"/>
      <c r="J29" s="879"/>
      <c r="K29" s="880"/>
      <c r="L29" s="875"/>
      <c r="M29" s="704">
        <f>+H29/'Parametros Generales'!$C$8</f>
        <v>0</v>
      </c>
      <c r="N29" s="704"/>
      <c r="O29" s="704"/>
      <c r="P29" s="704"/>
      <c r="Q29" s="704"/>
      <c r="R29" s="704">
        <f>+(M29/'Parametros Generales'!$C$9)</f>
        <v>0</v>
      </c>
      <c r="S29" s="738"/>
      <c r="T29" s="738"/>
      <c r="U29" s="738"/>
      <c r="V29" s="756"/>
      <c r="W29" s="973"/>
      <c r="X29" s="876"/>
      <c r="Y29" s="974"/>
      <c r="Z29" s="975"/>
      <c r="AA29" s="975"/>
      <c r="AB29" s="976"/>
      <c r="AC29" s="976"/>
      <c r="AD29" s="975"/>
      <c r="AE29" s="975"/>
      <c r="AF29" s="975"/>
      <c r="AG29" s="975"/>
      <c r="AH29" s="975"/>
      <c r="AI29" s="975"/>
      <c r="AJ29" s="975"/>
      <c r="AK29" s="978"/>
      <c r="AL29" s="979"/>
      <c r="AM29" s="977"/>
      <c r="AN29" s="977"/>
      <c r="AO29" s="977"/>
      <c r="AP29" s="977"/>
      <c r="AQ29" s="977"/>
    </row>
    <row r="30" spans="1:43" s="199" customFormat="1">
      <c r="A30" s="713">
        <v>15</v>
      </c>
      <c r="B30" s="866">
        <v>47</v>
      </c>
      <c r="C30" s="197" t="s">
        <v>433</v>
      </c>
      <c r="D30" s="198"/>
      <c r="E30" s="707" t="s">
        <v>433</v>
      </c>
      <c r="F30" s="308">
        <f>+SUM(F31:F31)</f>
        <v>0</v>
      </c>
      <c r="G30" s="883"/>
      <c r="H30" s="308">
        <f>+SUM(H31:H31)</f>
        <v>300</v>
      </c>
      <c r="I30" s="872"/>
      <c r="J30" s="873"/>
      <c r="K30" s="874"/>
      <c r="L30" s="875"/>
      <c r="M30" s="699">
        <f>+SUM(M31:M31)</f>
        <v>12</v>
      </c>
      <c r="N30" s="699"/>
      <c r="O30" s="699"/>
      <c r="P30" s="699"/>
      <c r="Q30" s="699">
        <f>+R30/'Parametros Generales'!$C$10</f>
        <v>0.3</v>
      </c>
      <c r="R30" s="699">
        <f>+SUM(R31:R31)</f>
        <v>3</v>
      </c>
      <c r="S30" s="739"/>
      <c r="T30" s="739"/>
      <c r="U30" s="739"/>
      <c r="V30" s="970">
        <f>+VLOOKUP(V$1,'Componentes T.H.'!$B$4:$R$22,'Componentes T.H.'!$Q$1,0)*'Parametros Generales'!$C$6*'Cost x Depart'!Q30</f>
        <v>4013403.7945416998</v>
      </c>
      <c r="W30" s="876">
        <f>+R30*'Componentes T.H.'!$Q$9*'Parametros Generales'!$C$6</f>
        <v>20671217.904207006</v>
      </c>
      <c r="X30" s="755">
        <f>IF((VLOOKUP(C31,Transporte!$B$87:$F$120,4,0)*R30*'Parametros Generales'!$C$12)-(R30*'Componentes T.H.'!$E$9*'Parametros Generales'!$C$6)&lt;0,0,(VLOOKUP(C31,Transporte!$B$87:$F$120,4,0)*R30*'Parametros Generales'!$C$12)-(R30*'Componentes T.H.'!$E$9*'Parametros Generales'!$C$6))</f>
        <v>1515453.7944221273</v>
      </c>
      <c r="Y30" s="876">
        <f>VLOOKUP(C31,Transporte!$B$87:$F$120,4,0)*R30*'Parametros Generales'!$J$14*'Parametros Generales'!$C$6</f>
        <v>732861.57360553183</v>
      </c>
      <c r="Z30" s="974">
        <f>+(N30+O30+Q30)*'Parametros Generales'!$C$6*'Parametros Generales'!$J$7</f>
        <v>78982.8</v>
      </c>
      <c r="AA30" s="974">
        <f>+SUM(N30:R30)*'Parametros Generales'!$C$6*'Parametros Generales'!$J$8</f>
        <v>793135.2</v>
      </c>
      <c r="AB30" s="970">
        <f>+M30*'Parametros Generales'!$C$6*'Parametros Generales'!$J$9</f>
        <v>10431486</v>
      </c>
      <c r="AC30" s="970">
        <f>+H30*'Parametros Generales'!$J$10*'Parametros Generales'!$C$6*'Parametros Generales'!$C$11</f>
        <v>29602274.774326164</v>
      </c>
      <c r="AD30" s="974">
        <f>+'Parametros Generales'!$J$11*SUM(N30:R30)</f>
        <v>169540.8</v>
      </c>
      <c r="AE30" s="978">
        <f>+SUM(S30:AD30)</f>
        <v>68008356.641102523</v>
      </c>
      <c r="AF30" s="974">
        <f>+AE30*(SUM('Res de Costos Pais'!G103:G103))</f>
        <v>5440668.5312882019</v>
      </c>
      <c r="AG30" s="974">
        <f>+AE30+AF30</f>
        <v>73449025.172390729</v>
      </c>
      <c r="AH30" s="974">
        <f>+AG30*SUM('Res de Costos Pais'!$G$109:$G$110)</f>
        <v>709517.58316529449</v>
      </c>
      <c r="AI30" s="974">
        <f>+(AG30+AH30)*'Res de Costos Pais'!$G$122</f>
        <v>166856.72120000105</v>
      </c>
      <c r="AJ30" s="974">
        <f>+(AG30+AH30+AI30)*'Res de Costos Pais'!$G$126</f>
        <v>297301.59790702409</v>
      </c>
      <c r="AK30" s="974">
        <f>+AG30+AH30+AI30+AJ30</f>
        <v>74622701.074663043</v>
      </c>
      <c r="AL30" s="741">
        <f>IF(ISERROR((+(AK30/H30)/'Parametros Generales'!$C$6)),0,(+(AK30/H30)/'Parametros Generales'!$C$6))</f>
        <v>38268.051833160534</v>
      </c>
      <c r="AM30" s="971">
        <f>+(AL30/'Parametros Generales'!$C$11)*'Parametros Generales'!$C$14</f>
        <v>6378.0086388600894</v>
      </c>
      <c r="AN30" s="971">
        <f>+AM30*H30</f>
        <v>1913402.5916580269</v>
      </c>
      <c r="AO30" s="971">
        <f>+((((IF(H30=0,0,((V30+W30)/'Parametros Generales'!$C$6*'Parametros Generales'!$C$16*'Parametros Generales'!$C$15)/H30))*(1+'Res de Costos Pais'!$G$103))*(1+'Res de Costos Pais'!$G$109+'Res de Costos Pais'!$G$110)*(1+'Res de Costos Pais'!$G$122)*(1+'Res de Costos Pais'!$G$126)))</f>
        <v>3472.4864314643764</v>
      </c>
      <c r="AP30" s="971">
        <f>+AO30*H30</f>
        <v>1041745.9294393129</v>
      </c>
      <c r="AQ30" s="972">
        <f>+AK30+AN30+AP30</f>
        <v>77577849.595760375</v>
      </c>
    </row>
    <row r="31" spans="1:43" s="29" customFormat="1" outlineLevel="1">
      <c r="A31" s="712"/>
      <c r="B31" s="864">
        <v>47</v>
      </c>
      <c r="C31" s="195" t="s">
        <v>433</v>
      </c>
      <c r="D31" s="196"/>
      <c r="E31" s="706"/>
      <c r="F31" s="877"/>
      <c r="G31" s="878"/>
      <c r="H31" s="696">
        <v>300</v>
      </c>
      <c r="I31" s="872"/>
      <c r="J31" s="879"/>
      <c r="K31" s="880"/>
      <c r="L31" s="875"/>
      <c r="M31" s="704">
        <f>+H31/'Parametros Generales'!$C$8</f>
        <v>12</v>
      </c>
      <c r="N31" s="704"/>
      <c r="O31" s="704"/>
      <c r="P31" s="704"/>
      <c r="Q31" s="704"/>
      <c r="R31" s="704">
        <f>+(M31/'Parametros Generales'!$C$9)</f>
        <v>3</v>
      </c>
      <c r="S31" s="738"/>
      <c r="T31" s="738"/>
      <c r="U31" s="738"/>
      <c r="V31" s="756"/>
      <c r="W31" s="973"/>
      <c r="X31" s="876"/>
      <c r="Y31" s="974"/>
      <c r="Z31" s="975"/>
      <c r="AA31" s="975"/>
      <c r="AB31" s="976"/>
      <c r="AC31" s="976"/>
      <c r="AD31" s="975"/>
      <c r="AE31" s="975"/>
      <c r="AF31" s="975"/>
      <c r="AG31" s="975"/>
      <c r="AH31" s="975"/>
      <c r="AI31" s="975"/>
      <c r="AJ31" s="975"/>
      <c r="AK31" s="978"/>
      <c r="AL31" s="979"/>
      <c r="AM31" s="977"/>
      <c r="AN31" s="977"/>
      <c r="AO31" s="977"/>
      <c r="AP31" s="977"/>
      <c r="AQ31" s="977"/>
    </row>
    <row r="32" spans="1:43" s="199" customFormat="1">
      <c r="A32" s="713">
        <v>16</v>
      </c>
      <c r="B32" s="866">
        <v>50</v>
      </c>
      <c r="C32" s="197" t="s">
        <v>462</v>
      </c>
      <c r="D32" s="198"/>
      <c r="E32" s="707" t="s">
        <v>462</v>
      </c>
      <c r="F32" s="308">
        <f>+SUM(F33:F33)</f>
        <v>0</v>
      </c>
      <c r="G32" s="883"/>
      <c r="H32" s="308">
        <f>+SUM(H33:H33)</f>
        <v>1100</v>
      </c>
      <c r="I32" s="872"/>
      <c r="J32" s="873"/>
      <c r="K32" s="874"/>
      <c r="L32" s="875"/>
      <c r="M32" s="699">
        <f>+SUM(M33:M33)</f>
        <v>44</v>
      </c>
      <c r="N32" s="699"/>
      <c r="O32" s="699"/>
      <c r="P32" s="699"/>
      <c r="Q32" s="699">
        <f>+R32/'Parametros Generales'!$C$10</f>
        <v>1.1000000000000001</v>
      </c>
      <c r="R32" s="699">
        <f>+SUM(R33:R33)</f>
        <v>11</v>
      </c>
      <c r="S32" s="739"/>
      <c r="T32" s="739"/>
      <c r="U32" s="739"/>
      <c r="V32" s="970">
        <f>+VLOOKUP(V$1,'Componentes T.H.'!$B$4:$R$22,'Componentes T.H.'!$Q$1,0)*'Parametros Generales'!$C$6*'Cost x Depart'!Q32</f>
        <v>14715813.913319567</v>
      </c>
      <c r="W32" s="876">
        <f>+R32*'Componentes T.H.'!$Q$9*'Parametros Generales'!$C$6</f>
        <v>75794465.648759022</v>
      </c>
      <c r="X32" s="755">
        <f>IF((VLOOKUP(C33,Transporte!$B$87:$F$120,4,0)*R32*'Parametros Generales'!$C$12)-(R32*'Componentes T.H.'!$E$9*'Parametros Generales'!$C$6)&lt;0,0,(VLOOKUP(C33,Transporte!$B$87:$F$120,4,0)*R32*'Parametros Generales'!$C$12)-(R32*'Componentes T.H.'!$E$9*'Parametros Generales'!$C$6))</f>
        <v>13610069.634506255</v>
      </c>
      <c r="Y32" s="876">
        <f>VLOOKUP(C33,Transporte!$B$87:$F$120,4,0)*R32*'Parametros Generales'!$J$14*'Parametros Generales'!$C$6</f>
        <v>4700510.5336265638</v>
      </c>
      <c r="Z32" s="974">
        <f>+(N32+O32+Q32)*'Parametros Generales'!$C$6*'Parametros Generales'!$J$7</f>
        <v>289603.60000000003</v>
      </c>
      <c r="AA32" s="974">
        <f>+SUM(N32:R32)*'Parametros Generales'!$C$6*'Parametros Generales'!$J$8</f>
        <v>2908162.4</v>
      </c>
      <c r="AB32" s="970">
        <f>+M32*'Parametros Generales'!$C$6*'Parametros Generales'!$J$9</f>
        <v>38248782</v>
      </c>
      <c r="AC32" s="970">
        <f>+H32*'Parametros Generales'!$J$10*'Parametros Generales'!$C$6*'Parametros Generales'!$C$11</f>
        <v>108541674.17252928</v>
      </c>
      <c r="AD32" s="974">
        <f>+'Parametros Generales'!$J$11*SUM(N32:R32)</f>
        <v>621649.6</v>
      </c>
      <c r="AE32" s="978">
        <f>+SUM(S32:AD32)</f>
        <v>259430731.50274068</v>
      </c>
      <c r="AF32" s="974">
        <f>+AE32*(SUM('Res de Costos Pais'!G103:G103))</f>
        <v>20754458.520219255</v>
      </c>
      <c r="AG32" s="974">
        <f>+AE32+AF32</f>
        <v>280185190.02295995</v>
      </c>
      <c r="AH32" s="974">
        <f>+AG32*SUM('Res de Costos Pais'!$G$109:$G$110)</f>
        <v>2706588.9356217929</v>
      </c>
      <c r="AI32" s="974">
        <f>+(AG32+AH32)*'Res de Costos Pais'!$G$122</f>
        <v>636506.50265680905</v>
      </c>
      <c r="AJ32" s="974">
        <f>+(AG32+AH32+AI32)*'Res de Costos Pais'!$G$126</f>
        <v>1134113.1418449543</v>
      </c>
      <c r="AK32" s="974">
        <f>+AG32+AH32+AI32+AJ32</f>
        <v>284662398.60308349</v>
      </c>
      <c r="AL32" s="741">
        <f>IF(ISERROR((+(AK32/H32)/'Parametros Generales'!$C$6)),0,(+(AK32/H32)/'Parametros Generales'!$C$6))</f>
        <v>39812.922881550141</v>
      </c>
      <c r="AM32" s="971">
        <f>+(AL32/'Parametros Generales'!$C$11)*'Parametros Generales'!$C$14</f>
        <v>6635.4871469250238</v>
      </c>
      <c r="AN32" s="971">
        <f>+AM32*H32</f>
        <v>7299035.861617526</v>
      </c>
      <c r="AO32" s="971">
        <f>+((((IF(H32=0,0,((V32+W32)/'Parametros Generales'!$C$6*'Parametros Generales'!$C$16*'Parametros Generales'!$C$15)/H32))*(1+'Res de Costos Pais'!$G$103))*(1+'Res de Costos Pais'!$G$109+'Res de Costos Pais'!$G$110)*(1+'Res de Costos Pais'!$G$122)*(1+'Res de Costos Pais'!$G$126)))</f>
        <v>3472.4864314643764</v>
      </c>
      <c r="AP32" s="971">
        <f>+AO32*H32</f>
        <v>3819735.074610814</v>
      </c>
      <c r="AQ32" s="972">
        <f>+AK32+AN32+AP32</f>
        <v>295781169.53931183</v>
      </c>
    </row>
    <row r="33" spans="1:43" s="29" customFormat="1" outlineLevel="1">
      <c r="A33" s="712"/>
      <c r="B33" s="864">
        <v>50</v>
      </c>
      <c r="C33" s="195" t="s">
        <v>462</v>
      </c>
      <c r="D33" s="196"/>
      <c r="E33" s="706"/>
      <c r="F33" s="877"/>
      <c r="G33" s="878"/>
      <c r="H33" s="696">
        <v>1100</v>
      </c>
      <c r="I33" s="872"/>
      <c r="J33" s="879"/>
      <c r="K33" s="880"/>
      <c r="L33" s="875"/>
      <c r="M33" s="704">
        <f>+H33/'Parametros Generales'!$C$8</f>
        <v>44</v>
      </c>
      <c r="N33" s="704"/>
      <c r="O33" s="704"/>
      <c r="P33" s="704"/>
      <c r="Q33" s="704"/>
      <c r="R33" s="704">
        <f>+(M33/'Parametros Generales'!$C$9)</f>
        <v>11</v>
      </c>
      <c r="S33" s="738"/>
      <c r="T33" s="738"/>
      <c r="U33" s="738"/>
      <c r="V33" s="756"/>
      <c r="W33" s="973"/>
      <c r="X33" s="876"/>
      <c r="Y33" s="974"/>
      <c r="Z33" s="975"/>
      <c r="AA33" s="975"/>
      <c r="AB33" s="976"/>
      <c r="AC33" s="976"/>
      <c r="AD33" s="975"/>
      <c r="AE33" s="975"/>
      <c r="AF33" s="975"/>
      <c r="AG33" s="975"/>
      <c r="AH33" s="975"/>
      <c r="AI33" s="975"/>
      <c r="AJ33" s="975"/>
      <c r="AK33" s="978"/>
      <c r="AL33" s="979"/>
      <c r="AM33" s="977"/>
      <c r="AN33" s="977"/>
      <c r="AO33" s="977"/>
      <c r="AP33" s="977"/>
      <c r="AQ33" s="977"/>
    </row>
    <row r="34" spans="1:43" s="199" customFormat="1" hidden="1">
      <c r="A34" s="713">
        <v>17</v>
      </c>
      <c r="B34" s="866">
        <v>52</v>
      </c>
      <c r="C34" s="707" t="s">
        <v>1589</v>
      </c>
      <c r="D34" s="198"/>
      <c r="E34" s="707" t="s">
        <v>1589</v>
      </c>
      <c r="F34" s="882">
        <f>SUM(F35)</f>
        <v>0</v>
      </c>
      <c r="G34" s="883"/>
      <c r="H34" s="308">
        <f>+SUM(H35)</f>
        <v>0</v>
      </c>
      <c r="I34" s="872"/>
      <c r="J34" s="887"/>
      <c r="K34" s="699"/>
      <c r="L34" s="875"/>
      <c r="M34" s="699">
        <f>+SUM(M35)</f>
        <v>0</v>
      </c>
      <c r="N34" s="699"/>
      <c r="O34" s="699"/>
      <c r="P34" s="699"/>
      <c r="Q34" s="699">
        <f>+R34/'Parametros Generales'!$C$10</f>
        <v>0</v>
      </c>
      <c r="R34" s="699">
        <f>+SUM(R35)</f>
        <v>0</v>
      </c>
      <c r="S34" s="739"/>
      <c r="T34" s="739"/>
      <c r="U34" s="739"/>
      <c r="V34" s="970">
        <f>+VLOOKUP(V$1,'Componentes T.H.'!$B$4:$R$22,'Componentes T.H.'!$Q$1,0)*'Parametros Generales'!$C$6*'Cost x Depart'!Q34</f>
        <v>0</v>
      </c>
      <c r="W34" s="876">
        <f>+R34*'Componentes T.H.'!$Q$9*'Parametros Generales'!$C$6</f>
        <v>0</v>
      </c>
      <c r="X34" s="755">
        <f>IF((VLOOKUP(C35,Transporte!$B$87:$F$120,4,0)*R34*'Parametros Generales'!$C$12)-(R34*'Componentes T.H.'!$E$9*'Parametros Generales'!$C$6)&lt;0,0,(VLOOKUP(C35,Transporte!$B$87:$F$120,4,0)*R34*'Parametros Generales'!$C$12)-(R34*'Componentes T.H.'!$E$9*'Parametros Generales'!$C$6))</f>
        <v>0</v>
      </c>
      <c r="Y34" s="876">
        <f>VLOOKUP(C35,Transporte!$B$87:$F$120,4,0)*R34*'Parametros Generales'!$J$14*'Parametros Generales'!$C$6</f>
        <v>0</v>
      </c>
      <c r="Z34" s="974">
        <f>+(N34+O34+Q34)*'Parametros Generales'!$C$6*'Parametros Generales'!$J$7</f>
        <v>0</v>
      </c>
      <c r="AA34" s="974">
        <f>+SUM(N34:R34)*'Parametros Generales'!$C$6*'Parametros Generales'!$J$8</f>
        <v>0</v>
      </c>
      <c r="AB34" s="970">
        <f>+M34*'Parametros Generales'!$C$6*'Parametros Generales'!$J$9</f>
        <v>0</v>
      </c>
      <c r="AC34" s="970">
        <f>+H34*'Parametros Generales'!$J$10*'Parametros Generales'!$C$6*'Parametros Generales'!$C$11</f>
        <v>0</v>
      </c>
      <c r="AD34" s="974">
        <f>+'Parametros Generales'!$J$11*SUM(N34:R34)</f>
        <v>0</v>
      </c>
      <c r="AE34" s="978">
        <f>+SUM(S34:AD34)</f>
        <v>0</v>
      </c>
      <c r="AF34" s="974">
        <f>+AE34*(SUM('Res de Costos Pais'!G103:G103))</f>
        <v>0</v>
      </c>
      <c r="AG34" s="974">
        <f>+AE34+AF34</f>
        <v>0</v>
      </c>
      <c r="AH34" s="974">
        <f>+AG34*SUM('Res de Costos Pais'!$G$109:$G$110)</f>
        <v>0</v>
      </c>
      <c r="AI34" s="974">
        <f>+(AG34+AH34)*'Res de Costos Pais'!$G$122</f>
        <v>0</v>
      </c>
      <c r="AJ34" s="974">
        <f>+(AG34+AH34+AI34)*'Res de Costos Pais'!$G$126</f>
        <v>0</v>
      </c>
      <c r="AK34" s="974">
        <f>+AG34+AH34+AI34+AJ34</f>
        <v>0</v>
      </c>
      <c r="AL34" s="741">
        <f>IF(ISERROR((+(AK34/H34)/'Parametros Generales'!$C$6)),0,(+(AK34/H34)/'Parametros Generales'!$C$6))</f>
        <v>0</v>
      </c>
      <c r="AM34" s="971">
        <f>+(AL34/'Parametros Generales'!$C$11)*'Parametros Generales'!$C$14</f>
        <v>0</v>
      </c>
      <c r="AN34" s="971">
        <f>+AM34*H34</f>
        <v>0</v>
      </c>
      <c r="AO34" s="971">
        <f>+((((IF(H34=0,0,((V34+W34)/'Parametros Generales'!$C$6*'Parametros Generales'!$C$16*'Parametros Generales'!$C$15)/H34))*(1+'Res de Costos Pais'!$G$103))*(1+'Res de Costos Pais'!$G$109+'Res de Costos Pais'!$G$110)*(1+'Res de Costos Pais'!$G$122)*(1+'Res de Costos Pais'!$G$126)))*1.001</f>
        <v>0</v>
      </c>
      <c r="AP34" s="971">
        <f>+AO34*H34</f>
        <v>0</v>
      </c>
      <c r="AQ34" s="972">
        <f>+AK34+AN34+AP34</f>
        <v>0</v>
      </c>
    </row>
    <row r="35" spans="1:43" s="29" customFormat="1" hidden="1" outlineLevel="1">
      <c r="A35" s="712"/>
      <c r="B35" s="864">
        <v>52</v>
      </c>
      <c r="C35" s="195" t="s">
        <v>476</v>
      </c>
      <c r="D35" s="196"/>
      <c r="E35" s="706"/>
      <c r="F35" s="877"/>
      <c r="G35" s="878"/>
      <c r="H35" s="696">
        <v>0</v>
      </c>
      <c r="I35" s="888"/>
      <c r="J35" s="885"/>
      <c r="K35" s="886"/>
      <c r="L35" s="875"/>
      <c r="M35" s="704">
        <f>+H35/'Parametros Generales'!$C$8</f>
        <v>0</v>
      </c>
      <c r="N35" s="704"/>
      <c r="O35" s="704"/>
      <c r="P35" s="704"/>
      <c r="Q35" s="704"/>
      <c r="R35" s="704">
        <f>+(M35/'Parametros Generales'!$C$9)</f>
        <v>0</v>
      </c>
      <c r="S35" s="738"/>
      <c r="T35" s="738"/>
      <c r="U35" s="738"/>
      <c r="V35" s="756"/>
      <c r="W35" s="973"/>
      <c r="X35" s="876"/>
      <c r="Y35" s="980"/>
      <c r="Z35" s="981"/>
      <c r="AA35" s="981"/>
      <c r="AB35" s="976"/>
      <c r="AC35" s="976"/>
      <c r="AD35" s="981"/>
      <c r="AE35" s="981"/>
      <c r="AF35" s="981"/>
      <c r="AG35" s="981"/>
      <c r="AH35" s="981"/>
      <c r="AI35" s="981"/>
      <c r="AJ35" s="981"/>
      <c r="AK35" s="978"/>
      <c r="AL35" s="979"/>
      <c r="AM35" s="977"/>
      <c r="AN35" s="977"/>
      <c r="AO35" s="977"/>
      <c r="AP35" s="977"/>
      <c r="AQ35" s="977"/>
    </row>
    <row r="36" spans="1:43" s="199" customFormat="1">
      <c r="A36" s="713">
        <v>18</v>
      </c>
      <c r="B36" s="866">
        <v>52</v>
      </c>
      <c r="C36" s="707" t="s">
        <v>1602</v>
      </c>
      <c r="D36" s="702"/>
      <c r="E36" s="707" t="s">
        <v>1602</v>
      </c>
      <c r="F36" s="698">
        <f>+SUM(F37:F37)</f>
        <v>0</v>
      </c>
      <c r="G36" s="883"/>
      <c r="H36" s="698">
        <f>+SUM(H37:H37)</f>
        <v>1500</v>
      </c>
      <c r="I36" s="872"/>
      <c r="J36" s="887"/>
      <c r="K36" s="699"/>
      <c r="L36" s="875"/>
      <c r="M36" s="699">
        <f>+SUM(M37:M37)</f>
        <v>60</v>
      </c>
      <c r="N36" s="699"/>
      <c r="O36" s="699"/>
      <c r="P36" s="699"/>
      <c r="Q36" s="699">
        <f>+R36/'Parametros Generales'!$C$10</f>
        <v>1.5</v>
      </c>
      <c r="R36" s="699">
        <f>+SUM(R37:R37)</f>
        <v>15</v>
      </c>
      <c r="S36" s="739"/>
      <c r="T36" s="739"/>
      <c r="U36" s="739"/>
      <c r="V36" s="970">
        <f>+VLOOKUP(V$1,'Componentes T.H.'!$B$4:$R$22,'Componentes T.H.'!$Q$1,0)*'Parametros Generales'!$C$6*'Cost x Depart'!Q36</f>
        <v>20067018.972708501</v>
      </c>
      <c r="W36" s="876">
        <f>+R36*'Componentes T.H.'!$Q$9*'Parametros Generales'!$C$6</f>
        <v>103356089.52103503</v>
      </c>
      <c r="X36" s="755">
        <f>IF((VLOOKUP(C37,Transporte!$B$87:$F$120,4,0)*R36*'Parametros Generales'!$C$12)-(R36*'Componentes T.H.'!$E$9*'Parametros Generales'!$C$6)&lt;0,0,(VLOOKUP(C37,Transporte!$B$87:$F$120,4,0)*R36*'Parametros Generales'!$C$12)-(R36*'Componentes T.H.'!$E$9*'Parametros Generales'!$C$6))</f>
        <v>36490855.917236961</v>
      </c>
      <c r="Y36" s="876">
        <f>VLOOKUP(C37,Transporte!$B$87:$F$120,4,0)*R36*'Parametros Generales'!$J$14*'Parametros Generales'!$C$6</f>
        <v>10892704.60430924</v>
      </c>
      <c r="Z36" s="974">
        <f>+(N36+O36+Q36)*'Parametros Generales'!$C$6*'Parametros Generales'!$J$7</f>
        <v>394914</v>
      </c>
      <c r="AA36" s="974">
        <f>+SUM(N36:R36)*'Parametros Generales'!$C$6*'Parametros Generales'!$J$8</f>
        <v>3965676</v>
      </c>
      <c r="AB36" s="970">
        <f>+M36*'Parametros Generales'!$C$6*'Parametros Generales'!$J$9</f>
        <v>52157430</v>
      </c>
      <c r="AC36" s="970">
        <f>+H36*'Parametros Generales'!$J$10*'Parametros Generales'!$C$6*'Parametros Generales'!$C$11</f>
        <v>148011373.87163085</v>
      </c>
      <c r="AD36" s="974">
        <f>+'Parametros Generales'!$J$11*SUM(N36:R36)</f>
        <v>847704</v>
      </c>
      <c r="AE36" s="978">
        <f>+SUM(S36:AD36)</f>
        <v>376183766.88692057</v>
      </c>
      <c r="AF36" s="974">
        <f>+AE36*(SUM('Res de Costos Pais'!G103:G103))</f>
        <v>30094701.350953646</v>
      </c>
      <c r="AG36" s="974">
        <f>+AE36+AF36</f>
        <v>406278468.23787421</v>
      </c>
      <c r="AH36" s="974">
        <f>+AG36*SUM('Res de Costos Pais'!$G$109:$G$110)</f>
        <v>3924650.0031778649</v>
      </c>
      <c r="AI36" s="974">
        <f>+(AG36+AH36)*'Res de Costos Pais'!$G$122</f>
        <v>922957.01604236732</v>
      </c>
      <c r="AJ36" s="974">
        <f>+(AG36+AH36+AI36)*'Res de Costos Pais'!$G$126</f>
        <v>1644504.3010283778</v>
      </c>
      <c r="AK36" s="974">
        <f>+AG36+AH36+AI36+AJ36</f>
        <v>412770579.55812281</v>
      </c>
      <c r="AL36" s="741">
        <f>IF(ISERROR((+(AK36/H36)/'Parametros Generales'!$C$6)),0,(+(AK36/H36)/'Parametros Generales'!$C$6))</f>
        <v>42335.444057243367</v>
      </c>
      <c r="AM36" s="971">
        <f>+(AL36/'Parametros Generales'!$C$11)*'Parametros Generales'!$C$14</f>
        <v>7055.9073428738948</v>
      </c>
      <c r="AN36" s="971">
        <f>+AM36*H36</f>
        <v>10583861.014310842</v>
      </c>
      <c r="AO36" s="971">
        <f>+((((IF(H36=0,0,((V36+W36)/'Parametros Generales'!$C$6*'Parametros Generales'!$C$16*'Parametros Generales'!$C$15)/H36))*(1+'Res de Costos Pais'!$G$103))*(1+'Res de Costos Pais'!$G$109+'Res de Costos Pais'!$G$110)*(1+'Res de Costos Pais'!$G$122)*(1+'Res de Costos Pais'!$G$126)))</f>
        <v>3472.4864314643769</v>
      </c>
      <c r="AP36" s="971">
        <f>+AO36*H36</f>
        <v>5208729.6471965658</v>
      </c>
      <c r="AQ36" s="972">
        <f>+AK36+AN36+AP36</f>
        <v>428563170.21963024</v>
      </c>
    </row>
    <row r="37" spans="1:43" s="29" customFormat="1" outlineLevel="1">
      <c r="A37" s="712"/>
      <c r="B37" s="865">
        <v>52</v>
      </c>
      <c r="C37" s="193" t="s">
        <v>476</v>
      </c>
      <c r="D37" s="196"/>
      <c r="E37" s="706"/>
      <c r="F37" s="877"/>
      <c r="G37" s="881"/>
      <c r="H37" s="697">
        <v>1500</v>
      </c>
      <c r="I37" s="888"/>
      <c r="J37" s="879"/>
      <c r="K37" s="880"/>
      <c r="L37" s="875"/>
      <c r="M37" s="705">
        <f>+H37/'Parametros Generales'!$C$8</f>
        <v>60</v>
      </c>
      <c r="N37" s="705"/>
      <c r="O37" s="705"/>
      <c r="P37" s="705"/>
      <c r="Q37" s="705"/>
      <c r="R37" s="705">
        <f>+(M37/'Parametros Generales'!$C$9)</f>
        <v>15</v>
      </c>
      <c r="S37" s="739"/>
      <c r="T37" s="739"/>
      <c r="U37" s="739"/>
      <c r="V37" s="970"/>
      <c r="W37" s="982"/>
      <c r="X37" s="876"/>
      <c r="Y37" s="974"/>
      <c r="Z37" s="975"/>
      <c r="AA37" s="975"/>
      <c r="AB37" s="976"/>
      <c r="AC37" s="976"/>
      <c r="AD37" s="975"/>
      <c r="AE37" s="975"/>
      <c r="AF37" s="975"/>
      <c r="AG37" s="975"/>
      <c r="AH37" s="975"/>
      <c r="AI37" s="975"/>
      <c r="AJ37" s="975"/>
      <c r="AK37" s="978"/>
      <c r="AL37" s="979"/>
      <c r="AM37" s="977"/>
      <c r="AN37" s="977"/>
      <c r="AO37" s="977"/>
      <c r="AP37" s="977"/>
      <c r="AQ37" s="977"/>
    </row>
    <row r="38" spans="1:43" s="199" customFormat="1">
      <c r="A38" s="713">
        <v>19</v>
      </c>
      <c r="B38" s="866">
        <v>54</v>
      </c>
      <c r="C38" s="197" t="s">
        <v>532</v>
      </c>
      <c r="D38" s="658"/>
      <c r="E38" s="707" t="s">
        <v>532</v>
      </c>
      <c r="F38" s="308">
        <f>+SUM(F39:F39)</f>
        <v>0</v>
      </c>
      <c r="G38" s="883"/>
      <c r="H38" s="308">
        <f>+SUM(H39:H39)</f>
        <v>650</v>
      </c>
      <c r="I38" s="872"/>
      <c r="J38" s="873"/>
      <c r="K38" s="874"/>
      <c r="L38" s="875"/>
      <c r="M38" s="699">
        <f>+SUM(M39:M39)</f>
        <v>26</v>
      </c>
      <c r="N38" s="699"/>
      <c r="O38" s="699"/>
      <c r="P38" s="699"/>
      <c r="Q38" s="699">
        <f>+R38/'Parametros Generales'!$C$10</f>
        <v>0.65</v>
      </c>
      <c r="R38" s="699">
        <f>+SUM(R39:R39)</f>
        <v>6.5</v>
      </c>
      <c r="S38" s="739"/>
      <c r="T38" s="739"/>
      <c r="U38" s="739"/>
      <c r="V38" s="970">
        <f>+VLOOKUP(V$1,'Componentes T.H.'!$B$4:$R$22,'Componentes T.H.'!$Q$1,0)*'Parametros Generales'!$C$6*'Cost x Depart'!Q38</f>
        <v>8695708.2215070166</v>
      </c>
      <c r="W38" s="876">
        <f>+R38*'Componentes T.H.'!$Q$9*'Parametros Generales'!$C$6</f>
        <v>44787638.792448513</v>
      </c>
      <c r="X38" s="755">
        <f>IF((VLOOKUP(C39,Transporte!$B$87:$F$120,4,0)*R38*'Parametros Generales'!$C$12)-(R38*'Componentes T.H.'!$E$9*'Parametros Generales'!$C$6)&lt;0,0,(VLOOKUP(C39,Transporte!$B$87:$F$120,4,0)*R38*'Parametros Generales'!$C$12)-(R38*'Componentes T.H.'!$E$9*'Parametros Generales'!$C$6))</f>
        <v>9155582.8272583056</v>
      </c>
      <c r="Y38" s="876">
        <f>VLOOKUP(C39,Transporte!$B$87:$F$120,4,0)*R38*'Parametros Generales'!$J$14*'Parametros Generales'!$C$6</f>
        <v>3055891.6443145764</v>
      </c>
      <c r="Z38" s="974">
        <f>+(N38+O38+Q38)*'Parametros Generales'!$C$6*'Parametros Generales'!$J$7</f>
        <v>171129.40000000002</v>
      </c>
      <c r="AA38" s="974">
        <f>+SUM(N38:R38)*'Parametros Generales'!$C$6*'Parametros Generales'!$J$8</f>
        <v>1718459.6</v>
      </c>
      <c r="AB38" s="970">
        <f>+M38*'Parametros Generales'!$C$6*'Parametros Generales'!$J$9</f>
        <v>22601553</v>
      </c>
      <c r="AC38" s="970">
        <f>+H38*'Parametros Generales'!$J$10*'Parametros Generales'!$C$6*'Parametros Generales'!$C$11</f>
        <v>64138262.011040017</v>
      </c>
      <c r="AD38" s="974">
        <f>+'Parametros Generales'!$J$11*SUM(N38:R38)</f>
        <v>367338.4</v>
      </c>
      <c r="AE38" s="978">
        <f>+SUM(S38:AD38)</f>
        <v>154691563.89656845</v>
      </c>
      <c r="AF38" s="974">
        <f>+AE38*(SUM('Res de Costos Pais'!G103:G103))</f>
        <v>12375325.111725476</v>
      </c>
      <c r="AG38" s="974">
        <f>+AE38+AF38</f>
        <v>167066889.00829393</v>
      </c>
      <c r="AH38" s="974">
        <f>+AG38*SUM('Res de Costos Pais'!$G$109:$G$110)</f>
        <v>1613866.1478201193</v>
      </c>
      <c r="AI38" s="974">
        <f>+(AG38+AH38)*'Res de Costos Pais'!$G$122</f>
        <v>379531.69910125661</v>
      </c>
      <c r="AJ38" s="974">
        <f>+(AG38+AH38+AI38)*'Res de Costos Pais'!$G$126</f>
        <v>676241.14742086129</v>
      </c>
      <c r="AK38" s="974">
        <f>+AG38+AH38+AI38+AJ38</f>
        <v>169736528.00263616</v>
      </c>
      <c r="AL38" s="741">
        <f>IF(ISERROR((+(AK38/H38)/'Parametros Generales'!$C$6)),0,(+(AK38/H38)/'Parametros Generales'!$C$6))</f>
        <v>40174.326154470102</v>
      </c>
      <c r="AM38" s="971">
        <f>+(AL38/'Parametros Generales'!$C$11)*'Parametros Generales'!$C$14</f>
        <v>6695.721025745017</v>
      </c>
      <c r="AN38" s="971">
        <f>+AM38*H38</f>
        <v>4352218.6667342614</v>
      </c>
      <c r="AO38" s="971">
        <f>+((((IF(H38=0,0,((V38+W38)/'Parametros Generales'!$C$6*'Parametros Generales'!$C$16*'Parametros Generales'!$C$15)/H38))*(1+'Res de Costos Pais'!$G$103))*(1+'Res de Costos Pais'!$G$109+'Res de Costos Pais'!$G$110)*(1+'Res de Costos Pais'!$G$122)*(1+'Res de Costos Pais'!$G$126)))</f>
        <v>3472.4864314643769</v>
      </c>
      <c r="AP38" s="971">
        <f>+AO38*H38</f>
        <v>2257116.1804518448</v>
      </c>
      <c r="AQ38" s="972">
        <f>+AK38+AN38+AP38</f>
        <v>176345862.84982225</v>
      </c>
    </row>
    <row r="39" spans="1:43" s="29" customFormat="1" outlineLevel="1">
      <c r="A39" s="712"/>
      <c r="B39" s="864">
        <v>54</v>
      </c>
      <c r="C39" s="195" t="s">
        <v>532</v>
      </c>
      <c r="D39" s="196"/>
      <c r="E39" s="706"/>
      <c r="F39" s="877"/>
      <c r="G39" s="878"/>
      <c r="H39" s="696">
        <v>650</v>
      </c>
      <c r="I39" s="872"/>
      <c r="J39" s="879"/>
      <c r="K39" s="880"/>
      <c r="L39" s="875"/>
      <c r="M39" s="704">
        <f>+H39/'Parametros Generales'!$C$8</f>
        <v>26</v>
      </c>
      <c r="N39" s="704"/>
      <c r="O39" s="704"/>
      <c r="P39" s="704"/>
      <c r="Q39" s="704"/>
      <c r="R39" s="704">
        <f>+(M39/'Parametros Generales'!$C$9)</f>
        <v>6.5</v>
      </c>
      <c r="S39" s="738"/>
      <c r="T39" s="738"/>
      <c r="U39" s="738"/>
      <c r="V39" s="756"/>
      <c r="W39" s="973"/>
      <c r="X39" s="876"/>
      <c r="Y39" s="974"/>
      <c r="Z39" s="975"/>
      <c r="AA39" s="975"/>
      <c r="AB39" s="976"/>
      <c r="AC39" s="976"/>
      <c r="AD39" s="975"/>
      <c r="AE39" s="975"/>
      <c r="AF39" s="975"/>
      <c r="AG39" s="975"/>
      <c r="AH39" s="975"/>
      <c r="AI39" s="975"/>
      <c r="AJ39" s="975"/>
      <c r="AK39" s="978"/>
      <c r="AL39" s="979"/>
      <c r="AM39" s="977"/>
      <c r="AN39" s="977"/>
      <c r="AO39" s="977"/>
      <c r="AP39" s="977"/>
      <c r="AQ39" s="977"/>
    </row>
    <row r="40" spans="1:43" s="199" customFormat="1" hidden="1">
      <c r="A40" s="713">
        <v>20</v>
      </c>
      <c r="B40" s="866">
        <v>63</v>
      </c>
      <c r="C40" s="197" t="s">
        <v>1534</v>
      </c>
      <c r="D40" s="198"/>
      <c r="E40" s="707" t="s">
        <v>1534</v>
      </c>
      <c r="F40" s="308">
        <f>+SUM(F41:F41)</f>
        <v>0</v>
      </c>
      <c r="G40" s="883"/>
      <c r="H40" s="308">
        <f>+SUM(H41:H41)</f>
        <v>0</v>
      </c>
      <c r="I40" s="872"/>
      <c r="J40" s="873"/>
      <c r="K40" s="874"/>
      <c r="L40" s="875"/>
      <c r="M40" s="699">
        <f>+SUM(M41:M41)</f>
        <v>0</v>
      </c>
      <c r="N40" s="699"/>
      <c r="O40" s="699"/>
      <c r="P40" s="699"/>
      <c r="Q40" s="699">
        <f>+R40/'Parametros Generales'!$C$10</f>
        <v>0</v>
      </c>
      <c r="R40" s="699">
        <f>+SUM(R41:R41)</f>
        <v>0</v>
      </c>
      <c r="S40" s="739"/>
      <c r="T40" s="739"/>
      <c r="U40" s="739"/>
      <c r="V40" s="970">
        <f>+VLOOKUP(V$1,'Componentes T.H.'!$B$4:$R$22,'Componentes T.H.'!$Q$1,0)*'Parametros Generales'!$C$6*'Cost x Depart'!Q40</f>
        <v>0</v>
      </c>
      <c r="W40" s="876">
        <f>+R40*'Componentes T.H.'!$Q$9*'Parametros Generales'!$C$6</f>
        <v>0</v>
      </c>
      <c r="X40" s="755">
        <f>IF((VLOOKUP(C41,Transporte!$B$87:$F$120,4,0)*R40*'Parametros Generales'!$C$12)-(R40*'Componentes T.H.'!$E$9*'Parametros Generales'!$C$6)&lt;0,0,(VLOOKUP(C41,Transporte!$B$87:$F$120,4,0)*R40*'Parametros Generales'!$C$12)-(R40*'Componentes T.H.'!$E$9*'Parametros Generales'!$C$6))</f>
        <v>0</v>
      </c>
      <c r="Y40" s="876">
        <f>VLOOKUP(C41,Transporte!$B$87:$F$120,4,0)*R40*'Parametros Generales'!$J$14*'Parametros Generales'!$C$6</f>
        <v>0</v>
      </c>
      <c r="Z40" s="974">
        <f>+(N40+O40+Q40)*'Parametros Generales'!$C$6*'Parametros Generales'!$J$7</f>
        <v>0</v>
      </c>
      <c r="AA40" s="974">
        <f>+SUM(N40:R40)*'Parametros Generales'!$C$6*'Parametros Generales'!$J$8</f>
        <v>0</v>
      </c>
      <c r="AB40" s="970">
        <f>+M40*'Parametros Generales'!$C$6*'Parametros Generales'!$J$9</f>
        <v>0</v>
      </c>
      <c r="AC40" s="970">
        <f>+H40*'Parametros Generales'!$J$10*'Parametros Generales'!$C$6*'Parametros Generales'!$C$11</f>
        <v>0</v>
      </c>
      <c r="AD40" s="974">
        <f>+'Parametros Generales'!$J$11*SUM(N40:R40)</f>
        <v>0</v>
      </c>
      <c r="AE40" s="978">
        <f>+SUM(S40:AD40)</f>
        <v>0</v>
      </c>
      <c r="AF40" s="974">
        <f>+AE40*(SUM('Res de Costos Pais'!G103:G103))</f>
        <v>0</v>
      </c>
      <c r="AG40" s="974">
        <f>+AE40+AF40</f>
        <v>0</v>
      </c>
      <c r="AH40" s="974">
        <f>+AG40*SUM('Res de Costos Pais'!$G$109:$G$110)</f>
        <v>0</v>
      </c>
      <c r="AI40" s="974">
        <f>+(AG40+AH40)*'Res de Costos Pais'!$G$122</f>
        <v>0</v>
      </c>
      <c r="AJ40" s="974">
        <f>+(AG40+AH40+AI40)*'Res de Costos Pais'!$G$126</f>
        <v>0</v>
      </c>
      <c r="AK40" s="974">
        <f>+AG40+AH40+AI40+AJ40</f>
        <v>0</v>
      </c>
      <c r="AL40" s="741">
        <f>IF(ISERROR((+(AK40/H40)/'Parametros Generales'!$C$6)),0,(+(AK40/H40)/'Parametros Generales'!$C$6))</f>
        <v>0</v>
      </c>
      <c r="AM40" s="971">
        <f>+(AL40/'Parametros Generales'!$C$11)*'Parametros Generales'!$C$14</f>
        <v>0</v>
      </c>
      <c r="AN40" s="971">
        <f>+AM40*H40</f>
        <v>0</v>
      </c>
      <c r="AO40" s="971">
        <f>+((((IF(H40=0,0,((V40+W40)/'Parametros Generales'!$C$6*'Parametros Generales'!$C$16*'Parametros Generales'!$C$15)/H40))*(1+'Res de Costos Pais'!$G$103))*(1+'Res de Costos Pais'!$G$109+'Res de Costos Pais'!$G$110)*(1+'Res de Costos Pais'!$G$122)*(1+'Res de Costos Pais'!$G$126)))*1.001</f>
        <v>0</v>
      </c>
      <c r="AP40" s="971">
        <f>+AO40*H40</f>
        <v>0</v>
      </c>
      <c r="AQ40" s="972">
        <f>+AK40+AN40+AP40</f>
        <v>0</v>
      </c>
    </row>
    <row r="41" spans="1:43" s="29" customFormat="1" hidden="1" outlineLevel="1">
      <c r="A41" s="712"/>
      <c r="B41" s="864">
        <v>63</v>
      </c>
      <c r="C41" s="195" t="s">
        <v>1534</v>
      </c>
      <c r="D41" s="196"/>
      <c r="E41" s="706"/>
      <c r="F41" s="877"/>
      <c r="G41" s="878"/>
      <c r="H41" s="696">
        <v>0</v>
      </c>
      <c r="I41" s="872"/>
      <c r="J41" s="879"/>
      <c r="K41" s="880"/>
      <c r="L41" s="875"/>
      <c r="M41" s="704">
        <f>+H41/'Parametros Generales'!$C$8</f>
        <v>0</v>
      </c>
      <c r="N41" s="704"/>
      <c r="O41" s="704"/>
      <c r="P41" s="704"/>
      <c r="Q41" s="704"/>
      <c r="R41" s="704">
        <f>+(M41/'Parametros Generales'!$C$9)</f>
        <v>0</v>
      </c>
      <c r="S41" s="738"/>
      <c r="T41" s="738"/>
      <c r="U41" s="738"/>
      <c r="V41" s="756"/>
      <c r="W41" s="973"/>
      <c r="X41" s="876"/>
      <c r="Y41" s="974"/>
      <c r="Z41" s="975"/>
      <c r="AA41" s="975"/>
      <c r="AB41" s="976"/>
      <c r="AC41" s="976"/>
      <c r="AD41" s="975"/>
      <c r="AE41" s="975"/>
      <c r="AF41" s="975"/>
      <c r="AG41" s="975"/>
      <c r="AH41" s="975"/>
      <c r="AI41" s="975"/>
      <c r="AJ41" s="975"/>
      <c r="AK41" s="978"/>
      <c r="AL41" s="979"/>
      <c r="AM41" s="977"/>
      <c r="AN41" s="977"/>
      <c r="AO41" s="977"/>
      <c r="AP41" s="977"/>
      <c r="AQ41" s="977"/>
    </row>
    <row r="42" spans="1:43" s="199" customFormat="1" hidden="1">
      <c r="A42" s="713">
        <v>21</v>
      </c>
      <c r="B42" s="866">
        <v>66</v>
      </c>
      <c r="C42" s="197" t="s">
        <v>563</v>
      </c>
      <c r="D42" s="198"/>
      <c r="E42" s="707" t="s">
        <v>563</v>
      </c>
      <c r="F42" s="308">
        <f>+SUM(F43:F43)</f>
        <v>0</v>
      </c>
      <c r="G42" s="883"/>
      <c r="H42" s="308">
        <f>+SUM(H43:H43)</f>
        <v>0</v>
      </c>
      <c r="I42" s="872"/>
      <c r="J42" s="873"/>
      <c r="K42" s="874"/>
      <c r="L42" s="875"/>
      <c r="M42" s="699">
        <f>+SUM(M43:M43)</f>
        <v>0</v>
      </c>
      <c r="N42" s="699"/>
      <c r="O42" s="699"/>
      <c r="P42" s="699"/>
      <c r="Q42" s="699">
        <f>+R42/'Parametros Generales'!$C$10</f>
        <v>0</v>
      </c>
      <c r="R42" s="699">
        <f>+SUM(R43:R43)</f>
        <v>0</v>
      </c>
      <c r="S42" s="739"/>
      <c r="T42" s="739"/>
      <c r="U42" s="739"/>
      <c r="V42" s="970">
        <f>+VLOOKUP(V$1,'Componentes T.H.'!$B$4:$R$22,'Componentes T.H.'!$Q$1,0)*'Parametros Generales'!$C$6*'Cost x Depart'!Q42</f>
        <v>0</v>
      </c>
      <c r="W42" s="876">
        <f>+R42*'Componentes T.H.'!$Q$9*'Parametros Generales'!$C$6</f>
        <v>0</v>
      </c>
      <c r="X42" s="755">
        <f>IF((VLOOKUP(C43,Transporte!$B$87:$F$120,4,0)*R42*'Parametros Generales'!$C$12)-(R42*'Componentes T.H.'!$E$9*'Parametros Generales'!$C$6)&lt;0,0,(VLOOKUP(C43,Transporte!$B$87:$F$120,4,0)*R42*'Parametros Generales'!$C$12)-(R42*'Componentes T.H.'!$E$9*'Parametros Generales'!$C$6))</f>
        <v>0</v>
      </c>
      <c r="Y42" s="876">
        <f>VLOOKUP(C43,Transporte!$B$87:$F$120,4,0)*R42*'Parametros Generales'!$J$14*'Parametros Generales'!$C$6</f>
        <v>0</v>
      </c>
      <c r="Z42" s="974">
        <f>+(N42+O42+Q42)*'Parametros Generales'!$C$6*'Parametros Generales'!$J$7</f>
        <v>0</v>
      </c>
      <c r="AA42" s="974">
        <f>+SUM(N42:R42)*'Parametros Generales'!$C$6*'Parametros Generales'!$J$8</f>
        <v>0</v>
      </c>
      <c r="AB42" s="970">
        <f>+M42*'Parametros Generales'!$C$6*'Parametros Generales'!$J$9</f>
        <v>0</v>
      </c>
      <c r="AC42" s="970">
        <f>+H42*'Parametros Generales'!$J$10*'Parametros Generales'!$C$6*'Parametros Generales'!$C$11</f>
        <v>0</v>
      </c>
      <c r="AD42" s="974">
        <f>+'Parametros Generales'!$J$11*SUM(N42:R42)</f>
        <v>0</v>
      </c>
      <c r="AE42" s="978">
        <f>+SUM(S42:AD42)</f>
        <v>0</v>
      </c>
      <c r="AF42" s="974">
        <f>+AE42*(SUM('Res de Costos Pais'!G103:G103))</f>
        <v>0</v>
      </c>
      <c r="AG42" s="974">
        <f>+AE42+AF42</f>
        <v>0</v>
      </c>
      <c r="AH42" s="974">
        <f>+AG42*SUM('Res de Costos Pais'!$G$109:$G$110)</f>
        <v>0</v>
      </c>
      <c r="AI42" s="974">
        <f>+(AG42+AH42)*'Res de Costos Pais'!$G$122</f>
        <v>0</v>
      </c>
      <c r="AJ42" s="974">
        <f>+(AG42+AH42+AI42)*'Res de Costos Pais'!$G$126</f>
        <v>0</v>
      </c>
      <c r="AK42" s="974">
        <f>+AG42+AH42+AI42+AJ42</f>
        <v>0</v>
      </c>
      <c r="AL42" s="741">
        <f>IF(ISERROR((+(AK42/H42)/'Parametros Generales'!$C$6)),0,(+(AK42/H42)/'Parametros Generales'!$C$6))</f>
        <v>0</v>
      </c>
      <c r="AM42" s="971">
        <f>+(AL42/'Parametros Generales'!$C$11)*'Parametros Generales'!$C$14</f>
        <v>0</v>
      </c>
      <c r="AN42" s="971">
        <f>+AM42*H42</f>
        <v>0</v>
      </c>
      <c r="AO42" s="971">
        <f>+((((IF(H42=0,0,((V42+W42)/'Parametros Generales'!$C$6*'Parametros Generales'!$C$16*'Parametros Generales'!$C$15)/H42))*(1+'Res de Costos Pais'!$G$103))*(1+'Res de Costos Pais'!$G$109+'Res de Costos Pais'!$G$110)*(1+'Res de Costos Pais'!$G$122)*(1+'Res de Costos Pais'!$G$126)))*1.001</f>
        <v>0</v>
      </c>
      <c r="AP42" s="971">
        <f>+AO42*H42</f>
        <v>0</v>
      </c>
      <c r="AQ42" s="972">
        <f>+AK42+AN42+AP42</f>
        <v>0</v>
      </c>
    </row>
    <row r="43" spans="1:43" s="29" customFormat="1" hidden="1" outlineLevel="1">
      <c r="A43" s="712"/>
      <c r="B43" s="864">
        <v>66</v>
      </c>
      <c r="C43" s="195" t="s">
        <v>563</v>
      </c>
      <c r="D43" s="196"/>
      <c r="E43" s="706"/>
      <c r="F43" s="877"/>
      <c r="G43" s="878"/>
      <c r="H43" s="696">
        <v>0</v>
      </c>
      <c r="I43" s="872"/>
      <c r="J43" s="879"/>
      <c r="K43" s="880"/>
      <c r="L43" s="875"/>
      <c r="M43" s="704">
        <f>+H43/'Parametros Generales'!$C$8</f>
        <v>0</v>
      </c>
      <c r="N43" s="704"/>
      <c r="O43" s="704"/>
      <c r="P43" s="704"/>
      <c r="Q43" s="704"/>
      <c r="R43" s="704">
        <f>+(M43/'Parametros Generales'!$C$9)</f>
        <v>0</v>
      </c>
      <c r="S43" s="738"/>
      <c r="T43" s="738"/>
      <c r="U43" s="738"/>
      <c r="V43" s="756"/>
      <c r="W43" s="973"/>
      <c r="X43" s="876"/>
      <c r="Y43" s="974"/>
      <c r="Z43" s="975"/>
      <c r="AA43" s="975"/>
      <c r="AB43" s="976"/>
      <c r="AC43" s="976"/>
      <c r="AD43" s="975"/>
      <c r="AE43" s="975"/>
      <c r="AF43" s="975"/>
      <c r="AG43" s="975"/>
      <c r="AH43" s="975"/>
      <c r="AI43" s="975"/>
      <c r="AJ43" s="975"/>
      <c r="AK43" s="978"/>
      <c r="AL43" s="979"/>
      <c r="AM43" s="977"/>
      <c r="AN43" s="977"/>
      <c r="AO43" s="977"/>
      <c r="AP43" s="977"/>
      <c r="AQ43" s="977"/>
    </row>
    <row r="44" spans="1:43" s="199" customFormat="1" hidden="1">
      <c r="A44" s="713">
        <v>22</v>
      </c>
      <c r="B44" s="866">
        <v>68</v>
      </c>
      <c r="C44" s="197" t="s">
        <v>572</v>
      </c>
      <c r="D44" s="198"/>
      <c r="E44" s="707" t="s">
        <v>572</v>
      </c>
      <c r="F44" s="308">
        <f>+SUM(F45:F45)</f>
        <v>0</v>
      </c>
      <c r="G44" s="883"/>
      <c r="H44" s="308">
        <f>+SUM(H45:H45)</f>
        <v>0</v>
      </c>
      <c r="I44" s="872"/>
      <c r="J44" s="873"/>
      <c r="K44" s="874"/>
      <c r="L44" s="875"/>
      <c r="M44" s="699">
        <f>+SUM(M45:M45)</f>
        <v>0</v>
      </c>
      <c r="N44" s="699"/>
      <c r="O44" s="699"/>
      <c r="P44" s="699"/>
      <c r="Q44" s="699">
        <f>+R44/'Parametros Generales'!$C$10</f>
        <v>0</v>
      </c>
      <c r="R44" s="699">
        <f>+SUM(R45:R45)</f>
        <v>0</v>
      </c>
      <c r="S44" s="739"/>
      <c r="T44" s="739"/>
      <c r="U44" s="739"/>
      <c r="V44" s="970">
        <f>+VLOOKUP(V$1,'Componentes T.H.'!$B$4:$R$22,'Componentes T.H.'!$Q$1,0)*'Parametros Generales'!$C$6*'Cost x Depart'!Q44</f>
        <v>0</v>
      </c>
      <c r="W44" s="876">
        <f>+R44*'Componentes T.H.'!$Q$9*'Parametros Generales'!$C$6</f>
        <v>0</v>
      </c>
      <c r="X44" s="755">
        <f>IF((VLOOKUP(C45,Transporte!$B$87:$F$120,4,0)*R44*'Parametros Generales'!$C$12)-(R44*'Componentes T.H.'!$E$9*'Parametros Generales'!$C$6)&lt;0,0,(VLOOKUP(C45,Transporte!$B$87:$F$120,4,0)*R44*'Parametros Generales'!$C$12)-(R44*'Componentes T.H.'!$E$9*'Parametros Generales'!$C$6))</f>
        <v>0</v>
      </c>
      <c r="Y44" s="876">
        <f>VLOOKUP(C45,Transporte!$B$87:$F$120,4,0)*R44*'Parametros Generales'!$J$14*'Parametros Generales'!$C$6</f>
        <v>0</v>
      </c>
      <c r="Z44" s="974">
        <f>+(N44+O44+Q44)*'Parametros Generales'!$C$6*'Parametros Generales'!$J$7</f>
        <v>0</v>
      </c>
      <c r="AA44" s="974">
        <f>+SUM(N44:R44)*'Parametros Generales'!$C$6*'Parametros Generales'!$J$8</f>
        <v>0</v>
      </c>
      <c r="AB44" s="970">
        <f>+M44*'Parametros Generales'!$C$6*'Parametros Generales'!$J$9</f>
        <v>0</v>
      </c>
      <c r="AC44" s="970">
        <f>+H44*'Parametros Generales'!$J$10*'Parametros Generales'!$C$6*'Parametros Generales'!$C$11</f>
        <v>0</v>
      </c>
      <c r="AD44" s="974">
        <f>+'Parametros Generales'!$J$11*SUM(N44:R44)</f>
        <v>0</v>
      </c>
      <c r="AE44" s="978">
        <f>+SUM(S44:AD44)</f>
        <v>0</v>
      </c>
      <c r="AF44" s="974">
        <f>+AE44*(SUM('Res de Costos Pais'!G103:G103))</f>
        <v>0</v>
      </c>
      <c r="AG44" s="974">
        <f>+AE44+AF44</f>
        <v>0</v>
      </c>
      <c r="AH44" s="974">
        <f>+AG44*SUM('Res de Costos Pais'!$G$109:$G$110)</f>
        <v>0</v>
      </c>
      <c r="AI44" s="974">
        <f>+(AG44+AH44)*'Res de Costos Pais'!$G$122</f>
        <v>0</v>
      </c>
      <c r="AJ44" s="974">
        <f>+(AG44+AH44+AI44)*'Res de Costos Pais'!$G$126</f>
        <v>0</v>
      </c>
      <c r="AK44" s="974">
        <f>+AG44+AH44+AI44+AJ44</f>
        <v>0</v>
      </c>
      <c r="AL44" s="741">
        <f>IF(ISERROR((+(AK44/H44)/'Parametros Generales'!$C$6)),0,(+(AK44/H44)/'Parametros Generales'!$C$6))</f>
        <v>0</v>
      </c>
      <c r="AM44" s="971">
        <f>+(AL44/'Parametros Generales'!$C$11)*'Parametros Generales'!$C$14</f>
        <v>0</v>
      </c>
      <c r="AN44" s="971">
        <f>+AM44*H44</f>
        <v>0</v>
      </c>
      <c r="AO44" s="971">
        <f>+((((IF(H44=0,0,((V44+W44)/'Parametros Generales'!$C$6*'Parametros Generales'!$C$16*'Parametros Generales'!$C$15)/H44))*(1+'Res de Costos Pais'!$G$103))*(1+'Res de Costos Pais'!$G$109+'Res de Costos Pais'!$G$110)*(1+'Res de Costos Pais'!$G$122)*(1+'Res de Costos Pais'!$G$126)))*1.001</f>
        <v>0</v>
      </c>
      <c r="AP44" s="971">
        <f>+AO44*H44</f>
        <v>0</v>
      </c>
      <c r="AQ44" s="972">
        <f>+AK44+AN44+AP44</f>
        <v>0</v>
      </c>
    </row>
    <row r="45" spans="1:43" s="29" customFormat="1" hidden="1" outlineLevel="1">
      <c r="A45" s="712"/>
      <c r="B45" s="864">
        <v>68</v>
      </c>
      <c r="C45" s="195" t="s">
        <v>572</v>
      </c>
      <c r="D45" s="196"/>
      <c r="E45" s="706"/>
      <c r="F45" s="877"/>
      <c r="G45" s="878"/>
      <c r="H45" s="696">
        <v>0</v>
      </c>
      <c r="I45" s="872"/>
      <c r="J45" s="879"/>
      <c r="K45" s="880"/>
      <c r="L45" s="875"/>
      <c r="M45" s="704">
        <f>+H45/'Parametros Generales'!$C$8</f>
        <v>0</v>
      </c>
      <c r="N45" s="704"/>
      <c r="O45" s="704"/>
      <c r="P45" s="704"/>
      <c r="Q45" s="704"/>
      <c r="R45" s="704">
        <f>+(M45/'Parametros Generales'!$C$9)</f>
        <v>0</v>
      </c>
      <c r="S45" s="738"/>
      <c r="T45" s="738"/>
      <c r="U45" s="738"/>
      <c r="V45" s="756"/>
      <c r="W45" s="973"/>
      <c r="X45" s="876"/>
      <c r="Y45" s="974"/>
      <c r="Z45" s="975"/>
      <c r="AA45" s="975"/>
      <c r="AB45" s="976"/>
      <c r="AC45" s="976"/>
      <c r="AD45" s="975"/>
      <c r="AE45" s="975"/>
      <c r="AF45" s="975"/>
      <c r="AG45" s="975"/>
      <c r="AH45" s="975"/>
      <c r="AI45" s="975"/>
      <c r="AJ45" s="975"/>
      <c r="AK45" s="978"/>
      <c r="AL45" s="979"/>
      <c r="AM45" s="977"/>
      <c r="AN45" s="977"/>
      <c r="AO45" s="977"/>
      <c r="AP45" s="977"/>
      <c r="AQ45" s="977"/>
    </row>
    <row r="46" spans="1:43" s="199" customFormat="1">
      <c r="A46" s="713">
        <v>23</v>
      </c>
      <c r="B46" s="866">
        <v>70</v>
      </c>
      <c r="C46" s="197" t="s">
        <v>595</v>
      </c>
      <c r="D46" s="198"/>
      <c r="E46" s="707" t="s">
        <v>595</v>
      </c>
      <c r="F46" s="308">
        <f>+SUM(F47:F47)</f>
        <v>0</v>
      </c>
      <c r="G46" s="883"/>
      <c r="H46" s="308">
        <f>+SUM(H47:H47)</f>
        <v>450</v>
      </c>
      <c r="I46" s="872"/>
      <c r="J46" s="873"/>
      <c r="K46" s="874"/>
      <c r="L46" s="875"/>
      <c r="M46" s="699">
        <f>+SUM(M47:M47)</f>
        <v>18</v>
      </c>
      <c r="N46" s="699"/>
      <c r="O46" s="699"/>
      <c r="P46" s="699"/>
      <c r="Q46" s="699">
        <f>+R46/'Parametros Generales'!$C$10</f>
        <v>0.45</v>
      </c>
      <c r="R46" s="699">
        <f>+SUM(R47:R47)</f>
        <v>4.5</v>
      </c>
      <c r="S46" s="739"/>
      <c r="T46" s="739"/>
      <c r="U46" s="739"/>
      <c r="V46" s="970">
        <f>+VLOOKUP(V$1,'Componentes T.H.'!$B$4:$R$22,'Componentes T.H.'!$Q$1,0)*'Parametros Generales'!$C$6*'Cost x Depart'!Q46</f>
        <v>6020105.6918125497</v>
      </c>
      <c r="W46" s="876">
        <f>+R46*'Componentes T.H.'!$Q$9*'Parametros Generales'!$C$6</f>
        <v>31006826.856310509</v>
      </c>
      <c r="X46" s="755">
        <f>IF((VLOOKUP(C47,Transporte!$B$87:$F$120,4,0)*R46*'Parametros Generales'!$C$12)-(R46*'Componentes T.H.'!$E$9*'Parametros Generales'!$C$6)&lt;0,0,(VLOOKUP(C47,Transporte!$B$87:$F$120,4,0)*R46*'Parametros Generales'!$C$12)-(R46*'Componentes T.H.'!$E$9*'Parametros Generales'!$C$6))</f>
        <v>7084943.9700182136</v>
      </c>
      <c r="Y46" s="876">
        <f>VLOOKUP(C47,Transporte!$B$87:$F$120,4,0)*R46*'Parametros Generales'!$J$14*'Parametros Generales'!$C$6</f>
        <v>2302233.1800045534</v>
      </c>
      <c r="Z46" s="974">
        <f>+(N46+O46+Q46)*'Parametros Generales'!$C$6*'Parametros Generales'!$J$7</f>
        <v>118474.20000000001</v>
      </c>
      <c r="AA46" s="974">
        <f>+SUM(N46:R46)*'Parametros Generales'!$C$6*'Parametros Generales'!$J$8</f>
        <v>1189702.8</v>
      </c>
      <c r="AB46" s="970">
        <f>+M46*'Parametros Generales'!$C$6*'Parametros Generales'!$J$9</f>
        <v>15647229</v>
      </c>
      <c r="AC46" s="970">
        <f>+H46*'Parametros Generales'!$J$10*'Parametros Generales'!$C$6*'Parametros Generales'!$C$11</f>
        <v>44403412.161489248</v>
      </c>
      <c r="AD46" s="974">
        <f>+'Parametros Generales'!$J$11*SUM(N46:R46)</f>
        <v>254311.2</v>
      </c>
      <c r="AE46" s="978">
        <f>+SUM(S46:AD46)</f>
        <v>108027239.05963509</v>
      </c>
      <c r="AF46" s="974">
        <f>+AE46*(SUM('Res de Costos Pais'!G103:G103))</f>
        <v>8642179.1247708071</v>
      </c>
      <c r="AG46" s="974">
        <f>+AE46+AF46</f>
        <v>116669418.18440589</v>
      </c>
      <c r="AH46" s="974">
        <f>+AG46*SUM('Res de Costos Pais'!$G$109:$G$110)</f>
        <v>1127026.5796613609</v>
      </c>
      <c r="AI46" s="974">
        <f>+(AG46+AH46)*'Res de Costos Pais'!$G$122</f>
        <v>265042.00071915134</v>
      </c>
      <c r="AJ46" s="974">
        <f>+(AG46+AH46+AI46)*'Res de Costos Pais'!$G$126</f>
        <v>472245.9470591456</v>
      </c>
      <c r="AK46" s="974">
        <f>+AG46+AH46+AI46+AJ46</f>
        <v>118533732.71184553</v>
      </c>
      <c r="AL46" s="741">
        <f>IF(ISERROR((+(AK46/H46)/'Parametros Generales'!$C$6)),0,(+(AK46/H46)/'Parametros Generales'!$C$6))</f>
        <v>40524.353063878822</v>
      </c>
      <c r="AM46" s="971">
        <f>+(AL46/'Parametros Generales'!$C$11)*'Parametros Generales'!$C$14</f>
        <v>6754.0588439798039</v>
      </c>
      <c r="AN46" s="971">
        <f>+AM46*H46</f>
        <v>3039326.4797909115</v>
      </c>
      <c r="AO46" s="971">
        <f>+((((IF(H46=0,0,((V46+W46)/'Parametros Generales'!$C$6*'Parametros Generales'!$C$16*'Parametros Generales'!$C$15)/H46))*(1+'Res de Costos Pais'!$G$103))*(1+'Res de Costos Pais'!$G$109+'Res de Costos Pais'!$G$110)*(1+'Res de Costos Pais'!$G$122)*(1+'Res de Costos Pais'!$G$126)))</f>
        <v>3472.4864314643769</v>
      </c>
      <c r="AP46" s="971">
        <f>+AO46*H46</f>
        <v>1562618.8941589696</v>
      </c>
      <c r="AQ46" s="972">
        <f>+AK46+AN46+AP46</f>
        <v>123135678.08579542</v>
      </c>
    </row>
    <row r="47" spans="1:43" s="29" customFormat="1" outlineLevel="1">
      <c r="A47" s="712"/>
      <c r="B47" s="864">
        <v>70</v>
      </c>
      <c r="C47" s="195" t="s">
        <v>595</v>
      </c>
      <c r="D47" s="196"/>
      <c r="E47" s="706"/>
      <c r="F47" s="877"/>
      <c r="G47" s="878"/>
      <c r="H47" s="696">
        <v>450</v>
      </c>
      <c r="I47" s="872"/>
      <c r="J47" s="879"/>
      <c r="K47" s="880"/>
      <c r="L47" s="875"/>
      <c r="M47" s="704">
        <f>+H47/'Parametros Generales'!$C$8</f>
        <v>18</v>
      </c>
      <c r="N47" s="704"/>
      <c r="O47" s="704"/>
      <c r="P47" s="704"/>
      <c r="Q47" s="704"/>
      <c r="R47" s="704">
        <f>+(M47/'Parametros Generales'!$C$9)</f>
        <v>4.5</v>
      </c>
      <c r="S47" s="738"/>
      <c r="T47" s="738"/>
      <c r="U47" s="738"/>
      <c r="V47" s="756"/>
      <c r="W47" s="973"/>
      <c r="X47" s="876"/>
      <c r="Y47" s="974"/>
      <c r="Z47" s="975"/>
      <c r="AA47" s="975"/>
      <c r="AB47" s="976"/>
      <c r="AC47" s="976"/>
      <c r="AD47" s="975"/>
      <c r="AE47" s="975"/>
      <c r="AF47" s="975"/>
      <c r="AG47" s="975"/>
      <c r="AH47" s="975"/>
      <c r="AI47" s="975"/>
      <c r="AJ47" s="975"/>
      <c r="AK47" s="978"/>
      <c r="AL47" s="979"/>
      <c r="AM47" s="977"/>
      <c r="AN47" s="977"/>
      <c r="AO47" s="977"/>
      <c r="AP47" s="977"/>
      <c r="AQ47" s="977"/>
    </row>
    <row r="48" spans="1:43" s="199" customFormat="1">
      <c r="A48" s="713">
        <v>24</v>
      </c>
      <c r="B48" s="866">
        <v>73</v>
      </c>
      <c r="C48" s="197" t="s">
        <v>622</v>
      </c>
      <c r="D48" s="198"/>
      <c r="E48" s="707" t="s">
        <v>622</v>
      </c>
      <c r="F48" s="308">
        <f>+SUM(F49:F49)</f>
        <v>0</v>
      </c>
      <c r="G48" s="883"/>
      <c r="H48" s="308">
        <f>+SUM(H49:H49)</f>
        <v>600</v>
      </c>
      <c r="I48" s="872"/>
      <c r="J48" s="873"/>
      <c r="K48" s="874"/>
      <c r="L48" s="875"/>
      <c r="M48" s="699">
        <f>+SUM(M49:M49)</f>
        <v>24</v>
      </c>
      <c r="N48" s="699"/>
      <c r="O48" s="699"/>
      <c r="P48" s="699"/>
      <c r="Q48" s="699">
        <f>+R48/'Parametros Generales'!$C$10</f>
        <v>0.6</v>
      </c>
      <c r="R48" s="699">
        <f>+SUM(R49:R49)</f>
        <v>6</v>
      </c>
      <c r="S48" s="739"/>
      <c r="T48" s="739"/>
      <c r="U48" s="739"/>
      <c r="V48" s="970">
        <f>+VLOOKUP(V$1,'Componentes T.H.'!$B$4:$R$22,'Componentes T.H.'!$Q$1,0)*'Parametros Generales'!$C$6*'Cost x Depart'!Q48</f>
        <v>8026807.5890833996</v>
      </c>
      <c r="W48" s="876">
        <f>+R48*'Componentes T.H.'!$Q$9*'Parametros Generales'!$C$6</f>
        <v>41342435.808414012</v>
      </c>
      <c r="X48" s="755">
        <f>IF((VLOOKUP(C49,Transporte!$B$87:$F$120,4,0)*R48*'Parametros Generales'!$C$12)-(R48*'Componentes T.H.'!$E$9*'Parametros Generales'!$C$6)&lt;0,0,(VLOOKUP(C49,Transporte!$B$87:$F$120,4,0)*R48*'Parametros Generales'!$C$12)-(R48*'Componentes T.H.'!$E$9*'Parametros Generales'!$C$6))</f>
        <v>6735279.8847583383</v>
      </c>
      <c r="Y48" s="876">
        <f>VLOOKUP(C49,Transporte!$B$87:$F$120,4,0)*R48*'Parametros Generales'!$J$14*'Parametros Generales'!$C$6</f>
        <v>2391816.2211895846</v>
      </c>
      <c r="Z48" s="974">
        <f>+(N48+O48+Q48)*'Parametros Generales'!$C$6*'Parametros Generales'!$J$7</f>
        <v>157965.6</v>
      </c>
      <c r="AA48" s="974">
        <f>+SUM(N48:R48)*'Parametros Generales'!$C$6*'Parametros Generales'!$J$8</f>
        <v>1586270.4</v>
      </c>
      <c r="AB48" s="970">
        <f>+M48*'Parametros Generales'!$C$6*'Parametros Generales'!$J$9</f>
        <v>20862972</v>
      </c>
      <c r="AC48" s="970">
        <f>+H48*'Parametros Generales'!$J$10*'Parametros Generales'!$C$6*'Parametros Generales'!$C$11</f>
        <v>59204549.548652329</v>
      </c>
      <c r="AD48" s="974">
        <f>+'Parametros Generales'!$J$11*SUM(N48:R48)</f>
        <v>339081.6</v>
      </c>
      <c r="AE48" s="978">
        <f>+SUM(S48:AD48)</f>
        <v>140647178.65209767</v>
      </c>
      <c r="AF48" s="974">
        <f>+AE48*(SUM('Res de Costos Pais'!G103:G103))</f>
        <v>11251774.292167814</v>
      </c>
      <c r="AG48" s="974">
        <f>+AE48+AF48</f>
        <v>151898952.94426548</v>
      </c>
      <c r="AH48" s="974">
        <f>+AG48*SUM('Res de Costos Pais'!$G$109:$G$110)</f>
        <v>1467343.8854416045</v>
      </c>
      <c r="AI48" s="974">
        <f>+(AG48+AH48)*'Res de Costos Pais'!$G$122</f>
        <v>345074.16786684096</v>
      </c>
      <c r="AJ48" s="974">
        <f>+(AG48+AH48+AI48)*'Res de Costos Pais'!$G$126</f>
        <v>614845.48399029567</v>
      </c>
      <c r="AK48" s="974">
        <f>+AG48+AH48+AI48+AJ48</f>
        <v>154326216.48156419</v>
      </c>
      <c r="AL48" s="741">
        <f>IF(ISERROR((+(AK48/H48)/'Parametros Generales'!$C$6)),0,(+(AK48/H48)/'Parametros Generales'!$C$6))</f>
        <v>39570.824738862619</v>
      </c>
      <c r="AM48" s="971">
        <f>+(AL48/'Parametros Generales'!$C$11)*'Parametros Generales'!$C$14</f>
        <v>6595.1374564771031</v>
      </c>
      <c r="AN48" s="971">
        <f>+AM48*H48</f>
        <v>3957082.4738862617</v>
      </c>
      <c r="AO48" s="971">
        <f>+((((IF(H48=0,0,((V48+W48)/'Parametros Generales'!$C$6*'Parametros Generales'!$C$16*'Parametros Generales'!$C$15)/H48))*(1+'Res de Costos Pais'!$G$103))*(1+'Res de Costos Pais'!$G$109+'Res de Costos Pais'!$G$110)*(1+'Res de Costos Pais'!$G$122)*(1+'Res de Costos Pais'!$G$126)))</f>
        <v>3472.4864314643764</v>
      </c>
      <c r="AP48" s="971">
        <f>+AO48*H48</f>
        <v>2083491.8588786258</v>
      </c>
      <c r="AQ48" s="972">
        <f>+AK48+AN48+AP48</f>
        <v>160366790.81432906</v>
      </c>
    </row>
    <row r="49" spans="1:43" s="29" customFormat="1" outlineLevel="1">
      <c r="A49" s="712"/>
      <c r="B49" s="864">
        <v>73</v>
      </c>
      <c r="C49" s="195" t="s">
        <v>622</v>
      </c>
      <c r="D49" s="196"/>
      <c r="E49" s="706"/>
      <c r="F49" s="877"/>
      <c r="G49" s="878"/>
      <c r="H49" s="696">
        <v>600</v>
      </c>
      <c r="I49" s="872"/>
      <c r="J49" s="879"/>
      <c r="K49" s="880"/>
      <c r="L49" s="875"/>
      <c r="M49" s="704">
        <f>+H49/'Parametros Generales'!$C$8</f>
        <v>24</v>
      </c>
      <c r="N49" s="704"/>
      <c r="O49" s="704"/>
      <c r="P49" s="704"/>
      <c r="Q49" s="704"/>
      <c r="R49" s="704">
        <f>+(M49/'Parametros Generales'!$C$9)</f>
        <v>6</v>
      </c>
      <c r="S49" s="738"/>
      <c r="T49" s="738"/>
      <c r="U49" s="738"/>
      <c r="V49" s="756"/>
      <c r="W49" s="973"/>
      <c r="X49" s="876"/>
      <c r="Y49" s="974"/>
      <c r="Z49" s="975"/>
      <c r="AA49" s="975"/>
      <c r="AB49" s="976"/>
      <c r="AC49" s="976"/>
      <c r="AD49" s="975"/>
      <c r="AE49" s="975"/>
      <c r="AF49" s="975"/>
      <c r="AG49" s="975"/>
      <c r="AH49" s="975"/>
      <c r="AI49" s="975"/>
      <c r="AJ49" s="975"/>
      <c r="AK49" s="978"/>
      <c r="AL49" s="979"/>
      <c r="AM49" s="977"/>
      <c r="AN49" s="977"/>
      <c r="AO49" s="977"/>
      <c r="AP49" s="977"/>
      <c r="AQ49" s="977"/>
    </row>
    <row r="50" spans="1:43" s="199" customFormat="1">
      <c r="A50" s="713">
        <v>25</v>
      </c>
      <c r="B50" s="866">
        <v>76</v>
      </c>
      <c r="C50" s="197" t="s">
        <v>648</v>
      </c>
      <c r="D50" s="198"/>
      <c r="E50" s="707" t="s">
        <v>648</v>
      </c>
      <c r="F50" s="308">
        <f>+SUM(F51:F51)</f>
        <v>0</v>
      </c>
      <c r="G50" s="883"/>
      <c r="H50" s="308">
        <f>+SUM(H51:H51)</f>
        <v>700</v>
      </c>
      <c r="I50" s="872"/>
      <c r="J50" s="873"/>
      <c r="K50" s="874"/>
      <c r="L50" s="875"/>
      <c r="M50" s="699">
        <f>+SUM(M51:M51)</f>
        <v>28</v>
      </c>
      <c r="N50" s="699"/>
      <c r="O50" s="699"/>
      <c r="P50" s="699"/>
      <c r="Q50" s="699">
        <f>+R50/'Parametros Generales'!$C$10</f>
        <v>0.7</v>
      </c>
      <c r="R50" s="699">
        <f>+SUM(R51:R51)</f>
        <v>7</v>
      </c>
      <c r="S50" s="739"/>
      <c r="T50" s="739"/>
      <c r="U50" s="739"/>
      <c r="V50" s="970">
        <f>+VLOOKUP(V$1,'Componentes T.H.'!$B$4:$R$22,'Componentes T.H.'!$Q$1,0)*'Parametros Generales'!$C$6*'Cost x Depart'!Q50</f>
        <v>9364608.8539306335</v>
      </c>
      <c r="W50" s="876">
        <f>+R50*'Componentes T.H.'!$Q$9*'Parametros Generales'!$C$6</f>
        <v>48232841.776483022</v>
      </c>
      <c r="X50" s="755">
        <f>IF((VLOOKUP(C51,Transporte!$B$87:$F$120,4,0)*R50*'Parametros Generales'!$C$12)-(R50*'Componentes T.H.'!$E$9*'Parametros Generales'!$C$6)&lt;0,0,(VLOOKUP(C51,Transporte!$B$87:$F$120,4,0)*R50*'Parametros Generales'!$C$12)-(R50*'Componentes T.H.'!$E$9*'Parametros Generales'!$C$6))</f>
        <v>1483959.9386700168</v>
      </c>
      <c r="Y50" s="876">
        <f>VLOOKUP(C51,Transporte!$B$87:$F$120,4,0)*R50*'Parametros Generales'!$J$14*'Parametros Generales'!$C$6</f>
        <v>1196985.6096675042</v>
      </c>
      <c r="Z50" s="974">
        <f>+(N50+O50+Q50)*'Parametros Generales'!$C$6*'Parametros Generales'!$J$7</f>
        <v>184293.19999999998</v>
      </c>
      <c r="AA50" s="974">
        <f>+SUM(N50:R50)*'Parametros Generales'!$C$6*'Parametros Generales'!$J$8</f>
        <v>1850648.8</v>
      </c>
      <c r="AB50" s="970">
        <f>+M50*'Parametros Generales'!$C$6*'Parametros Generales'!$J$9</f>
        <v>24340134</v>
      </c>
      <c r="AC50" s="970">
        <f>+H50*'Parametros Generales'!$J$10*'Parametros Generales'!$C$6*'Parametros Generales'!$C$11</f>
        <v>69071974.473427728</v>
      </c>
      <c r="AD50" s="974">
        <f>+'Parametros Generales'!$J$11*SUM(N50:R50)</f>
        <v>395595.2</v>
      </c>
      <c r="AE50" s="978">
        <f>+SUM(S50:AD50)</f>
        <v>156121041.85217887</v>
      </c>
      <c r="AF50" s="974">
        <f>+AE50*(SUM('Res de Costos Pais'!G103:G103))</f>
        <v>12489683.348174309</v>
      </c>
      <c r="AG50" s="974">
        <f>+AE50+AF50</f>
        <v>168610725.20035318</v>
      </c>
      <c r="AH50" s="974">
        <f>+AG50*SUM('Res de Costos Pais'!$G$109:$G$110)</f>
        <v>1628779.6054354117</v>
      </c>
      <c r="AI50" s="974">
        <f>+(AG50+AH50)*'Res de Costos Pais'!$G$122</f>
        <v>383038.88581302436</v>
      </c>
      <c r="AJ50" s="974">
        <f>+(AG50+AH50+AI50)*'Res de Costos Pais'!$G$126</f>
        <v>682490.17476640642</v>
      </c>
      <c r="AK50" s="974">
        <f>+AG50+AH50+AI50+AJ50</f>
        <v>171305033.866368</v>
      </c>
      <c r="AL50" s="741">
        <f>IF(ISERROR((+(AK50/H50)/'Parametros Generales'!$C$6)),0,(+(AK50/H50)/'Parametros Generales'!$C$6))</f>
        <v>37649.457992608353</v>
      </c>
      <c r="AM50" s="971">
        <f>+(AL50/'Parametros Generales'!$C$11)*'Parametros Generales'!$C$14</f>
        <v>6274.9096654347259</v>
      </c>
      <c r="AN50" s="971">
        <f>+AM50*H50</f>
        <v>4392436.7658043085</v>
      </c>
      <c r="AO50" s="971">
        <f>+((((IF(H50=0,0,((V50+W50)/'Parametros Generales'!$C$6*'Parametros Generales'!$C$16*'Parametros Generales'!$C$15)/H50))*(1+'Res de Costos Pais'!$G$103))*(1+'Res de Costos Pais'!$G$109+'Res de Costos Pais'!$G$110)*(1+'Res de Costos Pais'!$G$122)*(1+'Res de Costos Pais'!$G$126)))</f>
        <v>3472.4864314643764</v>
      </c>
      <c r="AP50" s="971">
        <f>+AO50*H50</f>
        <v>2430740.5020250636</v>
      </c>
      <c r="AQ50" s="972">
        <f>+AK50+AN50+AP50</f>
        <v>178128211.13419738</v>
      </c>
    </row>
    <row r="51" spans="1:43" s="29" customFormat="1" outlineLevel="1">
      <c r="A51" s="712"/>
      <c r="B51" s="864">
        <v>76</v>
      </c>
      <c r="C51" s="195" t="s">
        <v>648</v>
      </c>
      <c r="D51" s="196"/>
      <c r="E51" s="706"/>
      <c r="F51" s="877"/>
      <c r="G51" s="878"/>
      <c r="H51" s="696">
        <v>700</v>
      </c>
      <c r="I51" s="872"/>
      <c r="J51" s="879"/>
      <c r="K51" s="880"/>
      <c r="L51" s="875"/>
      <c r="M51" s="704">
        <f>+H51/'Parametros Generales'!$C$8</f>
        <v>28</v>
      </c>
      <c r="N51" s="704"/>
      <c r="O51" s="704"/>
      <c r="P51" s="704"/>
      <c r="Q51" s="704"/>
      <c r="R51" s="704">
        <f>+(M51/'Parametros Generales'!$C$9)</f>
        <v>7</v>
      </c>
      <c r="S51" s="738"/>
      <c r="T51" s="738"/>
      <c r="U51" s="738"/>
      <c r="V51" s="756"/>
      <c r="W51" s="973"/>
      <c r="X51" s="876"/>
      <c r="Y51" s="974"/>
      <c r="Z51" s="975"/>
      <c r="AA51" s="975"/>
      <c r="AB51" s="976"/>
      <c r="AC51" s="976"/>
      <c r="AD51" s="975"/>
      <c r="AE51" s="975"/>
      <c r="AF51" s="975"/>
      <c r="AG51" s="975"/>
      <c r="AH51" s="975"/>
      <c r="AI51" s="975"/>
      <c r="AJ51" s="975"/>
      <c r="AK51" s="978"/>
      <c r="AL51" s="979"/>
      <c r="AM51" s="977"/>
      <c r="AN51" s="977"/>
      <c r="AO51" s="977"/>
      <c r="AP51" s="977"/>
      <c r="AQ51" s="977"/>
    </row>
    <row r="52" spans="1:43" s="199" customFormat="1">
      <c r="A52" s="713">
        <v>26</v>
      </c>
      <c r="B52" s="866">
        <v>81</v>
      </c>
      <c r="C52" s="197" t="s">
        <v>691</v>
      </c>
      <c r="D52" s="198"/>
      <c r="E52" s="707" t="s">
        <v>691</v>
      </c>
      <c r="F52" s="308">
        <f>+SUM(F53:F53)</f>
        <v>0</v>
      </c>
      <c r="G52" s="883"/>
      <c r="H52" s="308">
        <f>+SUM(H53:H53)</f>
        <v>800</v>
      </c>
      <c r="I52" s="872"/>
      <c r="J52" s="873"/>
      <c r="K52" s="874"/>
      <c r="L52" s="875"/>
      <c r="M52" s="699">
        <f>+SUM(M53:M53)</f>
        <v>32</v>
      </c>
      <c r="N52" s="699"/>
      <c r="O52" s="699"/>
      <c r="P52" s="699"/>
      <c r="Q52" s="699">
        <f>+R52/'Parametros Generales'!$C$10</f>
        <v>0.8</v>
      </c>
      <c r="R52" s="699">
        <f>+SUM(R53:R53)</f>
        <v>8</v>
      </c>
      <c r="S52" s="739"/>
      <c r="T52" s="739"/>
      <c r="U52" s="739"/>
      <c r="V52" s="970">
        <f>+VLOOKUP(V$1,'Componentes T.H.'!$B$4:$R$22,'Componentes T.H.'!$Q$1,0)*'Parametros Generales'!$C$6*'Cost x Depart'!Q52</f>
        <v>10702410.118777867</v>
      </c>
      <c r="W52" s="876">
        <f>+R52*'Componentes T.H.'!$Q$9*'Parametros Generales'!$C$6</f>
        <v>55123247.744552016</v>
      </c>
      <c r="X52" s="755">
        <f>IF((VLOOKUP(C53,Transporte!$B$87:$F$120,4,0)*R52*'Parametros Generales'!$C$12)-(R52*'Componentes T.H.'!$E$9*'Parametros Generales'!$C$6)&lt;0,0,(VLOOKUP(C53,Transporte!$B$87:$F$120,4,0)*R52*'Parametros Generales'!$C$12)-(R52*'Componentes T.H.'!$E$9*'Parametros Generales'!$C$6))</f>
        <v>152568563.87391835</v>
      </c>
      <c r="Y52" s="876">
        <f>VLOOKUP(C53,Transporte!$B$87:$F$120,4,0)*R52*'Parametros Generales'!$J$14*'Parametros Generales'!$C$6</f>
        <v>39086135.968479589</v>
      </c>
      <c r="Z52" s="974">
        <f>+(N52+O52+Q52)*'Parametros Generales'!$C$6*'Parametros Generales'!$J$7</f>
        <v>210620.80000000002</v>
      </c>
      <c r="AA52" s="974">
        <f>+SUM(N52:R52)*'Parametros Generales'!$C$6*'Parametros Generales'!$J$8</f>
        <v>2115027.2000000002</v>
      </c>
      <c r="AB52" s="970">
        <f>+M52*'Parametros Generales'!$C$6*'Parametros Generales'!$J$9</f>
        <v>27817296</v>
      </c>
      <c r="AC52" s="970">
        <f>+H52*'Parametros Generales'!$J$10*'Parametros Generales'!$C$6*'Parametros Generales'!$C$11</f>
        <v>78939399.398203105</v>
      </c>
      <c r="AD52" s="974">
        <f>+'Parametros Generales'!$J$11*SUM(N52:R52)</f>
        <v>452108.80000000005</v>
      </c>
      <c r="AE52" s="978">
        <f>+SUM(S52:AD52)</f>
        <v>367014809.90393096</v>
      </c>
      <c r="AF52" s="974">
        <f>+AE52*(SUM('Res de Costos Pais'!G103:G103))</f>
        <v>29361184.792314477</v>
      </c>
      <c r="AG52" s="974">
        <f>+AE52+AF52</f>
        <v>396375994.69624543</v>
      </c>
      <c r="AH52" s="974">
        <f>+AG52*SUM('Res de Costos Pais'!$G$109:$G$110)</f>
        <v>3828992.1087657311</v>
      </c>
      <c r="AI52" s="974">
        <f>+(AG52+AH52)*'Res de Costos Pais'!$G$122</f>
        <v>900461.22031127522</v>
      </c>
      <c r="AJ52" s="974">
        <f>+(AG52+AH52+AI52)*'Res de Costos Pais'!$G$126</f>
        <v>1604421.7921012898</v>
      </c>
      <c r="AK52" s="974">
        <f>+AG52+AH52+AI52+AJ52</f>
        <v>402709869.8174237</v>
      </c>
      <c r="AL52" s="741">
        <f>IF(ISERROR((+(AK52/H52)/'Parametros Generales'!$C$6)),0,(+(AK52/H52)/'Parametros Generales'!$C$6))</f>
        <v>77444.20573411994</v>
      </c>
      <c r="AM52" s="971">
        <f>+(AL52/'Parametros Generales'!$C$11)*'Parametros Generales'!$C$14</f>
        <v>12907.367622353324</v>
      </c>
      <c r="AN52" s="971">
        <f>+AM52*H52</f>
        <v>10325894.097882658</v>
      </c>
      <c r="AO52" s="971">
        <f>+((((IF(H52=0,0,((V52+W52)/'Parametros Generales'!$C$6*'Parametros Generales'!$C$16*'Parametros Generales'!$C$15)/H52))*(1+'Res de Costos Pais'!$G$103))*(1+'Res de Costos Pais'!$G$109+'Res de Costos Pais'!$G$110)*(1+'Res de Costos Pais'!$G$122)*(1+'Res de Costos Pais'!$G$126)))</f>
        <v>3472.4864314643764</v>
      </c>
      <c r="AP52" s="971">
        <f>+AO52*H52</f>
        <v>2777989.1451715012</v>
      </c>
      <c r="AQ52" s="972">
        <f>+AK52+AN52+AP52</f>
        <v>415813753.06047785</v>
      </c>
    </row>
    <row r="53" spans="1:43" s="29" customFormat="1" outlineLevel="1">
      <c r="A53" s="712"/>
      <c r="B53" s="864">
        <v>81</v>
      </c>
      <c r="C53" s="195" t="s">
        <v>691</v>
      </c>
      <c r="D53" s="196"/>
      <c r="E53" s="706"/>
      <c r="F53" s="877"/>
      <c r="G53" s="878"/>
      <c r="H53" s="696">
        <v>800</v>
      </c>
      <c r="I53" s="872"/>
      <c r="J53" s="879"/>
      <c r="K53" s="880"/>
      <c r="L53" s="875"/>
      <c r="M53" s="704">
        <f>+H53/'Parametros Generales'!$C$8</f>
        <v>32</v>
      </c>
      <c r="N53" s="704"/>
      <c r="O53" s="704"/>
      <c r="P53" s="704"/>
      <c r="Q53" s="704"/>
      <c r="R53" s="704">
        <f>+(M53/'Parametros Generales'!$C$9)</f>
        <v>8</v>
      </c>
      <c r="S53" s="738"/>
      <c r="T53" s="738"/>
      <c r="U53" s="738"/>
      <c r="V53" s="756"/>
      <c r="W53" s="973"/>
      <c r="X53" s="876"/>
      <c r="Y53" s="974"/>
      <c r="Z53" s="975"/>
      <c r="AA53" s="975"/>
      <c r="AB53" s="976"/>
      <c r="AC53" s="976"/>
      <c r="AD53" s="975"/>
      <c r="AE53" s="975"/>
      <c r="AF53" s="975"/>
      <c r="AG53" s="975"/>
      <c r="AH53" s="975"/>
      <c r="AI53" s="975"/>
      <c r="AJ53" s="975"/>
      <c r="AK53" s="978"/>
      <c r="AL53" s="979"/>
      <c r="AM53" s="977"/>
      <c r="AN53" s="977"/>
      <c r="AO53" s="977"/>
      <c r="AP53" s="977"/>
      <c r="AQ53" s="977"/>
    </row>
    <row r="54" spans="1:43" s="199" customFormat="1">
      <c r="A54" s="713">
        <v>27</v>
      </c>
      <c r="B54" s="866">
        <v>85</v>
      </c>
      <c r="C54" s="197" t="s">
        <v>697</v>
      </c>
      <c r="D54" s="198"/>
      <c r="E54" s="707" t="s">
        <v>697</v>
      </c>
      <c r="F54" s="308">
        <f>+SUM(F55:F55)</f>
        <v>0</v>
      </c>
      <c r="G54" s="883"/>
      <c r="H54" s="308">
        <f>+SUM(H55:H55)</f>
        <v>200</v>
      </c>
      <c r="I54" s="872"/>
      <c r="J54" s="873"/>
      <c r="K54" s="874"/>
      <c r="L54" s="875"/>
      <c r="M54" s="699">
        <f>+SUM(M55:M55)</f>
        <v>8</v>
      </c>
      <c r="N54" s="699"/>
      <c r="O54" s="699"/>
      <c r="P54" s="699"/>
      <c r="Q54" s="699">
        <f>+R54/'Parametros Generales'!$C$10</f>
        <v>0.2</v>
      </c>
      <c r="R54" s="699">
        <f>+SUM(R55:R55)</f>
        <v>2</v>
      </c>
      <c r="S54" s="739"/>
      <c r="T54" s="739"/>
      <c r="U54" s="739"/>
      <c r="V54" s="970">
        <f>+VLOOKUP(V$1,'Componentes T.H.'!$B$4:$R$22,'Componentes T.H.'!$Q$1,0)*'Parametros Generales'!$C$6*'Cost x Depart'!Q54</f>
        <v>2675602.5296944669</v>
      </c>
      <c r="W54" s="876">
        <f>+R54*'Componentes T.H.'!$Q$9*'Parametros Generales'!$C$6</f>
        <v>13780811.936138004</v>
      </c>
      <c r="X54" s="755">
        <f>IF((VLOOKUP(C55,Transporte!$B$87:$F$120,4,0)*R54*'Parametros Generales'!$C$12)-(R54*'Componentes T.H.'!$E$9*'Parametros Generales'!$C$6)&lt;0,0,(VLOOKUP(C55,Transporte!$B$87:$F$120,4,0)*R54*'Parametros Generales'!$C$12)-(R54*'Componentes T.H.'!$E$9*'Parametros Generales'!$C$6))</f>
        <v>18135601.626827598</v>
      </c>
      <c r="Y54" s="876">
        <f>VLOOKUP(C55,Transporte!$B$87:$F$120,4,0)*R54*'Parametros Generales'!$J$14*'Parametros Generales'!$C$6</f>
        <v>4769899.1567068994</v>
      </c>
      <c r="Z54" s="974">
        <f>+(N54+O54+Q54)*'Parametros Generales'!$C$6*'Parametros Generales'!$J$7</f>
        <v>52655.200000000004</v>
      </c>
      <c r="AA54" s="974">
        <f>+SUM(N54:R54)*'Parametros Generales'!$C$6*'Parametros Generales'!$J$8</f>
        <v>528756.80000000005</v>
      </c>
      <c r="AB54" s="970">
        <f>+M54*'Parametros Generales'!$C$6*'Parametros Generales'!$J$9</f>
        <v>6954324</v>
      </c>
      <c r="AC54" s="970">
        <f>+H54*'Parametros Generales'!$J$10*'Parametros Generales'!$C$6*'Parametros Generales'!$C$11</f>
        <v>19734849.849550776</v>
      </c>
      <c r="AD54" s="974">
        <f>+'Parametros Generales'!$J$11*SUM(N54:R54)</f>
        <v>113027.20000000001</v>
      </c>
      <c r="AE54" s="978">
        <f>+SUM(S54:AD54)</f>
        <v>66745528.298917748</v>
      </c>
      <c r="AF54" s="974">
        <f>+AE54*(SUM('Res de Costos Pais'!G103:G103))</f>
        <v>5339642.26391342</v>
      </c>
      <c r="AG54" s="974">
        <f>+AE54+AF54</f>
        <v>72085170.562831163</v>
      </c>
      <c r="AH54" s="974">
        <f>+AG54*SUM('Res de Costos Pais'!$G$109:$G$110)</f>
        <v>696342.74763694906</v>
      </c>
      <c r="AI54" s="974">
        <f>+(AG54+AH54)*'Res de Costos Pais'!$G$122</f>
        <v>163758.40494855327</v>
      </c>
      <c r="AJ54" s="974">
        <f>+(AG54+AH54+AI54)*'Res de Costos Pais'!$G$126</f>
        <v>291781.08686166664</v>
      </c>
      <c r="AK54" s="974">
        <f>+AG54+AH54+AI54+AJ54</f>
        <v>73237052.802278325</v>
      </c>
      <c r="AL54" s="741">
        <f>IF(ISERROR((+(AK54/H54)/'Parametros Generales'!$C$6)),0,(+(AK54/H54)/'Parametros Generales'!$C$6))</f>
        <v>56336.194463291016</v>
      </c>
      <c r="AM54" s="971">
        <f>+(AL54/'Parametros Generales'!$C$11)*'Parametros Generales'!$C$14</f>
        <v>9389.3657438818354</v>
      </c>
      <c r="AN54" s="971">
        <f>+AM54*H54</f>
        <v>1877873.1487763671</v>
      </c>
      <c r="AO54" s="971">
        <f>+((((IF(H54=0,0,((V54+W54)/'Parametros Generales'!$C$6*'Parametros Generales'!$C$16*'Parametros Generales'!$C$15)/H54))*(1+'Res de Costos Pais'!$G$103))*(1+'Res de Costos Pais'!$G$109+'Res de Costos Pais'!$G$110)*(1+'Res de Costos Pais'!$G$122)*(1+'Res de Costos Pais'!$G$126)))</f>
        <v>3472.4864314643764</v>
      </c>
      <c r="AP54" s="971">
        <f>+AO54*H54</f>
        <v>694497.2862928753</v>
      </c>
      <c r="AQ54" s="972">
        <f>+AK54+AN54+AP54</f>
        <v>75809423.237347573</v>
      </c>
    </row>
    <row r="55" spans="1:43" s="29" customFormat="1" outlineLevel="1">
      <c r="A55" s="712"/>
      <c r="B55" s="864">
        <v>85</v>
      </c>
      <c r="C55" s="195" t="s">
        <v>697</v>
      </c>
      <c r="D55" s="196"/>
      <c r="E55" s="706"/>
      <c r="F55" s="877"/>
      <c r="G55" s="878"/>
      <c r="H55" s="696">
        <v>200</v>
      </c>
      <c r="I55" s="872"/>
      <c r="J55" s="879"/>
      <c r="K55" s="880"/>
      <c r="L55" s="875"/>
      <c r="M55" s="704">
        <f>+H55/'Parametros Generales'!$C$8</f>
        <v>8</v>
      </c>
      <c r="N55" s="704"/>
      <c r="O55" s="704"/>
      <c r="P55" s="704"/>
      <c r="Q55" s="704"/>
      <c r="R55" s="704">
        <f>+(M55/'Parametros Generales'!$C$9)</f>
        <v>2</v>
      </c>
      <c r="S55" s="738"/>
      <c r="T55" s="738"/>
      <c r="U55" s="738"/>
      <c r="V55" s="756"/>
      <c r="W55" s="973"/>
      <c r="X55" s="876"/>
      <c r="Y55" s="974"/>
      <c r="Z55" s="975"/>
      <c r="AA55" s="975"/>
      <c r="AB55" s="976"/>
      <c r="AC55" s="976"/>
      <c r="AD55" s="975"/>
      <c r="AE55" s="975"/>
      <c r="AF55" s="975"/>
      <c r="AG55" s="975"/>
      <c r="AH55" s="975"/>
      <c r="AI55" s="975"/>
      <c r="AJ55" s="975"/>
      <c r="AK55" s="978"/>
      <c r="AL55" s="979"/>
      <c r="AM55" s="977"/>
      <c r="AN55" s="977"/>
      <c r="AO55" s="977"/>
      <c r="AP55" s="977"/>
      <c r="AQ55" s="977"/>
    </row>
    <row r="56" spans="1:43" s="199" customFormat="1">
      <c r="A56" s="713">
        <v>28</v>
      </c>
      <c r="B56" s="866">
        <v>86</v>
      </c>
      <c r="C56" s="197" t="s">
        <v>708</v>
      </c>
      <c r="D56" s="198"/>
      <c r="E56" s="707" t="s">
        <v>708</v>
      </c>
      <c r="F56" s="308">
        <f>+SUM(F57:F57)</f>
        <v>0</v>
      </c>
      <c r="G56" s="883"/>
      <c r="H56" s="308">
        <f>+SUM(H57:H57)</f>
        <v>1000</v>
      </c>
      <c r="I56" s="872"/>
      <c r="J56" s="873"/>
      <c r="K56" s="874"/>
      <c r="L56" s="875"/>
      <c r="M56" s="699">
        <f>+SUM(M57:M57)</f>
        <v>40</v>
      </c>
      <c r="N56" s="699"/>
      <c r="O56" s="699"/>
      <c r="P56" s="699"/>
      <c r="Q56" s="699">
        <f>+R56/'Parametros Generales'!$C$10</f>
        <v>1</v>
      </c>
      <c r="R56" s="699">
        <f>+SUM(R57:R57)</f>
        <v>10</v>
      </c>
      <c r="S56" s="739"/>
      <c r="T56" s="739"/>
      <c r="U56" s="739"/>
      <c r="V56" s="970">
        <f>+VLOOKUP(V$1,'Componentes T.H.'!$B$4:$R$22,'Componentes T.H.'!$Q$1,0)*'Parametros Generales'!$C$6*'Cost x Depart'!Q56</f>
        <v>13378012.648472333</v>
      </c>
      <c r="W56" s="876">
        <f>+R56*'Componentes T.H.'!$Q$9*'Parametros Generales'!$C$6</f>
        <v>68904059.68069002</v>
      </c>
      <c r="X56" s="755">
        <f>IF((VLOOKUP(C57,Transporte!$B$87:$F$120,4,0)*R56*'Parametros Generales'!$C$12)-(R56*'Componentes T.H.'!$E$9*'Parametros Generales'!$C$6)&lt;0,0,(VLOOKUP(C57,Transporte!$B$87:$F$120,4,0)*R56*'Parametros Generales'!$C$12)-(R56*'Componentes T.H.'!$E$9*'Parametros Generales'!$C$6))</f>
        <v>34809333.633683257</v>
      </c>
      <c r="Y56" s="876">
        <f>VLOOKUP(C57,Transporte!$B$87:$F$120,4,0)*R56*'Parametros Generales'!$J$14*'Parametros Generales'!$C$6</f>
        <v>9882327.1584208142</v>
      </c>
      <c r="Z56" s="974">
        <f>+(N56+O56+Q56)*'Parametros Generales'!$C$6*'Parametros Generales'!$J$7</f>
        <v>263276</v>
      </c>
      <c r="AA56" s="974">
        <f>+SUM(N56:R56)*'Parametros Generales'!$C$6*'Parametros Generales'!$J$8</f>
        <v>2643784</v>
      </c>
      <c r="AB56" s="970">
        <f>+M56*'Parametros Generales'!$C$6*'Parametros Generales'!$J$9</f>
        <v>34771620</v>
      </c>
      <c r="AC56" s="970">
        <f>+H56*'Parametros Generales'!$J$10*'Parametros Generales'!$C$6*'Parametros Generales'!$C$11</f>
        <v>98674249.247753888</v>
      </c>
      <c r="AD56" s="974">
        <f>+'Parametros Generales'!$J$11*SUM(N56:R56)</f>
        <v>565136</v>
      </c>
      <c r="AE56" s="978">
        <f>+SUM(S56:AD56)</f>
        <v>263891798.36902031</v>
      </c>
      <c r="AF56" s="974">
        <f>+AE56*(SUM('Res de Costos Pais'!G103:G103))</f>
        <v>21111343.869521625</v>
      </c>
      <c r="AG56" s="974">
        <f>+AE56+AF56</f>
        <v>285003142.23854196</v>
      </c>
      <c r="AH56" s="974">
        <f>+AG56*SUM('Res de Costos Pais'!$G$109:$G$110)</f>
        <v>2753130.3540243153</v>
      </c>
      <c r="AI56" s="974">
        <f>+(AG56+AH56)*'Res de Costos Pais'!$G$122</f>
        <v>647451.61333327414</v>
      </c>
      <c r="AJ56" s="974">
        <f>+(AG56+AH56+AI56)*'Res de Costos Pais'!$G$126</f>
        <v>1153614.8968235981</v>
      </c>
      <c r="AK56" s="974">
        <f>+AG56+AH56+AI56+AJ56</f>
        <v>289557339.10272312</v>
      </c>
      <c r="AL56" s="741">
        <f>IF(ISERROR((+(AK56/H56)/'Parametros Generales'!$C$6)),0,(+(AK56/H56)/'Parametros Generales'!$C$6))</f>
        <v>44547.282938880482</v>
      </c>
      <c r="AM56" s="971">
        <f>+(AL56/'Parametros Generales'!$C$11)*'Parametros Generales'!$C$14</f>
        <v>7424.54715648008</v>
      </c>
      <c r="AN56" s="971">
        <f>+AM56*H56</f>
        <v>7424547.1564800804</v>
      </c>
      <c r="AO56" s="971">
        <f>+((((IF(H56=0,0,((V56+W56)/'Parametros Generales'!$C$6*'Parametros Generales'!$C$16*'Parametros Generales'!$C$15)/H56))*(1+'Res de Costos Pais'!$G$103))*(1+'Res de Costos Pais'!$G$109+'Res de Costos Pais'!$G$110)*(1+'Res de Costos Pais'!$G$122)*(1+'Res de Costos Pais'!$G$126)))</f>
        <v>3472.4864314643769</v>
      </c>
      <c r="AP56" s="971">
        <f>+AO56*H56</f>
        <v>3472486.4314643769</v>
      </c>
      <c r="AQ56" s="972">
        <f>+AK56+AN56+AP56</f>
        <v>300454372.69066757</v>
      </c>
    </row>
    <row r="57" spans="1:43" s="29" customFormat="1" outlineLevel="1">
      <c r="A57" s="712"/>
      <c r="B57" s="864">
        <v>86</v>
      </c>
      <c r="C57" s="195" t="s">
        <v>708</v>
      </c>
      <c r="D57" s="196"/>
      <c r="E57" s="706"/>
      <c r="F57" s="877"/>
      <c r="G57" s="878"/>
      <c r="H57" s="696">
        <v>1000</v>
      </c>
      <c r="I57" s="872"/>
      <c r="J57" s="879"/>
      <c r="K57" s="880"/>
      <c r="L57" s="875"/>
      <c r="M57" s="704">
        <f>+H57/'Parametros Generales'!$C$8</f>
        <v>40</v>
      </c>
      <c r="N57" s="704"/>
      <c r="O57" s="704"/>
      <c r="P57" s="704"/>
      <c r="Q57" s="704"/>
      <c r="R57" s="704">
        <f>+(M57/'Parametros Generales'!$C$9)</f>
        <v>10</v>
      </c>
      <c r="S57" s="738"/>
      <c r="T57" s="738"/>
      <c r="U57" s="738"/>
      <c r="V57" s="756"/>
      <c r="W57" s="973"/>
      <c r="X57" s="876"/>
      <c r="Y57" s="974"/>
      <c r="Z57" s="975"/>
      <c r="AA57" s="975"/>
      <c r="AB57" s="976"/>
      <c r="AC57" s="976"/>
      <c r="AD57" s="975"/>
      <c r="AE57" s="975"/>
      <c r="AF57" s="975"/>
      <c r="AG57" s="975"/>
      <c r="AH57" s="975"/>
      <c r="AI57" s="975"/>
      <c r="AJ57" s="975"/>
      <c r="AK57" s="978"/>
      <c r="AL57" s="979"/>
      <c r="AM57" s="977"/>
      <c r="AN57" s="977"/>
      <c r="AO57" s="977"/>
      <c r="AP57" s="977"/>
      <c r="AQ57" s="977"/>
    </row>
    <row r="58" spans="1:43" s="199" customFormat="1" hidden="1">
      <c r="A58" s="713">
        <v>29</v>
      </c>
      <c r="B58" s="866">
        <v>88</v>
      </c>
      <c r="C58" s="197" t="s">
        <v>1538</v>
      </c>
      <c r="D58" s="198"/>
      <c r="E58" s="707" t="s">
        <v>720</v>
      </c>
      <c r="F58" s="308">
        <f>+SUM(F59:F59)</f>
        <v>0</v>
      </c>
      <c r="G58" s="883"/>
      <c r="H58" s="308">
        <f>+SUM(H59:H59)</f>
        <v>0</v>
      </c>
      <c r="I58" s="872"/>
      <c r="J58" s="873"/>
      <c r="K58" s="874"/>
      <c r="L58" s="875"/>
      <c r="M58" s="699">
        <f>+SUM(M59:M59)</f>
        <v>0</v>
      </c>
      <c r="N58" s="699"/>
      <c r="O58" s="699"/>
      <c r="P58" s="699"/>
      <c r="Q58" s="699">
        <f>+R58/'Parametros Generales'!$C$10</f>
        <v>0</v>
      </c>
      <c r="R58" s="699">
        <f>+SUM(R59:R59)</f>
        <v>0</v>
      </c>
      <c r="S58" s="739"/>
      <c r="T58" s="739"/>
      <c r="U58" s="739"/>
      <c r="V58" s="970">
        <f>+VLOOKUP(V$1,'Componentes T.H.'!$B$4:$R$22,'Componentes T.H.'!$Q$1,0)*'Parametros Generales'!$C$6*'Cost x Depart'!Q58</f>
        <v>0</v>
      </c>
      <c r="W58" s="876">
        <f>+R58*'Componentes T.H.'!$Q$9*'Parametros Generales'!$C$6</f>
        <v>0</v>
      </c>
      <c r="X58" s="755">
        <f>IF((VLOOKUP(C59,Transporte!$B$87:$F$120,4,0)*R58*'Parametros Generales'!$C$12)-(R58*'Componentes T.H.'!$E$9*'Parametros Generales'!$C$6)&lt;0,0,(VLOOKUP(C59,Transporte!$B$87:$F$120,4,0)*R58*'Parametros Generales'!$C$12)-(R58*'Componentes T.H.'!$E$9*'Parametros Generales'!$C$6))</f>
        <v>0</v>
      </c>
      <c r="Y58" s="876">
        <f>VLOOKUP(C59,Transporte!$B$87:$F$120,4,0)*R58*'Parametros Generales'!$J$14*'Parametros Generales'!$C$6</f>
        <v>0</v>
      </c>
      <c r="Z58" s="974">
        <f>+(N58+O58+Q58)*'Parametros Generales'!$C$6*'Parametros Generales'!$J$7</f>
        <v>0</v>
      </c>
      <c r="AA58" s="974">
        <f>+SUM(N58:R58)*'Parametros Generales'!$C$6*'Parametros Generales'!$J$8</f>
        <v>0</v>
      </c>
      <c r="AB58" s="970">
        <f>+M58*'Parametros Generales'!$C$6*'Parametros Generales'!$J$9</f>
        <v>0</v>
      </c>
      <c r="AC58" s="970">
        <f>+H58*'Parametros Generales'!$J$10*'Parametros Generales'!$C$6*'Parametros Generales'!$C$11</f>
        <v>0</v>
      </c>
      <c r="AD58" s="974">
        <f>+'Parametros Generales'!$J$11*SUM(N58:R58)</f>
        <v>0</v>
      </c>
      <c r="AE58" s="978">
        <f>+SUM(S58:AD58)</f>
        <v>0</v>
      </c>
      <c r="AF58" s="974">
        <f>+AE58*(SUM('Res de Costos Pais'!G103:G103))</f>
        <v>0</v>
      </c>
      <c r="AG58" s="974">
        <f>+AE58+AF58</f>
        <v>0</v>
      </c>
      <c r="AH58" s="974">
        <f>+AG58*SUM('Res de Costos Pais'!$G$109:$G$110)</f>
        <v>0</v>
      </c>
      <c r="AI58" s="974">
        <f>+(AG58+AH58)*'Res de Costos Pais'!$G$122</f>
        <v>0</v>
      </c>
      <c r="AJ58" s="974">
        <f>+(AG58+AH58+AI58)*'Res de Costos Pais'!$G$126</f>
        <v>0</v>
      </c>
      <c r="AK58" s="974">
        <f>+AG58+AH58+AI58+AJ58</f>
        <v>0</v>
      </c>
      <c r="AL58" s="741">
        <f>IF(ISERROR((+(AK58/H58)/'Parametros Generales'!$C$6)),0,(+(AK58/H58)/'Parametros Generales'!$C$6))</f>
        <v>0</v>
      </c>
      <c r="AM58" s="971">
        <f>+(AL58/'Parametros Generales'!$C$11)*'Parametros Generales'!$C$14</f>
        <v>0</v>
      </c>
      <c r="AN58" s="971">
        <f>+AM58*H58</f>
        <v>0</v>
      </c>
      <c r="AO58" s="971">
        <f>+((((IF(H58=0,0,((V58+W58)/'Parametros Generales'!$C$6*'Parametros Generales'!$C$16*'Parametros Generales'!$C$15)/H58))*(1+'Res de Costos Pais'!$G$103))*(1+'Res de Costos Pais'!$G$109+'Res de Costos Pais'!$G$110)*(1+'Res de Costos Pais'!$G$122)*(1+'Res de Costos Pais'!$G$126)))*1.001</f>
        <v>0</v>
      </c>
      <c r="AP58" s="971">
        <f>+AO58*H58</f>
        <v>0</v>
      </c>
      <c r="AQ58" s="972">
        <f>+AK58+AN58+AP58</f>
        <v>0</v>
      </c>
    </row>
    <row r="59" spans="1:43" s="29" customFormat="1" hidden="1" outlineLevel="1">
      <c r="A59" s="712"/>
      <c r="B59" s="864">
        <v>88</v>
      </c>
      <c r="C59" s="195" t="s">
        <v>1538</v>
      </c>
      <c r="D59" s="196"/>
      <c r="E59" s="706"/>
      <c r="F59" s="877"/>
      <c r="G59" s="878"/>
      <c r="H59" s="696">
        <v>0</v>
      </c>
      <c r="I59" s="872"/>
      <c r="J59" s="879"/>
      <c r="K59" s="880"/>
      <c r="L59" s="875"/>
      <c r="M59" s="704">
        <f>+H59/'Parametros Generales'!$C$8</f>
        <v>0</v>
      </c>
      <c r="N59" s="704"/>
      <c r="O59" s="704"/>
      <c r="P59" s="704"/>
      <c r="Q59" s="704"/>
      <c r="R59" s="704">
        <f>+(M59/'Parametros Generales'!$C$9)</f>
        <v>0</v>
      </c>
      <c r="S59" s="738"/>
      <c r="T59" s="738"/>
      <c r="U59" s="738"/>
      <c r="V59" s="756"/>
      <c r="W59" s="973"/>
      <c r="X59" s="876"/>
      <c r="Y59" s="974"/>
      <c r="Z59" s="975"/>
      <c r="AA59" s="975"/>
      <c r="AB59" s="976"/>
      <c r="AC59" s="976"/>
      <c r="AD59" s="975"/>
      <c r="AE59" s="975"/>
      <c r="AF59" s="975"/>
      <c r="AG59" s="975"/>
      <c r="AH59" s="975"/>
      <c r="AI59" s="975"/>
      <c r="AJ59" s="975"/>
      <c r="AK59" s="978"/>
      <c r="AL59" s="979"/>
      <c r="AM59" s="977"/>
      <c r="AN59" s="977"/>
      <c r="AO59" s="977"/>
      <c r="AP59" s="977"/>
      <c r="AQ59" s="977"/>
    </row>
    <row r="60" spans="1:43" s="199" customFormat="1" hidden="1">
      <c r="A60" s="713">
        <v>30</v>
      </c>
      <c r="B60" s="866">
        <v>91</v>
      </c>
      <c r="C60" s="197" t="s">
        <v>723</v>
      </c>
      <c r="D60" s="198"/>
      <c r="E60" s="707" t="s">
        <v>723</v>
      </c>
      <c r="F60" s="308">
        <f>+SUM(F61:F61)</f>
        <v>0</v>
      </c>
      <c r="G60" s="883"/>
      <c r="H60" s="308">
        <f>+SUM(H61:H61)</f>
        <v>0</v>
      </c>
      <c r="I60" s="872"/>
      <c r="J60" s="873"/>
      <c r="K60" s="874"/>
      <c r="L60" s="875"/>
      <c r="M60" s="699">
        <f>+SUM(M61:M61)</f>
        <v>0</v>
      </c>
      <c r="N60" s="699"/>
      <c r="O60" s="699"/>
      <c r="P60" s="699"/>
      <c r="Q60" s="699">
        <f>+R60/'Parametros Generales'!$C$10</f>
        <v>0</v>
      </c>
      <c r="R60" s="699">
        <f>+SUM(R61:R61)</f>
        <v>0</v>
      </c>
      <c r="S60" s="739"/>
      <c r="T60" s="739"/>
      <c r="U60" s="739"/>
      <c r="V60" s="970">
        <f>+VLOOKUP(V$1,'Componentes T.H.'!$B$4:$R$22,'Componentes T.H.'!$Q$1,0)*'Parametros Generales'!$C$6*'Cost x Depart'!Q60</f>
        <v>0</v>
      </c>
      <c r="W60" s="876">
        <f>+R60*'Componentes T.H.'!$Q$9*'Parametros Generales'!$C$6</f>
        <v>0</v>
      </c>
      <c r="X60" s="755">
        <f>IF((VLOOKUP(C61,Transporte!$B$87:$F$120,4,0)*R60*'Parametros Generales'!$C$12)-(R60*'Componentes T.H.'!$E$9*'Parametros Generales'!$C$6)&lt;0,0,(VLOOKUP(C61,Transporte!$B$87:$F$120,4,0)*R60*'Parametros Generales'!$C$12)-(R60*'Componentes T.H.'!$E$9*'Parametros Generales'!$C$6))</f>
        <v>0</v>
      </c>
      <c r="Y60" s="876">
        <f>VLOOKUP(C61,Transporte!$B$87:$F$120,4,0)*R60*'Parametros Generales'!$J$14*'Parametros Generales'!$C$6</f>
        <v>0</v>
      </c>
      <c r="Z60" s="974">
        <f>+(N60+O60+Q60)*'Parametros Generales'!$C$6*'Parametros Generales'!$J$7</f>
        <v>0</v>
      </c>
      <c r="AA60" s="974">
        <f>+SUM(N60:R60)*'Parametros Generales'!$C$6*'Parametros Generales'!$J$8</f>
        <v>0</v>
      </c>
      <c r="AB60" s="970">
        <f>+M60*'Parametros Generales'!$C$6*'Parametros Generales'!$J$9</f>
        <v>0</v>
      </c>
      <c r="AC60" s="970">
        <f>+H60*'Parametros Generales'!$J$10*'Parametros Generales'!$C$6*'Parametros Generales'!$C$11</f>
        <v>0</v>
      </c>
      <c r="AD60" s="974">
        <f>+'Parametros Generales'!$J$11*SUM(N60:R60)</f>
        <v>0</v>
      </c>
      <c r="AE60" s="978">
        <f>+SUM(S60:AD60)</f>
        <v>0</v>
      </c>
      <c r="AF60" s="974">
        <f>+AE60*(SUM('Res de Costos Pais'!G103:G103))</f>
        <v>0</v>
      </c>
      <c r="AG60" s="974">
        <f>+AE60+AF60</f>
        <v>0</v>
      </c>
      <c r="AH60" s="974">
        <f>+AG60*SUM('Res de Costos Pais'!$G$109:$G$110)</f>
        <v>0</v>
      </c>
      <c r="AI60" s="974">
        <f>+(AG60+AH60)*'Res de Costos Pais'!$G$122</f>
        <v>0</v>
      </c>
      <c r="AJ60" s="974">
        <f>+(AG60+AH60+AI60)*'Res de Costos Pais'!$G$126</f>
        <v>0</v>
      </c>
      <c r="AK60" s="974">
        <f>+AG60+AH60+AI60+AJ60</f>
        <v>0</v>
      </c>
      <c r="AL60" s="741">
        <f>IF(ISERROR((+(AK60/H60)/'Parametros Generales'!$C$6)),0,(+(AK60/H60)/'Parametros Generales'!$C$6))</f>
        <v>0</v>
      </c>
      <c r="AM60" s="971">
        <f>+(AL60/'Parametros Generales'!$C$11)*'Parametros Generales'!$C$14</f>
        <v>0</v>
      </c>
      <c r="AN60" s="971">
        <f>+AM60*H60</f>
        <v>0</v>
      </c>
      <c r="AO60" s="971">
        <f>+((((IF(H60=0,0,((V60+W60)/'Parametros Generales'!$C$6*'Parametros Generales'!$C$16*'Parametros Generales'!$C$15)/H60))*(1+'Res de Costos Pais'!$G$103))*(1+'Res de Costos Pais'!$G$109+'Res de Costos Pais'!$G$110)*(1+'Res de Costos Pais'!$G$122)*(1+'Res de Costos Pais'!$G$126)))*1.001</f>
        <v>0</v>
      </c>
      <c r="AP60" s="971">
        <f>+AO60*H60</f>
        <v>0</v>
      </c>
      <c r="AQ60" s="972">
        <f>+AK60+AN60+AP60</f>
        <v>0</v>
      </c>
    </row>
    <row r="61" spans="1:43" s="29" customFormat="1" hidden="1" outlineLevel="1">
      <c r="A61" s="712"/>
      <c r="B61" s="864">
        <v>91</v>
      </c>
      <c r="C61" s="195" t="s">
        <v>723</v>
      </c>
      <c r="D61" s="196"/>
      <c r="E61" s="706"/>
      <c r="F61" s="877"/>
      <c r="G61" s="878"/>
      <c r="H61" s="696">
        <v>0</v>
      </c>
      <c r="I61" s="872"/>
      <c r="J61" s="879"/>
      <c r="K61" s="880"/>
      <c r="L61" s="875"/>
      <c r="M61" s="704">
        <f>+H61/'Parametros Generales'!$C$8</f>
        <v>0</v>
      </c>
      <c r="N61" s="704"/>
      <c r="O61" s="704"/>
      <c r="P61" s="704"/>
      <c r="Q61" s="704"/>
      <c r="R61" s="704">
        <f>+(M61/'Parametros Generales'!$C$9)</f>
        <v>0</v>
      </c>
      <c r="S61" s="738"/>
      <c r="T61" s="738"/>
      <c r="U61" s="738"/>
      <c r="V61" s="756"/>
      <c r="W61" s="973"/>
      <c r="X61" s="876"/>
      <c r="Y61" s="974"/>
      <c r="Z61" s="975"/>
      <c r="AA61" s="975"/>
      <c r="AB61" s="976"/>
      <c r="AC61" s="976"/>
      <c r="AD61" s="975"/>
      <c r="AE61" s="975"/>
      <c r="AF61" s="975"/>
      <c r="AG61" s="975"/>
      <c r="AH61" s="975"/>
      <c r="AI61" s="975"/>
      <c r="AJ61" s="975"/>
      <c r="AK61" s="978"/>
      <c r="AL61" s="979"/>
      <c r="AM61" s="977"/>
      <c r="AN61" s="977"/>
      <c r="AO61" s="977"/>
      <c r="AP61" s="977"/>
      <c r="AQ61" s="977"/>
    </row>
    <row r="62" spans="1:43" s="199" customFormat="1" hidden="1">
      <c r="A62" s="713">
        <v>31</v>
      </c>
      <c r="B62" s="866">
        <v>94</v>
      </c>
      <c r="C62" s="197" t="s">
        <v>1539</v>
      </c>
      <c r="D62" s="198"/>
      <c r="E62" s="707" t="s">
        <v>732</v>
      </c>
      <c r="F62" s="308">
        <f>+SUM(F63:F63)</f>
        <v>0</v>
      </c>
      <c r="G62" s="883"/>
      <c r="H62" s="308">
        <f>+SUM(H63:H63)</f>
        <v>0</v>
      </c>
      <c r="I62" s="872"/>
      <c r="J62" s="873"/>
      <c r="K62" s="874"/>
      <c r="L62" s="875"/>
      <c r="M62" s="699">
        <f>+SUM(M63:M63)</f>
        <v>0</v>
      </c>
      <c r="N62" s="699"/>
      <c r="O62" s="699"/>
      <c r="P62" s="699"/>
      <c r="Q62" s="699">
        <f>+R62/'Parametros Generales'!$C$10</f>
        <v>0</v>
      </c>
      <c r="R62" s="699">
        <f>+SUM(R63:R63)</f>
        <v>0</v>
      </c>
      <c r="S62" s="739"/>
      <c r="T62" s="739"/>
      <c r="U62" s="739"/>
      <c r="V62" s="970">
        <f>+VLOOKUP(V$1,'Componentes T.H.'!$B$4:$R$22,'Componentes T.H.'!$Q$1,0)*'Parametros Generales'!$C$6*'Cost x Depart'!Q62</f>
        <v>0</v>
      </c>
      <c r="W62" s="876">
        <f>+R62*'Componentes T.H.'!$Q$9*'Parametros Generales'!$C$6</f>
        <v>0</v>
      </c>
      <c r="X62" s="755">
        <f>IF((VLOOKUP(C63,Transporte!$B$87:$F$120,4,0)*R62*'Parametros Generales'!$C$12)-(R62*'Componentes T.H.'!$E$9*'Parametros Generales'!$C$6)&lt;0,0,(VLOOKUP(C63,Transporte!$B$87:$F$120,4,0)*R62*'Parametros Generales'!$C$12)-(R62*'Componentes T.H.'!$E$9*'Parametros Generales'!$C$6))</f>
        <v>0</v>
      </c>
      <c r="Y62" s="876">
        <f>VLOOKUP(C63,Transporte!$B$87:$F$120,4,0)*R62*'Parametros Generales'!$J$14*'Parametros Generales'!$C$6</f>
        <v>0</v>
      </c>
      <c r="Z62" s="974">
        <f>+(N62+O62+Q62)*'Parametros Generales'!$C$6*'Parametros Generales'!$J$7</f>
        <v>0</v>
      </c>
      <c r="AA62" s="974">
        <f>+SUM(N62:R62)*'Parametros Generales'!$C$6*'Parametros Generales'!$J$8</f>
        <v>0</v>
      </c>
      <c r="AB62" s="970">
        <f>+M62*'Parametros Generales'!$C$6*'Parametros Generales'!$J$9</f>
        <v>0</v>
      </c>
      <c r="AC62" s="970">
        <f>+H62*'Parametros Generales'!$J$10*'Parametros Generales'!$C$6*'Parametros Generales'!$C$11</f>
        <v>0</v>
      </c>
      <c r="AD62" s="974">
        <f>+'Parametros Generales'!$J$11*SUM(N62:R62)</f>
        <v>0</v>
      </c>
      <c r="AE62" s="978">
        <f>+SUM(S62:AD62)</f>
        <v>0</v>
      </c>
      <c r="AF62" s="974">
        <f>+AE62*(SUM('Res de Costos Pais'!G103:G103))</f>
        <v>0</v>
      </c>
      <c r="AG62" s="974">
        <f>+AE62+AF62</f>
        <v>0</v>
      </c>
      <c r="AH62" s="974">
        <f>+AG62*SUM('Res de Costos Pais'!$G$109:$G$110)</f>
        <v>0</v>
      </c>
      <c r="AI62" s="974">
        <f>+(AG62+AH62)*'Res de Costos Pais'!$G$122</f>
        <v>0</v>
      </c>
      <c r="AJ62" s="974">
        <f>+(AG62+AH62+AI62)*'Res de Costos Pais'!$G$126</f>
        <v>0</v>
      </c>
      <c r="AK62" s="974">
        <f>+AG62+AH62+AI62+AJ62</f>
        <v>0</v>
      </c>
      <c r="AL62" s="741">
        <f>IF(ISERROR((+(AK62/H62)/'Parametros Generales'!$C$6)),0,(+(AK62/H62)/'Parametros Generales'!$C$6))</f>
        <v>0</v>
      </c>
      <c r="AM62" s="971">
        <f>+(AL62/'Parametros Generales'!$C$11)*'Parametros Generales'!$C$14</f>
        <v>0</v>
      </c>
      <c r="AN62" s="971">
        <f>+AM62*H62</f>
        <v>0</v>
      </c>
      <c r="AO62" s="971">
        <f>+((((IF(H62=0,0,((V62+W62)/'Parametros Generales'!$C$6*'Parametros Generales'!$C$16*'Parametros Generales'!$C$15)/H62))*(1+'Res de Costos Pais'!$G$103))*(1+'Res de Costos Pais'!$G$109+'Res de Costos Pais'!$G$110)*(1+'Res de Costos Pais'!$G$122)*(1+'Res de Costos Pais'!$G$126)))*1.001</f>
        <v>0</v>
      </c>
      <c r="AP62" s="971">
        <f>+AO62*H62</f>
        <v>0</v>
      </c>
      <c r="AQ62" s="972">
        <f>+AK62+AN62+AP62</f>
        <v>0</v>
      </c>
    </row>
    <row r="63" spans="1:43" s="29" customFormat="1" hidden="1" outlineLevel="1">
      <c r="A63" s="712"/>
      <c r="B63" s="864">
        <v>94</v>
      </c>
      <c r="C63" s="195" t="s">
        <v>1539</v>
      </c>
      <c r="D63" s="196"/>
      <c r="E63" s="706"/>
      <c r="F63" s="877"/>
      <c r="G63" s="878"/>
      <c r="H63" s="696">
        <v>0</v>
      </c>
      <c r="I63" s="872"/>
      <c r="J63" s="879"/>
      <c r="K63" s="880"/>
      <c r="L63" s="875"/>
      <c r="M63" s="704">
        <f>+H63/'Parametros Generales'!$C$8</f>
        <v>0</v>
      </c>
      <c r="N63" s="704"/>
      <c r="O63" s="704"/>
      <c r="P63" s="704"/>
      <c r="Q63" s="704"/>
      <c r="R63" s="704">
        <f>+(M63/'Parametros Generales'!$C$9)</f>
        <v>0</v>
      </c>
      <c r="S63" s="738"/>
      <c r="T63" s="738"/>
      <c r="U63" s="738"/>
      <c r="V63" s="756"/>
      <c r="W63" s="973"/>
      <c r="X63" s="876"/>
      <c r="Y63" s="974"/>
      <c r="Z63" s="975"/>
      <c r="AA63" s="975"/>
      <c r="AB63" s="976"/>
      <c r="AC63" s="976"/>
      <c r="AD63" s="975"/>
      <c r="AE63" s="975"/>
      <c r="AF63" s="975"/>
      <c r="AG63" s="975"/>
      <c r="AH63" s="975"/>
      <c r="AI63" s="975"/>
      <c r="AJ63" s="975"/>
      <c r="AK63" s="978"/>
      <c r="AL63" s="979"/>
      <c r="AM63" s="977"/>
      <c r="AN63" s="977"/>
      <c r="AO63" s="977"/>
      <c r="AP63" s="977"/>
      <c r="AQ63" s="977"/>
    </row>
    <row r="64" spans="1:43" s="199" customFormat="1">
      <c r="A64" s="713">
        <v>32</v>
      </c>
      <c r="B64" s="866">
        <v>95</v>
      </c>
      <c r="C64" s="197" t="s">
        <v>735</v>
      </c>
      <c r="D64" s="198"/>
      <c r="E64" s="707" t="s">
        <v>735</v>
      </c>
      <c r="F64" s="308">
        <f>+SUM(F65:F65)</f>
        <v>0</v>
      </c>
      <c r="G64" s="883"/>
      <c r="H64" s="308">
        <f>+SUM(H65:H65)</f>
        <v>600</v>
      </c>
      <c r="I64" s="872"/>
      <c r="J64" s="873"/>
      <c r="K64" s="874"/>
      <c r="L64" s="875"/>
      <c r="M64" s="699">
        <f>+SUM(M65:M65)</f>
        <v>24</v>
      </c>
      <c r="N64" s="699"/>
      <c r="O64" s="699"/>
      <c r="P64" s="699"/>
      <c r="Q64" s="699">
        <f>+R64/'Parametros Generales'!$C$10</f>
        <v>0.6</v>
      </c>
      <c r="R64" s="699">
        <f>+SUM(R65:R65)</f>
        <v>6</v>
      </c>
      <c r="S64" s="739"/>
      <c r="T64" s="739"/>
      <c r="U64" s="739"/>
      <c r="V64" s="970">
        <f>+VLOOKUP(V$1,'Componentes T.H.'!$B$4:$R$22,'Componentes T.H.'!$Q$1,0)*'Parametros Generales'!$C$6*'Cost x Depart'!Q64</f>
        <v>8026807.5890833996</v>
      </c>
      <c r="W64" s="876">
        <f>+R64*'Componentes T.H.'!$Q$9*'Parametros Generales'!$C$6</f>
        <v>41342435.808414012</v>
      </c>
      <c r="X64" s="755">
        <f>IF((VLOOKUP(C65,Transporte!$B$87:$F$120,4,0)*R64*'Parametros Generales'!$C$12)-(R64*'Componentes T.H.'!$E$9*'Parametros Generales'!$C$6)&lt;0,0,(VLOOKUP(C65,Transporte!$B$87:$F$120,4,0)*R64*'Parametros Generales'!$C$12)-(R64*'Componentes T.H.'!$E$9*'Parametros Generales'!$C$6))</f>
        <v>114426422.90543877</v>
      </c>
      <c r="Y64" s="876">
        <f>VLOOKUP(C65,Transporte!$B$87:$F$120,4,0)*R64*'Parametros Generales'!$J$14*'Parametros Generales'!$C$6</f>
        <v>29314601.976359691</v>
      </c>
      <c r="Z64" s="974">
        <f>+(N64+O64+Q64)*'Parametros Generales'!$C$6*'Parametros Generales'!$J$7</f>
        <v>157965.6</v>
      </c>
      <c r="AA64" s="974">
        <f>+SUM(N64:R64)*'Parametros Generales'!$C$6*'Parametros Generales'!$J$8</f>
        <v>1586270.4</v>
      </c>
      <c r="AB64" s="970">
        <f>+M64*'Parametros Generales'!$C$6*'Parametros Generales'!$J$9</f>
        <v>20862972</v>
      </c>
      <c r="AC64" s="970">
        <f>+H64*'Parametros Generales'!$J$10*'Parametros Generales'!$C$6*'Parametros Generales'!$C$11</f>
        <v>59204549.548652329</v>
      </c>
      <c r="AD64" s="974">
        <f>+'Parametros Generales'!$J$11*SUM(N64:R64)</f>
        <v>339081.6</v>
      </c>
      <c r="AE64" s="978">
        <f>+SUM(S64:AD64)</f>
        <v>275261107.42794824</v>
      </c>
      <c r="AF64" s="974">
        <f>+AE64*(SUM('Res de Costos Pais'!G103:G103))</f>
        <v>22020888.59423586</v>
      </c>
      <c r="AG64" s="974">
        <f>+AE64+AF64</f>
        <v>297281996.02218407</v>
      </c>
      <c r="AH64" s="974">
        <f>+AG64*SUM('Res de Costos Pais'!$G$109:$G$110)</f>
        <v>2871744.0815742984</v>
      </c>
      <c r="AI64" s="974">
        <f>+(AG64+AH64)*'Res de Costos Pais'!$G$122</f>
        <v>675345.91523345641</v>
      </c>
      <c r="AJ64" s="974">
        <f>+(AG64+AH64+AI64)*'Res de Costos Pais'!$G$126</f>
        <v>1203316.3440759673</v>
      </c>
      <c r="AK64" s="974">
        <f>+AG64+AH64+AI64+AJ64</f>
        <v>302032402.36306781</v>
      </c>
      <c r="AL64" s="741">
        <f>IF(ISERROR((+(AK64/H64)/'Parametros Generales'!$C$6)),0,(+(AK64/H64)/'Parametros Generales'!$C$6))</f>
        <v>77444.205734119954</v>
      </c>
      <c r="AM64" s="971">
        <f>+(AL64/'Parametros Generales'!$C$11)*'Parametros Generales'!$C$14</f>
        <v>12907.367622353326</v>
      </c>
      <c r="AN64" s="971">
        <f>+AM64*H64</f>
        <v>7744420.5734119955</v>
      </c>
      <c r="AO64" s="971">
        <f>+((((IF(H64=0,0,((V64+W64)/'Parametros Generales'!$C$6*'Parametros Generales'!$C$16*'Parametros Generales'!$C$15)/H64))*(1+'Res de Costos Pais'!$G$103))*(1+'Res de Costos Pais'!$G$109+'Res de Costos Pais'!$G$110)*(1+'Res de Costos Pais'!$G$122)*(1+'Res de Costos Pais'!$G$126)))</f>
        <v>3472.4864314643764</v>
      </c>
      <c r="AP64" s="971">
        <f>+AO64*H64</f>
        <v>2083491.8588786258</v>
      </c>
      <c r="AQ64" s="972">
        <f>+AK64+AN64+AP64</f>
        <v>311860314.79535842</v>
      </c>
    </row>
    <row r="65" spans="1:43" s="29" customFormat="1" outlineLevel="1">
      <c r="A65" s="712"/>
      <c r="B65" s="864">
        <v>95</v>
      </c>
      <c r="C65" s="195" t="s">
        <v>735</v>
      </c>
      <c r="D65" s="196"/>
      <c r="E65" s="706"/>
      <c r="F65" s="877"/>
      <c r="G65" s="878"/>
      <c r="H65" s="696">
        <v>600</v>
      </c>
      <c r="I65" s="872"/>
      <c r="J65" s="879"/>
      <c r="K65" s="880"/>
      <c r="L65" s="875"/>
      <c r="M65" s="704">
        <f>+H65/'Parametros Generales'!$C$8</f>
        <v>24</v>
      </c>
      <c r="N65" s="704"/>
      <c r="O65" s="704"/>
      <c r="P65" s="704"/>
      <c r="Q65" s="704"/>
      <c r="R65" s="704">
        <f>+(M65/'Parametros Generales'!$C$9)</f>
        <v>6</v>
      </c>
      <c r="S65" s="738"/>
      <c r="T65" s="738"/>
      <c r="U65" s="738"/>
      <c r="V65" s="756"/>
      <c r="W65" s="973"/>
      <c r="X65" s="876"/>
      <c r="Y65" s="974"/>
      <c r="Z65" s="975"/>
      <c r="AA65" s="975"/>
      <c r="AB65" s="976"/>
      <c r="AC65" s="976"/>
      <c r="AD65" s="975"/>
      <c r="AE65" s="975"/>
      <c r="AF65" s="975"/>
      <c r="AG65" s="975"/>
      <c r="AH65" s="975"/>
      <c r="AI65" s="975"/>
      <c r="AJ65" s="975"/>
      <c r="AK65" s="978"/>
      <c r="AL65" s="979"/>
      <c r="AM65" s="977"/>
      <c r="AN65" s="977"/>
      <c r="AO65" s="977"/>
      <c r="AP65" s="977"/>
      <c r="AQ65" s="977"/>
    </row>
    <row r="66" spans="1:43" s="199" customFormat="1">
      <c r="A66" s="713">
        <v>33</v>
      </c>
      <c r="B66" s="866">
        <v>97</v>
      </c>
      <c r="C66" s="197" t="s">
        <v>1540</v>
      </c>
      <c r="D66" s="198"/>
      <c r="E66" s="197" t="s">
        <v>1540</v>
      </c>
      <c r="F66" s="308">
        <f>+SUM(F67:F67)</f>
        <v>0</v>
      </c>
      <c r="G66" s="883"/>
      <c r="H66" s="308">
        <f>+SUM(H67:H67)</f>
        <v>100</v>
      </c>
      <c r="I66" s="872"/>
      <c r="J66" s="873"/>
      <c r="K66" s="874"/>
      <c r="L66" s="875"/>
      <c r="M66" s="699">
        <f>+SUM(M67:M67)</f>
        <v>4</v>
      </c>
      <c r="N66" s="699"/>
      <c r="O66" s="699"/>
      <c r="P66" s="699"/>
      <c r="Q66" s="699">
        <f>+R66/'Parametros Generales'!$C$10</f>
        <v>0.1</v>
      </c>
      <c r="R66" s="699">
        <f>+SUM(R67:R67)</f>
        <v>1</v>
      </c>
      <c r="S66" s="739"/>
      <c r="T66" s="739"/>
      <c r="U66" s="739"/>
      <c r="V66" s="970">
        <f>+VLOOKUP(V$1,'Componentes T.H.'!$B$4:$R$22,'Componentes T.H.'!$Q$1,0)*'Parametros Generales'!$C$6*'Cost x Depart'!Q66</f>
        <v>1337801.2648472334</v>
      </c>
      <c r="W66" s="876">
        <f>+R66*'Componentes T.H.'!$Q$9*'Parametros Generales'!$C$6</f>
        <v>6890405.968069002</v>
      </c>
      <c r="X66" s="755">
        <f>IF((VLOOKUP(C67,Transporte!$B$87:$F$120,4,0)*R66*'Parametros Generales'!$C$12)-(R66*'Componentes T.H.'!$E$9*'Parametros Generales'!$C$6)&lt;0,0,(VLOOKUP(C67,Transporte!$B$87:$F$120,4,0)*R66*'Parametros Generales'!$C$12)-(R66*'Componentes T.H.'!$E$9*'Parametros Generales'!$C$6))</f>
        <v>24139626.122276265</v>
      </c>
      <c r="Y66" s="876">
        <f>VLOOKUP(C67,Transporte!$B$87:$F$120,4,0)*R66*'Parametros Generales'!$J$14*'Parametros Generales'!$C$6</f>
        <v>6152905.9055690663</v>
      </c>
      <c r="Z66" s="974">
        <f>+(N66+O66+Q66)*'Parametros Generales'!$C$6*'Parametros Generales'!$J$7</f>
        <v>26327.600000000002</v>
      </c>
      <c r="AA66" s="974">
        <f>+SUM(N66:R66)*'Parametros Generales'!$C$6*'Parametros Generales'!$J$8</f>
        <v>264378.40000000002</v>
      </c>
      <c r="AB66" s="970">
        <f>+M66*'Parametros Generales'!$C$6*'Parametros Generales'!$J$9</f>
        <v>3477162</v>
      </c>
      <c r="AC66" s="970">
        <f>+H66*'Parametros Generales'!$J$10*'Parametros Generales'!$C$6*'Parametros Generales'!$C$11</f>
        <v>9867424.9247753881</v>
      </c>
      <c r="AD66" s="974">
        <f>+'Parametros Generales'!$J$11*SUM(N66:R66)</f>
        <v>56513.600000000006</v>
      </c>
      <c r="AE66" s="978">
        <f>+SUM(S66:AD66)</f>
        <v>52212545.785536952</v>
      </c>
      <c r="AF66" s="974">
        <f>+AE66*(SUM('Res de Costos Pais'!G103:G103))</f>
        <v>4177003.6628429564</v>
      </c>
      <c r="AG66" s="974">
        <f>+AE66+AF66</f>
        <v>56389549.448379911</v>
      </c>
      <c r="AH66" s="974">
        <f>+AG66*SUM('Res de Costos Pais'!$G$109:$G$110)</f>
        <v>544723.04767134995</v>
      </c>
      <c r="AI66" s="974">
        <f>+(AG66+AH66)*'Res de Costos Pais'!$G$122</f>
        <v>128102.11311611535</v>
      </c>
      <c r="AJ66" s="974">
        <f>+(AG66+AH66+AI66)*'Res de Costos Pais'!$G$126</f>
        <v>228249.4984366695</v>
      </c>
      <c r="AK66" s="974">
        <f>+AG66+AH66+AI66+AJ66</f>
        <v>57290624.107604042</v>
      </c>
      <c r="AL66" s="741">
        <f>IF(ISERROR((+(AK66/H66)/'Parametros Generales'!$C$6)),0,(+(AK66/H66)/'Parametros Generales'!$C$6))</f>
        <v>88139.421704006221</v>
      </c>
      <c r="AM66" s="971">
        <f>+(AL66/'Parametros Generales'!$C$11)*'Parametros Generales'!$C$14</f>
        <v>14689.90361733437</v>
      </c>
      <c r="AN66" s="971">
        <f>+AM66*H66</f>
        <v>1468990.3617334371</v>
      </c>
      <c r="AO66" s="971">
        <f>+((((IF(H66=0,0,((V66+W66)/'Parametros Generales'!$C$6*'Parametros Generales'!$C$16*'Parametros Generales'!$C$15)/H66))*(1+'Res de Costos Pais'!$G$103))*(1+'Res de Costos Pais'!$G$109+'Res de Costos Pais'!$G$110)*(1+'Res de Costos Pais'!$G$122)*(1+'Res de Costos Pais'!$G$126)))</f>
        <v>3472.4864314643764</v>
      </c>
      <c r="AP66" s="971">
        <f>+AO66*H66</f>
        <v>347248.64314643765</v>
      </c>
      <c r="AQ66" s="972">
        <f>+AK66+AN66+AP66</f>
        <v>59106863.112483919</v>
      </c>
    </row>
    <row r="67" spans="1:43" s="29" customFormat="1" outlineLevel="1">
      <c r="A67" s="712"/>
      <c r="B67" s="865">
        <v>97</v>
      </c>
      <c r="C67" s="193" t="s">
        <v>1540</v>
      </c>
      <c r="D67" s="196"/>
      <c r="E67" s="706"/>
      <c r="F67" s="877"/>
      <c r="G67" s="881"/>
      <c r="H67" s="701">
        <v>100</v>
      </c>
      <c r="I67" s="872"/>
      <c r="J67" s="879"/>
      <c r="K67" s="880"/>
      <c r="L67" s="875"/>
      <c r="M67" s="705">
        <f>+H67/'Parametros Generales'!$C$8</f>
        <v>4</v>
      </c>
      <c r="N67" s="705"/>
      <c r="O67" s="705"/>
      <c r="P67" s="705"/>
      <c r="Q67" s="705"/>
      <c r="R67" s="705">
        <f>+(M67/'Parametros Generales'!$C$9)</f>
        <v>1</v>
      </c>
      <c r="S67" s="739"/>
      <c r="T67" s="739"/>
      <c r="U67" s="739"/>
      <c r="V67" s="970"/>
      <c r="W67" s="982"/>
      <c r="X67" s="876"/>
      <c r="Y67" s="974"/>
      <c r="Z67" s="975"/>
      <c r="AA67" s="975"/>
      <c r="AB67" s="976"/>
      <c r="AC67" s="976"/>
      <c r="AD67" s="975"/>
      <c r="AE67" s="975"/>
      <c r="AF67" s="975"/>
      <c r="AG67" s="975"/>
      <c r="AH67" s="975"/>
      <c r="AI67" s="975"/>
      <c r="AJ67" s="975"/>
      <c r="AK67" s="978"/>
      <c r="AL67" s="979"/>
      <c r="AM67" s="977"/>
      <c r="AN67" s="977"/>
      <c r="AO67" s="977"/>
      <c r="AP67" s="977"/>
      <c r="AQ67" s="977"/>
    </row>
    <row r="68" spans="1:43" s="199" customFormat="1">
      <c r="A68" s="713">
        <v>34</v>
      </c>
      <c r="B68" s="866">
        <v>99</v>
      </c>
      <c r="C68" s="197" t="s">
        <v>741</v>
      </c>
      <c r="D68" s="198"/>
      <c r="E68" s="707" t="s">
        <v>741</v>
      </c>
      <c r="F68" s="308">
        <f>+SUM(F69:F69)</f>
        <v>0</v>
      </c>
      <c r="G68" s="883"/>
      <c r="H68" s="308">
        <f>+SUM(H69:H69)</f>
        <v>350</v>
      </c>
      <c r="I68" s="872"/>
      <c r="J68" s="873"/>
      <c r="K68" s="874"/>
      <c r="L68" s="875"/>
      <c r="M68" s="699">
        <f>+SUM(M69:M69)</f>
        <v>14</v>
      </c>
      <c r="N68" s="699"/>
      <c r="O68" s="699"/>
      <c r="P68" s="699"/>
      <c r="Q68" s="699">
        <f>+R68/'Parametros Generales'!$C$10</f>
        <v>0.35</v>
      </c>
      <c r="R68" s="699">
        <f>+SUM(R69:R69)</f>
        <v>3.5</v>
      </c>
      <c r="S68" s="739"/>
      <c r="T68" s="739"/>
      <c r="U68" s="739"/>
      <c r="V68" s="970">
        <f>+VLOOKUP(V$1,'Componentes T.H.'!$B$4:$R$22,'Componentes T.H.'!$Q$1,0)*'Parametros Generales'!$C$6*'Cost x Depart'!Q68</f>
        <v>4682304.4269653168</v>
      </c>
      <c r="W68" s="876">
        <f>+R68*'Componentes T.H.'!$Q$9*'Parametros Generales'!$C$6</f>
        <v>24116420.888241511</v>
      </c>
      <c r="X68" s="755">
        <f>IF((VLOOKUP(C69,Transporte!$B$87:$F$120,4,0)*R68*'Parametros Generales'!$C$12)-(R68*'Componentes T.H.'!$E$9*'Parametros Generales'!$C$6)&lt;0,0,(VLOOKUP(C69,Transporte!$B$87:$F$120,4,0)*R68*'Parametros Generales'!$C$12)-(R68*'Componentes T.H.'!$E$9*'Parametros Generales'!$C$6))</f>
        <v>66748746.694839284</v>
      </c>
      <c r="Y68" s="876">
        <f>VLOOKUP(C69,Transporte!$B$87:$F$120,4,0)*R68*'Parametros Generales'!$J$14*'Parametros Generales'!$C$6</f>
        <v>17100184.486209821</v>
      </c>
      <c r="Z68" s="974">
        <f>+(N68+O68+Q68)*'Parametros Generales'!$C$6*'Parametros Generales'!$J$7</f>
        <v>92146.599999999991</v>
      </c>
      <c r="AA68" s="974">
        <f>+SUM(N68:R68)*'Parametros Generales'!$C$6*'Parametros Generales'!$J$8</f>
        <v>925324.4</v>
      </c>
      <c r="AB68" s="970">
        <f>+M68*'Parametros Generales'!$C$6*'Parametros Generales'!$J$9</f>
        <v>12170067</v>
      </c>
      <c r="AC68" s="970">
        <f>+H68*'Parametros Generales'!$J$10*'Parametros Generales'!$C$6*'Parametros Generales'!$C$11</f>
        <v>34535987.236713864</v>
      </c>
      <c r="AD68" s="974">
        <f>+'Parametros Generales'!$J$11*SUM(N68:R68)</f>
        <v>197797.6</v>
      </c>
      <c r="AE68" s="978">
        <f>+SUM(S68:AD68)</f>
        <v>160568979.33296978</v>
      </c>
      <c r="AF68" s="974">
        <f>+AE68*(SUM('Res de Costos Pais'!G103:G103))</f>
        <v>12845518.346637582</v>
      </c>
      <c r="AG68" s="974">
        <f>+AE68+AF68</f>
        <v>173414497.67960736</v>
      </c>
      <c r="AH68" s="974">
        <f>+AG68*SUM('Res de Costos Pais'!$G$109:$G$110)</f>
        <v>1675184.047585007</v>
      </c>
      <c r="AI68" s="974">
        <f>+(AG68+AH68)*'Res de Costos Pais'!$G$122</f>
        <v>393951.78388618288</v>
      </c>
      <c r="AJ68" s="974">
        <f>+(AG68+AH68+AI68)*'Res de Costos Pais'!$G$126</f>
        <v>701934.53404431429</v>
      </c>
      <c r="AK68" s="974">
        <f>+AG68+AH68+AI68+AJ68</f>
        <v>176185568.04512289</v>
      </c>
      <c r="AL68" s="741">
        <f>IF(ISERROR((+(AK68/H68)/'Parametros Generales'!$C$6)),0,(+(AK68/H68)/'Parametros Generales'!$C$6))</f>
        <v>77444.205734119954</v>
      </c>
      <c r="AM68" s="971">
        <f>+(AL68/'Parametros Generales'!$C$11)*'Parametros Generales'!$C$14</f>
        <v>12907.367622353326</v>
      </c>
      <c r="AN68" s="971">
        <f>+AM68*H68</f>
        <v>4517578.6678236639</v>
      </c>
      <c r="AO68" s="971">
        <f>+((((IF(H68=0,0,((V68+W68)/'Parametros Generales'!$C$6*'Parametros Generales'!$C$16*'Parametros Generales'!$C$15)/H68))*(1+'Res de Costos Pais'!$G$103))*(1+'Res de Costos Pais'!$G$109+'Res de Costos Pais'!$G$110)*(1+'Res de Costos Pais'!$G$122)*(1+'Res de Costos Pais'!$G$126)))</f>
        <v>3472.4864314643764</v>
      </c>
      <c r="AP68" s="971">
        <f>+AO68*H68</f>
        <v>1215370.2510125318</v>
      </c>
      <c r="AQ68" s="972">
        <f>+AK68+AN68+AP68</f>
        <v>181918516.9639591</v>
      </c>
    </row>
    <row r="69" spans="1:43" s="29" customFormat="1" outlineLevel="1">
      <c r="A69" s="712"/>
      <c r="B69" s="864">
        <v>99</v>
      </c>
      <c r="C69" s="195" t="s">
        <v>741</v>
      </c>
      <c r="D69" s="196"/>
      <c r="E69" s="706"/>
      <c r="F69" s="877"/>
      <c r="G69" s="878"/>
      <c r="H69" s="696">
        <v>350</v>
      </c>
      <c r="I69" s="872"/>
      <c r="J69" s="879"/>
      <c r="K69" s="880"/>
      <c r="L69" s="875"/>
      <c r="M69" s="704">
        <f>+H69/'Parametros Generales'!$C$8</f>
        <v>14</v>
      </c>
      <c r="N69" s="704"/>
      <c r="O69" s="704"/>
      <c r="P69" s="704"/>
      <c r="Q69" s="704"/>
      <c r="R69" s="704">
        <f>+(M69/'Parametros Generales'!$C$9)</f>
        <v>3.5</v>
      </c>
      <c r="S69" s="738"/>
      <c r="T69" s="738"/>
      <c r="U69" s="738"/>
      <c r="V69" s="756"/>
      <c r="W69" s="973"/>
      <c r="X69" s="876"/>
      <c r="Y69" s="974"/>
      <c r="Z69" s="975"/>
      <c r="AA69" s="975"/>
      <c r="AB69" s="976"/>
      <c r="AC69" s="976"/>
      <c r="AD69" s="975"/>
      <c r="AE69" s="975"/>
      <c r="AF69" s="975"/>
      <c r="AG69" s="975"/>
      <c r="AH69" s="975"/>
      <c r="AI69" s="975"/>
      <c r="AJ69" s="975"/>
      <c r="AK69" s="978"/>
      <c r="AL69" s="979"/>
      <c r="AM69" s="977"/>
      <c r="AN69" s="977"/>
      <c r="AO69" s="977"/>
      <c r="AP69" s="977"/>
      <c r="AQ69" s="977"/>
    </row>
    <row r="70" spans="1:43" s="199" customFormat="1" ht="13.5" hidden="1" customHeight="1">
      <c r="A70" s="713">
        <v>35</v>
      </c>
      <c r="B70" s="866">
        <v>11</v>
      </c>
      <c r="C70" s="197" t="s">
        <v>1541</v>
      </c>
      <c r="D70" s="198"/>
      <c r="E70" s="708" t="str">
        <f>+C70</f>
        <v>BOGOTÁ</v>
      </c>
      <c r="F70" s="308">
        <f>+SUM(F71:F71)</f>
        <v>0</v>
      </c>
      <c r="G70" s="883"/>
      <c r="H70" s="308">
        <f>+SUM(H71:H71)</f>
        <v>0</v>
      </c>
      <c r="I70" s="872"/>
      <c r="J70" s="873"/>
      <c r="K70" s="874"/>
      <c r="L70" s="875"/>
      <c r="M70" s="699">
        <f>+SUM(M71:M71)</f>
        <v>0</v>
      </c>
      <c r="N70" s="699"/>
      <c r="O70" s="699"/>
      <c r="P70" s="699"/>
      <c r="Q70" s="699">
        <f>+R70/'Parametros Generales'!$C$10</f>
        <v>0</v>
      </c>
      <c r="R70" s="699">
        <f>+SUM(R71:R71)</f>
        <v>0</v>
      </c>
      <c r="S70" s="739"/>
      <c r="T70" s="739"/>
      <c r="U70" s="739"/>
      <c r="V70" s="970">
        <f>+VLOOKUP(V$1,'Componentes T.H.'!$B$4:$R$22,'Componentes T.H.'!$Q$1,0)*'Parametros Generales'!$C$6*'Cost x Depart'!Q70</f>
        <v>0</v>
      </c>
      <c r="W70" s="876">
        <f>+R70*'Componentes T.H.'!$Q$9*'Parametros Generales'!$C$6</f>
        <v>0</v>
      </c>
      <c r="X70" s="755">
        <f>IF((VLOOKUP(C71,Transporte!$B$87:$F$120,4,0)*R70*'Parametros Generales'!$C$12)-(R70*'Componentes T.H.'!$E$9*'Parametros Generales'!$C$6)&lt;0,0,(VLOOKUP(C71,Transporte!$B$87:$F$120,4,0)*R70*'Parametros Generales'!$C$12)-(R70*'Componentes T.H.'!$E$9*'Parametros Generales'!$C$6))</f>
        <v>0</v>
      </c>
      <c r="Y70" s="876">
        <f>VLOOKUP(C71,Transporte!$B$87:$F$120,4,0)*R70*'Parametros Generales'!$J$14*'Parametros Generales'!$C$6</f>
        <v>0</v>
      </c>
      <c r="Z70" s="974">
        <f>+(N70+O70+Q70)*'Parametros Generales'!$C$6*'Parametros Generales'!$J$7</f>
        <v>0</v>
      </c>
      <c r="AA70" s="974">
        <f>+SUM(N70:R70)*'Parametros Generales'!$C$6*'Parametros Generales'!$J$8</f>
        <v>0</v>
      </c>
      <c r="AB70" s="970">
        <f>+M70*'Parametros Generales'!$C$6*'Parametros Generales'!$J$9</f>
        <v>0</v>
      </c>
      <c r="AC70" s="970">
        <f>+H70*'Parametros Generales'!$J$10*'Parametros Generales'!$C$6*'Parametros Generales'!$C$11</f>
        <v>0</v>
      </c>
      <c r="AD70" s="974">
        <f>+'Parametros Generales'!$J$11*SUM(N70:R70)</f>
        <v>0</v>
      </c>
      <c r="AE70" s="978">
        <f>+SUM(S70:AD70)</f>
        <v>0</v>
      </c>
      <c r="AF70" s="974">
        <f>+AE70*(SUM('Res de Costos Pais'!G103:G103))</f>
        <v>0</v>
      </c>
      <c r="AG70" s="974">
        <f>+AE70+AF70</f>
        <v>0</v>
      </c>
      <c r="AH70" s="974">
        <f>+AG70*SUM('Res de Costos Pais'!$G$109:$G$110)</f>
        <v>0</v>
      </c>
      <c r="AI70" s="974">
        <f>+(AG70+AH70)*'Res de Costos Pais'!$G$122</f>
        <v>0</v>
      </c>
      <c r="AJ70" s="974">
        <f>+(AG70+AH70+AI70)*'Res de Costos Pais'!$G$126</f>
        <v>0</v>
      </c>
      <c r="AK70" s="974">
        <f>+AG70+AH70+AI70+AJ70</f>
        <v>0</v>
      </c>
      <c r="AL70" s="741">
        <f>IF(ISERROR((+(AK70/H70)/'Parametros Generales'!$C$6)),0,(+(AK70/H70)/'Parametros Generales'!$C$6))</f>
        <v>0</v>
      </c>
      <c r="AM70" s="971">
        <f>+(AL70/'Parametros Generales'!$C$11)*'Parametros Generales'!$C$14</f>
        <v>0</v>
      </c>
      <c r="AN70" s="971">
        <f>+AM70*H70</f>
        <v>0</v>
      </c>
      <c r="AO70" s="971">
        <f>+((((IF(H70=0,0,((V70+W70)/'Parametros Generales'!$C$6*'Parametros Generales'!$C$16*'Parametros Generales'!$C$15)/H70))*(1+'Res de Costos Pais'!$G$103))*(1+'Res de Costos Pais'!$G$109+'Res de Costos Pais'!$G$110)*(1+'Res de Costos Pais'!$G$122)*(1+'Res de Costos Pais'!$G$126)))*1.001</f>
        <v>0</v>
      </c>
      <c r="AP70" s="971">
        <f>+AO70*H70</f>
        <v>0</v>
      </c>
      <c r="AQ70" s="972">
        <f>+AK70+AN70+AP70</f>
        <v>0</v>
      </c>
    </row>
    <row r="71" spans="1:43" s="29" customFormat="1" ht="13.5" hidden="1" customHeight="1" outlineLevel="1">
      <c r="A71" s="712"/>
      <c r="B71" s="865">
        <v>11</v>
      </c>
      <c r="C71" s="193" t="s">
        <v>1541</v>
      </c>
      <c r="D71" s="196"/>
      <c r="E71" s="706"/>
      <c r="F71" s="877"/>
      <c r="G71" s="881"/>
      <c r="H71" s="701">
        <v>0</v>
      </c>
      <c r="I71" s="872"/>
      <c r="J71" s="879"/>
      <c r="K71" s="880"/>
      <c r="L71" s="889"/>
      <c r="M71" s="705">
        <f>+H71/'Parametros Generales'!$C$8</f>
        <v>0</v>
      </c>
      <c r="N71" s="705"/>
      <c r="O71" s="705"/>
      <c r="P71" s="705"/>
      <c r="Q71" s="705"/>
      <c r="R71" s="705">
        <f>+(M71/'Parametros Generales'!$C$9)</f>
        <v>0</v>
      </c>
      <c r="S71" s="739"/>
      <c r="T71" s="739"/>
      <c r="U71" s="739"/>
      <c r="V71" s="970"/>
      <c r="W71" s="982"/>
      <c r="X71" s="755"/>
      <c r="Y71" s="974"/>
      <c r="Z71" s="975"/>
      <c r="AA71" s="975"/>
      <c r="AB71" s="976"/>
      <c r="AC71" s="976"/>
      <c r="AD71" s="975"/>
      <c r="AE71" s="975"/>
      <c r="AF71" s="975"/>
      <c r="AG71" s="975"/>
      <c r="AH71" s="975"/>
      <c r="AI71" s="975"/>
      <c r="AJ71" s="975"/>
      <c r="AK71" s="978"/>
      <c r="AL71" s="979"/>
      <c r="AM71" s="977"/>
      <c r="AN71" s="977"/>
      <c r="AO71" s="977"/>
      <c r="AP71" s="977"/>
      <c r="AQ71" s="977"/>
    </row>
    <row r="72" spans="1:43" s="29" customFormat="1" ht="14.25" thickBot="1">
      <c r="A72" s="712"/>
      <c r="B72" s="867"/>
      <c r="C72" s="711" t="s">
        <v>1608</v>
      </c>
      <c r="D72" s="591"/>
      <c r="E72" s="709" t="str">
        <f>+C72</f>
        <v>TOTAL GRCB</v>
      </c>
      <c r="F72" s="593">
        <f>+F2+F4+F6+F8+F10+F12+F14+F16+F18+F20+F22+F24+F26+F28+F30+F32+F34+F36+F38+F40+F42+F44+F46+F48+F50+F52+F54+F56+F58+F60+F62+F64+F66+F68+F70</f>
        <v>0</v>
      </c>
      <c r="G72" s="593">
        <f>+G2+G4+G6+G8+G10+G12+G14+G16+G18+G20+G22+G24+G26+G28+G30+G32+G34+G36+G38+G40+G42+G44+G46+G48+G50+G52+G54+G56+G58+G60+G62+G64+G66+G68+G70</f>
        <v>0</v>
      </c>
      <c r="H72" s="593">
        <f>+H2+H4+H6+H8+H10+H12+H14+H16+H18+H20+H22+H24+H26+H28+H30+H32+H34+H36+H38+H40+H42+H44+H46+H48+H50+H52+H54+H56+H58+H60+H62+H64+H66+H68+H70</f>
        <v>15000</v>
      </c>
      <c r="I72" s="890"/>
      <c r="J72" s="592"/>
      <c r="K72" s="891"/>
      <c r="L72" s="892"/>
      <c r="M72" s="592">
        <f t="shared" ref="M72:AK72" si="0">+M2+M4+M6+M8+M10+M12+M14+M16+M18+M20+M22+M24+M26+M28+M30+M32+M34+M36+M38+M40+M42+M44+M46+M48+M50+M52+M54+M56+M58+M60+M62+M64+M66+M68+M70</f>
        <v>600</v>
      </c>
      <c r="N72" s="592">
        <f t="shared" si="0"/>
        <v>0</v>
      </c>
      <c r="O72" s="592">
        <f t="shared" si="0"/>
        <v>0</v>
      </c>
      <c r="P72" s="592">
        <f t="shared" si="0"/>
        <v>0</v>
      </c>
      <c r="Q72" s="592">
        <f t="shared" si="0"/>
        <v>14.999999999999998</v>
      </c>
      <c r="R72" s="592">
        <f t="shared" si="0"/>
        <v>150</v>
      </c>
      <c r="S72" s="594">
        <f t="shared" si="0"/>
        <v>0</v>
      </c>
      <c r="T72" s="594">
        <f t="shared" si="0"/>
        <v>0</v>
      </c>
      <c r="U72" s="594">
        <f t="shared" si="0"/>
        <v>0</v>
      </c>
      <c r="V72" s="983">
        <f t="shared" si="0"/>
        <v>200670189.72708499</v>
      </c>
      <c r="W72" s="983">
        <f t="shared" si="0"/>
        <v>1033560895.2103504</v>
      </c>
      <c r="X72" s="983">
        <f t="shared" si="0"/>
        <v>658675551.28677726</v>
      </c>
      <c r="Y72" s="983">
        <f t="shared" si="0"/>
        <v>182349308.14314565</v>
      </c>
      <c r="Z72" s="983">
        <f t="shared" si="0"/>
        <v>3949140.0000000005</v>
      </c>
      <c r="AA72" s="983">
        <f t="shared" si="0"/>
        <v>39656759.999999993</v>
      </c>
      <c r="AB72" s="983">
        <f t="shared" si="0"/>
        <v>521574300</v>
      </c>
      <c r="AC72" s="983">
        <f t="shared" si="0"/>
        <v>1480113738.7163084</v>
      </c>
      <c r="AD72" s="983">
        <f t="shared" si="0"/>
        <v>8477040</v>
      </c>
      <c r="AE72" s="983">
        <f t="shared" si="0"/>
        <v>4129026923.0836668</v>
      </c>
      <c r="AF72" s="983">
        <f t="shared" si="0"/>
        <v>330322153.84669328</v>
      </c>
      <c r="AG72" s="983">
        <f t="shared" si="0"/>
        <v>4459349076.9303589</v>
      </c>
      <c r="AH72" s="983">
        <f t="shared" si="0"/>
        <v>43077312.083147287</v>
      </c>
      <c r="AI72" s="983">
        <f t="shared" si="0"/>
        <v>10130459.375280391</v>
      </c>
      <c r="AJ72" s="983">
        <f t="shared" si="0"/>
        <v>18050227.393555153</v>
      </c>
      <c r="AK72" s="983">
        <f t="shared" si="0"/>
        <v>4530607075.7823429</v>
      </c>
      <c r="AL72" s="742">
        <f>+(AK72/H72)/'Parametros Generales'!$C$6</f>
        <v>46467.764879818897</v>
      </c>
      <c r="AM72" s="742">
        <f>+(AL72/'Parametros Generales'!$C$11)*'Parametros Generales'!$C$14</f>
        <v>7744.6274799698158</v>
      </c>
      <c r="AN72" s="742">
        <f>SUM(AN2:AN71)</f>
        <v>116169412.19954725</v>
      </c>
      <c r="AO72" s="971">
        <f>+((((IF(H72=0,0,((V72+W72)/'Parametros Generales'!$C$6*'Parametros Generales'!$C$16*'Parametros Generales'!$C$15)/H72))*(1+'Res de Costos Pais'!$G$103))*(1+'Res de Costos Pais'!$G$109+'Res de Costos Pais'!$G$110)*(1+'Res de Costos Pais'!$G$122)*(1+'Res de Costos Pais'!$G$126)))</f>
        <v>3472.4864314643764</v>
      </c>
      <c r="AP72" s="742">
        <f>SUM(AP2:AP71)</f>
        <v>52087296.471965656</v>
      </c>
      <c r="AQ72" s="742">
        <f>SUM(AQ2:AQ71)</f>
        <v>4698863784.4538546</v>
      </c>
    </row>
    <row r="73" spans="1:43" s="29" customFormat="1">
      <c r="A73" s="712"/>
      <c r="B73" s="868" t="s">
        <v>1555</v>
      </c>
      <c r="E73" s="30"/>
      <c r="G73" s="31"/>
      <c r="H73" s="306"/>
      <c r="I73" s="306"/>
      <c r="J73" s="306"/>
      <c r="K73" s="306"/>
      <c r="L73" s="307"/>
      <c r="M73" s="717"/>
      <c r="N73" s="311" t="str">
        <f>+IF(N72='Componentes T.H.'!U6,"Ok","Revisar")</f>
        <v>Ok</v>
      </c>
      <c r="O73" s="311" t="str">
        <f>+IF(O72='Componentes T.H.'!U7,"Ok","Revisar")</f>
        <v>Ok</v>
      </c>
      <c r="P73" s="311" t="str">
        <f>+IF(P72='Componentes T.H.'!U10,"Ok","Revisar")</f>
        <v>Ok</v>
      </c>
      <c r="Q73" s="716" t="str">
        <f>+IF(Q72='Componentes T.H.'!U8,"Ok","Revisar")</f>
        <v>Ok</v>
      </c>
      <c r="R73" s="716" t="str">
        <f>+IF(R72='Componentes T.H.'!U9,"Ok","Revisar")</f>
        <v>Ok</v>
      </c>
      <c r="S73" s="83" t="str">
        <f>+IF(S72='Componentes T.H.'!V6,"Ok","Revisar")</f>
        <v>Ok</v>
      </c>
      <c r="T73" s="83" t="str">
        <f>+IF(T72='Componentes T.H.'!V7,"Ok","Revisar")</f>
        <v>Ok</v>
      </c>
      <c r="U73" s="83" t="str">
        <f>+IF(U72='Componentes T.H.'!V10,"Ok","Revisar")</f>
        <v>Ok</v>
      </c>
      <c r="V73" s="83" t="str">
        <f>+IF(V72='Componentes T.H.'!V8,"Ok","Revisar")</f>
        <v>Ok</v>
      </c>
      <c r="W73" s="83" t="str">
        <f>+IF(ROUND(W72,4)=ROUND('Componentes T.H.'!V9,4),"Ok","Revisar")</f>
        <v>Ok</v>
      </c>
      <c r="X73" s="83"/>
      <c r="Y73" s="763"/>
      <c r="Z73" s="32"/>
      <c r="AA73" s="32"/>
      <c r="AB73" s="32"/>
      <c r="AC73" s="32"/>
      <c r="AD73" s="32"/>
      <c r="AE73" s="32"/>
      <c r="AF73" s="32"/>
      <c r="AG73" s="32"/>
      <c r="AH73" s="32"/>
      <c r="AI73" s="32"/>
      <c r="AJ73" s="32"/>
      <c r="AK73" s="83" t="str">
        <f>+IF(ROUND('Res de Costos Pais'!H128,0)=ROUND('Cost x Depart'!AK72,0),"Ok","Rev")</f>
        <v>Ok</v>
      </c>
      <c r="AL73" s="32"/>
    </row>
    <row r="74" spans="1:43" s="29" customFormat="1">
      <c r="A74" s="712"/>
      <c r="E74" s="30"/>
      <c r="G74" s="31"/>
      <c r="H74" s="306"/>
      <c r="I74" s="306"/>
      <c r="J74" s="306"/>
      <c r="K74" s="306"/>
      <c r="L74" s="307"/>
      <c r="M74" s="717"/>
      <c r="N74" s="31"/>
      <c r="O74" s="31"/>
      <c r="P74" s="31"/>
      <c r="Q74" s="717"/>
      <c r="R74" s="717"/>
      <c r="S74" s="32"/>
      <c r="T74" s="32"/>
      <c r="U74" s="32"/>
      <c r="V74" s="32"/>
      <c r="W74" s="309"/>
      <c r="X74" s="763"/>
      <c r="Y74" s="763"/>
      <c r="Z74" s="32"/>
      <c r="AA74" s="32"/>
      <c r="AB74" s="32"/>
      <c r="AC74" s="32"/>
      <c r="AD74" s="32"/>
      <c r="AE74" s="32"/>
      <c r="AF74" s="32"/>
      <c r="AG74" s="32"/>
      <c r="AH74" s="32"/>
      <c r="AI74" s="32"/>
      <c r="AJ74" s="32"/>
      <c r="AK74" s="32"/>
      <c r="AL74" s="744"/>
    </row>
    <row r="75" spans="1:43" s="29" customFormat="1">
      <c r="A75" s="712"/>
      <c r="H75" s="32"/>
      <c r="I75" s="306"/>
      <c r="J75" s="306"/>
      <c r="K75" s="306"/>
      <c r="L75" s="893"/>
      <c r="M75" s="718"/>
      <c r="Q75" s="718"/>
      <c r="R75" s="718"/>
      <c r="V75" s="32"/>
      <c r="X75" s="763"/>
      <c r="Y75" s="764"/>
      <c r="AB75" s="32"/>
      <c r="AC75" s="32"/>
      <c r="AK75" s="757"/>
      <c r="AL75" s="743"/>
    </row>
    <row r="76" spans="1:43" s="29" customFormat="1">
      <c r="A76" s="712"/>
      <c r="E76" s="30"/>
      <c r="G76" s="31"/>
      <c r="H76" s="306"/>
      <c r="I76" s="306"/>
      <c r="J76" s="306"/>
      <c r="K76" s="306"/>
      <c r="L76" s="307"/>
      <c r="M76" s="717"/>
      <c r="N76" s="31"/>
      <c r="O76" s="31"/>
      <c r="P76" s="31"/>
      <c r="Q76" s="717"/>
      <c r="R76" s="717"/>
      <c r="S76" s="32"/>
      <c r="T76" s="32"/>
      <c r="U76" s="32"/>
      <c r="V76" s="32"/>
      <c r="W76" s="32"/>
      <c r="X76" s="763"/>
      <c r="Y76" s="763"/>
      <c r="Z76" s="32"/>
      <c r="AA76" s="32"/>
      <c r="AB76" s="32"/>
      <c r="AC76" s="32"/>
      <c r="AD76" s="32"/>
      <c r="AE76" s="32"/>
      <c r="AF76" s="32"/>
      <c r="AG76" s="32"/>
      <c r="AH76" s="32"/>
      <c r="AI76" s="32"/>
      <c r="AJ76" s="32"/>
      <c r="AK76" s="32"/>
      <c r="AL76" s="744"/>
    </row>
    <row r="77" spans="1:43" s="29" customFormat="1">
      <c r="A77" s="712"/>
      <c r="E77" s="30"/>
      <c r="G77" s="31"/>
      <c r="H77" s="306"/>
      <c r="I77" s="306"/>
      <c r="J77" s="306"/>
      <c r="K77" s="306"/>
      <c r="L77" s="307"/>
      <c r="M77" s="717"/>
      <c r="N77" s="31"/>
      <c r="O77" s="31"/>
      <c r="P77" s="31"/>
      <c r="Q77" s="717"/>
      <c r="R77" s="717"/>
      <c r="S77" s="32"/>
      <c r="T77" s="32"/>
      <c r="U77" s="32"/>
      <c r="V77" s="32"/>
      <c r="W77" s="32"/>
      <c r="X77" s="763"/>
      <c r="Y77" s="763"/>
      <c r="Z77" s="32"/>
      <c r="AA77" s="32"/>
      <c r="AB77" s="32"/>
      <c r="AC77" s="32"/>
      <c r="AD77" s="32"/>
      <c r="AE77" s="32"/>
      <c r="AF77" s="32"/>
      <c r="AG77" s="32"/>
      <c r="AH77" s="32"/>
      <c r="AI77" s="32"/>
      <c r="AJ77" s="32"/>
      <c r="AK77" s="32"/>
      <c r="AL77" s="744"/>
    </row>
    <row r="78" spans="1:43" s="29" customFormat="1">
      <c r="A78" s="712"/>
      <c r="E78" s="30"/>
      <c r="G78" s="31"/>
      <c r="H78" s="306"/>
      <c r="I78" s="306"/>
      <c r="J78" s="306"/>
      <c r="K78" s="306"/>
      <c r="M78" s="717"/>
      <c r="N78" s="31"/>
      <c r="O78" s="31"/>
      <c r="P78" s="31"/>
      <c r="Q78" s="717"/>
      <c r="R78" s="717"/>
      <c r="S78" s="32"/>
      <c r="T78" s="32"/>
      <c r="U78" s="32"/>
      <c r="V78" s="32"/>
      <c r="W78" s="32"/>
      <c r="X78" s="763"/>
      <c r="Y78" s="763"/>
      <c r="Z78" s="32"/>
      <c r="AA78" s="32"/>
      <c r="AB78" s="32"/>
      <c r="AC78" s="32"/>
      <c r="AD78" s="32"/>
      <c r="AE78" s="32"/>
      <c r="AF78" s="32"/>
      <c r="AG78" s="32"/>
      <c r="AH78" s="32"/>
      <c r="AI78" s="32"/>
      <c r="AJ78" s="32"/>
      <c r="AK78" s="32"/>
      <c r="AL78" s="744"/>
    </row>
    <row r="79" spans="1:43" s="29" customFormat="1">
      <c r="A79" s="712"/>
      <c r="E79" s="30"/>
      <c r="G79" s="31"/>
      <c r="H79" s="306"/>
      <c r="I79" s="306"/>
      <c r="J79" s="306"/>
      <c r="K79" s="306"/>
      <c r="L79" s="306"/>
      <c r="M79" s="717"/>
      <c r="N79" s="31"/>
      <c r="O79" s="31"/>
      <c r="P79" s="31"/>
      <c r="Q79" s="717"/>
      <c r="R79" s="717"/>
      <c r="S79" s="32"/>
      <c r="T79" s="32"/>
      <c r="U79" s="32"/>
      <c r="V79" s="32"/>
      <c r="W79" s="32"/>
      <c r="X79" s="763"/>
      <c r="Y79" s="763"/>
      <c r="Z79" s="32"/>
      <c r="AA79" s="32"/>
      <c r="AB79" s="32"/>
      <c r="AC79" s="32"/>
      <c r="AD79" s="32"/>
      <c r="AE79" s="32"/>
      <c r="AF79" s="32"/>
      <c r="AG79" s="32"/>
      <c r="AH79" s="32"/>
      <c r="AI79" s="32"/>
      <c r="AJ79" s="32"/>
      <c r="AK79" s="32"/>
      <c r="AL79" s="744"/>
    </row>
    <row r="80" spans="1:43" s="29" customFormat="1">
      <c r="A80" s="712"/>
      <c r="E80" s="30"/>
      <c r="G80" s="31"/>
      <c r="H80" s="306"/>
      <c r="I80" s="306"/>
      <c r="J80" s="306"/>
      <c r="K80" s="306"/>
      <c r="L80" s="306"/>
      <c r="M80" s="717"/>
      <c r="N80" s="31"/>
      <c r="O80" s="31"/>
      <c r="P80" s="31"/>
      <c r="Q80" s="717"/>
      <c r="R80" s="717"/>
      <c r="S80" s="32"/>
      <c r="T80" s="32"/>
      <c r="U80" s="32"/>
      <c r="V80" s="32"/>
      <c r="W80" s="32"/>
      <c r="X80" s="763"/>
      <c r="Y80" s="763"/>
      <c r="Z80" s="32"/>
      <c r="AA80" s="32"/>
      <c r="AB80" s="32"/>
      <c r="AC80" s="32"/>
      <c r="AD80" s="32"/>
      <c r="AE80" s="32"/>
      <c r="AF80" s="32"/>
      <c r="AG80" s="32"/>
      <c r="AH80" s="32"/>
      <c r="AI80" s="32"/>
      <c r="AJ80" s="32"/>
      <c r="AK80" s="32"/>
      <c r="AL80" s="744"/>
    </row>
    <row r="81" spans="1:38" s="29" customFormat="1">
      <c r="A81" s="712"/>
      <c r="E81" s="30"/>
      <c r="G81" s="31"/>
      <c r="H81" s="306"/>
      <c r="I81" s="306"/>
      <c r="J81" s="306"/>
      <c r="K81" s="306"/>
      <c r="L81" s="306"/>
      <c r="M81" s="717"/>
      <c r="N81" s="31"/>
      <c r="O81" s="31"/>
      <c r="P81" s="31"/>
      <c r="Q81" s="717"/>
      <c r="R81" s="717"/>
      <c r="S81" s="32"/>
      <c r="T81" s="32"/>
      <c r="U81" s="32"/>
      <c r="V81" s="32"/>
      <c r="W81" s="32"/>
      <c r="X81" s="763"/>
      <c r="Y81" s="763"/>
      <c r="Z81" s="32"/>
      <c r="AA81" s="32"/>
      <c r="AB81" s="32"/>
      <c r="AC81" s="32"/>
      <c r="AD81" s="32"/>
      <c r="AE81" s="32"/>
      <c r="AF81" s="32"/>
      <c r="AG81" s="32"/>
      <c r="AH81" s="32"/>
      <c r="AI81" s="32"/>
      <c r="AJ81" s="32"/>
      <c r="AK81" s="32"/>
      <c r="AL81" s="744"/>
    </row>
    <row r="82" spans="1:38" s="29" customFormat="1">
      <c r="A82" s="712"/>
      <c r="E82" s="30"/>
      <c r="G82" s="31"/>
      <c r="H82" s="306"/>
      <c r="I82" s="306"/>
      <c r="J82" s="306"/>
      <c r="K82" s="306"/>
      <c r="L82" s="306"/>
      <c r="M82" s="717"/>
      <c r="N82" s="31"/>
      <c r="O82" s="31"/>
      <c r="P82" s="31"/>
      <c r="Q82" s="717"/>
      <c r="R82" s="717"/>
      <c r="S82" s="32"/>
      <c r="T82" s="32"/>
      <c r="U82" s="32"/>
      <c r="V82" s="32"/>
      <c r="W82" s="32"/>
      <c r="X82" s="763"/>
      <c r="Y82" s="763"/>
      <c r="Z82" s="32"/>
      <c r="AA82" s="32"/>
      <c r="AB82" s="32"/>
      <c r="AC82" s="32"/>
      <c r="AD82" s="32"/>
      <c r="AE82" s="32"/>
      <c r="AF82" s="32"/>
      <c r="AG82" s="32"/>
      <c r="AH82" s="32"/>
      <c r="AI82" s="32"/>
      <c r="AJ82" s="32"/>
      <c r="AK82" s="32"/>
      <c r="AL82" s="744"/>
    </row>
    <row r="83" spans="1:38" s="29" customFormat="1">
      <c r="A83" s="712"/>
      <c r="E83" s="30"/>
      <c r="G83" s="31"/>
      <c r="H83" s="306"/>
      <c r="I83" s="306"/>
      <c r="J83" s="306"/>
      <c r="K83" s="306"/>
      <c r="L83" s="306"/>
      <c r="M83" s="717"/>
      <c r="N83" s="31"/>
      <c r="O83" s="31"/>
      <c r="P83" s="31"/>
      <c r="Q83" s="717"/>
      <c r="R83" s="717"/>
      <c r="S83" s="32"/>
      <c r="T83" s="32"/>
      <c r="U83" s="32"/>
      <c r="V83" s="32"/>
      <c r="W83" s="32"/>
      <c r="X83" s="763"/>
      <c r="Y83" s="763"/>
      <c r="Z83" s="32"/>
      <c r="AA83" s="32"/>
      <c r="AB83" s="32"/>
      <c r="AC83" s="32"/>
      <c r="AD83" s="32"/>
      <c r="AE83" s="32"/>
      <c r="AF83" s="32"/>
      <c r="AG83" s="32"/>
      <c r="AH83" s="32"/>
      <c r="AI83" s="32"/>
      <c r="AJ83" s="32"/>
      <c r="AK83" s="32"/>
      <c r="AL83" s="744"/>
    </row>
    <row r="84" spans="1:38" s="29" customFormat="1">
      <c r="A84" s="712"/>
      <c r="E84" s="30"/>
      <c r="G84" s="31"/>
      <c r="H84" s="306"/>
      <c r="I84" s="306"/>
      <c r="J84" s="306"/>
      <c r="K84" s="306"/>
      <c r="L84" s="306"/>
      <c r="M84" s="717"/>
      <c r="N84" s="31"/>
      <c r="O84" s="31"/>
      <c r="P84" s="31"/>
      <c r="Q84" s="717"/>
      <c r="R84" s="717"/>
      <c r="S84" s="32"/>
      <c r="T84" s="32"/>
      <c r="U84" s="32"/>
      <c r="V84" s="32"/>
      <c r="W84" s="32"/>
      <c r="X84" s="763"/>
      <c r="Y84" s="763"/>
      <c r="Z84" s="32"/>
      <c r="AA84" s="32"/>
      <c r="AB84" s="32"/>
      <c r="AC84" s="32"/>
      <c r="AD84" s="32"/>
      <c r="AE84" s="32"/>
      <c r="AF84" s="32"/>
      <c r="AG84" s="32"/>
      <c r="AH84" s="32"/>
      <c r="AI84" s="32"/>
      <c r="AJ84" s="32"/>
      <c r="AK84" s="32"/>
      <c r="AL84" s="744"/>
    </row>
    <row r="85" spans="1:38" s="29" customFormat="1">
      <c r="A85" s="712"/>
      <c r="E85" s="30"/>
      <c r="G85" s="31"/>
      <c r="H85" s="306"/>
      <c r="I85" s="306"/>
      <c r="J85" s="306"/>
      <c r="K85" s="306"/>
      <c r="L85" s="306"/>
      <c r="M85" s="717"/>
      <c r="N85" s="31"/>
      <c r="O85" s="31"/>
      <c r="P85" s="31"/>
      <c r="Q85" s="717"/>
      <c r="R85" s="717"/>
      <c r="S85" s="32"/>
      <c r="T85" s="32"/>
      <c r="U85" s="32"/>
      <c r="V85" s="32"/>
      <c r="W85" s="32"/>
      <c r="X85" s="763"/>
      <c r="Y85" s="763"/>
      <c r="Z85" s="32"/>
      <c r="AA85" s="32"/>
      <c r="AB85" s="32"/>
      <c r="AC85" s="32"/>
      <c r="AD85" s="32"/>
      <c r="AE85" s="32"/>
      <c r="AF85" s="32"/>
      <c r="AG85" s="32"/>
      <c r="AH85" s="32"/>
      <c r="AI85" s="32"/>
      <c r="AJ85" s="32"/>
      <c r="AK85" s="32"/>
      <c r="AL85" s="744"/>
    </row>
    <row r="86" spans="1:38" s="29" customFormat="1">
      <c r="A86" s="712"/>
      <c r="E86" s="30"/>
      <c r="G86" s="31"/>
      <c r="H86" s="306"/>
      <c r="I86" s="306"/>
      <c r="J86" s="306"/>
      <c r="K86" s="306"/>
      <c r="L86" s="306"/>
      <c r="M86" s="717"/>
      <c r="N86" s="31"/>
      <c r="O86" s="31"/>
      <c r="P86" s="31"/>
      <c r="Q86" s="717"/>
      <c r="R86" s="717"/>
      <c r="S86" s="32"/>
      <c r="T86" s="32"/>
      <c r="U86" s="32"/>
      <c r="V86" s="32"/>
      <c r="W86" s="32"/>
      <c r="X86" s="763"/>
      <c r="Y86" s="763"/>
      <c r="Z86" s="32"/>
      <c r="AA86" s="32"/>
      <c r="AB86" s="32"/>
      <c r="AC86" s="32"/>
      <c r="AD86" s="32"/>
      <c r="AE86" s="32"/>
      <c r="AF86" s="32"/>
      <c r="AG86" s="32"/>
      <c r="AH86" s="32"/>
      <c r="AI86" s="32"/>
      <c r="AJ86" s="32"/>
      <c r="AK86" s="32"/>
      <c r="AL86" s="744"/>
    </row>
    <row r="87" spans="1:38" s="29" customFormat="1">
      <c r="A87" s="712"/>
      <c r="E87" s="30"/>
      <c r="G87" s="31"/>
      <c r="H87" s="306"/>
      <c r="I87" s="306"/>
      <c r="J87" s="306"/>
      <c r="K87" s="306"/>
      <c r="L87" s="306"/>
      <c r="M87" s="717"/>
      <c r="N87" s="31"/>
      <c r="O87" s="31"/>
      <c r="P87" s="31"/>
      <c r="Q87" s="717"/>
      <c r="R87" s="717"/>
      <c r="S87" s="32"/>
      <c r="T87" s="32"/>
      <c r="U87" s="32"/>
      <c r="V87" s="32"/>
      <c r="W87" s="32"/>
      <c r="X87" s="763"/>
      <c r="Y87" s="763"/>
      <c r="Z87" s="32"/>
      <c r="AA87" s="32"/>
      <c r="AB87" s="32"/>
      <c r="AC87" s="32"/>
      <c r="AD87" s="32"/>
      <c r="AE87" s="32"/>
      <c r="AF87" s="32"/>
      <c r="AG87" s="32"/>
      <c r="AH87" s="32"/>
      <c r="AI87" s="32"/>
      <c r="AJ87" s="32"/>
      <c r="AK87" s="32"/>
      <c r="AL87" s="744"/>
    </row>
    <row r="88" spans="1:38" s="29" customFormat="1">
      <c r="A88" s="712"/>
      <c r="E88" s="30"/>
      <c r="G88" s="31"/>
      <c r="H88" s="306"/>
      <c r="I88" s="306"/>
      <c r="J88" s="306"/>
      <c r="K88" s="306"/>
      <c r="L88" s="306"/>
      <c r="M88" s="717"/>
      <c r="N88" s="31"/>
      <c r="O88" s="31"/>
      <c r="P88" s="31"/>
      <c r="Q88" s="717"/>
      <c r="R88" s="717"/>
      <c r="S88" s="32"/>
      <c r="T88" s="32"/>
      <c r="U88" s="32"/>
      <c r="V88" s="32"/>
      <c r="W88" s="32"/>
      <c r="X88" s="763"/>
      <c r="Y88" s="763"/>
      <c r="Z88" s="32"/>
      <c r="AA88" s="32"/>
      <c r="AB88" s="32"/>
      <c r="AC88" s="32"/>
      <c r="AD88" s="32"/>
      <c r="AE88" s="32"/>
      <c r="AF88" s="32"/>
      <c r="AG88" s="32"/>
      <c r="AH88" s="32"/>
      <c r="AI88" s="32"/>
      <c r="AJ88" s="32"/>
      <c r="AK88" s="32"/>
      <c r="AL88" s="744"/>
    </row>
    <row r="89" spans="1:38" s="29" customFormat="1">
      <c r="A89" s="712"/>
      <c r="E89" s="30"/>
      <c r="G89" s="31"/>
      <c r="H89" s="306"/>
      <c r="I89" s="306"/>
      <c r="J89" s="306"/>
      <c r="K89" s="306"/>
      <c r="L89" s="306"/>
      <c r="M89" s="717"/>
      <c r="N89" s="31"/>
      <c r="O89" s="31"/>
      <c r="P89" s="31"/>
      <c r="Q89" s="717"/>
      <c r="R89" s="717"/>
      <c r="S89" s="32"/>
      <c r="T89" s="32"/>
      <c r="U89" s="32"/>
      <c r="V89" s="32"/>
      <c r="W89" s="32"/>
      <c r="X89" s="763"/>
      <c r="Y89" s="763"/>
      <c r="Z89" s="32"/>
      <c r="AA89" s="32"/>
      <c r="AB89" s="32"/>
      <c r="AC89" s="32"/>
      <c r="AD89" s="32"/>
      <c r="AE89" s="32"/>
      <c r="AF89" s="32"/>
      <c r="AG89" s="32"/>
      <c r="AH89" s="32"/>
      <c r="AI89" s="32"/>
      <c r="AJ89" s="32"/>
      <c r="AK89" s="32"/>
      <c r="AL89" s="744"/>
    </row>
    <row r="90" spans="1:38" s="29" customFormat="1">
      <c r="A90" s="712"/>
      <c r="E90" s="30"/>
      <c r="G90" s="31"/>
      <c r="H90" s="306"/>
      <c r="I90" s="306"/>
      <c r="J90" s="306"/>
      <c r="K90" s="306"/>
      <c r="L90" s="306"/>
      <c r="M90" s="717"/>
      <c r="N90" s="31"/>
      <c r="O90" s="31"/>
      <c r="P90" s="31"/>
      <c r="Q90" s="717"/>
      <c r="R90" s="717"/>
      <c r="S90" s="32"/>
      <c r="T90" s="32"/>
      <c r="U90" s="32"/>
      <c r="V90" s="32"/>
      <c r="W90" s="32"/>
      <c r="X90" s="763"/>
      <c r="Y90" s="763"/>
      <c r="Z90" s="32"/>
      <c r="AA90" s="32"/>
      <c r="AB90" s="32"/>
      <c r="AC90" s="32"/>
      <c r="AD90" s="32"/>
      <c r="AE90" s="32"/>
      <c r="AF90" s="32"/>
      <c r="AG90" s="32"/>
      <c r="AH90" s="32"/>
      <c r="AI90" s="32"/>
      <c r="AJ90" s="32"/>
      <c r="AK90" s="32"/>
      <c r="AL90" s="744"/>
    </row>
    <row r="91" spans="1:38" s="29" customFormat="1">
      <c r="A91" s="712"/>
      <c r="E91" s="30"/>
      <c r="G91" s="31"/>
      <c r="H91" s="306"/>
      <c r="I91" s="306"/>
      <c r="J91" s="306"/>
      <c r="K91" s="306"/>
      <c r="L91" s="306"/>
      <c r="M91" s="717"/>
      <c r="N91" s="31"/>
      <c r="O91" s="31"/>
      <c r="P91" s="31"/>
      <c r="Q91" s="717"/>
      <c r="R91" s="717"/>
      <c r="S91" s="32"/>
      <c r="T91" s="32"/>
      <c r="U91" s="32"/>
      <c r="V91" s="32"/>
      <c r="W91" s="32"/>
      <c r="X91" s="763"/>
      <c r="Y91" s="763"/>
      <c r="Z91" s="32"/>
      <c r="AA91" s="32"/>
      <c r="AB91" s="32"/>
      <c r="AC91" s="32"/>
      <c r="AD91" s="32"/>
      <c r="AE91" s="32"/>
      <c r="AF91" s="32"/>
      <c r="AG91" s="32"/>
      <c r="AH91" s="32"/>
      <c r="AI91" s="32"/>
      <c r="AJ91" s="32"/>
      <c r="AK91" s="32"/>
      <c r="AL91" s="744"/>
    </row>
    <row r="92" spans="1:38" s="29" customFormat="1">
      <c r="A92" s="712"/>
      <c r="E92" s="30"/>
      <c r="G92" s="31"/>
      <c r="H92" s="306"/>
      <c r="I92" s="306"/>
      <c r="J92" s="306"/>
      <c r="K92" s="306"/>
      <c r="L92" s="306"/>
      <c r="M92" s="717"/>
      <c r="N92" s="31"/>
      <c r="O92" s="31"/>
      <c r="P92" s="31"/>
      <c r="Q92" s="717"/>
      <c r="R92" s="717"/>
      <c r="S92" s="32"/>
      <c r="T92" s="32"/>
      <c r="U92" s="32"/>
      <c r="V92" s="32"/>
      <c r="W92" s="32"/>
      <c r="X92" s="763"/>
      <c r="Y92" s="763"/>
      <c r="Z92" s="32"/>
      <c r="AA92" s="32"/>
      <c r="AB92" s="32"/>
      <c r="AC92" s="32"/>
      <c r="AD92" s="32"/>
      <c r="AE92" s="32"/>
      <c r="AF92" s="32"/>
      <c r="AG92" s="32"/>
      <c r="AH92" s="32"/>
      <c r="AI92" s="32"/>
      <c r="AJ92" s="32"/>
      <c r="AK92" s="32"/>
      <c r="AL92" s="744"/>
    </row>
    <row r="93" spans="1:38" s="29" customFormat="1">
      <c r="A93" s="712"/>
      <c r="E93" s="30"/>
      <c r="G93" s="31"/>
      <c r="H93" s="306"/>
      <c r="I93" s="306"/>
      <c r="J93" s="306"/>
      <c r="K93" s="306"/>
      <c r="L93" s="306"/>
      <c r="M93" s="717"/>
      <c r="N93" s="31"/>
      <c r="O93" s="31"/>
      <c r="P93" s="31"/>
      <c r="Q93" s="717"/>
      <c r="R93" s="717"/>
      <c r="S93" s="32"/>
      <c r="T93" s="32"/>
      <c r="U93" s="32"/>
      <c r="V93" s="32"/>
      <c r="W93" s="32"/>
      <c r="X93" s="763"/>
      <c r="Y93" s="763"/>
      <c r="Z93" s="32"/>
      <c r="AA93" s="32"/>
      <c r="AB93" s="32"/>
      <c r="AC93" s="32"/>
      <c r="AD93" s="32"/>
      <c r="AE93" s="32"/>
      <c r="AF93" s="32"/>
      <c r="AG93" s="32"/>
      <c r="AH93" s="32"/>
      <c r="AI93" s="32"/>
      <c r="AJ93" s="32"/>
      <c r="AK93" s="32"/>
      <c r="AL93" s="744"/>
    </row>
    <row r="94" spans="1:38" s="29" customFormat="1">
      <c r="A94" s="712"/>
      <c r="E94" s="30"/>
      <c r="G94" s="31"/>
      <c r="H94" s="306"/>
      <c r="I94" s="306"/>
      <c r="J94" s="306"/>
      <c r="K94" s="306"/>
      <c r="L94" s="306"/>
      <c r="M94" s="717"/>
      <c r="N94" s="31"/>
      <c r="O94" s="31"/>
      <c r="P94" s="31"/>
      <c r="Q94" s="717"/>
      <c r="R94" s="717"/>
      <c r="S94" s="32"/>
      <c r="T94" s="32"/>
      <c r="U94" s="32"/>
      <c r="V94" s="32"/>
      <c r="W94" s="32"/>
      <c r="X94" s="763"/>
      <c r="Y94" s="763"/>
      <c r="Z94" s="32"/>
      <c r="AA94" s="32"/>
      <c r="AB94" s="32"/>
      <c r="AC94" s="32"/>
      <c r="AD94" s="32"/>
      <c r="AE94" s="32"/>
      <c r="AF94" s="32"/>
      <c r="AG94" s="32"/>
      <c r="AH94" s="32"/>
      <c r="AI94" s="32"/>
      <c r="AJ94" s="32"/>
      <c r="AK94" s="32"/>
      <c r="AL94" s="744"/>
    </row>
    <row r="95" spans="1:38" s="29" customFormat="1">
      <c r="A95" s="712"/>
      <c r="E95" s="30"/>
      <c r="G95" s="31"/>
      <c r="H95" s="306"/>
      <c r="I95" s="306"/>
      <c r="J95" s="306"/>
      <c r="K95" s="306"/>
      <c r="L95" s="306"/>
      <c r="M95" s="717"/>
      <c r="N95" s="31"/>
      <c r="O95" s="31"/>
      <c r="P95" s="31"/>
      <c r="Q95" s="717"/>
      <c r="R95" s="717"/>
      <c r="S95" s="32"/>
      <c r="T95" s="32"/>
      <c r="U95" s="32"/>
      <c r="V95" s="32"/>
      <c r="W95" s="32"/>
      <c r="X95" s="763"/>
      <c r="Y95" s="763"/>
      <c r="Z95" s="32"/>
      <c r="AA95" s="32"/>
      <c r="AB95" s="32"/>
      <c r="AC95" s="32"/>
      <c r="AD95" s="32"/>
      <c r="AE95" s="32"/>
      <c r="AF95" s="32"/>
      <c r="AG95" s="32"/>
      <c r="AH95" s="32"/>
      <c r="AI95" s="32"/>
      <c r="AJ95" s="32"/>
      <c r="AK95" s="32"/>
      <c r="AL95" s="744"/>
    </row>
    <row r="96" spans="1:38" s="29" customFormat="1">
      <c r="A96" s="712"/>
      <c r="E96" s="30"/>
      <c r="G96" s="31"/>
      <c r="H96" s="306"/>
      <c r="I96" s="306"/>
      <c r="J96" s="306"/>
      <c r="K96" s="306"/>
      <c r="L96" s="306"/>
      <c r="M96" s="717"/>
      <c r="N96" s="31"/>
      <c r="O96" s="31"/>
      <c r="P96" s="31"/>
      <c r="Q96" s="717"/>
      <c r="R96" s="717"/>
      <c r="S96" s="32"/>
      <c r="T96" s="32"/>
      <c r="U96" s="32"/>
      <c r="V96" s="32"/>
      <c r="W96" s="32"/>
      <c r="X96" s="763"/>
      <c r="Y96" s="763"/>
      <c r="Z96" s="32"/>
      <c r="AA96" s="32"/>
      <c r="AB96" s="32"/>
      <c r="AC96" s="32"/>
      <c r="AD96" s="32"/>
      <c r="AE96" s="32"/>
      <c r="AF96" s="32"/>
      <c r="AG96" s="32"/>
      <c r="AH96" s="32"/>
      <c r="AI96" s="32"/>
      <c r="AJ96" s="32"/>
      <c r="AK96" s="32"/>
      <c r="AL96" s="744"/>
    </row>
    <row r="97" spans="1:38" s="29" customFormat="1">
      <c r="A97" s="712"/>
      <c r="E97" s="30"/>
      <c r="G97" s="31"/>
      <c r="H97" s="306"/>
      <c r="I97" s="306"/>
      <c r="J97" s="306"/>
      <c r="K97" s="306"/>
      <c r="L97" s="306"/>
      <c r="M97" s="717"/>
      <c r="N97" s="31"/>
      <c r="O97" s="31"/>
      <c r="P97" s="31"/>
      <c r="Q97" s="717"/>
      <c r="R97" s="717"/>
      <c r="S97" s="32"/>
      <c r="T97" s="32"/>
      <c r="U97" s="32"/>
      <c r="V97" s="32"/>
      <c r="W97" s="32"/>
      <c r="X97" s="763"/>
      <c r="Y97" s="763"/>
      <c r="Z97" s="32"/>
      <c r="AA97" s="32"/>
      <c r="AB97" s="32"/>
      <c r="AC97" s="32"/>
      <c r="AD97" s="32"/>
      <c r="AE97" s="32"/>
      <c r="AF97" s="32"/>
      <c r="AG97" s="32"/>
      <c r="AH97" s="32"/>
      <c r="AI97" s="32"/>
      <c r="AJ97" s="32"/>
      <c r="AK97" s="32"/>
      <c r="AL97" s="744"/>
    </row>
    <row r="98" spans="1:38" s="29" customFormat="1">
      <c r="A98" s="712"/>
      <c r="E98" s="30"/>
      <c r="G98" s="31"/>
      <c r="H98" s="306"/>
      <c r="I98" s="306"/>
      <c r="J98" s="306"/>
      <c r="K98" s="306"/>
      <c r="L98" s="306"/>
      <c r="M98" s="717"/>
      <c r="N98" s="31"/>
      <c r="O98" s="31"/>
      <c r="P98" s="31"/>
      <c r="Q98" s="717"/>
      <c r="R98" s="717"/>
      <c r="S98" s="32"/>
      <c r="T98" s="32"/>
      <c r="U98" s="32"/>
      <c r="V98" s="32"/>
      <c r="W98" s="32"/>
      <c r="X98" s="763"/>
      <c r="Y98" s="763"/>
      <c r="Z98" s="32"/>
      <c r="AA98" s="32"/>
      <c r="AB98" s="32"/>
      <c r="AC98" s="32"/>
      <c r="AD98" s="32"/>
      <c r="AE98" s="32"/>
      <c r="AF98" s="32"/>
      <c r="AG98" s="32"/>
      <c r="AH98" s="32"/>
      <c r="AI98" s="32"/>
      <c r="AJ98" s="32"/>
      <c r="AK98" s="32"/>
      <c r="AL98" s="744"/>
    </row>
    <row r="99" spans="1:38" s="29" customFormat="1">
      <c r="A99" s="712"/>
      <c r="E99" s="30"/>
      <c r="G99" s="31"/>
      <c r="H99" s="306"/>
      <c r="I99" s="306"/>
      <c r="J99" s="306"/>
      <c r="K99" s="306"/>
      <c r="L99" s="306"/>
      <c r="M99" s="717"/>
      <c r="N99" s="31"/>
      <c r="O99" s="31"/>
      <c r="P99" s="31"/>
      <c r="Q99" s="717"/>
      <c r="R99" s="717"/>
      <c r="S99" s="32"/>
      <c r="T99" s="32"/>
      <c r="U99" s="32"/>
      <c r="V99" s="32"/>
      <c r="W99" s="32"/>
      <c r="X99" s="763"/>
      <c r="Y99" s="763"/>
      <c r="Z99" s="32"/>
      <c r="AA99" s="32"/>
      <c r="AB99" s="32"/>
      <c r="AC99" s="32"/>
      <c r="AD99" s="32"/>
      <c r="AE99" s="32"/>
      <c r="AF99" s="32"/>
      <c r="AG99" s="32"/>
      <c r="AH99" s="32"/>
      <c r="AI99" s="32"/>
      <c r="AJ99" s="32"/>
      <c r="AK99" s="32"/>
      <c r="AL99" s="744"/>
    </row>
    <row r="100" spans="1:38" s="29" customFormat="1">
      <c r="A100" s="712"/>
      <c r="E100" s="30"/>
      <c r="G100" s="31"/>
      <c r="H100" s="306"/>
      <c r="I100" s="306"/>
      <c r="J100" s="306"/>
      <c r="K100" s="306"/>
      <c r="L100" s="306"/>
      <c r="M100" s="717"/>
      <c r="N100" s="31"/>
      <c r="O100" s="31"/>
      <c r="P100" s="31"/>
      <c r="Q100" s="717"/>
      <c r="R100" s="717"/>
      <c r="S100" s="32"/>
      <c r="T100" s="32"/>
      <c r="U100" s="32"/>
      <c r="V100" s="32"/>
      <c r="W100" s="32"/>
      <c r="X100" s="763"/>
      <c r="Y100" s="763"/>
      <c r="Z100" s="32"/>
      <c r="AA100" s="32"/>
      <c r="AB100" s="32"/>
      <c r="AC100" s="32"/>
      <c r="AD100" s="32"/>
      <c r="AE100" s="32"/>
      <c r="AF100" s="32"/>
      <c r="AG100" s="32"/>
      <c r="AH100" s="32"/>
      <c r="AI100" s="32"/>
      <c r="AJ100" s="32"/>
      <c r="AK100" s="32"/>
      <c r="AL100" s="744"/>
    </row>
    <row r="101" spans="1:38" s="29" customFormat="1">
      <c r="A101" s="712"/>
      <c r="E101" s="30"/>
      <c r="G101" s="31"/>
      <c r="H101" s="306"/>
      <c r="I101" s="306"/>
      <c r="J101" s="306"/>
      <c r="K101" s="306"/>
      <c r="L101" s="306"/>
      <c r="M101" s="717"/>
      <c r="N101" s="31"/>
      <c r="O101" s="31"/>
      <c r="P101" s="31"/>
      <c r="Q101" s="717"/>
      <c r="R101" s="717"/>
      <c r="S101" s="32"/>
      <c r="T101" s="32"/>
      <c r="U101" s="32"/>
      <c r="V101" s="32"/>
      <c r="W101" s="32"/>
      <c r="X101" s="763"/>
      <c r="Y101" s="763"/>
      <c r="Z101" s="32"/>
      <c r="AA101" s="32"/>
      <c r="AB101" s="32"/>
      <c r="AC101" s="32"/>
      <c r="AD101" s="32"/>
      <c r="AE101" s="32"/>
      <c r="AF101" s="32"/>
      <c r="AG101" s="32"/>
      <c r="AH101" s="32"/>
      <c r="AI101" s="32"/>
      <c r="AJ101" s="32"/>
      <c r="AK101" s="32"/>
      <c r="AL101" s="744"/>
    </row>
    <row r="102" spans="1:38" s="29" customFormat="1">
      <c r="A102" s="712"/>
      <c r="E102" s="30"/>
      <c r="G102" s="31"/>
      <c r="H102" s="306"/>
      <c r="I102" s="307"/>
      <c r="J102" s="307"/>
      <c r="K102" s="307"/>
      <c r="L102" s="306"/>
      <c r="M102" s="717"/>
      <c r="N102" s="31"/>
      <c r="O102" s="31"/>
      <c r="P102" s="31"/>
      <c r="Q102" s="717"/>
      <c r="R102" s="717"/>
      <c r="S102" s="32"/>
      <c r="T102" s="32"/>
      <c r="U102" s="32"/>
      <c r="V102" s="32"/>
      <c r="W102" s="32"/>
      <c r="X102" s="763"/>
      <c r="Y102" s="763"/>
      <c r="Z102" s="32"/>
      <c r="AA102" s="32"/>
      <c r="AB102" s="32"/>
      <c r="AC102" s="32"/>
      <c r="AD102" s="32"/>
      <c r="AE102" s="32"/>
      <c r="AF102" s="32"/>
      <c r="AG102" s="32"/>
      <c r="AH102" s="32"/>
      <c r="AI102" s="32"/>
      <c r="AJ102" s="32"/>
      <c r="AK102" s="32"/>
      <c r="AL102" s="744"/>
    </row>
    <row r="103" spans="1:38" s="29" customFormat="1">
      <c r="A103" s="712"/>
      <c r="E103" s="30"/>
      <c r="G103" s="31"/>
      <c r="H103" s="306"/>
      <c r="I103" s="307"/>
      <c r="J103" s="307"/>
      <c r="K103" s="307"/>
      <c r="L103" s="306"/>
      <c r="M103" s="717"/>
      <c r="N103" s="31"/>
      <c r="O103" s="31"/>
      <c r="P103" s="31"/>
      <c r="Q103" s="717"/>
      <c r="R103" s="717"/>
      <c r="S103" s="32"/>
      <c r="T103" s="32"/>
      <c r="U103" s="32"/>
      <c r="V103" s="32"/>
      <c r="W103" s="32"/>
      <c r="X103" s="763"/>
      <c r="Y103" s="763"/>
      <c r="Z103" s="32"/>
      <c r="AA103" s="32"/>
      <c r="AB103" s="32"/>
      <c r="AC103" s="32"/>
      <c r="AD103" s="32"/>
      <c r="AE103" s="32"/>
      <c r="AF103" s="32"/>
      <c r="AG103" s="32"/>
      <c r="AH103" s="32"/>
      <c r="AI103" s="32"/>
      <c r="AJ103" s="32"/>
      <c r="AK103" s="32"/>
      <c r="AL103" s="744"/>
    </row>
    <row r="104" spans="1:38" s="29" customFormat="1">
      <c r="A104" s="712"/>
      <c r="E104" s="30"/>
      <c r="G104" s="31"/>
      <c r="H104" s="306"/>
      <c r="I104" s="307"/>
      <c r="J104" s="307"/>
      <c r="K104" s="307"/>
      <c r="L104" s="306"/>
      <c r="M104" s="717"/>
      <c r="N104" s="31"/>
      <c r="O104" s="31"/>
      <c r="P104" s="31"/>
      <c r="Q104" s="717"/>
      <c r="R104" s="717"/>
      <c r="S104" s="32"/>
      <c r="T104" s="32"/>
      <c r="U104" s="32"/>
      <c r="V104" s="32"/>
      <c r="W104" s="32"/>
      <c r="X104" s="763"/>
      <c r="Y104" s="763"/>
      <c r="Z104" s="32"/>
      <c r="AA104" s="32"/>
      <c r="AB104" s="32"/>
      <c r="AC104" s="32"/>
      <c r="AD104" s="32"/>
      <c r="AE104" s="32"/>
      <c r="AF104" s="32"/>
      <c r="AG104" s="32"/>
      <c r="AH104" s="32"/>
      <c r="AI104" s="32"/>
      <c r="AJ104" s="32"/>
      <c r="AK104" s="32"/>
      <c r="AL104" s="744"/>
    </row>
    <row r="105" spans="1:38" s="29" customFormat="1">
      <c r="A105" s="712"/>
      <c r="E105" s="30"/>
      <c r="G105" s="31"/>
      <c r="H105" s="306"/>
      <c r="I105" s="307"/>
      <c r="J105" s="307"/>
      <c r="K105" s="307"/>
      <c r="L105" s="306"/>
      <c r="M105" s="717"/>
      <c r="N105" s="31"/>
      <c r="O105" s="31"/>
      <c r="P105" s="31"/>
      <c r="Q105" s="717"/>
      <c r="R105" s="717"/>
      <c r="S105" s="32"/>
      <c r="T105" s="32"/>
      <c r="U105" s="32"/>
      <c r="V105" s="32"/>
      <c r="W105" s="32"/>
      <c r="X105" s="763"/>
      <c r="Y105" s="763"/>
      <c r="Z105" s="32"/>
      <c r="AA105" s="32"/>
      <c r="AB105" s="32"/>
      <c r="AC105" s="32"/>
      <c r="AD105" s="32"/>
      <c r="AE105" s="32"/>
      <c r="AF105" s="32"/>
      <c r="AG105" s="32"/>
      <c r="AH105" s="32"/>
      <c r="AI105" s="32"/>
      <c r="AJ105" s="32"/>
      <c r="AK105" s="32"/>
      <c r="AL105" s="744"/>
    </row>
    <row r="106" spans="1:38" s="29" customFormat="1">
      <c r="A106" s="712"/>
      <c r="E106" s="30"/>
      <c r="G106" s="31"/>
      <c r="H106" s="306"/>
      <c r="I106" s="307"/>
      <c r="J106" s="307"/>
      <c r="K106" s="307"/>
      <c r="L106" s="306"/>
      <c r="M106" s="717"/>
      <c r="N106" s="31"/>
      <c r="O106" s="31"/>
      <c r="P106" s="31"/>
      <c r="Q106" s="717"/>
      <c r="R106" s="717"/>
      <c r="S106" s="32"/>
      <c r="T106" s="32"/>
      <c r="U106" s="32"/>
      <c r="V106" s="32"/>
      <c r="W106" s="32"/>
      <c r="X106" s="763"/>
      <c r="Y106" s="763"/>
      <c r="Z106" s="32"/>
      <c r="AA106" s="32"/>
      <c r="AB106" s="32"/>
      <c r="AC106" s="32"/>
      <c r="AD106" s="32"/>
      <c r="AE106" s="32"/>
      <c r="AF106" s="32"/>
      <c r="AG106" s="32"/>
      <c r="AH106" s="32"/>
      <c r="AI106" s="32"/>
      <c r="AJ106" s="32"/>
      <c r="AK106" s="32"/>
      <c r="AL106" s="744"/>
    </row>
    <row r="107" spans="1:38" s="29" customFormat="1">
      <c r="A107" s="712"/>
      <c r="E107" s="30"/>
      <c r="G107" s="31"/>
      <c r="H107" s="306"/>
      <c r="I107" s="307"/>
      <c r="J107" s="307"/>
      <c r="K107" s="307"/>
      <c r="L107" s="306"/>
      <c r="M107" s="717"/>
      <c r="N107" s="31"/>
      <c r="O107" s="31"/>
      <c r="P107" s="31"/>
      <c r="Q107" s="717"/>
      <c r="R107" s="717"/>
      <c r="S107" s="32"/>
      <c r="T107" s="32"/>
      <c r="U107" s="32"/>
      <c r="V107" s="32"/>
      <c r="W107" s="32"/>
      <c r="X107" s="763"/>
      <c r="Y107" s="763"/>
      <c r="Z107" s="32"/>
      <c r="AA107" s="32"/>
      <c r="AB107" s="32"/>
      <c r="AC107" s="32"/>
      <c r="AD107" s="32"/>
      <c r="AE107" s="32"/>
      <c r="AF107" s="32"/>
      <c r="AG107" s="32"/>
      <c r="AH107" s="32"/>
      <c r="AI107" s="32"/>
      <c r="AJ107" s="32"/>
      <c r="AK107" s="32"/>
      <c r="AL107" s="744"/>
    </row>
    <row r="108" spans="1:38" s="29" customFormat="1">
      <c r="A108" s="712"/>
      <c r="E108" s="30"/>
      <c r="G108" s="31"/>
      <c r="H108" s="306"/>
      <c r="I108" s="307"/>
      <c r="J108" s="307"/>
      <c r="K108" s="307"/>
      <c r="L108" s="306"/>
      <c r="M108" s="717"/>
      <c r="N108" s="31"/>
      <c r="O108" s="31"/>
      <c r="P108" s="31"/>
      <c r="Q108" s="717"/>
      <c r="R108" s="717"/>
      <c r="S108" s="32"/>
      <c r="T108" s="32"/>
      <c r="U108" s="32"/>
      <c r="V108" s="32"/>
      <c r="W108" s="32"/>
      <c r="X108" s="763"/>
      <c r="Y108" s="763"/>
      <c r="Z108" s="32"/>
      <c r="AA108" s="32"/>
      <c r="AB108" s="32"/>
      <c r="AC108" s="32"/>
      <c r="AD108" s="32"/>
      <c r="AE108" s="32"/>
      <c r="AF108" s="32"/>
      <c r="AG108" s="32"/>
      <c r="AH108" s="32"/>
      <c r="AI108" s="32"/>
      <c r="AJ108" s="32"/>
      <c r="AK108" s="32"/>
      <c r="AL108" s="744"/>
    </row>
    <row r="109" spans="1:38" s="29" customFormat="1">
      <c r="A109" s="712"/>
      <c r="E109" s="30"/>
      <c r="G109" s="31"/>
      <c r="H109" s="306"/>
      <c r="I109" s="307"/>
      <c r="J109" s="307"/>
      <c r="K109" s="307"/>
      <c r="L109" s="306"/>
      <c r="M109" s="717"/>
      <c r="N109" s="31"/>
      <c r="O109" s="31"/>
      <c r="P109" s="31"/>
      <c r="Q109" s="717"/>
      <c r="R109" s="717"/>
      <c r="S109" s="32"/>
      <c r="T109" s="32"/>
      <c r="U109" s="32"/>
      <c r="V109" s="32"/>
      <c r="W109" s="32"/>
      <c r="X109" s="763"/>
      <c r="Y109" s="763"/>
      <c r="Z109" s="32"/>
      <c r="AA109" s="32"/>
      <c r="AB109" s="32"/>
      <c r="AC109" s="32"/>
      <c r="AD109" s="32"/>
      <c r="AE109" s="32"/>
      <c r="AF109" s="32"/>
      <c r="AG109" s="32"/>
      <c r="AH109" s="32"/>
      <c r="AI109" s="32"/>
      <c r="AJ109" s="32"/>
      <c r="AK109" s="32"/>
      <c r="AL109" s="744"/>
    </row>
    <row r="110" spans="1:38" s="29" customFormat="1">
      <c r="A110" s="712"/>
      <c r="E110" s="30"/>
      <c r="G110" s="31"/>
      <c r="H110" s="306"/>
      <c r="I110" s="307"/>
      <c r="J110" s="307"/>
      <c r="K110" s="307"/>
      <c r="L110" s="306"/>
      <c r="M110" s="717"/>
      <c r="N110" s="31"/>
      <c r="O110" s="31"/>
      <c r="P110" s="31"/>
      <c r="Q110" s="717"/>
      <c r="R110" s="717"/>
      <c r="S110" s="32"/>
      <c r="T110" s="32"/>
      <c r="U110" s="32"/>
      <c r="V110" s="32"/>
      <c r="W110" s="32"/>
      <c r="X110" s="763"/>
      <c r="Y110" s="763"/>
      <c r="Z110" s="32"/>
      <c r="AA110" s="32"/>
      <c r="AB110" s="32"/>
      <c r="AC110" s="32"/>
      <c r="AD110" s="32"/>
      <c r="AE110" s="32"/>
      <c r="AF110" s="32"/>
      <c r="AG110" s="32"/>
      <c r="AH110" s="32"/>
      <c r="AI110" s="32"/>
      <c r="AJ110" s="32"/>
      <c r="AK110" s="32"/>
      <c r="AL110" s="744"/>
    </row>
    <row r="111" spans="1:38" s="29" customFormat="1">
      <c r="A111" s="712"/>
      <c r="E111" s="30"/>
      <c r="G111" s="31"/>
      <c r="H111" s="306"/>
      <c r="I111" s="307"/>
      <c r="J111" s="307"/>
      <c r="K111" s="307"/>
      <c r="L111" s="306"/>
      <c r="M111" s="717"/>
      <c r="N111" s="31"/>
      <c r="O111" s="31"/>
      <c r="P111" s="31"/>
      <c r="Q111" s="717"/>
      <c r="R111" s="717"/>
      <c r="S111" s="32"/>
      <c r="T111" s="32"/>
      <c r="U111" s="32"/>
      <c r="V111" s="32"/>
      <c r="W111" s="32"/>
      <c r="X111" s="763"/>
      <c r="Y111" s="763"/>
      <c r="Z111" s="32"/>
      <c r="AA111" s="32"/>
      <c r="AB111" s="32"/>
      <c r="AC111" s="32"/>
      <c r="AD111" s="32"/>
      <c r="AE111" s="32"/>
      <c r="AF111" s="32"/>
      <c r="AG111" s="32"/>
      <c r="AH111" s="32"/>
      <c r="AI111" s="32"/>
      <c r="AJ111" s="32"/>
      <c r="AK111" s="32"/>
      <c r="AL111" s="744"/>
    </row>
    <row r="112" spans="1:38">
      <c r="L112" s="306"/>
    </row>
    <row r="113" spans="12:12">
      <c r="L113" s="306"/>
    </row>
    <row r="114" spans="12:12">
      <c r="L114" s="306"/>
    </row>
  </sheetData>
  <sheetProtection autoFilter="0" pivotTables="0"/>
  <autoFilter ref="A1:AQ73"/>
  <conditionalFormatting sqref="E72:E74 E62 E10 E3:E4 E76:E1048576 E16 E22 E26 E6 E12 E18 E24 E28 E30 E32 E34 E38 E40 E42 E44 E46 E48 E50 E52 E54 E56 E58 E60 E64 E68 E70">
    <cfRule type="duplicateValues" dxfId="345" priority="187"/>
  </conditionalFormatting>
  <conditionalFormatting sqref="E72 E62 E58 E52 E50 E48 E46 E26 E24 E22 E12 E3:E4 E16 E10 E28 E6 E18 E30 E32 E34 E38 E40 E42 E44 E54 E56 E60 E64 E68 E70">
    <cfRule type="duplicateValues" dxfId="344" priority="184"/>
  </conditionalFormatting>
  <conditionalFormatting sqref="E20">
    <cfRule type="duplicateValues" dxfId="343" priority="159"/>
  </conditionalFormatting>
  <conditionalFormatting sqref="I71">
    <cfRule type="duplicateValues" dxfId="342" priority="145"/>
  </conditionalFormatting>
  <conditionalFormatting sqref="I11">
    <cfRule type="duplicateValues" dxfId="341" priority="139"/>
  </conditionalFormatting>
  <conditionalFormatting sqref="I34">
    <cfRule type="duplicateValues" dxfId="340" priority="129"/>
  </conditionalFormatting>
  <conditionalFormatting sqref="I34">
    <cfRule type="duplicateValues" dxfId="339" priority="128"/>
  </conditionalFormatting>
  <conditionalFormatting sqref="I36">
    <cfRule type="duplicateValues" dxfId="338" priority="126"/>
  </conditionalFormatting>
  <conditionalFormatting sqref="I36">
    <cfRule type="duplicateValues" dxfId="337" priority="127"/>
  </conditionalFormatting>
  <conditionalFormatting sqref="E35">
    <cfRule type="duplicateValues" dxfId="336" priority="76"/>
  </conditionalFormatting>
  <conditionalFormatting sqref="E35">
    <cfRule type="duplicateValues" dxfId="335" priority="75"/>
  </conditionalFormatting>
  <conditionalFormatting sqref="E35">
    <cfRule type="duplicateValues" dxfId="334" priority="77"/>
  </conditionalFormatting>
  <conditionalFormatting sqref="E67">
    <cfRule type="duplicateValues" dxfId="333" priority="25"/>
  </conditionalFormatting>
  <conditionalFormatting sqref="E67">
    <cfRule type="duplicateValues" dxfId="332" priority="24"/>
  </conditionalFormatting>
  <conditionalFormatting sqref="E67">
    <cfRule type="duplicateValues" dxfId="331" priority="26"/>
  </conditionalFormatting>
  <conditionalFormatting sqref="E69">
    <cfRule type="duplicateValues" dxfId="330" priority="22"/>
  </conditionalFormatting>
  <conditionalFormatting sqref="E69">
    <cfRule type="duplicateValues" dxfId="329" priority="21"/>
  </conditionalFormatting>
  <conditionalFormatting sqref="E69">
    <cfRule type="duplicateValues" dxfId="328" priority="23"/>
  </conditionalFormatting>
  <conditionalFormatting sqref="E71">
    <cfRule type="duplicateValues" dxfId="327" priority="16"/>
  </conditionalFormatting>
  <conditionalFormatting sqref="E71">
    <cfRule type="duplicateValues" dxfId="326" priority="15"/>
  </conditionalFormatting>
  <conditionalFormatting sqref="E71">
    <cfRule type="duplicateValues" dxfId="325" priority="17"/>
  </conditionalFormatting>
  <conditionalFormatting sqref="C34">
    <cfRule type="duplicateValues" dxfId="324" priority="8"/>
  </conditionalFormatting>
  <conditionalFormatting sqref="C34">
    <cfRule type="duplicateValues" dxfId="323" priority="7"/>
  </conditionalFormatting>
  <conditionalFormatting sqref="C36">
    <cfRule type="duplicateValues" dxfId="322" priority="6"/>
  </conditionalFormatting>
  <conditionalFormatting sqref="C36">
    <cfRule type="duplicateValues" dxfId="321" priority="5"/>
  </conditionalFormatting>
  <conditionalFormatting sqref="C36">
    <cfRule type="duplicateValues" dxfId="320" priority="4"/>
  </conditionalFormatting>
  <conditionalFormatting sqref="E36">
    <cfRule type="duplicateValues" dxfId="319" priority="3"/>
  </conditionalFormatting>
  <conditionalFormatting sqref="E36">
    <cfRule type="duplicateValues" dxfId="318" priority="2"/>
  </conditionalFormatting>
  <conditionalFormatting sqref="E36">
    <cfRule type="duplicateValues" dxfId="317" priority="1"/>
  </conditionalFormatting>
  <conditionalFormatting sqref="E65">
    <cfRule type="duplicateValues" dxfId="316" priority="2810"/>
  </conditionalFormatting>
  <conditionalFormatting sqref="E63">
    <cfRule type="duplicateValues" dxfId="315" priority="2904"/>
  </conditionalFormatting>
  <conditionalFormatting sqref="E61">
    <cfRule type="duplicateValues" dxfId="314" priority="2998"/>
  </conditionalFormatting>
  <conditionalFormatting sqref="E59">
    <cfRule type="duplicateValues" dxfId="313" priority="3091"/>
  </conditionalFormatting>
  <conditionalFormatting sqref="I58:I70 I24 I22 I26 I46 I48 I50 I16:I18 I35 I28:I33 I3:I5 I7:I14 I52:I56 I37:I44">
    <cfRule type="duplicateValues" dxfId="312" priority="3094"/>
  </conditionalFormatting>
  <conditionalFormatting sqref="E57">
    <cfRule type="duplicateValues" dxfId="311" priority="3184"/>
  </conditionalFormatting>
  <conditionalFormatting sqref="E55">
    <cfRule type="duplicateValues" dxfId="310" priority="3275"/>
  </conditionalFormatting>
  <conditionalFormatting sqref="E53">
    <cfRule type="duplicateValues" dxfId="309" priority="3367"/>
  </conditionalFormatting>
  <conditionalFormatting sqref="E51">
    <cfRule type="duplicateValues" dxfId="308" priority="3458"/>
  </conditionalFormatting>
  <conditionalFormatting sqref="E49">
    <cfRule type="duplicateValues" dxfId="307" priority="3548"/>
  </conditionalFormatting>
  <conditionalFormatting sqref="E47">
    <cfRule type="duplicateValues" dxfId="306" priority="3638"/>
  </conditionalFormatting>
  <conditionalFormatting sqref="E45">
    <cfRule type="duplicateValues" dxfId="305" priority="3728"/>
  </conditionalFormatting>
  <conditionalFormatting sqref="E43">
    <cfRule type="duplicateValues" dxfId="304" priority="3818"/>
  </conditionalFormatting>
  <conditionalFormatting sqref="E41">
    <cfRule type="duplicateValues" dxfId="303" priority="3909"/>
  </conditionalFormatting>
  <conditionalFormatting sqref="E39">
    <cfRule type="duplicateValues" dxfId="302" priority="4000"/>
  </conditionalFormatting>
  <conditionalFormatting sqref="I37">
    <cfRule type="duplicateValues" dxfId="301" priority="4091"/>
  </conditionalFormatting>
  <conditionalFormatting sqref="I35 I37">
    <cfRule type="duplicateValues" dxfId="300" priority="4092"/>
  </conditionalFormatting>
  <conditionalFormatting sqref="E37">
    <cfRule type="duplicateValues" dxfId="299" priority="4094"/>
  </conditionalFormatting>
  <conditionalFormatting sqref="I35 I21:I33 I7:I18 I2:I5 I37:I70">
    <cfRule type="duplicateValues" dxfId="298" priority="4116"/>
  </conditionalFormatting>
  <conditionalFormatting sqref="E33">
    <cfRule type="duplicateValues" dxfId="297" priority="4185"/>
  </conditionalFormatting>
  <conditionalFormatting sqref="E31">
    <cfRule type="duplicateValues" dxfId="296" priority="4254"/>
  </conditionalFormatting>
  <conditionalFormatting sqref="E29">
    <cfRule type="duplicateValues" dxfId="295" priority="4323"/>
  </conditionalFormatting>
  <conditionalFormatting sqref="E27">
    <cfRule type="duplicateValues" dxfId="294" priority="4392"/>
  </conditionalFormatting>
  <conditionalFormatting sqref="E25">
    <cfRule type="duplicateValues" dxfId="293" priority="4461"/>
  </conditionalFormatting>
  <conditionalFormatting sqref="E23">
    <cfRule type="duplicateValues" dxfId="292" priority="4530"/>
  </conditionalFormatting>
  <conditionalFormatting sqref="E21">
    <cfRule type="duplicateValues" dxfId="291" priority="4599"/>
  </conditionalFormatting>
  <conditionalFormatting sqref="E19">
    <cfRule type="duplicateValues" dxfId="290" priority="4667"/>
  </conditionalFormatting>
  <conditionalFormatting sqref="E17">
    <cfRule type="duplicateValues" dxfId="289" priority="4735"/>
  </conditionalFormatting>
  <conditionalFormatting sqref="E15">
    <cfRule type="duplicateValues" dxfId="288" priority="4803"/>
  </conditionalFormatting>
  <conditionalFormatting sqref="E13">
    <cfRule type="duplicateValues" dxfId="287" priority="4871"/>
  </conditionalFormatting>
  <conditionalFormatting sqref="E11">
    <cfRule type="duplicateValues" dxfId="286" priority="4940"/>
  </conditionalFormatting>
  <conditionalFormatting sqref="E9">
    <cfRule type="duplicateValues" dxfId="285" priority="5008"/>
  </conditionalFormatting>
  <conditionalFormatting sqref="E7">
    <cfRule type="duplicateValues" dxfId="284" priority="5076"/>
  </conditionalFormatting>
  <conditionalFormatting sqref="E5">
    <cfRule type="duplicateValues" dxfId="283" priority="5149"/>
  </conditionalFormatting>
  <conditionalFormatting sqref="E3:E4">
    <cfRule type="duplicateValues" dxfId="282" priority="5237"/>
  </conditionalFormatting>
  <conditionalFormatting sqref="I2:I5">
    <cfRule type="duplicateValues" dxfId="281" priority="5239"/>
  </conditionalFormatting>
  <hyperlinks>
    <hyperlink ref="B73" location="'Hoja índice'!A1" display="Indice"/>
    <hyperlink ref="A1" location="'Hoja índice'!A1" display="Indice"/>
  </hyperlinks>
  <pageMargins left="0.19685039370078741" right="0.19685039370078741" top="0.19685039370078741" bottom="0.19685039370078741" header="0.31496062992125984" footer="0.31496062992125984"/>
  <pageSetup paperSize="121" scale="54" orientation="landscape" r:id="rId1"/>
  <colBreaks count="1" manualBreakCount="1">
    <brk id="21" max="760" man="1"/>
  </colBreaks>
  <ignoredErrors>
    <ignoredError sqref="M4:R5 M72:R72 M70:R71 M68:R69 M66:R67 M64:R65 M62:R63 M60:R61 M58:R59 M56:R57 M54:R55 M52:R53 M50:R51 M48:R49 M46:R47 M44:R45 M42:R43 M40:R41 M38:R39 M34:R37 M32:R33 M30:R31 M28:R29 M26:R27 M24:R25 M22:R23 M20:R21 M18:R19 M16:R17 M14:R15 M12:R13 M10:R11 M8:R9 M6:R7 M3 R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outlinePr summaryRight="0"/>
  </sheetPr>
  <dimension ref="A1:TN101"/>
  <sheetViews>
    <sheetView showGridLines="0" zoomScale="70" zoomScaleNormal="70" zoomScaleSheetLayoutView="70" workbookViewId="0">
      <selection activeCell="B1" sqref="B1"/>
    </sheetView>
  </sheetViews>
  <sheetFormatPr baseColWidth="10" defaultRowHeight="15.75" customHeight="1"/>
  <cols>
    <col min="1" max="1" width="1.28515625" style="95" customWidth="1"/>
    <col min="2" max="2" width="34.7109375" style="95" customWidth="1"/>
    <col min="3" max="3" width="33.42578125" style="95" customWidth="1"/>
    <col min="4" max="4" width="17.5703125" style="95" customWidth="1"/>
    <col min="5" max="5" width="17.42578125" style="95" customWidth="1"/>
    <col min="6" max="6" width="15.140625" style="95" customWidth="1"/>
    <col min="7" max="7" width="14.5703125" style="95" customWidth="1"/>
    <col min="8" max="8" width="31.7109375" style="95" customWidth="1"/>
    <col min="9" max="9" width="0.7109375" style="110" customWidth="1"/>
    <col min="10" max="12" width="11.42578125" style="95" hidden="1" customWidth="1"/>
    <col min="13" max="13" width="13.7109375" style="667" customWidth="1"/>
    <col min="14" max="14" width="0.85546875" style="95" customWidth="1"/>
    <col min="15" max="15" width="1.28515625" style="95" customWidth="1"/>
    <col min="16" max="16" width="34.7109375" style="95" hidden="1" customWidth="1"/>
    <col min="17" max="17" width="42.140625" style="95" hidden="1" customWidth="1"/>
    <col min="18" max="18" width="17.5703125" style="95" hidden="1" customWidth="1"/>
    <col min="19" max="19" width="17.42578125" style="95" hidden="1" customWidth="1"/>
    <col min="20" max="20" width="15.140625" style="95" hidden="1" customWidth="1"/>
    <col min="21" max="21" width="14.5703125" style="95" hidden="1" customWidth="1"/>
    <col min="22" max="22" width="34.7109375" style="95" hidden="1" customWidth="1"/>
    <col min="23" max="23" width="0.7109375" style="110" hidden="1" customWidth="1"/>
    <col min="24" max="26" width="11.42578125" style="95" hidden="1" customWidth="1"/>
    <col min="27" max="27" width="13.7109375" style="667" hidden="1" customWidth="1"/>
    <col min="28" max="28" width="0.85546875" style="95" hidden="1" customWidth="1"/>
    <col min="29" max="29" width="1.28515625" style="95" hidden="1" customWidth="1"/>
    <col min="30" max="30" width="34.7109375" style="95" hidden="1" customWidth="1"/>
    <col min="31" max="31" width="42.140625" style="95" hidden="1" customWidth="1"/>
    <col min="32" max="32" width="17.5703125" style="95" hidden="1" customWidth="1"/>
    <col min="33" max="33" width="17.42578125" style="95" hidden="1" customWidth="1"/>
    <col min="34" max="34" width="15.140625" style="95" hidden="1" customWidth="1"/>
    <col min="35" max="35" width="14.5703125" style="95" hidden="1" customWidth="1"/>
    <col min="36" max="36" width="34.7109375" style="95" hidden="1" customWidth="1"/>
    <col min="37" max="37" width="0.7109375" style="110" hidden="1" customWidth="1"/>
    <col min="38" max="40" width="11.42578125" style="95" hidden="1" customWidth="1"/>
    <col min="41" max="41" width="13.7109375" style="667" hidden="1" customWidth="1"/>
    <col min="42" max="42" width="0.85546875" style="95" customWidth="1"/>
    <col min="43" max="43" width="1.28515625" style="95" customWidth="1"/>
    <col min="44" max="44" width="34.7109375" style="95" hidden="1" customWidth="1"/>
    <col min="45" max="45" width="42.140625" style="95" hidden="1" customWidth="1"/>
    <col min="46" max="46" width="17.5703125" style="95" hidden="1" customWidth="1"/>
    <col min="47" max="47" width="17.42578125" style="95" hidden="1" customWidth="1"/>
    <col min="48" max="48" width="15.140625" style="95" hidden="1" customWidth="1"/>
    <col min="49" max="49" width="14.5703125" style="95" hidden="1" customWidth="1"/>
    <col min="50" max="50" width="34.7109375" style="95" hidden="1" customWidth="1"/>
    <col min="51" max="51" width="0.7109375" style="110" hidden="1" customWidth="1"/>
    <col min="52" max="54" width="11.42578125" style="95" hidden="1" customWidth="1"/>
    <col min="55" max="55" width="13.7109375" style="667" hidden="1" customWidth="1"/>
    <col min="56" max="56" width="0.85546875" style="95" hidden="1" customWidth="1"/>
    <col min="57" max="57" width="1.28515625" style="95" hidden="1" customWidth="1"/>
    <col min="58" max="58" width="34.7109375" style="95" customWidth="1"/>
    <col min="59" max="59" width="42.140625" style="95" customWidth="1"/>
    <col min="60" max="60" width="17.5703125" style="95" customWidth="1"/>
    <col min="61" max="61" width="17.42578125" style="95" customWidth="1"/>
    <col min="62" max="62" width="15.140625" style="95" customWidth="1"/>
    <col min="63" max="63" width="14.5703125" style="95" customWidth="1"/>
    <col min="64" max="64" width="34.7109375" style="95" customWidth="1"/>
    <col min="65" max="65" width="0.7109375" style="110" customWidth="1"/>
    <col min="66" max="68" width="11.42578125" style="95" hidden="1" customWidth="1"/>
    <col min="69" max="69" width="13.7109375" style="667" customWidth="1"/>
    <col min="70" max="70" width="0.85546875" style="95" customWidth="1"/>
    <col min="71" max="71" width="1.28515625" style="95" customWidth="1"/>
    <col min="72" max="72" width="34.7109375" style="95" hidden="1" customWidth="1"/>
    <col min="73" max="73" width="42.140625" style="95" hidden="1" customWidth="1"/>
    <col min="74" max="74" width="17.5703125" style="95" hidden="1" customWidth="1"/>
    <col min="75" max="75" width="17.42578125" style="95" hidden="1" customWidth="1"/>
    <col min="76" max="76" width="15.140625" style="95" hidden="1" customWidth="1"/>
    <col min="77" max="77" width="14.5703125" style="95" hidden="1" customWidth="1"/>
    <col min="78" max="78" width="34.7109375" style="95" hidden="1" customWidth="1"/>
    <col min="79" max="79" width="0.7109375" style="110" hidden="1" customWidth="1"/>
    <col min="80" max="82" width="11.42578125" style="95" hidden="1" customWidth="1"/>
    <col min="83" max="83" width="13.7109375" style="667" hidden="1" customWidth="1"/>
    <col min="84" max="84" width="0.85546875" style="95" hidden="1" customWidth="1"/>
    <col min="85" max="85" width="1.28515625" style="95" hidden="1" customWidth="1"/>
    <col min="86" max="86" width="34.7109375" style="95" customWidth="1"/>
    <col min="87" max="87" width="42.140625" style="95" customWidth="1"/>
    <col min="88" max="88" width="17.5703125" style="95" customWidth="1"/>
    <col min="89" max="89" width="17.42578125" style="95" customWidth="1"/>
    <col min="90" max="90" width="15.140625" style="95" customWidth="1"/>
    <col min="91" max="91" width="14.5703125" style="95" customWidth="1"/>
    <col min="92" max="92" width="34.7109375" style="95" customWidth="1"/>
    <col min="93" max="93" width="0.7109375" style="110" customWidth="1"/>
    <col min="94" max="96" width="11.42578125" style="95" hidden="1" customWidth="1"/>
    <col min="97" max="97" width="13.7109375" style="667" customWidth="1"/>
    <col min="98" max="98" width="0.85546875" style="95" customWidth="1"/>
    <col min="99" max="99" width="1.28515625" style="95" customWidth="1"/>
    <col min="100" max="100" width="34.7109375" style="95" customWidth="1"/>
    <col min="101" max="101" width="42.140625" style="95" customWidth="1"/>
    <col min="102" max="102" width="17.5703125" style="95" customWidth="1"/>
    <col min="103" max="103" width="17.42578125" style="95" customWidth="1"/>
    <col min="104" max="104" width="15.140625" style="95" customWidth="1"/>
    <col min="105" max="105" width="14.5703125" style="95" customWidth="1"/>
    <col min="106" max="106" width="34.7109375" style="95" customWidth="1"/>
    <col min="107" max="107" width="0.7109375" style="110" customWidth="1"/>
    <col min="108" max="110" width="11.42578125" style="95" hidden="1" customWidth="1"/>
    <col min="111" max="111" width="13.7109375" style="667" customWidth="1"/>
    <col min="112" max="112" width="0.85546875" style="95" customWidth="1"/>
    <col min="113" max="113" width="1.28515625" style="95" customWidth="1"/>
    <col min="114" max="114" width="34.7109375" style="95" customWidth="1"/>
    <col min="115" max="115" width="42.140625" style="95" customWidth="1"/>
    <col min="116" max="116" width="17.5703125" style="95" customWidth="1"/>
    <col min="117" max="117" width="17.42578125" style="95" customWidth="1"/>
    <col min="118" max="118" width="15.140625" style="95" customWidth="1"/>
    <col min="119" max="119" width="14.5703125" style="95" customWidth="1"/>
    <col min="120" max="120" width="34.7109375" style="95" customWidth="1"/>
    <col min="121" max="121" width="0.7109375" style="110" customWidth="1"/>
    <col min="122" max="124" width="11.42578125" style="95" hidden="1" customWidth="1"/>
    <col min="125" max="125" width="13.7109375" style="667" customWidth="1"/>
    <col min="126" max="126" width="0.85546875" style="95" customWidth="1"/>
    <col min="127" max="127" width="1.28515625" style="95" customWidth="1"/>
    <col min="128" max="128" width="34.7109375" style="95" customWidth="1"/>
    <col min="129" max="129" width="42.140625" style="95" customWidth="1"/>
    <col min="130" max="130" width="17.5703125" style="95" customWidth="1"/>
    <col min="131" max="131" width="17.42578125" style="95" customWidth="1"/>
    <col min="132" max="132" width="15.140625" style="95" customWidth="1"/>
    <col min="133" max="133" width="14.5703125" style="95" customWidth="1"/>
    <col min="134" max="134" width="34.7109375" style="95" customWidth="1"/>
    <col min="135" max="135" width="0.7109375" style="110" customWidth="1"/>
    <col min="136" max="138" width="11.42578125" style="95" hidden="1" customWidth="1"/>
    <col min="139" max="139" width="13.7109375" style="667" customWidth="1"/>
    <col min="140" max="140" width="0.85546875" style="95" customWidth="1"/>
    <col min="141" max="141" width="1.28515625" style="95" customWidth="1"/>
    <col min="142" max="142" width="34.7109375" style="95" customWidth="1"/>
    <col min="143" max="143" width="42.140625" style="95" customWidth="1"/>
    <col min="144" max="144" width="17.5703125" style="95" customWidth="1"/>
    <col min="145" max="145" width="17.42578125" style="95" customWidth="1"/>
    <col min="146" max="146" width="15.140625" style="95" customWidth="1"/>
    <col min="147" max="147" width="14.5703125" style="95" customWidth="1"/>
    <col min="148" max="148" width="34.7109375" style="95" customWidth="1"/>
    <col min="149" max="149" width="0.7109375" style="110" customWidth="1"/>
    <col min="150" max="152" width="11.42578125" style="95" hidden="1" customWidth="1"/>
    <col min="153" max="153" width="13.7109375" style="667" customWidth="1"/>
    <col min="154" max="154" width="0.85546875" style="95" customWidth="1"/>
    <col min="155" max="155" width="1.28515625" style="95" customWidth="1"/>
    <col min="156" max="156" width="34.7109375" style="95" hidden="1" customWidth="1"/>
    <col min="157" max="157" width="42.140625" style="95" hidden="1" customWidth="1"/>
    <col min="158" max="158" width="17.5703125" style="95" hidden="1" customWidth="1"/>
    <col min="159" max="159" width="17.42578125" style="95" hidden="1" customWidth="1"/>
    <col min="160" max="160" width="15.140625" style="95" hidden="1" customWidth="1"/>
    <col min="161" max="161" width="14.5703125" style="95" hidden="1" customWidth="1"/>
    <col min="162" max="162" width="34.7109375" style="95" hidden="1" customWidth="1"/>
    <col min="163" max="163" width="0.7109375" style="110" hidden="1" customWidth="1"/>
    <col min="164" max="166" width="11.42578125" style="95" hidden="1" customWidth="1"/>
    <col min="167" max="167" width="13.7109375" style="667" hidden="1" customWidth="1"/>
    <col min="168" max="168" width="0.85546875" style="95" hidden="1" customWidth="1"/>
    <col min="169" max="169" width="1.28515625" style="95" hidden="1" customWidth="1"/>
    <col min="170" max="170" width="34.7109375" style="95" customWidth="1"/>
    <col min="171" max="171" width="42.140625" style="95" customWidth="1"/>
    <col min="172" max="172" width="17.5703125" style="95" customWidth="1"/>
    <col min="173" max="173" width="17.42578125" style="95" customWidth="1"/>
    <col min="174" max="174" width="15.140625" style="95" customWidth="1"/>
    <col min="175" max="175" width="14.5703125" style="95" customWidth="1"/>
    <col min="176" max="176" width="34.7109375" style="95" customWidth="1"/>
    <col min="177" max="177" width="0.7109375" style="110" customWidth="1"/>
    <col min="178" max="180" width="11.42578125" style="95" hidden="1" customWidth="1"/>
    <col min="181" max="181" width="13.7109375" style="667" customWidth="1"/>
    <col min="182" max="182" width="0.85546875" style="95" customWidth="1"/>
    <col min="183" max="183" width="1.28515625" style="95" customWidth="1"/>
    <col min="184" max="184" width="34.7109375" style="95" customWidth="1"/>
    <col min="185" max="185" width="42.140625" style="95" customWidth="1"/>
    <col min="186" max="186" width="17.5703125" style="95" customWidth="1"/>
    <col min="187" max="187" width="17.42578125" style="95" customWidth="1"/>
    <col min="188" max="188" width="15.140625" style="95" customWidth="1"/>
    <col min="189" max="189" width="14.5703125" style="95" customWidth="1"/>
    <col min="190" max="190" width="34.7109375" style="95" customWidth="1"/>
    <col min="191" max="191" width="0.7109375" style="110" customWidth="1"/>
    <col min="192" max="194" width="11.42578125" style="95" hidden="1" customWidth="1"/>
    <col min="195" max="195" width="13.7109375" style="667" customWidth="1"/>
    <col min="196" max="196" width="0.85546875" style="95" customWidth="1"/>
    <col min="197" max="197" width="1.28515625" style="95" customWidth="1"/>
    <col min="198" max="198" width="34.7109375" style="95" hidden="1" customWidth="1"/>
    <col min="199" max="199" width="42.140625" style="95" hidden="1" customWidth="1"/>
    <col min="200" max="200" width="17.5703125" style="95" hidden="1" customWidth="1"/>
    <col min="201" max="201" width="17.42578125" style="95" hidden="1" customWidth="1"/>
    <col min="202" max="202" width="15.140625" style="95" hidden="1" customWidth="1"/>
    <col min="203" max="203" width="14.5703125" style="95" hidden="1" customWidth="1"/>
    <col min="204" max="204" width="34.7109375" style="95" hidden="1" customWidth="1"/>
    <col min="205" max="205" width="0.7109375" style="110" hidden="1" customWidth="1"/>
    <col min="206" max="208" width="11.42578125" style="95" hidden="1" customWidth="1"/>
    <col min="209" max="209" width="13.7109375" style="667" hidden="1" customWidth="1"/>
    <col min="210" max="210" width="0.85546875" style="95" hidden="1" customWidth="1"/>
    <col min="211" max="211" width="1.28515625" style="95" hidden="1" customWidth="1"/>
    <col min="212" max="212" width="34.7109375" style="95" customWidth="1"/>
    <col min="213" max="213" width="42.140625" style="95" customWidth="1"/>
    <col min="214" max="214" width="17.5703125" style="95" customWidth="1"/>
    <col min="215" max="215" width="17.42578125" style="95" customWidth="1"/>
    <col min="216" max="216" width="15.140625" style="95" customWidth="1"/>
    <col min="217" max="217" width="14.5703125" style="95" customWidth="1"/>
    <col min="218" max="218" width="34.7109375" style="95" customWidth="1"/>
    <col min="219" max="219" width="0.7109375" style="110" customWidth="1"/>
    <col min="220" max="222" width="11.42578125" style="95" hidden="1" customWidth="1"/>
    <col min="223" max="223" width="13.7109375" style="667" customWidth="1"/>
    <col min="224" max="224" width="0.85546875" style="95" customWidth="1"/>
    <col min="225" max="225" width="1.28515625" style="95" customWidth="1"/>
    <col min="226" max="226" width="34.7109375" style="95" customWidth="1"/>
    <col min="227" max="227" width="42.140625" style="95" customWidth="1"/>
    <col min="228" max="228" width="17.5703125" style="95" customWidth="1"/>
    <col min="229" max="229" width="17.42578125" style="95" customWidth="1"/>
    <col min="230" max="230" width="15.140625" style="95" customWidth="1"/>
    <col min="231" max="231" width="14.5703125" style="95" customWidth="1"/>
    <col min="232" max="232" width="34.7109375" style="95" customWidth="1"/>
    <col min="233" max="233" width="0.7109375" style="110" customWidth="1"/>
    <col min="234" max="236" width="11.42578125" style="95" hidden="1" customWidth="1"/>
    <col min="237" max="237" width="13.7109375" style="667" customWidth="1"/>
    <col min="238" max="238" width="0.85546875" style="95" hidden="1" customWidth="1"/>
    <col min="239" max="239" width="1.28515625" style="95" hidden="1" customWidth="1"/>
    <col min="240" max="240" width="34.7109375" style="95" hidden="1" customWidth="1"/>
    <col min="241" max="241" width="42.140625" style="95" hidden="1" customWidth="1"/>
    <col min="242" max="242" width="17.5703125" style="95" hidden="1" customWidth="1"/>
    <col min="243" max="243" width="17.42578125" style="95" hidden="1" customWidth="1"/>
    <col min="244" max="244" width="15.140625" style="95" hidden="1" customWidth="1"/>
    <col min="245" max="245" width="14.5703125" style="95" hidden="1" customWidth="1"/>
    <col min="246" max="246" width="34.7109375" style="95" hidden="1" customWidth="1"/>
    <col min="247" max="247" width="0.7109375" style="110" hidden="1" customWidth="1"/>
    <col min="248" max="250" width="11.42578125" style="95" hidden="1" customWidth="1"/>
    <col min="251" max="251" width="13.7109375" style="667" hidden="1" customWidth="1"/>
    <col min="252" max="252" width="0.85546875" style="95" hidden="1" customWidth="1"/>
    <col min="253" max="253" width="1.28515625" style="95" hidden="1" customWidth="1"/>
    <col min="254" max="254" width="23.140625" style="95" hidden="1" customWidth="1"/>
    <col min="255" max="255" width="42.140625" style="95" hidden="1" customWidth="1"/>
    <col min="256" max="256" width="17.5703125" style="95" hidden="1" customWidth="1"/>
    <col min="257" max="257" width="17.42578125" style="95" hidden="1" customWidth="1"/>
    <col min="258" max="258" width="15.140625" style="95" hidden="1" customWidth="1"/>
    <col min="259" max="259" width="14.5703125" style="95" hidden="1" customWidth="1"/>
    <col min="260" max="260" width="34.7109375" style="95" hidden="1" customWidth="1"/>
    <col min="261" max="261" width="0.7109375" style="110" hidden="1" customWidth="1"/>
    <col min="262" max="264" width="11.42578125" style="95" hidden="1" customWidth="1"/>
    <col min="265" max="265" width="13.7109375" style="667" hidden="1" customWidth="1"/>
    <col min="266" max="266" width="0.85546875" style="95" customWidth="1"/>
    <col min="267" max="267" width="1.28515625" style="95" customWidth="1"/>
    <col min="268" max="268" width="34.7109375" style="95" customWidth="1"/>
    <col min="269" max="269" width="42.140625" style="95" bestFit="1" customWidth="1"/>
    <col min="270" max="270" width="17.5703125" style="95" bestFit="1" customWidth="1"/>
    <col min="271" max="271" width="18.28515625" style="95" customWidth="1"/>
    <col min="272" max="272" width="15.140625" style="95" bestFit="1" customWidth="1"/>
    <col min="273" max="273" width="14.5703125" style="95" customWidth="1"/>
    <col min="274" max="274" width="34.7109375" style="95" customWidth="1"/>
    <col min="275" max="275" width="0.7109375" style="110" customWidth="1"/>
    <col min="276" max="278" width="11.42578125" style="95" hidden="1" customWidth="1"/>
    <col min="279" max="279" width="13.7109375" style="667" customWidth="1"/>
    <col min="280" max="280" width="0.85546875" style="95" customWidth="1"/>
    <col min="281" max="281" width="1.28515625" style="95" customWidth="1"/>
    <col min="282" max="282" width="34.7109375" style="95" customWidth="1"/>
    <col min="283" max="283" width="42.140625" style="95" customWidth="1"/>
    <col min="284" max="284" width="17.5703125" style="95" customWidth="1"/>
    <col min="285" max="285" width="17.42578125" style="95" customWidth="1"/>
    <col min="286" max="286" width="15.140625" style="95" customWidth="1"/>
    <col min="287" max="287" width="14.5703125" style="95" customWidth="1"/>
    <col min="288" max="288" width="34.7109375" style="95" customWidth="1"/>
    <col min="289" max="289" width="0.7109375" style="110" customWidth="1"/>
    <col min="290" max="292" width="11.42578125" style="95" hidden="1" customWidth="1"/>
    <col min="293" max="293" width="13.7109375" style="667" customWidth="1"/>
    <col min="294" max="294" width="0.85546875" style="95" customWidth="1"/>
    <col min="295" max="295" width="1.28515625" style="95" customWidth="1"/>
    <col min="296" max="296" width="34.7109375" style="95" hidden="1" customWidth="1"/>
    <col min="297" max="297" width="42.140625" style="95" hidden="1" customWidth="1"/>
    <col min="298" max="298" width="17.5703125" style="95" hidden="1" customWidth="1"/>
    <col min="299" max="299" width="17.42578125" style="95" hidden="1" customWidth="1"/>
    <col min="300" max="300" width="15.140625" style="95" hidden="1" customWidth="1"/>
    <col min="301" max="301" width="14.5703125" style="95" hidden="1" customWidth="1"/>
    <col min="302" max="302" width="34.7109375" style="95" hidden="1" customWidth="1"/>
    <col min="303" max="303" width="0.7109375" style="110" hidden="1" customWidth="1"/>
    <col min="304" max="306" width="11.42578125" style="95" hidden="1" customWidth="1"/>
    <col min="307" max="307" width="13.7109375" style="667" hidden="1" customWidth="1"/>
    <col min="308" max="308" width="0.85546875" style="95" hidden="1" customWidth="1"/>
    <col min="309" max="309" width="1.28515625" style="95" hidden="1" customWidth="1"/>
    <col min="310" max="310" width="34.7109375" style="95" hidden="1" customWidth="1"/>
    <col min="311" max="311" width="42.140625" style="95" hidden="1" customWidth="1"/>
    <col min="312" max="312" width="17.5703125" style="95" hidden="1" customWidth="1"/>
    <col min="313" max="313" width="17.42578125" style="95" hidden="1" customWidth="1"/>
    <col min="314" max="314" width="15.140625" style="95" hidden="1" customWidth="1"/>
    <col min="315" max="315" width="14.5703125" style="95" hidden="1" customWidth="1"/>
    <col min="316" max="316" width="34.7109375" style="95" hidden="1" customWidth="1"/>
    <col min="317" max="317" width="0.7109375" style="110" hidden="1" customWidth="1"/>
    <col min="318" max="320" width="11.42578125" style="95" hidden="1" customWidth="1"/>
    <col min="321" max="321" width="13.7109375" style="667" hidden="1" customWidth="1"/>
    <col min="322" max="322" width="0.85546875" style="95" hidden="1" customWidth="1"/>
    <col min="323" max="323" width="1.28515625" style="95" hidden="1" customWidth="1"/>
    <col min="324" max="324" width="34.7109375" style="95" hidden="1" customWidth="1"/>
    <col min="325" max="325" width="42.140625" style="95" hidden="1" customWidth="1"/>
    <col min="326" max="326" width="17.5703125" style="95" hidden="1" customWidth="1"/>
    <col min="327" max="327" width="17.42578125" style="95" hidden="1" customWidth="1"/>
    <col min="328" max="328" width="15.140625" style="95" hidden="1" customWidth="1"/>
    <col min="329" max="329" width="14.5703125" style="95" hidden="1" customWidth="1"/>
    <col min="330" max="330" width="34.7109375" style="95" hidden="1" customWidth="1"/>
    <col min="331" max="331" width="0.7109375" style="110" hidden="1" customWidth="1"/>
    <col min="332" max="334" width="11.42578125" style="95" hidden="1" customWidth="1"/>
    <col min="335" max="335" width="13.7109375" style="667" hidden="1" customWidth="1"/>
    <col min="336" max="336" width="0.85546875" style="95" hidden="1" customWidth="1"/>
    <col min="337" max="337" width="1.28515625" style="95" hidden="1" customWidth="1"/>
    <col min="338" max="338" width="34.7109375" style="95" customWidth="1"/>
    <col min="339" max="339" width="42.140625" style="95" customWidth="1"/>
    <col min="340" max="340" width="17.5703125" style="95" customWidth="1"/>
    <col min="341" max="341" width="17.42578125" style="95" customWidth="1"/>
    <col min="342" max="342" width="15.140625" style="95" customWidth="1"/>
    <col min="343" max="343" width="14.5703125" style="95" customWidth="1"/>
    <col min="344" max="344" width="34.7109375" style="95" customWidth="1"/>
    <col min="345" max="345" width="0.7109375" style="110" customWidth="1"/>
    <col min="346" max="348" width="11.42578125" style="95" hidden="1" customWidth="1"/>
    <col min="349" max="349" width="13.7109375" style="667" customWidth="1"/>
    <col min="350" max="350" width="0.85546875" style="95" customWidth="1"/>
    <col min="351" max="351" width="1.28515625" style="95" customWidth="1"/>
    <col min="352" max="352" width="34.7109375" style="95" customWidth="1"/>
    <col min="353" max="353" width="42.140625" style="95" customWidth="1"/>
    <col min="354" max="354" width="17.5703125" style="95" customWidth="1"/>
    <col min="355" max="355" width="17.42578125" style="95" customWidth="1"/>
    <col min="356" max="356" width="15.140625" style="95" customWidth="1"/>
    <col min="357" max="357" width="14.5703125" style="95" customWidth="1"/>
    <col min="358" max="358" width="34.7109375" style="95" customWidth="1"/>
    <col min="359" max="359" width="0.7109375" style="110" customWidth="1"/>
    <col min="360" max="362" width="11.42578125" style="95" hidden="1" customWidth="1"/>
    <col min="363" max="363" width="13.7109375" style="667" customWidth="1"/>
    <col min="364" max="364" width="0.85546875" style="95" customWidth="1"/>
    <col min="365" max="365" width="1.28515625" style="95" customWidth="1"/>
    <col min="366" max="366" width="34.7109375" style="95" customWidth="1"/>
    <col min="367" max="367" width="42.140625" style="95" customWidth="1"/>
    <col min="368" max="368" width="17.5703125" style="95" customWidth="1"/>
    <col min="369" max="369" width="17.42578125" style="95" customWidth="1"/>
    <col min="370" max="370" width="15.140625" style="95" customWidth="1"/>
    <col min="371" max="371" width="14.5703125" style="95" customWidth="1"/>
    <col min="372" max="372" width="34.7109375" style="95" customWidth="1"/>
    <col min="373" max="373" width="0.7109375" style="110" customWidth="1"/>
    <col min="374" max="376" width="11.42578125" style="95" hidden="1" customWidth="1"/>
    <col min="377" max="377" width="13.7109375" style="667" customWidth="1"/>
    <col min="378" max="378" width="0.85546875" style="95" customWidth="1"/>
    <col min="379" max="379" width="1.28515625" style="95" customWidth="1"/>
    <col min="380" max="380" width="34.7109375" style="95" customWidth="1"/>
    <col min="381" max="381" width="42.140625" style="95" customWidth="1"/>
    <col min="382" max="382" width="17.5703125" style="95" customWidth="1"/>
    <col min="383" max="383" width="17.42578125" style="95" customWidth="1"/>
    <col min="384" max="384" width="15.140625" style="95" customWidth="1"/>
    <col min="385" max="385" width="14.5703125" style="95" customWidth="1"/>
    <col min="386" max="386" width="34.7109375" style="95" customWidth="1"/>
    <col min="387" max="387" width="0.7109375" style="110" customWidth="1"/>
    <col min="388" max="390" width="11.42578125" style="95" hidden="1" customWidth="1"/>
    <col min="391" max="391" width="13.7109375" style="667" customWidth="1"/>
    <col min="392" max="392" width="0.85546875" style="95" customWidth="1"/>
    <col min="393" max="393" width="1.28515625" style="95" customWidth="1"/>
    <col min="394" max="394" width="34.7109375" style="95" customWidth="1"/>
    <col min="395" max="395" width="42.140625" style="95" customWidth="1"/>
    <col min="396" max="396" width="17.5703125" style="95" customWidth="1"/>
    <col min="397" max="397" width="17.42578125" style="95" customWidth="1"/>
    <col min="398" max="398" width="15.140625" style="95" customWidth="1"/>
    <col min="399" max="399" width="14.5703125" style="95" customWidth="1"/>
    <col min="400" max="400" width="34.7109375" style="95" customWidth="1"/>
    <col min="401" max="401" width="0.7109375" style="110" customWidth="1"/>
    <col min="402" max="404" width="11.42578125" style="95" hidden="1" customWidth="1"/>
    <col min="405" max="405" width="13.7109375" style="667" customWidth="1"/>
    <col min="406" max="406" width="0.85546875" style="95" customWidth="1"/>
    <col min="407" max="407" width="1.28515625" style="95" customWidth="1"/>
    <col min="408" max="408" width="34.7109375" style="95" customWidth="1"/>
    <col min="409" max="409" width="42.140625" style="95" customWidth="1"/>
    <col min="410" max="410" width="17.5703125" style="95" customWidth="1"/>
    <col min="411" max="411" width="17.42578125" style="95" customWidth="1"/>
    <col min="412" max="412" width="15.140625" style="95" customWidth="1"/>
    <col min="413" max="413" width="14.5703125" style="95" customWidth="1"/>
    <col min="414" max="414" width="34.7109375" style="95" customWidth="1"/>
    <col min="415" max="415" width="0.7109375" style="110" customWidth="1"/>
    <col min="416" max="418" width="11.42578125" style="95" hidden="1" customWidth="1"/>
    <col min="419" max="419" width="13.7109375" style="667" customWidth="1"/>
    <col min="420" max="420" width="0.85546875" style="95" customWidth="1"/>
    <col min="421" max="421" width="1.28515625" style="95" customWidth="1"/>
    <col min="422" max="422" width="34.7109375" style="95" hidden="1" customWidth="1"/>
    <col min="423" max="423" width="42.140625" style="95" hidden="1" customWidth="1"/>
    <col min="424" max="424" width="17.5703125" style="95" hidden="1" customWidth="1"/>
    <col min="425" max="425" width="17.42578125" style="95" hidden="1" customWidth="1"/>
    <col min="426" max="426" width="15.140625" style="95" hidden="1" customWidth="1"/>
    <col min="427" max="427" width="14.5703125" style="95" hidden="1" customWidth="1"/>
    <col min="428" max="428" width="34.7109375" style="95" hidden="1" customWidth="1"/>
    <col min="429" max="429" width="0.7109375" style="110" hidden="1" customWidth="1"/>
    <col min="430" max="432" width="11.42578125" style="95" hidden="1" customWidth="1"/>
    <col min="433" max="433" width="13.7109375" style="667" hidden="1" customWidth="1"/>
    <col min="434" max="434" width="0.85546875" style="95" hidden="1" customWidth="1"/>
    <col min="435" max="435" width="1.28515625" style="95" hidden="1" customWidth="1"/>
    <col min="436" max="436" width="34.7109375" style="95" hidden="1" customWidth="1"/>
    <col min="437" max="437" width="42.140625" style="95" hidden="1" customWidth="1"/>
    <col min="438" max="438" width="17.5703125" style="95" hidden="1" customWidth="1"/>
    <col min="439" max="439" width="17.42578125" style="95" hidden="1" customWidth="1"/>
    <col min="440" max="440" width="15.140625" style="95" hidden="1" customWidth="1"/>
    <col min="441" max="441" width="14.5703125" style="95" hidden="1" customWidth="1"/>
    <col min="442" max="442" width="34.7109375" style="95" hidden="1" customWidth="1"/>
    <col min="443" max="443" width="0.7109375" style="110" hidden="1" customWidth="1"/>
    <col min="444" max="446" width="11.42578125" style="95" hidden="1" customWidth="1"/>
    <col min="447" max="447" width="13.7109375" style="667" hidden="1" customWidth="1"/>
    <col min="448" max="448" width="0.85546875" style="95" hidden="1" customWidth="1"/>
    <col min="449" max="449" width="1.28515625" style="95" hidden="1" customWidth="1"/>
    <col min="450" max="450" width="34.7109375" style="95" hidden="1" customWidth="1"/>
    <col min="451" max="451" width="42.140625" style="95" hidden="1" customWidth="1"/>
    <col min="452" max="452" width="17.5703125" style="95" hidden="1" customWidth="1"/>
    <col min="453" max="453" width="17.42578125" style="95" hidden="1" customWidth="1"/>
    <col min="454" max="454" width="15.140625" style="95" hidden="1" customWidth="1"/>
    <col min="455" max="455" width="14.5703125" style="95" hidden="1" customWidth="1"/>
    <col min="456" max="456" width="34.7109375" style="95" hidden="1" customWidth="1"/>
    <col min="457" max="457" width="0.7109375" style="110" hidden="1" customWidth="1"/>
    <col min="458" max="460" width="11.42578125" style="95" hidden="1" customWidth="1"/>
    <col min="461" max="461" width="13.7109375" style="667" hidden="1" customWidth="1"/>
    <col min="462" max="462" width="0.85546875" style="95" hidden="1" customWidth="1"/>
    <col min="463" max="463" width="1.28515625" style="95" hidden="1" customWidth="1"/>
    <col min="464" max="464" width="34.7109375" style="95" customWidth="1"/>
    <col min="465" max="465" width="42.140625" style="95" customWidth="1"/>
    <col min="466" max="466" width="17.5703125" style="95" customWidth="1"/>
    <col min="467" max="467" width="17.42578125" style="95" customWidth="1"/>
    <col min="468" max="468" width="15.140625" style="95" customWidth="1"/>
    <col min="469" max="469" width="14.5703125" style="95" customWidth="1"/>
    <col min="470" max="470" width="34.7109375" style="95" customWidth="1"/>
    <col min="471" max="471" width="0.7109375" style="110" customWidth="1"/>
    <col min="472" max="474" width="11.42578125" style="95" hidden="1" customWidth="1"/>
    <col min="475" max="475" width="13.7109375" style="667" customWidth="1"/>
    <col min="476" max="476" width="0.85546875" style="95" customWidth="1"/>
    <col min="477" max="477" width="1.28515625" style="95" customWidth="1"/>
    <col min="478" max="478" width="34.7109375" style="95" customWidth="1"/>
    <col min="479" max="479" width="42.140625" style="95" customWidth="1"/>
    <col min="480" max="480" width="17.5703125" style="95" customWidth="1"/>
    <col min="481" max="481" width="17.42578125" style="95" customWidth="1"/>
    <col min="482" max="482" width="15.140625" style="95" customWidth="1"/>
    <col min="483" max="483" width="14.5703125" style="95" customWidth="1"/>
    <col min="484" max="484" width="34.7109375" style="95" customWidth="1"/>
    <col min="485" max="485" width="0.7109375" style="110" customWidth="1"/>
    <col min="486" max="488" width="11.42578125" style="95" hidden="1" customWidth="1"/>
    <col min="489" max="489" width="13.7109375" style="667" customWidth="1"/>
    <col min="490" max="490" width="0.85546875" style="95" customWidth="1"/>
    <col min="491" max="491" width="1.28515625" style="95" customWidth="1"/>
    <col min="492" max="492" width="34.7109375" style="95" customWidth="1"/>
    <col min="493" max="493" width="42.140625" style="95" customWidth="1"/>
    <col min="494" max="494" width="17.5703125" style="95" customWidth="1"/>
    <col min="495" max="495" width="17.42578125" style="95" customWidth="1"/>
    <col min="496" max="496" width="15.140625" style="95" customWidth="1"/>
    <col min="497" max="497" width="14.5703125" style="95" customWidth="1"/>
    <col min="498" max="498" width="34.7109375" style="95" customWidth="1"/>
    <col min="499" max="499" width="0.7109375" style="110" customWidth="1"/>
    <col min="500" max="502" width="11.42578125" style="95" hidden="1" customWidth="1"/>
    <col min="503" max="503" width="13.7109375" style="667" customWidth="1"/>
    <col min="504" max="504" width="0.85546875" style="95" customWidth="1"/>
    <col min="505" max="505" width="1.28515625" style="95" customWidth="1"/>
    <col min="506" max="506" width="34.7109375" style="95" hidden="1" customWidth="1"/>
    <col min="507" max="507" width="42.140625" style="95" hidden="1" customWidth="1"/>
    <col min="508" max="508" width="17.5703125" style="95" hidden="1" customWidth="1"/>
    <col min="509" max="509" width="17.42578125" style="95" hidden="1" customWidth="1"/>
    <col min="510" max="510" width="15.140625" style="95" hidden="1" customWidth="1"/>
    <col min="511" max="511" width="14.5703125" style="95" hidden="1" customWidth="1"/>
    <col min="512" max="512" width="34.7109375" style="95" hidden="1" customWidth="1"/>
    <col min="513" max="513" width="0.7109375" style="110" hidden="1" customWidth="1"/>
    <col min="514" max="516" width="11.42578125" style="95" hidden="1" customWidth="1"/>
    <col min="517" max="517" width="13.7109375" style="667" hidden="1" customWidth="1"/>
    <col min="518" max="518" width="0.85546875" style="95" hidden="1" customWidth="1"/>
    <col min="519" max="519" width="1.28515625" style="95" hidden="1" customWidth="1"/>
    <col min="520" max="520" width="34.7109375" style="95" customWidth="1"/>
    <col min="521" max="521" width="42.140625" style="95" bestFit="1" customWidth="1"/>
    <col min="522" max="522" width="17.5703125" style="95" bestFit="1" customWidth="1"/>
    <col min="523" max="523" width="19" style="95" customWidth="1"/>
    <col min="524" max="524" width="15.140625" style="95" bestFit="1" customWidth="1"/>
    <col min="525" max="525" width="14.5703125" style="95" customWidth="1"/>
    <col min="526" max="526" width="34.7109375" style="95" customWidth="1"/>
    <col min="527" max="527" width="0.7109375" style="110" customWidth="1"/>
    <col min="528" max="530" width="11.42578125" style="95" hidden="1" customWidth="1"/>
    <col min="531" max="531" width="13.7109375" style="667" customWidth="1"/>
    <col min="532" max="532" width="0.85546875" style="95" customWidth="1"/>
    <col min="533" max="533" width="24" style="95" bestFit="1" customWidth="1"/>
    <col min="534" max="534" width="21.28515625" style="95" customWidth="1"/>
    <col min="535" max="16384" width="11.42578125" style="95"/>
  </cols>
  <sheetData>
    <row r="1" spans="1:534" s="94" customFormat="1" ht="15.75" customHeight="1" thickBot="1">
      <c r="B1" s="4" t="s">
        <v>1555</v>
      </c>
      <c r="I1" s="95"/>
      <c r="M1" s="666"/>
      <c r="P1" s="4"/>
      <c r="W1" s="95"/>
      <c r="AA1" s="666"/>
      <c r="AD1" s="4"/>
      <c r="AK1" s="95"/>
      <c r="AO1" s="666"/>
      <c r="AR1" s="4" t="s">
        <v>1555</v>
      </c>
      <c r="AY1" s="95"/>
      <c r="BC1" s="666"/>
      <c r="BF1" s="4" t="s">
        <v>1555</v>
      </c>
      <c r="BM1" s="95"/>
      <c r="BQ1" s="666"/>
      <c r="BT1" s="4" t="s">
        <v>1555</v>
      </c>
      <c r="CA1" s="95"/>
      <c r="CE1" s="666"/>
      <c r="CH1" s="4" t="s">
        <v>1555</v>
      </c>
      <c r="CO1" s="95"/>
      <c r="CS1" s="666"/>
      <c r="CV1" s="4" t="s">
        <v>1555</v>
      </c>
      <c r="DC1" s="95"/>
      <c r="DG1" s="666"/>
      <c r="DJ1" s="4" t="s">
        <v>1555</v>
      </c>
      <c r="DQ1" s="95"/>
      <c r="DU1" s="666"/>
      <c r="DX1" s="4" t="s">
        <v>1555</v>
      </c>
      <c r="EE1" s="95"/>
      <c r="EI1" s="666"/>
      <c r="EL1" s="4" t="s">
        <v>1555</v>
      </c>
      <c r="ES1" s="95"/>
      <c r="EW1" s="666"/>
      <c r="EZ1" s="4" t="s">
        <v>1555</v>
      </c>
      <c r="FG1" s="95"/>
      <c r="FK1" s="666"/>
      <c r="FN1" s="4" t="s">
        <v>1555</v>
      </c>
      <c r="FU1" s="95"/>
      <c r="FY1" s="666"/>
      <c r="GB1" s="4" t="s">
        <v>1555</v>
      </c>
      <c r="GI1" s="95"/>
      <c r="GM1" s="666"/>
      <c r="GP1" s="4" t="s">
        <v>1555</v>
      </c>
      <c r="GW1" s="95"/>
      <c r="HA1" s="666"/>
      <c r="HD1" s="4" t="s">
        <v>1555</v>
      </c>
      <c r="HK1" s="95"/>
      <c r="HO1" s="666"/>
      <c r="HR1" s="4" t="s">
        <v>1555</v>
      </c>
      <c r="HY1" s="95"/>
      <c r="IC1" s="666"/>
      <c r="IF1" s="4"/>
      <c r="IM1" s="95"/>
      <c r="IQ1" s="666"/>
      <c r="IT1" s="4"/>
      <c r="JA1" s="95"/>
      <c r="JE1" s="666"/>
      <c r="JH1" s="4" t="s">
        <v>1555</v>
      </c>
      <c r="JO1" s="95"/>
      <c r="JS1" s="666"/>
      <c r="JV1" s="4" t="s">
        <v>1555</v>
      </c>
      <c r="KC1" s="95"/>
      <c r="KG1" s="666"/>
      <c r="KJ1" s="4" t="s">
        <v>1555</v>
      </c>
      <c r="KQ1" s="95"/>
      <c r="KU1" s="666"/>
      <c r="KX1" s="4" t="s">
        <v>1555</v>
      </c>
      <c r="LE1" s="95"/>
      <c r="LI1" s="666"/>
      <c r="LL1" s="4" t="s">
        <v>1555</v>
      </c>
      <c r="LS1" s="95"/>
      <c r="LW1" s="666"/>
      <c r="LZ1" s="4" t="s">
        <v>1555</v>
      </c>
      <c r="MG1" s="95"/>
      <c r="MK1" s="666"/>
      <c r="MN1" s="4" t="s">
        <v>1555</v>
      </c>
      <c r="MU1" s="95"/>
      <c r="MY1" s="666"/>
      <c r="NB1" s="4" t="s">
        <v>1555</v>
      </c>
      <c r="NI1" s="95"/>
      <c r="NM1" s="666"/>
      <c r="NP1" s="4" t="s">
        <v>1555</v>
      </c>
      <c r="NW1" s="95"/>
      <c r="OA1" s="666"/>
      <c r="OD1" s="4" t="s">
        <v>1555</v>
      </c>
      <c r="OK1" s="95"/>
      <c r="OO1" s="666"/>
      <c r="OR1" s="4" t="s">
        <v>1555</v>
      </c>
      <c r="OY1" s="95"/>
      <c r="PC1" s="666"/>
      <c r="PF1" s="4" t="s">
        <v>1555</v>
      </c>
      <c r="PM1" s="95"/>
      <c r="PQ1" s="666"/>
      <c r="PT1" s="4" t="s">
        <v>1555</v>
      </c>
      <c r="QA1" s="95"/>
      <c r="QE1" s="666"/>
      <c r="QH1" s="4" t="s">
        <v>1555</v>
      </c>
      <c r="QO1" s="95"/>
      <c r="QS1" s="666"/>
      <c r="QV1" s="4" t="s">
        <v>1555</v>
      </c>
      <c r="RC1" s="95"/>
      <c r="RG1" s="666"/>
      <c r="RJ1" s="4" t="s">
        <v>1555</v>
      </c>
      <c r="RQ1" s="95"/>
      <c r="RU1" s="666"/>
      <c r="RX1" s="4" t="s">
        <v>1555</v>
      </c>
      <c r="SE1" s="95"/>
      <c r="SI1" s="666"/>
      <c r="SL1" s="4" t="s">
        <v>1555</v>
      </c>
      <c r="SS1" s="95"/>
      <c r="SW1" s="666"/>
      <c r="SZ1" s="4" t="s">
        <v>1555</v>
      </c>
      <c r="TG1" s="95"/>
      <c r="TK1" s="666"/>
    </row>
    <row r="2" spans="1:534" s="94" customFormat="1" ht="15.75" customHeight="1">
      <c r="B2" s="219"/>
      <c r="C2" s="220"/>
      <c r="D2" s="220"/>
      <c r="E2" s="220"/>
      <c r="F2" s="221"/>
      <c r="G2" s="221"/>
      <c r="H2" s="222"/>
      <c r="I2" s="95"/>
      <c r="M2" s="666"/>
      <c r="P2" s="219"/>
      <c r="Q2" s="220"/>
      <c r="R2" s="220"/>
      <c r="S2" s="220"/>
      <c r="T2" s="221"/>
      <c r="U2" s="221"/>
      <c r="V2" s="222"/>
      <c r="W2" s="95"/>
      <c r="AA2" s="666"/>
      <c r="AD2" s="219"/>
      <c r="AE2" s="220"/>
      <c r="AF2" s="220"/>
      <c r="AG2" s="220"/>
      <c r="AH2" s="221"/>
      <c r="AI2" s="221"/>
      <c r="AJ2" s="222"/>
      <c r="AK2" s="95"/>
      <c r="AO2" s="666"/>
      <c r="AR2" s="219"/>
      <c r="AS2" s="220"/>
      <c r="AT2" s="220"/>
      <c r="AU2" s="220"/>
      <c r="AV2" s="221"/>
      <c r="AW2" s="221"/>
      <c r="AX2" s="222"/>
      <c r="AY2" s="95"/>
      <c r="BC2" s="666"/>
      <c r="BF2" s="219"/>
      <c r="BG2" s="220"/>
      <c r="BH2" s="220"/>
      <c r="BI2" s="220"/>
      <c r="BJ2" s="221"/>
      <c r="BK2" s="221"/>
      <c r="BL2" s="222"/>
      <c r="BM2" s="95"/>
      <c r="BQ2" s="666"/>
      <c r="BT2" s="219"/>
      <c r="BU2" s="220"/>
      <c r="BV2" s="220"/>
      <c r="BW2" s="220"/>
      <c r="BX2" s="221"/>
      <c r="BY2" s="221"/>
      <c r="BZ2" s="222"/>
      <c r="CA2" s="95"/>
      <c r="CE2" s="666"/>
      <c r="CH2" s="219"/>
      <c r="CI2" s="220"/>
      <c r="CJ2" s="220"/>
      <c r="CK2" s="220"/>
      <c r="CL2" s="221"/>
      <c r="CM2" s="221"/>
      <c r="CN2" s="222"/>
      <c r="CO2" s="95"/>
      <c r="CS2" s="666"/>
      <c r="CV2" s="219"/>
      <c r="CW2" s="220"/>
      <c r="CX2" s="220"/>
      <c r="CY2" s="220"/>
      <c r="CZ2" s="221"/>
      <c r="DA2" s="221"/>
      <c r="DB2" s="222"/>
      <c r="DC2" s="95"/>
      <c r="DG2" s="666"/>
      <c r="DJ2" s="219"/>
      <c r="DK2" s="220"/>
      <c r="DL2" s="220"/>
      <c r="DM2" s="220"/>
      <c r="DN2" s="221"/>
      <c r="DO2" s="221"/>
      <c r="DP2" s="222"/>
      <c r="DQ2" s="95"/>
      <c r="DU2" s="666"/>
      <c r="DX2" s="219"/>
      <c r="DY2" s="220"/>
      <c r="DZ2" s="220"/>
      <c r="EA2" s="220"/>
      <c r="EB2" s="221"/>
      <c r="EC2" s="221"/>
      <c r="ED2" s="222"/>
      <c r="EE2" s="95"/>
      <c r="EI2" s="666"/>
      <c r="EL2" s="219"/>
      <c r="EM2" s="220"/>
      <c r="EN2" s="220"/>
      <c r="EO2" s="220"/>
      <c r="EP2" s="221"/>
      <c r="EQ2" s="221"/>
      <c r="ER2" s="222"/>
      <c r="ES2" s="95"/>
      <c r="EW2" s="666"/>
      <c r="EZ2" s="219"/>
      <c r="FA2" s="220"/>
      <c r="FB2" s="220"/>
      <c r="FC2" s="220"/>
      <c r="FD2" s="221"/>
      <c r="FE2" s="221"/>
      <c r="FF2" s="222"/>
      <c r="FG2" s="95"/>
      <c r="FK2" s="666"/>
      <c r="FN2" s="219"/>
      <c r="FO2" s="220"/>
      <c r="FP2" s="220"/>
      <c r="FQ2" s="220"/>
      <c r="FR2" s="221"/>
      <c r="FS2" s="221"/>
      <c r="FT2" s="222"/>
      <c r="FU2" s="95"/>
      <c r="FY2" s="666"/>
      <c r="GB2" s="219"/>
      <c r="GC2" s="220"/>
      <c r="GD2" s="220"/>
      <c r="GE2" s="220"/>
      <c r="GF2" s="221"/>
      <c r="GG2" s="221"/>
      <c r="GH2" s="222"/>
      <c r="GI2" s="95"/>
      <c r="GM2" s="666"/>
      <c r="GP2" s="219"/>
      <c r="GQ2" s="220"/>
      <c r="GR2" s="220"/>
      <c r="GS2" s="220"/>
      <c r="GT2" s="221"/>
      <c r="GU2" s="221"/>
      <c r="GV2" s="222"/>
      <c r="GW2" s="95"/>
      <c r="HA2" s="666"/>
      <c r="HD2" s="219"/>
      <c r="HE2" s="220"/>
      <c r="HF2" s="220"/>
      <c r="HG2" s="220"/>
      <c r="HH2" s="221"/>
      <c r="HI2" s="221"/>
      <c r="HJ2" s="222"/>
      <c r="HK2" s="95"/>
      <c r="HO2" s="666"/>
      <c r="HR2" s="219"/>
      <c r="HS2" s="220"/>
      <c r="HT2" s="220"/>
      <c r="HU2" s="220"/>
      <c r="HV2" s="221"/>
      <c r="HW2" s="221"/>
      <c r="HX2" s="222"/>
      <c r="HY2" s="95"/>
      <c r="IC2" s="666"/>
      <c r="IF2" s="219"/>
      <c r="IG2" s="220"/>
      <c r="IH2" s="220"/>
      <c r="II2" s="220"/>
      <c r="IJ2" s="221"/>
      <c r="IK2" s="221"/>
      <c r="IL2" s="222"/>
      <c r="IM2" s="95"/>
      <c r="IQ2" s="666"/>
      <c r="IT2" s="219"/>
      <c r="IU2" s="220"/>
      <c r="IV2" s="220"/>
      <c r="IW2" s="220"/>
      <c r="IX2" s="221"/>
      <c r="IY2" s="221"/>
      <c r="IZ2" s="222"/>
      <c r="JA2" s="95"/>
      <c r="JE2" s="666"/>
      <c r="JH2" s="219"/>
      <c r="JI2" s="220"/>
      <c r="JJ2" s="220"/>
      <c r="JK2" s="220"/>
      <c r="JL2" s="221"/>
      <c r="JM2" s="221"/>
      <c r="JN2" s="222"/>
      <c r="JO2" s="95"/>
      <c r="JS2" s="666"/>
      <c r="JV2" s="219"/>
      <c r="JW2" s="220"/>
      <c r="JX2" s="220"/>
      <c r="JY2" s="220"/>
      <c r="JZ2" s="221"/>
      <c r="KA2" s="221"/>
      <c r="KB2" s="222"/>
      <c r="KC2" s="95"/>
      <c r="KG2" s="666"/>
      <c r="KJ2" s="219"/>
      <c r="KK2" s="220"/>
      <c r="KL2" s="220"/>
      <c r="KM2" s="220"/>
      <c r="KN2" s="221"/>
      <c r="KO2" s="221"/>
      <c r="KP2" s="222"/>
      <c r="KQ2" s="95"/>
      <c r="KU2" s="666"/>
      <c r="KX2" s="219"/>
      <c r="KY2" s="220"/>
      <c r="KZ2" s="220"/>
      <c r="LA2" s="220"/>
      <c r="LB2" s="221"/>
      <c r="LC2" s="221"/>
      <c r="LD2" s="222"/>
      <c r="LE2" s="95"/>
      <c r="LI2" s="666"/>
      <c r="LL2" s="219"/>
      <c r="LM2" s="220"/>
      <c r="LN2" s="220"/>
      <c r="LO2" s="220"/>
      <c r="LP2" s="221"/>
      <c r="LQ2" s="221"/>
      <c r="LR2" s="222"/>
      <c r="LS2" s="95"/>
      <c r="LW2" s="666"/>
      <c r="LZ2" s="219"/>
      <c r="MA2" s="220"/>
      <c r="MB2" s="220"/>
      <c r="MC2" s="220"/>
      <c r="MD2" s="221"/>
      <c r="ME2" s="221"/>
      <c r="MF2" s="222"/>
      <c r="MG2" s="95"/>
      <c r="MK2" s="666"/>
      <c r="MN2" s="219"/>
      <c r="MO2" s="220"/>
      <c r="MP2" s="220"/>
      <c r="MQ2" s="220"/>
      <c r="MR2" s="221"/>
      <c r="MS2" s="221"/>
      <c r="MT2" s="222"/>
      <c r="MU2" s="95"/>
      <c r="MY2" s="666"/>
      <c r="NB2" s="219"/>
      <c r="NC2" s="220"/>
      <c r="ND2" s="220"/>
      <c r="NE2" s="220"/>
      <c r="NF2" s="221"/>
      <c r="NG2" s="221"/>
      <c r="NH2" s="222"/>
      <c r="NI2" s="95"/>
      <c r="NM2" s="666"/>
      <c r="NP2" s="219"/>
      <c r="NQ2" s="220"/>
      <c r="NR2" s="220"/>
      <c r="NS2" s="220"/>
      <c r="NT2" s="221"/>
      <c r="NU2" s="221"/>
      <c r="NV2" s="222"/>
      <c r="NW2" s="95"/>
      <c r="OA2" s="666"/>
      <c r="OD2" s="219"/>
      <c r="OE2" s="220"/>
      <c r="OF2" s="220"/>
      <c r="OG2" s="220"/>
      <c r="OH2" s="221"/>
      <c r="OI2" s="221"/>
      <c r="OJ2" s="222"/>
      <c r="OK2" s="95"/>
      <c r="OO2" s="666"/>
      <c r="OR2" s="219"/>
      <c r="OS2" s="220"/>
      <c r="OT2" s="220"/>
      <c r="OU2" s="220"/>
      <c r="OV2" s="221"/>
      <c r="OW2" s="221"/>
      <c r="OX2" s="222"/>
      <c r="OY2" s="95"/>
      <c r="PC2" s="666"/>
      <c r="PF2" s="219"/>
      <c r="PG2" s="220"/>
      <c r="PH2" s="220"/>
      <c r="PI2" s="220"/>
      <c r="PJ2" s="221"/>
      <c r="PK2" s="221"/>
      <c r="PL2" s="222"/>
      <c r="PM2" s="95"/>
      <c r="PQ2" s="666"/>
      <c r="PT2" s="219"/>
      <c r="PU2" s="220"/>
      <c r="PV2" s="220"/>
      <c r="PW2" s="220"/>
      <c r="PX2" s="221"/>
      <c r="PY2" s="221"/>
      <c r="PZ2" s="222"/>
      <c r="QA2" s="95"/>
      <c r="QE2" s="666"/>
      <c r="QH2" s="219"/>
      <c r="QI2" s="220"/>
      <c r="QJ2" s="220"/>
      <c r="QK2" s="220"/>
      <c r="QL2" s="221"/>
      <c r="QM2" s="221"/>
      <c r="QN2" s="222"/>
      <c r="QO2" s="95"/>
      <c r="QS2" s="666"/>
      <c r="QV2" s="219"/>
      <c r="QW2" s="220"/>
      <c r="QX2" s="220"/>
      <c r="QY2" s="220"/>
      <c r="QZ2" s="221"/>
      <c r="RA2" s="221"/>
      <c r="RB2" s="222"/>
      <c r="RC2" s="95"/>
      <c r="RG2" s="666"/>
      <c r="RJ2" s="219"/>
      <c r="RK2" s="220"/>
      <c r="RL2" s="220"/>
      <c r="RM2" s="220"/>
      <c r="RN2" s="221"/>
      <c r="RO2" s="221"/>
      <c r="RP2" s="222"/>
      <c r="RQ2" s="95"/>
      <c r="RU2" s="666"/>
      <c r="RX2" s="219"/>
      <c r="RY2" s="220"/>
      <c r="RZ2" s="220"/>
      <c r="SA2" s="220"/>
      <c r="SB2" s="221"/>
      <c r="SC2" s="221"/>
      <c r="SD2" s="222"/>
      <c r="SE2" s="95"/>
      <c r="SI2" s="666"/>
      <c r="SL2" s="219"/>
      <c r="SM2" s="220"/>
      <c r="SN2" s="220"/>
      <c r="SO2" s="220"/>
      <c r="SP2" s="221"/>
      <c r="SQ2" s="221"/>
      <c r="SR2" s="222"/>
      <c r="SS2" s="95"/>
      <c r="SW2" s="666"/>
      <c r="SZ2" s="219"/>
      <c r="TA2" s="220"/>
      <c r="TB2" s="220"/>
      <c r="TC2" s="220"/>
      <c r="TD2" s="221"/>
      <c r="TE2" s="221"/>
      <c r="TF2" s="222"/>
      <c r="TG2" s="95"/>
      <c r="TK2" s="666"/>
    </row>
    <row r="3" spans="1:534" s="94" customFormat="1" ht="15.75" customHeight="1">
      <c r="B3" s="223"/>
      <c r="C3" s="96"/>
      <c r="D3" s="96"/>
      <c r="E3" s="96"/>
      <c r="F3" s="97"/>
      <c r="G3" s="97"/>
      <c r="H3" s="224"/>
      <c r="I3" s="95"/>
      <c r="M3" s="666"/>
      <c r="P3" s="223"/>
      <c r="Q3" s="96"/>
      <c r="R3" s="96"/>
      <c r="S3" s="96"/>
      <c r="T3" s="97"/>
      <c r="U3" s="97"/>
      <c r="V3" s="224"/>
      <c r="W3" s="95"/>
      <c r="AA3" s="666"/>
      <c r="AD3" s="223"/>
      <c r="AE3" s="96"/>
      <c r="AF3" s="96"/>
      <c r="AG3" s="96"/>
      <c r="AH3" s="97"/>
      <c r="AI3" s="97"/>
      <c r="AJ3" s="224"/>
      <c r="AK3" s="95"/>
      <c r="AO3" s="666"/>
      <c r="AR3" s="223"/>
      <c r="AS3" s="96"/>
      <c r="AT3" s="96"/>
      <c r="AU3" s="96"/>
      <c r="AV3" s="97"/>
      <c r="AW3" s="97"/>
      <c r="AX3" s="224"/>
      <c r="AY3" s="95"/>
      <c r="BC3" s="666"/>
      <c r="BF3" s="223"/>
      <c r="BG3" s="96"/>
      <c r="BH3" s="96"/>
      <c r="BI3" s="96"/>
      <c r="BJ3" s="97"/>
      <c r="BK3" s="97"/>
      <c r="BL3" s="224"/>
      <c r="BM3" s="95"/>
      <c r="BQ3" s="666"/>
      <c r="BT3" s="223"/>
      <c r="BU3" s="96"/>
      <c r="BV3" s="96"/>
      <c r="BW3" s="96"/>
      <c r="BX3" s="97"/>
      <c r="BY3" s="97"/>
      <c r="BZ3" s="224"/>
      <c r="CA3" s="95"/>
      <c r="CE3" s="666"/>
      <c r="CH3" s="223"/>
      <c r="CI3" s="96"/>
      <c r="CJ3" s="96"/>
      <c r="CK3" s="96"/>
      <c r="CL3" s="97"/>
      <c r="CM3" s="97"/>
      <c r="CN3" s="224"/>
      <c r="CO3" s="95"/>
      <c r="CS3" s="666"/>
      <c r="CV3" s="223"/>
      <c r="CW3" s="96"/>
      <c r="CX3" s="96"/>
      <c r="CY3" s="96"/>
      <c r="CZ3" s="97"/>
      <c r="DA3" s="97"/>
      <c r="DB3" s="224"/>
      <c r="DC3" s="95"/>
      <c r="DG3" s="666"/>
      <c r="DJ3" s="223"/>
      <c r="DK3" s="96"/>
      <c r="DL3" s="96"/>
      <c r="DM3" s="96"/>
      <c r="DN3" s="97"/>
      <c r="DO3" s="97"/>
      <c r="DP3" s="224"/>
      <c r="DQ3" s="95"/>
      <c r="DU3" s="666"/>
      <c r="DX3" s="223"/>
      <c r="DY3" s="96"/>
      <c r="DZ3" s="96"/>
      <c r="EA3" s="96"/>
      <c r="EB3" s="97"/>
      <c r="EC3" s="97"/>
      <c r="ED3" s="224"/>
      <c r="EE3" s="95"/>
      <c r="EI3" s="666"/>
      <c r="EL3" s="223"/>
      <c r="EM3" s="96"/>
      <c r="EN3" s="96"/>
      <c r="EO3" s="96"/>
      <c r="EP3" s="97"/>
      <c r="EQ3" s="97"/>
      <c r="ER3" s="224"/>
      <c r="ES3" s="95"/>
      <c r="EW3" s="666"/>
      <c r="EZ3" s="223"/>
      <c r="FA3" s="96"/>
      <c r="FB3" s="96"/>
      <c r="FC3" s="96"/>
      <c r="FD3" s="97"/>
      <c r="FE3" s="97"/>
      <c r="FF3" s="224"/>
      <c r="FG3" s="95"/>
      <c r="FK3" s="666"/>
      <c r="FN3" s="223"/>
      <c r="FO3" s="96"/>
      <c r="FP3" s="96"/>
      <c r="FQ3" s="96"/>
      <c r="FR3" s="97"/>
      <c r="FS3" s="97"/>
      <c r="FT3" s="224"/>
      <c r="FU3" s="95"/>
      <c r="FY3" s="666"/>
      <c r="GB3" s="223"/>
      <c r="GC3" s="96"/>
      <c r="GD3" s="96"/>
      <c r="GE3" s="96"/>
      <c r="GF3" s="97"/>
      <c r="GG3" s="97"/>
      <c r="GH3" s="224"/>
      <c r="GI3" s="95"/>
      <c r="GM3" s="666"/>
      <c r="GP3" s="223"/>
      <c r="GQ3" s="96"/>
      <c r="GR3" s="96"/>
      <c r="GS3" s="96"/>
      <c r="GT3" s="97"/>
      <c r="GU3" s="97"/>
      <c r="GV3" s="224"/>
      <c r="GW3" s="95"/>
      <c r="HA3" s="666"/>
      <c r="HD3" s="223"/>
      <c r="HE3" s="96"/>
      <c r="HF3" s="96"/>
      <c r="HG3" s="96"/>
      <c r="HH3" s="97"/>
      <c r="HI3" s="97"/>
      <c r="HJ3" s="224"/>
      <c r="HK3" s="95"/>
      <c r="HO3" s="666"/>
      <c r="HR3" s="223"/>
      <c r="HS3" s="96"/>
      <c r="HT3" s="96"/>
      <c r="HU3" s="96"/>
      <c r="HV3" s="97"/>
      <c r="HW3" s="97"/>
      <c r="HX3" s="224"/>
      <c r="HY3" s="95"/>
      <c r="IC3" s="666"/>
      <c r="IF3" s="223"/>
      <c r="IG3" s="96"/>
      <c r="IH3" s="96"/>
      <c r="II3" s="96"/>
      <c r="IJ3" s="97"/>
      <c r="IK3" s="97"/>
      <c r="IL3" s="224"/>
      <c r="IM3" s="95"/>
      <c r="IQ3" s="666"/>
      <c r="IT3" s="223"/>
      <c r="IU3" s="96"/>
      <c r="IV3" s="96"/>
      <c r="IW3" s="96"/>
      <c r="IX3" s="97"/>
      <c r="IY3" s="97"/>
      <c r="IZ3" s="224"/>
      <c r="JA3" s="95"/>
      <c r="JE3" s="666"/>
      <c r="JH3" s="223"/>
      <c r="JI3" s="96"/>
      <c r="JJ3" s="96"/>
      <c r="JK3" s="96"/>
      <c r="JL3" s="97"/>
      <c r="JM3" s="97"/>
      <c r="JN3" s="224"/>
      <c r="JO3" s="95"/>
      <c r="JS3" s="666"/>
      <c r="JV3" s="223"/>
      <c r="JW3" s="96"/>
      <c r="JX3" s="96"/>
      <c r="JY3" s="96"/>
      <c r="JZ3" s="97"/>
      <c r="KA3" s="97"/>
      <c r="KB3" s="224"/>
      <c r="KC3" s="95"/>
      <c r="KG3" s="666"/>
      <c r="KJ3" s="223"/>
      <c r="KK3" s="96"/>
      <c r="KL3" s="96"/>
      <c r="KM3" s="96"/>
      <c r="KN3" s="97"/>
      <c r="KO3" s="97"/>
      <c r="KP3" s="224"/>
      <c r="KQ3" s="95"/>
      <c r="KU3" s="666"/>
      <c r="KX3" s="223"/>
      <c r="KY3" s="96"/>
      <c r="KZ3" s="96"/>
      <c r="LA3" s="96"/>
      <c r="LB3" s="97"/>
      <c r="LC3" s="97"/>
      <c r="LD3" s="224"/>
      <c r="LE3" s="95"/>
      <c r="LI3" s="666"/>
      <c r="LL3" s="223"/>
      <c r="LM3" s="96"/>
      <c r="LN3" s="96"/>
      <c r="LO3" s="96"/>
      <c r="LP3" s="97"/>
      <c r="LQ3" s="97"/>
      <c r="LR3" s="224"/>
      <c r="LS3" s="95"/>
      <c r="LW3" s="666"/>
      <c r="LZ3" s="223"/>
      <c r="MA3" s="96"/>
      <c r="MB3" s="96"/>
      <c r="MC3" s="96"/>
      <c r="MD3" s="97"/>
      <c r="ME3" s="97"/>
      <c r="MF3" s="224"/>
      <c r="MG3" s="95"/>
      <c r="MK3" s="666"/>
      <c r="MN3" s="223"/>
      <c r="MO3" s="96"/>
      <c r="MP3" s="96"/>
      <c r="MQ3" s="96"/>
      <c r="MR3" s="97"/>
      <c r="MS3" s="97"/>
      <c r="MT3" s="224"/>
      <c r="MU3" s="95"/>
      <c r="MY3" s="666"/>
      <c r="NB3" s="223"/>
      <c r="NC3" s="96"/>
      <c r="ND3" s="96"/>
      <c r="NE3" s="96"/>
      <c r="NF3" s="97"/>
      <c r="NG3" s="97"/>
      <c r="NH3" s="224"/>
      <c r="NI3" s="95"/>
      <c r="NM3" s="666"/>
      <c r="NP3" s="223"/>
      <c r="NQ3" s="96"/>
      <c r="NR3" s="96"/>
      <c r="NS3" s="96"/>
      <c r="NT3" s="97"/>
      <c r="NU3" s="97"/>
      <c r="NV3" s="224"/>
      <c r="NW3" s="95"/>
      <c r="OA3" s="666"/>
      <c r="OD3" s="223"/>
      <c r="OE3" s="96"/>
      <c r="OF3" s="96"/>
      <c r="OG3" s="96"/>
      <c r="OH3" s="97"/>
      <c r="OI3" s="97"/>
      <c r="OJ3" s="224"/>
      <c r="OK3" s="95"/>
      <c r="OO3" s="666"/>
      <c r="OR3" s="223"/>
      <c r="OS3" s="96"/>
      <c r="OT3" s="96"/>
      <c r="OU3" s="96"/>
      <c r="OV3" s="97"/>
      <c r="OW3" s="97"/>
      <c r="OX3" s="224"/>
      <c r="OY3" s="95"/>
      <c r="PC3" s="666"/>
      <c r="PF3" s="223"/>
      <c r="PG3" s="96"/>
      <c r="PH3" s="96"/>
      <c r="PI3" s="96"/>
      <c r="PJ3" s="97"/>
      <c r="PK3" s="97"/>
      <c r="PL3" s="224"/>
      <c r="PM3" s="95"/>
      <c r="PQ3" s="666"/>
      <c r="PT3" s="223"/>
      <c r="PU3" s="96"/>
      <c r="PV3" s="96"/>
      <c r="PW3" s="96"/>
      <c r="PX3" s="97"/>
      <c r="PY3" s="97"/>
      <c r="PZ3" s="224"/>
      <c r="QA3" s="95"/>
      <c r="QE3" s="666"/>
      <c r="QH3" s="223"/>
      <c r="QI3" s="96"/>
      <c r="QJ3" s="96"/>
      <c r="QK3" s="96"/>
      <c r="QL3" s="97"/>
      <c r="QM3" s="97"/>
      <c r="QN3" s="224"/>
      <c r="QO3" s="95"/>
      <c r="QS3" s="666"/>
      <c r="QV3" s="223"/>
      <c r="QW3" s="96"/>
      <c r="QX3" s="96"/>
      <c r="QY3" s="96"/>
      <c r="QZ3" s="97"/>
      <c r="RA3" s="97"/>
      <c r="RB3" s="224"/>
      <c r="RC3" s="95"/>
      <c r="RG3" s="666"/>
      <c r="RJ3" s="223"/>
      <c r="RK3" s="96"/>
      <c r="RL3" s="96"/>
      <c r="RM3" s="96"/>
      <c r="RN3" s="97"/>
      <c r="RO3" s="97"/>
      <c r="RP3" s="224"/>
      <c r="RQ3" s="95"/>
      <c r="RU3" s="666"/>
      <c r="RX3" s="223"/>
      <c r="RY3" s="96"/>
      <c r="RZ3" s="96"/>
      <c r="SA3" s="96"/>
      <c r="SB3" s="97"/>
      <c r="SC3" s="97"/>
      <c r="SD3" s="224"/>
      <c r="SE3" s="95"/>
      <c r="SI3" s="666"/>
      <c r="SL3" s="223"/>
      <c r="SM3" s="96"/>
      <c r="SN3" s="96"/>
      <c r="SO3" s="96"/>
      <c r="SP3" s="97"/>
      <c r="SQ3" s="97"/>
      <c r="SR3" s="224"/>
      <c r="SS3" s="95"/>
      <c r="SW3" s="666"/>
      <c r="SZ3" s="223"/>
      <c r="TA3" s="96"/>
      <c r="TB3" s="96"/>
      <c r="TC3" s="96"/>
      <c r="TD3" s="97"/>
      <c r="TE3" s="97"/>
      <c r="TF3" s="224"/>
      <c r="TG3" s="95"/>
      <c r="TK3" s="666"/>
    </row>
    <row r="4" spans="1:534" s="94" customFormat="1" ht="15.75" customHeight="1">
      <c r="B4" s="223"/>
      <c r="C4" s="96"/>
      <c r="D4" s="96"/>
      <c r="E4" s="96"/>
      <c r="F4" s="97"/>
      <c r="G4" s="97"/>
      <c r="H4" s="224"/>
      <c r="I4" s="95"/>
      <c r="M4" s="666"/>
      <c r="P4" s="223"/>
      <c r="Q4" s="96"/>
      <c r="R4" s="96"/>
      <c r="S4" s="96"/>
      <c r="T4" s="97"/>
      <c r="U4" s="97"/>
      <c r="V4" s="224"/>
      <c r="W4" s="95"/>
      <c r="AA4" s="666"/>
      <c r="AD4" s="223"/>
      <c r="AE4" s="96"/>
      <c r="AF4" s="96"/>
      <c r="AG4" s="96"/>
      <c r="AH4" s="97"/>
      <c r="AI4" s="97"/>
      <c r="AJ4" s="224"/>
      <c r="AK4" s="95"/>
      <c r="AO4" s="666"/>
      <c r="AR4" s="223"/>
      <c r="AS4" s="96"/>
      <c r="AT4" s="96"/>
      <c r="AU4" s="96"/>
      <c r="AV4" s="97"/>
      <c r="AW4" s="97"/>
      <c r="AX4" s="224"/>
      <c r="AY4" s="95"/>
      <c r="BC4" s="666"/>
      <c r="BF4" s="223"/>
      <c r="BG4" s="96"/>
      <c r="BH4" s="96"/>
      <c r="BI4" s="96"/>
      <c r="BJ4" s="97"/>
      <c r="BK4" s="97"/>
      <c r="BL4" s="224"/>
      <c r="BM4" s="95"/>
      <c r="BQ4" s="666"/>
      <c r="BT4" s="223"/>
      <c r="BU4" s="96"/>
      <c r="BV4" s="96"/>
      <c r="BW4" s="96"/>
      <c r="BX4" s="97"/>
      <c r="BY4" s="97"/>
      <c r="BZ4" s="224"/>
      <c r="CA4" s="95"/>
      <c r="CE4" s="666"/>
      <c r="CH4" s="223"/>
      <c r="CI4" s="96"/>
      <c r="CJ4" s="96"/>
      <c r="CK4" s="96"/>
      <c r="CL4" s="97"/>
      <c r="CM4" s="97"/>
      <c r="CN4" s="224"/>
      <c r="CO4" s="95"/>
      <c r="CS4" s="666"/>
      <c r="CV4" s="223"/>
      <c r="CW4" s="96"/>
      <c r="CX4" s="96"/>
      <c r="CY4" s="96"/>
      <c r="CZ4" s="97"/>
      <c r="DA4" s="97"/>
      <c r="DB4" s="224"/>
      <c r="DC4" s="95"/>
      <c r="DG4" s="666"/>
      <c r="DJ4" s="223"/>
      <c r="DK4" s="96"/>
      <c r="DL4" s="96"/>
      <c r="DM4" s="96"/>
      <c r="DN4" s="97"/>
      <c r="DO4" s="97"/>
      <c r="DP4" s="224"/>
      <c r="DQ4" s="95"/>
      <c r="DU4" s="666"/>
      <c r="DX4" s="223"/>
      <c r="DY4" s="96"/>
      <c r="DZ4" s="96"/>
      <c r="EA4" s="96"/>
      <c r="EB4" s="97"/>
      <c r="EC4" s="97"/>
      <c r="ED4" s="224"/>
      <c r="EE4" s="95"/>
      <c r="EI4" s="666"/>
      <c r="EL4" s="223"/>
      <c r="EM4" s="96"/>
      <c r="EN4" s="96"/>
      <c r="EO4" s="96"/>
      <c r="EP4" s="97"/>
      <c r="EQ4" s="97"/>
      <c r="ER4" s="224"/>
      <c r="ES4" s="95"/>
      <c r="EW4" s="666"/>
      <c r="EZ4" s="223"/>
      <c r="FA4" s="96"/>
      <c r="FB4" s="96"/>
      <c r="FC4" s="96"/>
      <c r="FD4" s="97"/>
      <c r="FE4" s="97"/>
      <c r="FF4" s="224"/>
      <c r="FG4" s="95"/>
      <c r="FK4" s="666"/>
      <c r="FN4" s="223"/>
      <c r="FO4" s="96"/>
      <c r="FP4" s="96"/>
      <c r="FQ4" s="96"/>
      <c r="FR4" s="97"/>
      <c r="FS4" s="97"/>
      <c r="FT4" s="224"/>
      <c r="FU4" s="95"/>
      <c r="FY4" s="666"/>
      <c r="GB4" s="223"/>
      <c r="GC4" s="96"/>
      <c r="GD4" s="96"/>
      <c r="GE4" s="96"/>
      <c r="GF4" s="97"/>
      <c r="GG4" s="97"/>
      <c r="GH4" s="224"/>
      <c r="GI4" s="95"/>
      <c r="GM4" s="666"/>
      <c r="GP4" s="223"/>
      <c r="GQ4" s="96"/>
      <c r="GR4" s="96"/>
      <c r="GS4" s="96"/>
      <c r="GT4" s="97"/>
      <c r="GU4" s="97"/>
      <c r="GV4" s="224"/>
      <c r="GW4" s="95"/>
      <c r="HA4" s="666"/>
      <c r="HD4" s="223"/>
      <c r="HE4" s="96"/>
      <c r="HF4" s="96"/>
      <c r="HG4" s="96"/>
      <c r="HH4" s="97"/>
      <c r="HI4" s="97"/>
      <c r="HJ4" s="224"/>
      <c r="HK4" s="95"/>
      <c r="HO4" s="666"/>
      <c r="HR4" s="223"/>
      <c r="HS4" s="96"/>
      <c r="HT4" s="96"/>
      <c r="HU4" s="96"/>
      <c r="HV4" s="97"/>
      <c r="HW4" s="97"/>
      <c r="HX4" s="224"/>
      <c r="HY4" s="95"/>
      <c r="IC4" s="666"/>
      <c r="IF4" s="223"/>
      <c r="IG4" s="96"/>
      <c r="IH4" s="96"/>
      <c r="II4" s="96"/>
      <c r="IJ4" s="97"/>
      <c r="IK4" s="97"/>
      <c r="IL4" s="224"/>
      <c r="IM4" s="95"/>
      <c r="IQ4" s="666"/>
      <c r="IT4" s="223"/>
      <c r="IU4" s="96"/>
      <c r="IV4" s="96"/>
      <c r="IW4" s="96"/>
      <c r="IX4" s="97"/>
      <c r="IY4" s="97"/>
      <c r="IZ4" s="224"/>
      <c r="JA4" s="95"/>
      <c r="JE4" s="666"/>
      <c r="JH4" s="223"/>
      <c r="JI4" s="96"/>
      <c r="JJ4" s="96"/>
      <c r="JK4" s="96"/>
      <c r="JL4" s="97"/>
      <c r="JM4" s="97"/>
      <c r="JN4" s="224"/>
      <c r="JO4" s="95"/>
      <c r="JS4" s="666"/>
      <c r="JV4" s="223"/>
      <c r="JW4" s="96"/>
      <c r="JX4" s="96"/>
      <c r="JY4" s="96"/>
      <c r="JZ4" s="97"/>
      <c r="KA4" s="97"/>
      <c r="KB4" s="224"/>
      <c r="KC4" s="95"/>
      <c r="KG4" s="666"/>
      <c r="KJ4" s="223"/>
      <c r="KK4" s="96"/>
      <c r="KL4" s="96"/>
      <c r="KM4" s="96"/>
      <c r="KN4" s="97"/>
      <c r="KO4" s="97"/>
      <c r="KP4" s="224"/>
      <c r="KQ4" s="95"/>
      <c r="KU4" s="666"/>
      <c r="KX4" s="223"/>
      <c r="KY4" s="96"/>
      <c r="KZ4" s="96"/>
      <c r="LA4" s="96"/>
      <c r="LB4" s="97"/>
      <c r="LC4" s="97"/>
      <c r="LD4" s="224"/>
      <c r="LE4" s="95"/>
      <c r="LI4" s="666"/>
      <c r="LL4" s="223"/>
      <c r="LM4" s="96"/>
      <c r="LN4" s="96"/>
      <c r="LO4" s="96"/>
      <c r="LP4" s="97"/>
      <c r="LQ4" s="97"/>
      <c r="LR4" s="224"/>
      <c r="LS4" s="95"/>
      <c r="LW4" s="666"/>
      <c r="LZ4" s="223"/>
      <c r="MA4" s="96"/>
      <c r="MB4" s="96"/>
      <c r="MC4" s="96"/>
      <c r="MD4" s="97"/>
      <c r="ME4" s="97"/>
      <c r="MF4" s="224"/>
      <c r="MG4" s="95"/>
      <c r="MK4" s="666"/>
      <c r="MN4" s="223"/>
      <c r="MO4" s="96"/>
      <c r="MP4" s="96"/>
      <c r="MQ4" s="96"/>
      <c r="MR4" s="97"/>
      <c r="MS4" s="97"/>
      <c r="MT4" s="224"/>
      <c r="MU4" s="95"/>
      <c r="MY4" s="666"/>
      <c r="NB4" s="223"/>
      <c r="NC4" s="96"/>
      <c r="ND4" s="96"/>
      <c r="NE4" s="96"/>
      <c r="NF4" s="97"/>
      <c r="NG4" s="97"/>
      <c r="NH4" s="224"/>
      <c r="NI4" s="95"/>
      <c r="NM4" s="666"/>
      <c r="NP4" s="223"/>
      <c r="NQ4" s="96"/>
      <c r="NR4" s="96"/>
      <c r="NS4" s="96"/>
      <c r="NT4" s="97"/>
      <c r="NU4" s="97"/>
      <c r="NV4" s="224"/>
      <c r="NW4" s="95"/>
      <c r="OA4" s="666"/>
      <c r="OD4" s="223"/>
      <c r="OE4" s="96"/>
      <c r="OF4" s="96"/>
      <c r="OG4" s="96"/>
      <c r="OH4" s="97"/>
      <c r="OI4" s="97"/>
      <c r="OJ4" s="224"/>
      <c r="OK4" s="95"/>
      <c r="OO4" s="666"/>
      <c r="OR4" s="223"/>
      <c r="OS4" s="96"/>
      <c r="OT4" s="96"/>
      <c r="OU4" s="96"/>
      <c r="OV4" s="97"/>
      <c r="OW4" s="97"/>
      <c r="OX4" s="224"/>
      <c r="OY4" s="95"/>
      <c r="PC4" s="666"/>
      <c r="PF4" s="223"/>
      <c r="PG4" s="96"/>
      <c r="PH4" s="96"/>
      <c r="PI4" s="96"/>
      <c r="PJ4" s="97"/>
      <c r="PK4" s="97"/>
      <c r="PL4" s="224"/>
      <c r="PM4" s="95"/>
      <c r="PQ4" s="666"/>
      <c r="PT4" s="223"/>
      <c r="PU4" s="96"/>
      <c r="PV4" s="96"/>
      <c r="PW4" s="96"/>
      <c r="PX4" s="97"/>
      <c r="PY4" s="97"/>
      <c r="PZ4" s="224"/>
      <c r="QA4" s="95"/>
      <c r="QE4" s="666"/>
      <c r="QH4" s="223"/>
      <c r="QI4" s="96"/>
      <c r="QJ4" s="96"/>
      <c r="QK4" s="96"/>
      <c r="QL4" s="97"/>
      <c r="QM4" s="97"/>
      <c r="QN4" s="224"/>
      <c r="QO4" s="95"/>
      <c r="QS4" s="666"/>
      <c r="QV4" s="223"/>
      <c r="QW4" s="96"/>
      <c r="QX4" s="96"/>
      <c r="QY4" s="96"/>
      <c r="QZ4" s="97"/>
      <c r="RA4" s="97"/>
      <c r="RB4" s="224"/>
      <c r="RC4" s="95"/>
      <c r="RG4" s="666"/>
      <c r="RJ4" s="223"/>
      <c r="RK4" s="96"/>
      <c r="RL4" s="96"/>
      <c r="RM4" s="96"/>
      <c r="RN4" s="97"/>
      <c r="RO4" s="97"/>
      <c r="RP4" s="224"/>
      <c r="RQ4" s="95"/>
      <c r="RU4" s="666"/>
      <c r="RX4" s="223"/>
      <c r="RY4" s="96"/>
      <c r="RZ4" s="96"/>
      <c r="SA4" s="96"/>
      <c r="SB4" s="97"/>
      <c r="SC4" s="97"/>
      <c r="SD4" s="224"/>
      <c r="SE4" s="95"/>
      <c r="SI4" s="666"/>
      <c r="SL4" s="223"/>
      <c r="SM4" s="96"/>
      <c r="SN4" s="96"/>
      <c r="SO4" s="96"/>
      <c r="SP4" s="97"/>
      <c r="SQ4" s="97"/>
      <c r="SR4" s="224"/>
      <c r="SS4" s="95"/>
      <c r="SW4" s="666"/>
      <c r="SZ4" s="223"/>
      <c r="TA4" s="96"/>
      <c r="TB4" s="96"/>
      <c r="TC4" s="96"/>
      <c r="TD4" s="97"/>
      <c r="TE4" s="97"/>
      <c r="TF4" s="224"/>
      <c r="TG4" s="95"/>
      <c r="TK4" s="666"/>
    </row>
    <row r="5" spans="1:534" s="94" customFormat="1" ht="15.75" customHeight="1">
      <c r="B5" s="223"/>
      <c r="C5" s="96"/>
      <c r="D5" s="96"/>
      <c r="E5" s="96"/>
      <c r="H5" s="225"/>
      <c r="I5" s="95"/>
      <c r="M5" s="666"/>
      <c r="P5" s="223"/>
      <c r="Q5" s="96"/>
      <c r="R5" s="96"/>
      <c r="S5" s="96"/>
      <c r="V5" s="225"/>
      <c r="W5" s="95"/>
      <c r="AA5" s="666"/>
      <c r="AD5" s="223"/>
      <c r="AE5" s="96"/>
      <c r="AF5" s="96"/>
      <c r="AG5" s="96"/>
      <c r="AJ5" s="225"/>
      <c r="AK5" s="95"/>
      <c r="AO5" s="666"/>
      <c r="AR5" s="223"/>
      <c r="AS5" s="96"/>
      <c r="AT5" s="96"/>
      <c r="AU5" s="96"/>
      <c r="AX5" s="225"/>
      <c r="AY5" s="95"/>
      <c r="BC5" s="666"/>
      <c r="BF5" s="223"/>
      <c r="BG5" s="96"/>
      <c r="BH5" s="96"/>
      <c r="BI5" s="96"/>
      <c r="BL5" s="225"/>
      <c r="BM5" s="95"/>
      <c r="BQ5" s="666"/>
      <c r="BT5" s="223"/>
      <c r="BU5" s="96"/>
      <c r="BV5" s="96"/>
      <c r="BW5" s="96"/>
      <c r="BZ5" s="225"/>
      <c r="CA5" s="95"/>
      <c r="CE5" s="666"/>
      <c r="CH5" s="223"/>
      <c r="CI5" s="96"/>
      <c r="CJ5" s="96"/>
      <c r="CK5" s="96"/>
      <c r="CN5" s="225"/>
      <c r="CO5" s="95"/>
      <c r="CS5" s="666"/>
      <c r="CV5" s="223"/>
      <c r="CW5" s="96"/>
      <c r="CX5" s="96"/>
      <c r="CY5" s="96"/>
      <c r="DB5" s="225"/>
      <c r="DC5" s="95"/>
      <c r="DG5" s="666"/>
      <c r="DJ5" s="223"/>
      <c r="DK5" s="96"/>
      <c r="DL5" s="96"/>
      <c r="DM5" s="96"/>
      <c r="DP5" s="225"/>
      <c r="DQ5" s="95"/>
      <c r="DU5" s="666"/>
      <c r="DX5" s="223"/>
      <c r="DY5" s="96"/>
      <c r="DZ5" s="96"/>
      <c r="EA5" s="96"/>
      <c r="ED5" s="225"/>
      <c r="EE5" s="95"/>
      <c r="EI5" s="666"/>
      <c r="EL5" s="223"/>
      <c r="EM5" s="96"/>
      <c r="EN5" s="96"/>
      <c r="EO5" s="96"/>
      <c r="ER5" s="225"/>
      <c r="ES5" s="95"/>
      <c r="EW5" s="666"/>
      <c r="EZ5" s="223"/>
      <c r="FA5" s="96"/>
      <c r="FB5" s="96"/>
      <c r="FC5" s="96"/>
      <c r="FF5" s="225"/>
      <c r="FG5" s="95"/>
      <c r="FK5" s="666"/>
      <c r="FN5" s="223"/>
      <c r="FO5" s="96"/>
      <c r="FP5" s="96"/>
      <c r="FQ5" s="96"/>
      <c r="FT5" s="225"/>
      <c r="FU5" s="95"/>
      <c r="FY5" s="666"/>
      <c r="GB5" s="223"/>
      <c r="GC5" s="96"/>
      <c r="GD5" s="96"/>
      <c r="GE5" s="96"/>
      <c r="GH5" s="225"/>
      <c r="GI5" s="95"/>
      <c r="GM5" s="666"/>
      <c r="GP5" s="223"/>
      <c r="GQ5" s="96"/>
      <c r="GR5" s="96"/>
      <c r="GS5" s="96"/>
      <c r="GV5" s="225"/>
      <c r="GW5" s="95"/>
      <c r="HA5" s="666"/>
      <c r="HD5" s="223"/>
      <c r="HE5" s="96"/>
      <c r="HF5" s="96"/>
      <c r="HG5" s="96"/>
      <c r="HJ5" s="225"/>
      <c r="HK5" s="95"/>
      <c r="HO5" s="666"/>
      <c r="HR5" s="223"/>
      <c r="HS5" s="96"/>
      <c r="HT5" s="96"/>
      <c r="HU5" s="96"/>
      <c r="HX5" s="225"/>
      <c r="HY5" s="95"/>
      <c r="IC5" s="666"/>
      <c r="IF5" s="223"/>
      <c r="IG5" s="96"/>
      <c r="IH5" s="96"/>
      <c r="II5" s="96"/>
      <c r="IL5" s="225"/>
      <c r="IM5" s="95"/>
      <c r="IQ5" s="666"/>
      <c r="IT5" s="223"/>
      <c r="IU5" s="96"/>
      <c r="IV5" s="96"/>
      <c r="IW5" s="96"/>
      <c r="IZ5" s="225"/>
      <c r="JA5" s="95"/>
      <c r="JE5" s="666"/>
      <c r="JH5" s="223"/>
      <c r="JI5" s="96"/>
      <c r="JJ5" s="96"/>
      <c r="JK5" s="96"/>
      <c r="JN5" s="225"/>
      <c r="JO5" s="95"/>
      <c r="JS5" s="666"/>
      <c r="JV5" s="223"/>
      <c r="JW5" s="96"/>
      <c r="JX5" s="96"/>
      <c r="JY5" s="96"/>
      <c r="KB5" s="225"/>
      <c r="KC5" s="95"/>
      <c r="KG5" s="666"/>
      <c r="KJ5" s="223"/>
      <c r="KK5" s="96"/>
      <c r="KL5" s="96"/>
      <c r="KM5" s="96"/>
      <c r="KP5" s="225"/>
      <c r="KQ5" s="95"/>
      <c r="KU5" s="666"/>
      <c r="KX5" s="223"/>
      <c r="KY5" s="96"/>
      <c r="KZ5" s="96"/>
      <c r="LA5" s="96"/>
      <c r="LD5" s="225"/>
      <c r="LE5" s="95"/>
      <c r="LI5" s="666"/>
      <c r="LL5" s="223"/>
      <c r="LM5" s="96"/>
      <c r="LN5" s="96"/>
      <c r="LO5" s="96"/>
      <c r="LR5" s="225"/>
      <c r="LS5" s="95"/>
      <c r="LW5" s="666"/>
      <c r="LZ5" s="223"/>
      <c r="MA5" s="96"/>
      <c r="MB5" s="96"/>
      <c r="MC5" s="96"/>
      <c r="MF5" s="225"/>
      <c r="MG5" s="95"/>
      <c r="MK5" s="666"/>
      <c r="MN5" s="223"/>
      <c r="MO5" s="96"/>
      <c r="MP5" s="96"/>
      <c r="MQ5" s="96"/>
      <c r="MT5" s="225"/>
      <c r="MU5" s="95"/>
      <c r="MY5" s="666"/>
      <c r="NB5" s="223"/>
      <c r="NC5" s="96"/>
      <c r="ND5" s="96"/>
      <c r="NE5" s="96"/>
      <c r="NH5" s="225"/>
      <c r="NI5" s="95"/>
      <c r="NM5" s="666"/>
      <c r="NP5" s="223"/>
      <c r="NQ5" s="96"/>
      <c r="NR5" s="96"/>
      <c r="NS5" s="96"/>
      <c r="NV5" s="225"/>
      <c r="NW5" s="95"/>
      <c r="OA5" s="666"/>
      <c r="OD5" s="223"/>
      <c r="OE5" s="96"/>
      <c r="OF5" s="96"/>
      <c r="OG5" s="96"/>
      <c r="OJ5" s="225"/>
      <c r="OK5" s="95"/>
      <c r="OO5" s="666"/>
      <c r="OR5" s="223"/>
      <c r="OS5" s="96"/>
      <c r="OT5" s="96"/>
      <c r="OU5" s="96"/>
      <c r="OX5" s="225"/>
      <c r="OY5" s="95"/>
      <c r="PC5" s="666"/>
      <c r="PF5" s="223"/>
      <c r="PG5" s="96"/>
      <c r="PH5" s="96"/>
      <c r="PI5" s="96"/>
      <c r="PL5" s="225"/>
      <c r="PM5" s="95"/>
      <c r="PQ5" s="666"/>
      <c r="PT5" s="223"/>
      <c r="PU5" s="96"/>
      <c r="PV5" s="96"/>
      <c r="PW5" s="96"/>
      <c r="PZ5" s="225"/>
      <c r="QA5" s="95"/>
      <c r="QE5" s="666"/>
      <c r="QH5" s="223"/>
      <c r="QI5" s="96"/>
      <c r="QJ5" s="96"/>
      <c r="QK5" s="96"/>
      <c r="QN5" s="225"/>
      <c r="QO5" s="95"/>
      <c r="QS5" s="666"/>
      <c r="QV5" s="223"/>
      <c r="QW5" s="96"/>
      <c r="QX5" s="96"/>
      <c r="QY5" s="96"/>
      <c r="RB5" s="225"/>
      <c r="RC5" s="95"/>
      <c r="RG5" s="666"/>
      <c r="RJ5" s="223"/>
      <c r="RK5" s="96"/>
      <c r="RL5" s="96"/>
      <c r="RM5" s="96"/>
      <c r="RP5" s="225"/>
      <c r="RQ5" s="95"/>
      <c r="RU5" s="666"/>
      <c r="RX5" s="223"/>
      <c r="RY5" s="96"/>
      <c r="RZ5" s="96"/>
      <c r="SA5" s="96"/>
      <c r="SD5" s="225"/>
      <c r="SE5" s="95"/>
      <c r="SI5" s="666"/>
      <c r="SL5" s="223"/>
      <c r="SM5" s="96"/>
      <c r="SN5" s="96"/>
      <c r="SO5" s="96"/>
      <c r="SR5" s="225"/>
      <c r="SS5" s="95"/>
      <c r="SW5" s="666"/>
      <c r="SZ5" s="223"/>
      <c r="TA5" s="96"/>
      <c r="TB5" s="96"/>
      <c r="TC5" s="96"/>
      <c r="TF5" s="225"/>
      <c r="TG5" s="95"/>
      <c r="TK5" s="666"/>
    </row>
    <row r="6" spans="1:534" s="94" customFormat="1" ht="15.75" customHeight="1">
      <c r="B6" s="223"/>
      <c r="C6" s="96"/>
      <c r="D6" s="96"/>
      <c r="E6" s="96"/>
      <c r="H6" s="225"/>
      <c r="I6" s="95"/>
      <c r="M6" s="666"/>
      <c r="P6" s="223"/>
      <c r="Q6" s="96"/>
      <c r="R6" s="96"/>
      <c r="S6" s="96"/>
      <c r="V6" s="225"/>
      <c r="W6" s="95"/>
      <c r="AA6" s="666"/>
      <c r="AD6" s="223"/>
      <c r="AE6" s="96"/>
      <c r="AF6" s="96"/>
      <c r="AG6" s="96"/>
      <c r="AJ6" s="225"/>
      <c r="AK6" s="95"/>
      <c r="AO6" s="666"/>
      <c r="AR6" s="223"/>
      <c r="AS6" s="96"/>
      <c r="AT6" s="96"/>
      <c r="AU6" s="96"/>
      <c r="AX6" s="225"/>
      <c r="AY6" s="95"/>
      <c r="BC6" s="666"/>
      <c r="BF6" s="223"/>
      <c r="BG6" s="96"/>
      <c r="BH6" s="96"/>
      <c r="BI6" s="96"/>
      <c r="BL6" s="225"/>
      <c r="BM6" s="95"/>
      <c r="BQ6" s="666"/>
      <c r="BT6" s="223"/>
      <c r="BU6" s="96"/>
      <c r="BV6" s="96"/>
      <c r="BW6" s="96"/>
      <c r="BZ6" s="225"/>
      <c r="CA6" s="95"/>
      <c r="CE6" s="666"/>
      <c r="CH6" s="223"/>
      <c r="CI6" s="96"/>
      <c r="CJ6" s="96"/>
      <c r="CK6" s="96"/>
      <c r="CN6" s="225"/>
      <c r="CO6" s="95"/>
      <c r="CS6" s="666"/>
      <c r="CV6" s="223"/>
      <c r="CW6" s="96"/>
      <c r="CX6" s="96"/>
      <c r="CY6" s="96"/>
      <c r="DB6" s="225"/>
      <c r="DC6" s="95"/>
      <c r="DG6" s="666"/>
      <c r="DJ6" s="223"/>
      <c r="DK6" s="96"/>
      <c r="DL6" s="96"/>
      <c r="DM6" s="96"/>
      <c r="DP6" s="225"/>
      <c r="DQ6" s="95"/>
      <c r="DU6" s="666"/>
      <c r="DX6" s="223"/>
      <c r="DY6" s="96"/>
      <c r="DZ6" s="96"/>
      <c r="EA6" s="96"/>
      <c r="ED6" s="225"/>
      <c r="EE6" s="95"/>
      <c r="EI6" s="666"/>
      <c r="EL6" s="223"/>
      <c r="EM6" s="96"/>
      <c r="EN6" s="96"/>
      <c r="EO6" s="96"/>
      <c r="ER6" s="225"/>
      <c r="ES6" s="95"/>
      <c r="EW6" s="666"/>
      <c r="EZ6" s="223"/>
      <c r="FA6" s="96"/>
      <c r="FB6" s="96"/>
      <c r="FC6" s="96"/>
      <c r="FF6" s="225"/>
      <c r="FG6" s="95"/>
      <c r="FK6" s="666"/>
      <c r="FN6" s="223"/>
      <c r="FO6" s="96"/>
      <c r="FP6" s="96"/>
      <c r="FQ6" s="96"/>
      <c r="FT6" s="225"/>
      <c r="FU6" s="95"/>
      <c r="FY6" s="666"/>
      <c r="GB6" s="223"/>
      <c r="GC6" s="96"/>
      <c r="GD6" s="96"/>
      <c r="GE6" s="96"/>
      <c r="GH6" s="225"/>
      <c r="GI6" s="95"/>
      <c r="GM6" s="666"/>
      <c r="GP6" s="223"/>
      <c r="GQ6" s="96"/>
      <c r="GR6" s="96"/>
      <c r="GS6" s="96"/>
      <c r="GV6" s="225"/>
      <c r="GW6" s="95"/>
      <c r="HA6" s="666"/>
      <c r="HD6" s="223"/>
      <c r="HE6" s="96"/>
      <c r="HF6" s="96"/>
      <c r="HG6" s="96"/>
      <c r="HJ6" s="225"/>
      <c r="HK6" s="95"/>
      <c r="HO6" s="666"/>
      <c r="HR6" s="223"/>
      <c r="HS6" s="96"/>
      <c r="HT6" s="96"/>
      <c r="HU6" s="96"/>
      <c r="HX6" s="225"/>
      <c r="HY6" s="95"/>
      <c r="IC6" s="666"/>
      <c r="IF6" s="223"/>
      <c r="IG6" s="96"/>
      <c r="IH6" s="96"/>
      <c r="II6" s="96"/>
      <c r="IL6" s="225"/>
      <c r="IM6" s="95"/>
      <c r="IQ6" s="666"/>
      <c r="IT6" s="223"/>
      <c r="IU6" s="96"/>
      <c r="IV6" s="96"/>
      <c r="IW6" s="96"/>
      <c r="IZ6" s="225"/>
      <c r="JA6" s="95"/>
      <c r="JE6" s="666"/>
      <c r="JH6" s="223"/>
      <c r="JI6" s="96"/>
      <c r="JJ6" s="96"/>
      <c r="JK6" s="96"/>
      <c r="JN6" s="225"/>
      <c r="JO6" s="95"/>
      <c r="JS6" s="666"/>
      <c r="JV6" s="223"/>
      <c r="JW6" s="96"/>
      <c r="JX6" s="96"/>
      <c r="JY6" s="96"/>
      <c r="KB6" s="225"/>
      <c r="KC6" s="95"/>
      <c r="KG6" s="666"/>
      <c r="KJ6" s="223"/>
      <c r="KK6" s="96"/>
      <c r="KL6" s="96"/>
      <c r="KM6" s="96"/>
      <c r="KP6" s="225"/>
      <c r="KQ6" s="95"/>
      <c r="KU6" s="666"/>
      <c r="KX6" s="223"/>
      <c r="KY6" s="96"/>
      <c r="KZ6" s="96"/>
      <c r="LA6" s="96"/>
      <c r="LD6" s="225"/>
      <c r="LE6" s="95"/>
      <c r="LI6" s="666"/>
      <c r="LL6" s="223"/>
      <c r="LM6" s="96"/>
      <c r="LN6" s="96"/>
      <c r="LO6" s="96"/>
      <c r="LR6" s="225"/>
      <c r="LS6" s="95"/>
      <c r="LW6" s="666"/>
      <c r="LZ6" s="223"/>
      <c r="MA6" s="96"/>
      <c r="MB6" s="96"/>
      <c r="MC6" s="96"/>
      <c r="MF6" s="225"/>
      <c r="MG6" s="95"/>
      <c r="MK6" s="666"/>
      <c r="MN6" s="223"/>
      <c r="MO6" s="96"/>
      <c r="MP6" s="96"/>
      <c r="MQ6" s="96"/>
      <c r="MT6" s="225"/>
      <c r="MU6" s="95"/>
      <c r="MY6" s="666"/>
      <c r="NB6" s="223"/>
      <c r="NC6" s="96"/>
      <c r="ND6" s="96"/>
      <c r="NE6" s="96"/>
      <c r="NH6" s="225"/>
      <c r="NI6" s="95"/>
      <c r="NM6" s="666"/>
      <c r="NP6" s="223"/>
      <c r="NQ6" s="96"/>
      <c r="NR6" s="96"/>
      <c r="NS6" s="96"/>
      <c r="NV6" s="225"/>
      <c r="NW6" s="95"/>
      <c r="OA6" s="666"/>
      <c r="OD6" s="223"/>
      <c r="OE6" s="96"/>
      <c r="OF6" s="96"/>
      <c r="OG6" s="96"/>
      <c r="OJ6" s="225"/>
      <c r="OK6" s="95"/>
      <c r="OO6" s="666"/>
      <c r="OR6" s="223"/>
      <c r="OS6" s="96"/>
      <c r="OT6" s="96"/>
      <c r="OU6" s="96"/>
      <c r="OX6" s="225"/>
      <c r="OY6" s="95"/>
      <c r="PC6" s="666"/>
      <c r="PF6" s="223"/>
      <c r="PG6" s="96"/>
      <c r="PH6" s="96"/>
      <c r="PI6" s="96"/>
      <c r="PL6" s="225"/>
      <c r="PM6" s="95"/>
      <c r="PQ6" s="666"/>
      <c r="PT6" s="223"/>
      <c r="PU6" s="96"/>
      <c r="PV6" s="96"/>
      <c r="PW6" s="96"/>
      <c r="PZ6" s="225"/>
      <c r="QA6" s="95"/>
      <c r="QE6" s="666"/>
      <c r="QH6" s="223"/>
      <c r="QI6" s="96"/>
      <c r="QJ6" s="96"/>
      <c r="QK6" s="96"/>
      <c r="QN6" s="225"/>
      <c r="QO6" s="95"/>
      <c r="QS6" s="666"/>
      <c r="QV6" s="223"/>
      <c r="QW6" s="96"/>
      <c r="QX6" s="96"/>
      <c r="QY6" s="96"/>
      <c r="RB6" s="225"/>
      <c r="RC6" s="95"/>
      <c r="RG6" s="666"/>
      <c r="RJ6" s="223"/>
      <c r="RK6" s="96"/>
      <c r="RL6" s="96"/>
      <c r="RM6" s="96"/>
      <c r="RP6" s="225"/>
      <c r="RQ6" s="95"/>
      <c r="RU6" s="666"/>
      <c r="RX6" s="223"/>
      <c r="RY6" s="96"/>
      <c r="RZ6" s="96"/>
      <c r="SA6" s="96"/>
      <c r="SD6" s="225"/>
      <c r="SE6" s="95"/>
      <c r="SI6" s="666"/>
      <c r="SL6" s="223"/>
      <c r="SM6" s="96"/>
      <c r="SN6" s="96"/>
      <c r="SO6" s="96"/>
      <c r="SR6" s="225"/>
      <c r="SS6" s="95"/>
      <c r="SW6" s="666"/>
      <c r="SZ6" s="223"/>
      <c r="TA6" s="96"/>
      <c r="TB6" s="96"/>
      <c r="TC6" s="96"/>
      <c r="TF6" s="225"/>
      <c r="TG6" s="95"/>
      <c r="TK6" s="666"/>
    </row>
    <row r="7" spans="1:534" s="94" customFormat="1" ht="15.75" customHeight="1" thickBot="1">
      <c r="B7" s="226"/>
      <c r="C7" s="227"/>
      <c r="D7" s="227"/>
      <c r="E7" s="227"/>
      <c r="F7" s="228"/>
      <c r="G7" s="228"/>
      <c r="H7" s="229"/>
      <c r="I7" s="95"/>
      <c r="M7" s="666"/>
      <c r="P7" s="226"/>
      <c r="Q7" s="227"/>
      <c r="R7" s="227"/>
      <c r="S7" s="227"/>
      <c r="T7" s="228"/>
      <c r="U7" s="228"/>
      <c r="V7" s="229"/>
      <c r="W7" s="95"/>
      <c r="AA7" s="666"/>
      <c r="AD7" s="226"/>
      <c r="AE7" s="227"/>
      <c r="AF7" s="227"/>
      <c r="AG7" s="227"/>
      <c r="AH7" s="228"/>
      <c r="AI7" s="228"/>
      <c r="AJ7" s="229"/>
      <c r="AK7" s="95"/>
      <c r="AO7" s="666"/>
      <c r="AR7" s="226"/>
      <c r="AS7" s="227"/>
      <c r="AT7" s="227"/>
      <c r="AU7" s="227"/>
      <c r="AV7" s="228"/>
      <c r="AW7" s="228"/>
      <c r="AX7" s="229"/>
      <c r="AY7" s="95"/>
      <c r="BC7" s="666"/>
      <c r="BF7" s="226"/>
      <c r="BG7" s="227"/>
      <c r="BH7" s="227"/>
      <c r="BI7" s="227"/>
      <c r="BJ7" s="228"/>
      <c r="BK7" s="228"/>
      <c r="BL7" s="229"/>
      <c r="BM7" s="95"/>
      <c r="BQ7" s="666"/>
      <c r="BT7" s="226"/>
      <c r="BU7" s="227"/>
      <c r="BV7" s="227"/>
      <c r="BW7" s="227"/>
      <c r="BX7" s="228"/>
      <c r="BY7" s="228"/>
      <c r="BZ7" s="229"/>
      <c r="CA7" s="95"/>
      <c r="CE7" s="666"/>
      <c r="CH7" s="226"/>
      <c r="CI7" s="227"/>
      <c r="CJ7" s="227"/>
      <c r="CK7" s="227"/>
      <c r="CL7" s="228"/>
      <c r="CM7" s="228"/>
      <c r="CN7" s="229"/>
      <c r="CO7" s="95"/>
      <c r="CS7" s="666"/>
      <c r="CV7" s="226"/>
      <c r="CW7" s="227"/>
      <c r="CX7" s="227"/>
      <c r="CY7" s="227"/>
      <c r="CZ7" s="228"/>
      <c r="DA7" s="228"/>
      <c r="DB7" s="229"/>
      <c r="DC7" s="95"/>
      <c r="DG7" s="666"/>
      <c r="DJ7" s="226"/>
      <c r="DK7" s="227"/>
      <c r="DL7" s="227"/>
      <c r="DM7" s="227"/>
      <c r="DN7" s="228"/>
      <c r="DO7" s="228"/>
      <c r="DP7" s="229"/>
      <c r="DQ7" s="95"/>
      <c r="DU7" s="666"/>
      <c r="DX7" s="226"/>
      <c r="DY7" s="227"/>
      <c r="DZ7" s="227"/>
      <c r="EA7" s="227"/>
      <c r="EB7" s="228"/>
      <c r="EC7" s="228"/>
      <c r="ED7" s="229"/>
      <c r="EE7" s="95"/>
      <c r="EI7" s="666"/>
      <c r="EL7" s="226"/>
      <c r="EM7" s="227"/>
      <c r="EN7" s="227"/>
      <c r="EO7" s="227"/>
      <c r="EP7" s="228"/>
      <c r="EQ7" s="228"/>
      <c r="ER7" s="229"/>
      <c r="ES7" s="95"/>
      <c r="EW7" s="666"/>
      <c r="EZ7" s="226"/>
      <c r="FA7" s="227"/>
      <c r="FB7" s="227"/>
      <c r="FC7" s="227"/>
      <c r="FD7" s="228"/>
      <c r="FE7" s="228"/>
      <c r="FF7" s="229"/>
      <c r="FG7" s="95"/>
      <c r="FK7" s="666"/>
      <c r="FN7" s="226"/>
      <c r="FO7" s="227"/>
      <c r="FP7" s="227"/>
      <c r="FQ7" s="227"/>
      <c r="FR7" s="228"/>
      <c r="FS7" s="228"/>
      <c r="FT7" s="229"/>
      <c r="FU7" s="95"/>
      <c r="FY7" s="666"/>
      <c r="GB7" s="226"/>
      <c r="GC7" s="227"/>
      <c r="GD7" s="227"/>
      <c r="GE7" s="227"/>
      <c r="GF7" s="228"/>
      <c r="GG7" s="228"/>
      <c r="GH7" s="229"/>
      <c r="GI7" s="95"/>
      <c r="GM7" s="666"/>
      <c r="GP7" s="226"/>
      <c r="GQ7" s="227"/>
      <c r="GR7" s="227"/>
      <c r="GS7" s="227"/>
      <c r="GT7" s="228"/>
      <c r="GU7" s="228"/>
      <c r="GV7" s="229"/>
      <c r="GW7" s="95"/>
      <c r="HA7" s="666"/>
      <c r="HD7" s="226"/>
      <c r="HE7" s="227"/>
      <c r="HF7" s="227"/>
      <c r="HG7" s="227"/>
      <c r="HH7" s="228"/>
      <c r="HI7" s="228"/>
      <c r="HJ7" s="229"/>
      <c r="HK7" s="95"/>
      <c r="HO7" s="666"/>
      <c r="HR7" s="226"/>
      <c r="HS7" s="227"/>
      <c r="HT7" s="227"/>
      <c r="HU7" s="227"/>
      <c r="HV7" s="228"/>
      <c r="HW7" s="228"/>
      <c r="HX7" s="229"/>
      <c r="HY7" s="95"/>
      <c r="IC7" s="666"/>
      <c r="IF7" s="226"/>
      <c r="IG7" s="227"/>
      <c r="IH7" s="227"/>
      <c r="II7" s="227"/>
      <c r="IJ7" s="228"/>
      <c r="IK7" s="228"/>
      <c r="IL7" s="229"/>
      <c r="IM7" s="95"/>
      <c r="IQ7" s="666"/>
      <c r="IT7" s="226"/>
      <c r="IU7" s="227"/>
      <c r="IV7" s="227"/>
      <c r="IW7" s="227"/>
      <c r="IX7" s="228"/>
      <c r="IY7" s="228"/>
      <c r="IZ7" s="229"/>
      <c r="JA7" s="95"/>
      <c r="JE7" s="666"/>
      <c r="JH7" s="226"/>
      <c r="JI7" s="227"/>
      <c r="JJ7" s="227"/>
      <c r="JK7" s="227"/>
      <c r="JL7" s="228"/>
      <c r="JM7" s="228"/>
      <c r="JN7" s="229"/>
      <c r="JO7" s="95"/>
      <c r="JS7" s="666"/>
      <c r="JV7" s="226"/>
      <c r="JW7" s="227"/>
      <c r="JX7" s="227"/>
      <c r="JY7" s="227"/>
      <c r="JZ7" s="228"/>
      <c r="KA7" s="228"/>
      <c r="KB7" s="229"/>
      <c r="KC7" s="95"/>
      <c r="KG7" s="666"/>
      <c r="KJ7" s="226"/>
      <c r="KK7" s="227"/>
      <c r="KL7" s="227"/>
      <c r="KM7" s="227"/>
      <c r="KN7" s="228"/>
      <c r="KO7" s="228"/>
      <c r="KP7" s="229"/>
      <c r="KQ7" s="95"/>
      <c r="KU7" s="666"/>
      <c r="KX7" s="226"/>
      <c r="KY7" s="227"/>
      <c r="KZ7" s="227"/>
      <c r="LA7" s="227"/>
      <c r="LB7" s="228"/>
      <c r="LC7" s="228"/>
      <c r="LD7" s="229"/>
      <c r="LE7" s="95"/>
      <c r="LI7" s="666"/>
      <c r="LL7" s="226"/>
      <c r="LM7" s="227"/>
      <c r="LN7" s="227"/>
      <c r="LO7" s="227"/>
      <c r="LP7" s="228"/>
      <c r="LQ7" s="228"/>
      <c r="LR7" s="229"/>
      <c r="LS7" s="95"/>
      <c r="LW7" s="666"/>
      <c r="LZ7" s="226"/>
      <c r="MA7" s="227"/>
      <c r="MB7" s="227"/>
      <c r="MC7" s="227"/>
      <c r="MD7" s="228"/>
      <c r="ME7" s="228"/>
      <c r="MF7" s="229"/>
      <c r="MG7" s="95"/>
      <c r="MK7" s="666"/>
      <c r="MN7" s="226"/>
      <c r="MO7" s="227"/>
      <c r="MP7" s="227"/>
      <c r="MQ7" s="227"/>
      <c r="MR7" s="228"/>
      <c r="MS7" s="228"/>
      <c r="MT7" s="229"/>
      <c r="MU7" s="95"/>
      <c r="MY7" s="666"/>
      <c r="NB7" s="226"/>
      <c r="NC7" s="227"/>
      <c r="ND7" s="227"/>
      <c r="NE7" s="227"/>
      <c r="NF7" s="228"/>
      <c r="NG7" s="228"/>
      <c r="NH7" s="229"/>
      <c r="NI7" s="95"/>
      <c r="NM7" s="666"/>
      <c r="NP7" s="226"/>
      <c r="NQ7" s="227"/>
      <c r="NR7" s="227"/>
      <c r="NS7" s="227"/>
      <c r="NT7" s="228"/>
      <c r="NU7" s="228"/>
      <c r="NV7" s="229"/>
      <c r="NW7" s="95"/>
      <c r="OA7" s="666"/>
      <c r="OD7" s="226"/>
      <c r="OE7" s="227"/>
      <c r="OF7" s="227"/>
      <c r="OG7" s="227"/>
      <c r="OH7" s="228"/>
      <c r="OI7" s="228"/>
      <c r="OJ7" s="229"/>
      <c r="OK7" s="95"/>
      <c r="OO7" s="666"/>
      <c r="OR7" s="226"/>
      <c r="OS7" s="227"/>
      <c r="OT7" s="227"/>
      <c r="OU7" s="227"/>
      <c r="OV7" s="228"/>
      <c r="OW7" s="228"/>
      <c r="OX7" s="229"/>
      <c r="OY7" s="95"/>
      <c r="PC7" s="666"/>
      <c r="PF7" s="226"/>
      <c r="PG7" s="227"/>
      <c r="PH7" s="227"/>
      <c r="PI7" s="227"/>
      <c r="PJ7" s="228"/>
      <c r="PK7" s="228"/>
      <c r="PL7" s="229"/>
      <c r="PM7" s="95"/>
      <c r="PQ7" s="666"/>
      <c r="PT7" s="226"/>
      <c r="PU7" s="227"/>
      <c r="PV7" s="227"/>
      <c r="PW7" s="227"/>
      <c r="PX7" s="228"/>
      <c r="PY7" s="228"/>
      <c r="PZ7" s="229"/>
      <c r="QA7" s="95"/>
      <c r="QE7" s="666"/>
      <c r="QH7" s="226"/>
      <c r="QI7" s="227"/>
      <c r="QJ7" s="227"/>
      <c r="QK7" s="227"/>
      <c r="QL7" s="228"/>
      <c r="QM7" s="228"/>
      <c r="QN7" s="229"/>
      <c r="QO7" s="95"/>
      <c r="QS7" s="666"/>
      <c r="QV7" s="226"/>
      <c r="QW7" s="227"/>
      <c r="QX7" s="227"/>
      <c r="QY7" s="227"/>
      <c r="QZ7" s="228"/>
      <c r="RA7" s="228"/>
      <c r="RB7" s="229"/>
      <c r="RC7" s="95"/>
      <c r="RG7" s="666"/>
      <c r="RJ7" s="226"/>
      <c r="RK7" s="227"/>
      <c r="RL7" s="227"/>
      <c r="RM7" s="227"/>
      <c r="RN7" s="228"/>
      <c r="RO7" s="228"/>
      <c r="RP7" s="229"/>
      <c r="RQ7" s="95"/>
      <c r="RU7" s="666"/>
      <c r="RX7" s="226"/>
      <c r="RY7" s="227"/>
      <c r="RZ7" s="227"/>
      <c r="SA7" s="227"/>
      <c r="SB7" s="228"/>
      <c r="SC7" s="228"/>
      <c r="SD7" s="229"/>
      <c r="SE7" s="95"/>
      <c r="SI7" s="666"/>
      <c r="SL7" s="226"/>
      <c r="SM7" s="227"/>
      <c r="SN7" s="227"/>
      <c r="SO7" s="227"/>
      <c r="SP7" s="228"/>
      <c r="SQ7" s="228"/>
      <c r="SR7" s="229"/>
      <c r="SS7" s="95"/>
      <c r="SW7" s="666"/>
      <c r="SZ7" s="226"/>
      <c r="TA7" s="227"/>
      <c r="TB7" s="227"/>
      <c r="TC7" s="227"/>
      <c r="TD7" s="228"/>
      <c r="TE7" s="228"/>
      <c r="TF7" s="229"/>
      <c r="TG7" s="95"/>
      <c r="TK7" s="666"/>
    </row>
    <row r="8" spans="1:534" ht="4.5" customHeight="1" thickBot="1">
      <c r="B8" s="98"/>
      <c r="C8" s="98"/>
      <c r="I8" s="95"/>
      <c r="P8" s="98"/>
      <c r="Q8" s="98"/>
      <c r="W8" s="95"/>
      <c r="AD8" s="98"/>
      <c r="AE8" s="98"/>
      <c r="AK8" s="95"/>
      <c r="AR8" s="98"/>
      <c r="AS8" s="98"/>
      <c r="AY8" s="95"/>
      <c r="BF8" s="98"/>
      <c r="BG8" s="98"/>
      <c r="BM8" s="95"/>
      <c r="BT8" s="98"/>
      <c r="BU8" s="98"/>
      <c r="CA8" s="95"/>
      <c r="CH8" s="98"/>
      <c r="CI8" s="98"/>
      <c r="CO8" s="95"/>
      <c r="CV8" s="98"/>
      <c r="CW8" s="98"/>
      <c r="DC8" s="95"/>
      <c r="DJ8" s="98"/>
      <c r="DK8" s="98"/>
      <c r="DQ8" s="95"/>
      <c r="DX8" s="98"/>
      <c r="DY8" s="98"/>
      <c r="EE8" s="95"/>
      <c r="EL8" s="98"/>
      <c r="EM8" s="98"/>
      <c r="ES8" s="95"/>
      <c r="EZ8" s="98"/>
      <c r="FA8" s="98"/>
      <c r="FG8" s="95"/>
      <c r="FN8" s="98"/>
      <c r="FO8" s="98"/>
      <c r="FU8" s="95"/>
      <c r="GB8" s="98"/>
      <c r="GC8" s="98"/>
      <c r="GI8" s="95"/>
      <c r="GP8" s="98"/>
      <c r="GQ8" s="98"/>
      <c r="GW8" s="95"/>
      <c r="HD8" s="98"/>
      <c r="HE8" s="98"/>
      <c r="HK8" s="95"/>
      <c r="HR8" s="98"/>
      <c r="HS8" s="98"/>
      <c r="HY8" s="95"/>
      <c r="IF8" s="98"/>
      <c r="IG8" s="98"/>
      <c r="IM8" s="95"/>
      <c r="IT8" s="98"/>
      <c r="IU8" s="98"/>
      <c r="JA8" s="95"/>
      <c r="JH8" s="98"/>
      <c r="JI8" s="98"/>
      <c r="JO8" s="95"/>
      <c r="JV8" s="98"/>
      <c r="JW8" s="98"/>
      <c r="KC8" s="95"/>
      <c r="KJ8" s="98"/>
      <c r="KK8" s="98"/>
      <c r="KQ8" s="95"/>
      <c r="KX8" s="98"/>
      <c r="KY8" s="98"/>
      <c r="LE8" s="95"/>
      <c r="LL8" s="98"/>
      <c r="LM8" s="98"/>
      <c r="LS8" s="95"/>
      <c r="LZ8" s="98"/>
      <c r="MA8" s="98"/>
      <c r="MG8" s="95"/>
      <c r="MN8" s="98"/>
      <c r="MO8" s="98"/>
      <c r="MU8" s="95"/>
      <c r="NB8" s="98"/>
      <c r="NC8" s="98"/>
      <c r="NI8" s="95"/>
      <c r="NP8" s="98"/>
      <c r="NQ8" s="98"/>
      <c r="NW8" s="95"/>
      <c r="OD8" s="98"/>
      <c r="OE8" s="98"/>
      <c r="OK8" s="95"/>
      <c r="OR8" s="98"/>
      <c r="OS8" s="98"/>
      <c r="OY8" s="95"/>
      <c r="PF8" s="98"/>
      <c r="PG8" s="98"/>
      <c r="PM8" s="95"/>
      <c r="PT8" s="98"/>
      <c r="PU8" s="98"/>
      <c r="QA8" s="95"/>
      <c r="QH8" s="98"/>
      <c r="QI8" s="98"/>
      <c r="QO8" s="95"/>
      <c r="QV8" s="98"/>
      <c r="QW8" s="98"/>
      <c r="RC8" s="95"/>
      <c r="RJ8" s="98"/>
      <c r="RK8" s="98"/>
      <c r="RQ8" s="95"/>
      <c r="RX8" s="98"/>
      <c r="RY8" s="98"/>
      <c r="SE8" s="95"/>
      <c r="SL8" s="98"/>
      <c r="SM8" s="98"/>
      <c r="SS8" s="95"/>
      <c r="SZ8" s="98"/>
      <c r="TA8" s="98"/>
      <c r="TG8" s="95"/>
      <c r="TM8" s="109"/>
    </row>
    <row r="9" spans="1:534" ht="21.75" customHeight="1" thickBot="1">
      <c r="B9" s="1149" t="s">
        <v>1204</v>
      </c>
      <c r="C9" s="1150"/>
      <c r="D9" s="1150"/>
      <c r="E9" s="1150"/>
      <c r="F9" s="1150"/>
      <c r="G9" s="1150"/>
      <c r="H9" s="1151"/>
      <c r="I9" s="95"/>
      <c r="P9" s="1149"/>
      <c r="Q9" s="1150"/>
      <c r="R9" s="1150"/>
      <c r="S9" s="1150"/>
      <c r="T9" s="1150"/>
      <c r="U9" s="1150"/>
      <c r="V9" s="1151"/>
      <c r="W9" s="95"/>
      <c r="AD9" s="1149"/>
      <c r="AE9" s="1150"/>
      <c r="AF9" s="1150"/>
      <c r="AG9" s="1150"/>
      <c r="AH9" s="1150"/>
      <c r="AI9" s="1150"/>
      <c r="AJ9" s="1151"/>
      <c r="AK9" s="95"/>
      <c r="AR9" s="1149" t="s">
        <v>1204</v>
      </c>
      <c r="AS9" s="1150"/>
      <c r="AT9" s="1150"/>
      <c r="AU9" s="1150"/>
      <c r="AV9" s="1150"/>
      <c r="AW9" s="1150"/>
      <c r="AX9" s="1151"/>
      <c r="AY9" s="95"/>
      <c r="BF9" s="1149" t="s">
        <v>1204</v>
      </c>
      <c r="BG9" s="1150"/>
      <c r="BH9" s="1150"/>
      <c r="BI9" s="1150"/>
      <c r="BJ9" s="1150"/>
      <c r="BK9" s="1150"/>
      <c r="BL9" s="1151"/>
      <c r="BM9" s="95"/>
      <c r="BT9" s="1149" t="s">
        <v>1204</v>
      </c>
      <c r="BU9" s="1150"/>
      <c r="BV9" s="1150"/>
      <c r="BW9" s="1150"/>
      <c r="BX9" s="1150"/>
      <c r="BY9" s="1150"/>
      <c r="BZ9" s="1151"/>
      <c r="CA9" s="95"/>
      <c r="CH9" s="1149" t="s">
        <v>1204</v>
      </c>
      <c r="CI9" s="1150"/>
      <c r="CJ9" s="1150"/>
      <c r="CK9" s="1150"/>
      <c r="CL9" s="1150"/>
      <c r="CM9" s="1150"/>
      <c r="CN9" s="1151"/>
      <c r="CO9" s="95"/>
      <c r="CV9" s="1149" t="s">
        <v>1204</v>
      </c>
      <c r="CW9" s="1150"/>
      <c r="CX9" s="1150"/>
      <c r="CY9" s="1150"/>
      <c r="CZ9" s="1150"/>
      <c r="DA9" s="1150"/>
      <c r="DB9" s="1151"/>
      <c r="DC9" s="95"/>
      <c r="DJ9" s="1149" t="s">
        <v>1204</v>
      </c>
      <c r="DK9" s="1150"/>
      <c r="DL9" s="1150"/>
      <c r="DM9" s="1150"/>
      <c r="DN9" s="1150"/>
      <c r="DO9" s="1150"/>
      <c r="DP9" s="1151"/>
      <c r="DQ9" s="95"/>
      <c r="DX9" s="1149" t="s">
        <v>1204</v>
      </c>
      <c r="DY9" s="1150"/>
      <c r="DZ9" s="1150"/>
      <c r="EA9" s="1150"/>
      <c r="EB9" s="1150"/>
      <c r="EC9" s="1150"/>
      <c r="ED9" s="1151"/>
      <c r="EE9" s="95"/>
      <c r="EL9" s="1149" t="s">
        <v>1204</v>
      </c>
      <c r="EM9" s="1150"/>
      <c r="EN9" s="1150"/>
      <c r="EO9" s="1150"/>
      <c r="EP9" s="1150"/>
      <c r="EQ9" s="1150"/>
      <c r="ER9" s="1151"/>
      <c r="ES9" s="95"/>
      <c r="EZ9" s="1149" t="s">
        <v>1204</v>
      </c>
      <c r="FA9" s="1150"/>
      <c r="FB9" s="1150"/>
      <c r="FC9" s="1150"/>
      <c r="FD9" s="1150"/>
      <c r="FE9" s="1150"/>
      <c r="FF9" s="1151"/>
      <c r="FG9" s="95"/>
      <c r="FN9" s="1149" t="s">
        <v>1204</v>
      </c>
      <c r="FO9" s="1150"/>
      <c r="FP9" s="1150"/>
      <c r="FQ9" s="1150"/>
      <c r="FR9" s="1150"/>
      <c r="FS9" s="1150"/>
      <c r="FT9" s="1151"/>
      <c r="FU9" s="95"/>
      <c r="GB9" s="1149" t="s">
        <v>1204</v>
      </c>
      <c r="GC9" s="1150"/>
      <c r="GD9" s="1150"/>
      <c r="GE9" s="1150"/>
      <c r="GF9" s="1150"/>
      <c r="GG9" s="1150"/>
      <c r="GH9" s="1151"/>
      <c r="GI9" s="95"/>
      <c r="GP9" s="1149" t="s">
        <v>1204</v>
      </c>
      <c r="GQ9" s="1150"/>
      <c r="GR9" s="1150"/>
      <c r="GS9" s="1150"/>
      <c r="GT9" s="1150"/>
      <c r="GU9" s="1150"/>
      <c r="GV9" s="1151"/>
      <c r="GW9" s="95"/>
      <c r="HD9" s="1149" t="s">
        <v>1204</v>
      </c>
      <c r="HE9" s="1150"/>
      <c r="HF9" s="1150"/>
      <c r="HG9" s="1150"/>
      <c r="HH9" s="1150"/>
      <c r="HI9" s="1150"/>
      <c r="HJ9" s="1151"/>
      <c r="HK9" s="95"/>
      <c r="HR9" s="1149" t="s">
        <v>1204</v>
      </c>
      <c r="HS9" s="1150"/>
      <c r="HT9" s="1150"/>
      <c r="HU9" s="1150"/>
      <c r="HV9" s="1150"/>
      <c r="HW9" s="1150"/>
      <c r="HX9" s="1151"/>
      <c r="HY9" s="95"/>
      <c r="IF9" s="1149"/>
      <c r="IG9" s="1150"/>
      <c r="IH9" s="1150"/>
      <c r="II9" s="1150"/>
      <c r="IJ9" s="1150"/>
      <c r="IK9" s="1150"/>
      <c r="IL9" s="1151"/>
      <c r="IM9" s="95"/>
      <c r="IT9" s="1149"/>
      <c r="IU9" s="1150"/>
      <c r="IV9" s="1150"/>
      <c r="IW9" s="1150"/>
      <c r="IX9" s="1150"/>
      <c r="IY9" s="1150"/>
      <c r="IZ9" s="1151"/>
      <c r="JA9" s="95"/>
      <c r="JH9" s="1149" t="s">
        <v>1204</v>
      </c>
      <c r="JI9" s="1150"/>
      <c r="JJ9" s="1150"/>
      <c r="JK9" s="1150"/>
      <c r="JL9" s="1150"/>
      <c r="JM9" s="1150"/>
      <c r="JN9" s="1151"/>
      <c r="JO9" s="95"/>
      <c r="JV9" s="1149" t="s">
        <v>1204</v>
      </c>
      <c r="JW9" s="1150"/>
      <c r="JX9" s="1150"/>
      <c r="JY9" s="1150"/>
      <c r="JZ9" s="1150"/>
      <c r="KA9" s="1150"/>
      <c r="KB9" s="1151"/>
      <c r="KC9" s="95"/>
      <c r="KJ9" s="1149" t="s">
        <v>1204</v>
      </c>
      <c r="KK9" s="1150"/>
      <c r="KL9" s="1150"/>
      <c r="KM9" s="1150"/>
      <c r="KN9" s="1150"/>
      <c r="KO9" s="1150"/>
      <c r="KP9" s="1151"/>
      <c r="KQ9" s="95"/>
      <c r="KX9" s="1149" t="s">
        <v>1204</v>
      </c>
      <c r="KY9" s="1150"/>
      <c r="KZ9" s="1150"/>
      <c r="LA9" s="1150"/>
      <c r="LB9" s="1150"/>
      <c r="LC9" s="1150"/>
      <c r="LD9" s="1151"/>
      <c r="LE9" s="95"/>
      <c r="LL9" s="1149" t="s">
        <v>1204</v>
      </c>
      <c r="LM9" s="1150"/>
      <c r="LN9" s="1150"/>
      <c r="LO9" s="1150"/>
      <c r="LP9" s="1150"/>
      <c r="LQ9" s="1150"/>
      <c r="LR9" s="1151"/>
      <c r="LS9" s="95"/>
      <c r="LZ9" s="1149" t="s">
        <v>1204</v>
      </c>
      <c r="MA9" s="1150"/>
      <c r="MB9" s="1150"/>
      <c r="MC9" s="1150"/>
      <c r="MD9" s="1150"/>
      <c r="ME9" s="1150"/>
      <c r="MF9" s="1151"/>
      <c r="MG9" s="95"/>
      <c r="MN9" s="1149" t="s">
        <v>1204</v>
      </c>
      <c r="MO9" s="1150"/>
      <c r="MP9" s="1150"/>
      <c r="MQ9" s="1150"/>
      <c r="MR9" s="1150"/>
      <c r="MS9" s="1150"/>
      <c r="MT9" s="1151"/>
      <c r="MU9" s="95"/>
      <c r="NB9" s="1149" t="s">
        <v>1204</v>
      </c>
      <c r="NC9" s="1150"/>
      <c r="ND9" s="1150"/>
      <c r="NE9" s="1150"/>
      <c r="NF9" s="1150"/>
      <c r="NG9" s="1150"/>
      <c r="NH9" s="1151"/>
      <c r="NI9" s="95"/>
      <c r="NP9" s="1149" t="s">
        <v>1204</v>
      </c>
      <c r="NQ9" s="1150"/>
      <c r="NR9" s="1150"/>
      <c r="NS9" s="1150"/>
      <c r="NT9" s="1150"/>
      <c r="NU9" s="1150"/>
      <c r="NV9" s="1151"/>
      <c r="NW9" s="95"/>
      <c r="OD9" s="1149" t="s">
        <v>1204</v>
      </c>
      <c r="OE9" s="1150"/>
      <c r="OF9" s="1150"/>
      <c r="OG9" s="1150"/>
      <c r="OH9" s="1150"/>
      <c r="OI9" s="1150"/>
      <c r="OJ9" s="1151"/>
      <c r="OK9" s="95"/>
      <c r="OR9" s="1149" t="s">
        <v>1204</v>
      </c>
      <c r="OS9" s="1150"/>
      <c r="OT9" s="1150"/>
      <c r="OU9" s="1150"/>
      <c r="OV9" s="1150"/>
      <c r="OW9" s="1150"/>
      <c r="OX9" s="1151"/>
      <c r="OY9" s="95"/>
      <c r="PF9" s="1149" t="s">
        <v>1204</v>
      </c>
      <c r="PG9" s="1150"/>
      <c r="PH9" s="1150"/>
      <c r="PI9" s="1150"/>
      <c r="PJ9" s="1150"/>
      <c r="PK9" s="1150"/>
      <c r="PL9" s="1151"/>
      <c r="PM9" s="95"/>
      <c r="PT9" s="1149" t="s">
        <v>1204</v>
      </c>
      <c r="PU9" s="1150"/>
      <c r="PV9" s="1150"/>
      <c r="PW9" s="1150"/>
      <c r="PX9" s="1150"/>
      <c r="PY9" s="1150"/>
      <c r="PZ9" s="1151"/>
      <c r="QA9" s="95"/>
      <c r="QH9" s="1149" t="s">
        <v>1204</v>
      </c>
      <c r="QI9" s="1150"/>
      <c r="QJ9" s="1150"/>
      <c r="QK9" s="1150"/>
      <c r="QL9" s="1150"/>
      <c r="QM9" s="1150"/>
      <c r="QN9" s="1151"/>
      <c r="QO9" s="95"/>
      <c r="QV9" s="1149" t="s">
        <v>1204</v>
      </c>
      <c r="QW9" s="1150"/>
      <c r="QX9" s="1150"/>
      <c r="QY9" s="1150"/>
      <c r="QZ9" s="1150"/>
      <c r="RA9" s="1150"/>
      <c r="RB9" s="1151"/>
      <c r="RC9" s="95"/>
      <c r="RJ9" s="1149" t="s">
        <v>1204</v>
      </c>
      <c r="RK9" s="1150"/>
      <c r="RL9" s="1150"/>
      <c r="RM9" s="1150"/>
      <c r="RN9" s="1150"/>
      <c r="RO9" s="1150"/>
      <c r="RP9" s="1151"/>
      <c r="RQ9" s="95"/>
      <c r="RX9" s="1149" t="s">
        <v>1204</v>
      </c>
      <c r="RY9" s="1150"/>
      <c r="RZ9" s="1150"/>
      <c r="SA9" s="1150"/>
      <c r="SB9" s="1150"/>
      <c r="SC9" s="1150"/>
      <c r="SD9" s="1151"/>
      <c r="SE9" s="95"/>
      <c r="SL9" s="1149" t="s">
        <v>1204</v>
      </c>
      <c r="SM9" s="1150"/>
      <c r="SN9" s="1150"/>
      <c r="SO9" s="1150"/>
      <c r="SP9" s="1150"/>
      <c r="SQ9" s="1150"/>
      <c r="SR9" s="1151"/>
      <c r="SS9" s="95"/>
      <c r="SZ9" s="1149" t="s">
        <v>1204</v>
      </c>
      <c r="TA9" s="1150"/>
      <c r="TB9" s="1150"/>
      <c r="TC9" s="1150"/>
      <c r="TD9" s="1150"/>
      <c r="TE9" s="1150"/>
      <c r="TF9" s="1151"/>
      <c r="TG9" s="95"/>
      <c r="TM9" s="109"/>
    </row>
    <row r="10" spans="1:534" ht="11.25" customHeight="1" thickBot="1">
      <c r="I10" s="95"/>
      <c r="W10" s="95"/>
      <c r="AK10" s="95"/>
      <c r="AY10" s="95"/>
      <c r="BM10" s="95"/>
      <c r="CA10" s="95"/>
      <c r="CO10" s="95"/>
      <c r="DC10" s="95"/>
      <c r="DQ10" s="95"/>
      <c r="EE10" s="95"/>
      <c r="ES10" s="95"/>
      <c r="FG10" s="95"/>
      <c r="FU10" s="95"/>
      <c r="GI10" s="95"/>
      <c r="GW10" s="95"/>
      <c r="HK10" s="95"/>
      <c r="HY10" s="95"/>
      <c r="IM10" s="95"/>
      <c r="JA10" s="95"/>
      <c r="JO10" s="95"/>
      <c r="KC10" s="95"/>
      <c r="KQ10" s="95"/>
      <c r="LE10" s="95"/>
      <c r="LS10" s="95"/>
      <c r="MG10" s="95"/>
      <c r="MU10" s="95"/>
      <c r="NI10" s="95"/>
      <c r="NW10" s="95"/>
      <c r="OK10" s="95"/>
      <c r="OY10" s="95"/>
      <c r="PM10" s="95"/>
      <c r="QA10" s="95"/>
      <c r="QO10" s="95"/>
      <c r="RC10" s="95"/>
      <c r="RQ10" s="95"/>
      <c r="SE10" s="95"/>
      <c r="SS10" s="95"/>
      <c r="TG10" s="95"/>
      <c r="TM10" s="937"/>
      <c r="TN10" s="725"/>
    </row>
    <row r="11" spans="1:534" ht="16.5" customHeight="1" thickBot="1">
      <c r="B11" s="1152" t="s">
        <v>1628</v>
      </c>
      <c r="C11" s="1153"/>
      <c r="D11" s="1154"/>
      <c r="E11" s="277">
        <f>+'Parametros Generales'!$C$6</f>
        <v>6.5</v>
      </c>
      <c r="P11" s="1152"/>
      <c r="Q11" s="1153"/>
      <c r="R11" s="1154"/>
      <c r="S11" s="277"/>
      <c r="AD11" s="1152"/>
      <c r="AE11" s="1153"/>
      <c r="AF11" s="1154"/>
      <c r="AG11" s="277"/>
      <c r="AR11" s="1152" t="s">
        <v>1628</v>
      </c>
      <c r="AS11" s="1153"/>
      <c r="AT11" s="1154"/>
      <c r="AU11" s="277">
        <f>+'Parametros Generales'!$C$6</f>
        <v>6.5</v>
      </c>
      <c r="BF11" s="1152" t="s">
        <v>1628</v>
      </c>
      <c r="BG11" s="1153"/>
      <c r="BH11" s="1154"/>
      <c r="BI11" s="277">
        <f>+'Parametros Generales'!$C$6</f>
        <v>6.5</v>
      </c>
      <c r="BT11" s="1152" t="s">
        <v>1628</v>
      </c>
      <c r="BU11" s="1153"/>
      <c r="BV11" s="1154"/>
      <c r="BW11" s="277">
        <f>+'Parametros Generales'!$C$6</f>
        <v>6.5</v>
      </c>
      <c r="CH11" s="1152" t="s">
        <v>1628</v>
      </c>
      <c r="CI11" s="1153"/>
      <c r="CJ11" s="1154"/>
      <c r="CK11" s="277">
        <f>+'Parametros Generales'!$C$6</f>
        <v>6.5</v>
      </c>
      <c r="CV11" s="1152" t="s">
        <v>1628</v>
      </c>
      <c r="CW11" s="1153"/>
      <c r="CX11" s="1154"/>
      <c r="CY11" s="277">
        <f>+'Parametros Generales'!$C$6</f>
        <v>6.5</v>
      </c>
      <c r="DJ11" s="1152" t="s">
        <v>1628</v>
      </c>
      <c r="DK11" s="1153"/>
      <c r="DL11" s="1154"/>
      <c r="DM11" s="277">
        <f>+'Parametros Generales'!$C$6</f>
        <v>6.5</v>
      </c>
      <c r="DX11" s="1152" t="s">
        <v>1628</v>
      </c>
      <c r="DY11" s="1153"/>
      <c r="DZ11" s="1154"/>
      <c r="EA11" s="277">
        <f>+'Parametros Generales'!$C$6</f>
        <v>6.5</v>
      </c>
      <c r="EL11" s="1152" t="s">
        <v>1628</v>
      </c>
      <c r="EM11" s="1153"/>
      <c r="EN11" s="1154"/>
      <c r="EO11" s="277">
        <f>+'Parametros Generales'!$C$6</f>
        <v>6.5</v>
      </c>
      <c r="EZ11" s="1152" t="s">
        <v>1628</v>
      </c>
      <c r="FA11" s="1153"/>
      <c r="FB11" s="1154"/>
      <c r="FC11" s="277">
        <f>+'Parametros Generales'!$C$6</f>
        <v>6.5</v>
      </c>
      <c r="FN11" s="1152" t="s">
        <v>1628</v>
      </c>
      <c r="FO11" s="1153"/>
      <c r="FP11" s="1154"/>
      <c r="FQ11" s="277">
        <f>+'Parametros Generales'!$C$6</f>
        <v>6.5</v>
      </c>
      <c r="GB11" s="1152" t="s">
        <v>1628</v>
      </c>
      <c r="GC11" s="1153"/>
      <c r="GD11" s="1154"/>
      <c r="GE11" s="277">
        <f>+'Parametros Generales'!$C$6</f>
        <v>6.5</v>
      </c>
      <c r="GP11" s="1152" t="s">
        <v>1628</v>
      </c>
      <c r="GQ11" s="1153"/>
      <c r="GR11" s="1154"/>
      <c r="GS11" s="277">
        <f>+'Parametros Generales'!$C$6</f>
        <v>6.5</v>
      </c>
      <c r="HD11" s="1152" t="s">
        <v>1628</v>
      </c>
      <c r="HE11" s="1153"/>
      <c r="HF11" s="1154"/>
      <c r="HG11" s="277">
        <f>+'Parametros Generales'!$C$6</f>
        <v>6.5</v>
      </c>
      <c r="HR11" s="1152" t="s">
        <v>1628</v>
      </c>
      <c r="HS11" s="1153"/>
      <c r="HT11" s="1154"/>
      <c r="HU11" s="277">
        <f>+'Parametros Generales'!$C$6</f>
        <v>6.5</v>
      </c>
      <c r="IF11" s="1152"/>
      <c r="IG11" s="1153"/>
      <c r="IH11" s="1154"/>
      <c r="II11" s="277"/>
      <c r="IT11" s="1152"/>
      <c r="IU11" s="1153"/>
      <c r="IV11" s="1154"/>
      <c r="IW11" s="277"/>
      <c r="JH11" s="1152" t="s">
        <v>1628</v>
      </c>
      <c r="JI11" s="1153"/>
      <c r="JJ11" s="1154"/>
      <c r="JK11" s="277">
        <f>+'Parametros Generales'!$C$6</f>
        <v>6.5</v>
      </c>
      <c r="JV11" s="1152" t="s">
        <v>1628</v>
      </c>
      <c r="JW11" s="1153"/>
      <c r="JX11" s="1154"/>
      <c r="JY11" s="277">
        <f>+'Parametros Generales'!$C$6</f>
        <v>6.5</v>
      </c>
      <c r="KJ11" s="1152" t="s">
        <v>1628</v>
      </c>
      <c r="KK11" s="1153"/>
      <c r="KL11" s="1154"/>
      <c r="KM11" s="277">
        <f>+'Parametros Generales'!$C$6</f>
        <v>6.5</v>
      </c>
      <c r="KX11" s="1152" t="s">
        <v>1628</v>
      </c>
      <c r="KY11" s="1153"/>
      <c r="KZ11" s="1154"/>
      <c r="LA11" s="277">
        <f>+'Parametros Generales'!$C$6</f>
        <v>6.5</v>
      </c>
      <c r="LL11" s="1152" t="s">
        <v>1628</v>
      </c>
      <c r="LM11" s="1153"/>
      <c r="LN11" s="1154"/>
      <c r="LO11" s="277">
        <f>+'Parametros Generales'!$C$6</f>
        <v>6.5</v>
      </c>
      <c r="LZ11" s="1152" t="s">
        <v>1628</v>
      </c>
      <c r="MA11" s="1153"/>
      <c r="MB11" s="1154"/>
      <c r="MC11" s="277">
        <f>+'Parametros Generales'!$C$6</f>
        <v>6.5</v>
      </c>
      <c r="MN11" s="1152" t="s">
        <v>1628</v>
      </c>
      <c r="MO11" s="1153"/>
      <c r="MP11" s="1154"/>
      <c r="MQ11" s="277">
        <f>+'Parametros Generales'!$C$6</f>
        <v>6.5</v>
      </c>
      <c r="NB11" s="1152" t="s">
        <v>1628</v>
      </c>
      <c r="NC11" s="1153"/>
      <c r="ND11" s="1154"/>
      <c r="NE11" s="277">
        <f>+'Parametros Generales'!$C$6</f>
        <v>6.5</v>
      </c>
      <c r="NP11" s="1152" t="s">
        <v>1628</v>
      </c>
      <c r="NQ11" s="1153"/>
      <c r="NR11" s="1154"/>
      <c r="NS11" s="277">
        <f>+'Parametros Generales'!$C$6</f>
        <v>6.5</v>
      </c>
      <c r="OD11" s="1152" t="s">
        <v>1628</v>
      </c>
      <c r="OE11" s="1153"/>
      <c r="OF11" s="1154"/>
      <c r="OG11" s="277">
        <f>+'Parametros Generales'!$C$6</f>
        <v>6.5</v>
      </c>
      <c r="OR11" s="1152" t="s">
        <v>1628</v>
      </c>
      <c r="OS11" s="1153"/>
      <c r="OT11" s="1154"/>
      <c r="OU11" s="277">
        <f>+'Parametros Generales'!$C$6</f>
        <v>6.5</v>
      </c>
      <c r="PF11" s="1152" t="s">
        <v>1628</v>
      </c>
      <c r="PG11" s="1153"/>
      <c r="PH11" s="1154"/>
      <c r="PI11" s="277">
        <f>+'Parametros Generales'!$C$6</f>
        <v>6.5</v>
      </c>
      <c r="PT11" s="1152" t="s">
        <v>1628</v>
      </c>
      <c r="PU11" s="1153"/>
      <c r="PV11" s="1154"/>
      <c r="PW11" s="277">
        <f>+'Parametros Generales'!$C$6</f>
        <v>6.5</v>
      </c>
      <c r="QH11" s="1152" t="s">
        <v>1628</v>
      </c>
      <c r="QI11" s="1153"/>
      <c r="QJ11" s="1154"/>
      <c r="QK11" s="277">
        <f>+'Parametros Generales'!$C$6</f>
        <v>6.5</v>
      </c>
      <c r="QV11" s="1152" t="s">
        <v>1628</v>
      </c>
      <c r="QW11" s="1153"/>
      <c r="QX11" s="1154"/>
      <c r="QY11" s="277">
        <f>+'Parametros Generales'!$C$6</f>
        <v>6.5</v>
      </c>
      <c r="RJ11" s="1152" t="s">
        <v>1628</v>
      </c>
      <c r="RK11" s="1153"/>
      <c r="RL11" s="1154"/>
      <c r="RM11" s="277">
        <f>+'Parametros Generales'!$C$6</f>
        <v>6.5</v>
      </c>
      <c r="RX11" s="1152" t="s">
        <v>1628</v>
      </c>
      <c r="RY11" s="1153"/>
      <c r="RZ11" s="1154"/>
      <c r="SA11" s="277">
        <f>+'Parametros Generales'!$C$6</f>
        <v>6.5</v>
      </c>
      <c r="SL11" s="1152" t="s">
        <v>1628</v>
      </c>
      <c r="SM11" s="1153"/>
      <c r="SN11" s="1154"/>
      <c r="SO11" s="277">
        <f>+'Parametros Generales'!$C$6</f>
        <v>6.5</v>
      </c>
      <c r="SZ11" s="1152" t="s">
        <v>1628</v>
      </c>
      <c r="TA11" s="1153"/>
      <c r="TB11" s="1154"/>
      <c r="TC11" s="277">
        <f>+'Parametros Generales'!$C$6</f>
        <v>6.5</v>
      </c>
      <c r="TM11" s="937"/>
      <c r="TN11" s="725"/>
    </row>
    <row r="12" spans="1:534" ht="10.5" customHeight="1">
      <c r="TM12" s="937"/>
      <c r="TN12" s="725"/>
    </row>
    <row r="13" spans="1:534" ht="21" customHeight="1">
      <c r="B13" s="669">
        <v>1</v>
      </c>
      <c r="C13" s="669" t="str">
        <f>+VLOOKUP(B13,'Cost x Depart'!$A$2:$AL$72,3,0)</f>
        <v>ANTIOQUIA</v>
      </c>
      <c r="P13" s="669"/>
      <c r="Q13" s="669"/>
      <c r="AD13" s="669"/>
      <c r="AE13" s="669"/>
      <c r="AR13" s="669">
        <f>+B13+1+1</f>
        <v>3</v>
      </c>
      <c r="AS13" s="669" t="str">
        <f>+VLOOKUP(AR13,'Cost x Depart'!$A$2:$AL$72,3,0)</f>
        <v>ATLÁNTICO</v>
      </c>
      <c r="BF13" s="669">
        <f>+AR13+1</f>
        <v>4</v>
      </c>
      <c r="BG13" s="669" t="str">
        <f>+VLOOKUP(BF13,'Cost x Depart'!$A$2:$AL$72,3,0)</f>
        <v>BOLÍVAR</v>
      </c>
      <c r="BT13" s="669">
        <f t="shared" ref="BT13" si="0">+BF13+1</f>
        <v>5</v>
      </c>
      <c r="BU13" s="669" t="str">
        <f>+VLOOKUP(BT13,'Cost x Depart'!$A$2:$AL$72,3,0)</f>
        <v>BOYACÁ</v>
      </c>
      <c r="CH13" s="669">
        <f t="shared" ref="CH13" si="1">+BT13+1</f>
        <v>6</v>
      </c>
      <c r="CI13" s="669" t="str">
        <f>+VLOOKUP(CH13,'Cost x Depart'!$A$2:$AL$72,3,0)</f>
        <v>CALDAS</v>
      </c>
      <c r="CV13" s="669">
        <f t="shared" ref="CV13" si="2">+CH13+1</f>
        <v>7</v>
      </c>
      <c r="CW13" s="669" t="str">
        <f>+VLOOKUP(CV13,'Cost x Depart'!$A$2:$AL$72,3,0)</f>
        <v>CAQUETÁ</v>
      </c>
      <c r="DJ13" s="669">
        <f t="shared" ref="DJ13" si="3">+CV13+1</f>
        <v>8</v>
      </c>
      <c r="DK13" s="669" t="str">
        <f>+VLOOKUP(DJ13,'Cost x Depart'!$A$2:$AL$72,3,0)</f>
        <v>CAUCA</v>
      </c>
      <c r="DX13" s="669">
        <f t="shared" ref="DX13" si="4">+DJ13+1</f>
        <v>9</v>
      </c>
      <c r="DY13" s="669" t="str">
        <f>+VLOOKUP(DX13,'Cost x Depart'!$A$2:$AL$72,3,0)</f>
        <v>CESAR</v>
      </c>
      <c r="EL13" s="669">
        <f t="shared" ref="EL13" si="5">+DX13+1</f>
        <v>10</v>
      </c>
      <c r="EM13" s="669" t="str">
        <f>+VLOOKUP(EL13,'Cost x Depart'!$A$2:$AL$72,3,0)</f>
        <v>CÓRDOBA</v>
      </c>
      <c r="EZ13" s="669">
        <f t="shared" ref="EZ13" si="6">+EL13+1</f>
        <v>11</v>
      </c>
      <c r="FA13" s="669" t="str">
        <f>+VLOOKUP(EZ13,'Cost x Depart'!$A$2:$AL$72,3,0)</f>
        <v>CUNDINAMARCA</v>
      </c>
      <c r="FN13" s="669">
        <f t="shared" ref="FN13" si="7">+EZ13+1</f>
        <v>12</v>
      </c>
      <c r="FO13" s="669" t="str">
        <f>+VLOOKUP(FN13,'Cost x Depart'!$A$2:$AL$72,3,0)</f>
        <v>CHOCÓ</v>
      </c>
      <c r="GB13" s="669">
        <f t="shared" ref="GB13" si="8">+FN13+1</f>
        <v>13</v>
      </c>
      <c r="GC13" s="669" t="str">
        <f>+VLOOKUP(GB13,'Cost x Depart'!$A$2:$AL$72,3,0)</f>
        <v>HUILA</v>
      </c>
      <c r="GP13" s="669">
        <f t="shared" ref="GP13" si="9">+GB13+1</f>
        <v>14</v>
      </c>
      <c r="GQ13" s="669" t="str">
        <f>+VLOOKUP(GP13,'Cost x Depart'!$A$2:$AL$72,3,0)</f>
        <v>LA GUAJIRA</v>
      </c>
      <c r="HD13" s="669">
        <f t="shared" ref="HD13" si="10">+GP13+1</f>
        <v>15</v>
      </c>
      <c r="HE13" s="669" t="str">
        <f>+VLOOKUP(HD13,'Cost x Depart'!$A$2:$AL$72,3,0)</f>
        <v>MAGDALENA</v>
      </c>
      <c r="HR13" s="669">
        <f t="shared" ref="HR13" si="11">+HD13+1</f>
        <v>16</v>
      </c>
      <c r="HS13" s="669" t="str">
        <f>+VLOOKUP(HR13,'Cost x Depart'!$A$2:$AL$72,3,0)</f>
        <v>META</v>
      </c>
      <c r="IF13" s="669"/>
      <c r="IG13" s="669"/>
      <c r="IT13" s="669"/>
      <c r="IU13" s="669"/>
      <c r="JH13" s="669">
        <f>+HR13+1+1</f>
        <v>18</v>
      </c>
      <c r="JI13" s="669" t="str">
        <f>+VLOOKUP(JH13,'Cost x Depart'!$A$2:$AL$72,3,0)</f>
        <v xml:space="preserve">NARIÑO </v>
      </c>
      <c r="JV13" s="669">
        <f>+JH13+1</f>
        <v>19</v>
      </c>
      <c r="JW13" s="669" t="str">
        <f>+VLOOKUP(JV13,'Cost x Depart'!$A$2:$AL$72,3,0)</f>
        <v>NORTE DE SANTANDER</v>
      </c>
      <c r="KJ13" s="669">
        <f t="shared" ref="KJ13" si="12">+JV13+1</f>
        <v>20</v>
      </c>
      <c r="KK13" s="669" t="str">
        <f>+VLOOKUP(KJ13,'Cost x Depart'!$A$2:$AL$72,3,0)</f>
        <v>QUINDÍO</v>
      </c>
      <c r="KX13" s="669">
        <f t="shared" ref="KX13" si="13">+KJ13+1</f>
        <v>21</v>
      </c>
      <c r="KY13" s="669" t="str">
        <f>+VLOOKUP(KX13,'Cost x Depart'!$A$2:$AL$72,3,0)</f>
        <v>RISARALDA</v>
      </c>
      <c r="LL13" s="669">
        <f t="shared" ref="LL13" si="14">+KX13+1</f>
        <v>22</v>
      </c>
      <c r="LM13" s="669" t="str">
        <f>+VLOOKUP(LL13,'Cost x Depart'!$A$2:$AL$72,3,0)</f>
        <v>SANTANDER</v>
      </c>
      <c r="LZ13" s="669">
        <f t="shared" ref="LZ13" si="15">+LL13+1</f>
        <v>23</v>
      </c>
      <c r="MA13" s="669" t="str">
        <f>+VLOOKUP(LZ13,'Cost x Depart'!$A$2:$AL$72,3,0)</f>
        <v>SUCRE</v>
      </c>
      <c r="MN13" s="669">
        <f t="shared" ref="MN13" si="16">+LZ13+1</f>
        <v>24</v>
      </c>
      <c r="MO13" s="669" t="str">
        <f>+VLOOKUP(MN13,'Cost x Depart'!$A$2:$AL$72,3,0)</f>
        <v>TOLIMA</v>
      </c>
      <c r="NB13" s="669">
        <f t="shared" ref="NB13" si="17">+MN13+1</f>
        <v>25</v>
      </c>
      <c r="NC13" s="669" t="str">
        <f>+VLOOKUP(NB13,'Cost x Depart'!$A$2:$AL$72,3,0)</f>
        <v>VALLE DEL CAUCA</v>
      </c>
      <c r="NP13" s="669">
        <f t="shared" ref="NP13" si="18">+NB13+1</f>
        <v>26</v>
      </c>
      <c r="NQ13" s="669" t="str">
        <f>+VLOOKUP(NP13,'Cost x Depart'!$A$2:$AL$72,3,0)</f>
        <v>ARAUCA</v>
      </c>
      <c r="OD13" s="669">
        <f t="shared" ref="OD13" si="19">+NP13+1</f>
        <v>27</v>
      </c>
      <c r="OE13" s="669" t="str">
        <f>+VLOOKUP(OD13,'Cost x Depart'!$A$2:$AL$72,3,0)</f>
        <v>CASANARE</v>
      </c>
      <c r="OR13" s="669">
        <f t="shared" ref="OR13" si="20">+OD13+1</f>
        <v>28</v>
      </c>
      <c r="OS13" s="669" t="str">
        <f>+VLOOKUP(OR13,'Cost x Depart'!$A$2:$AL$72,3,0)</f>
        <v>PUTUMAYO</v>
      </c>
      <c r="PF13" s="669">
        <f t="shared" ref="PF13" si="21">+OR13+1</f>
        <v>29</v>
      </c>
      <c r="PG13" s="669" t="str">
        <f>+VLOOKUP(PF13,'Cost x Depart'!$A$2:$AL$72,3,0)</f>
        <v>SAN ANDRÉS</v>
      </c>
      <c r="PT13" s="669">
        <f t="shared" ref="PT13" si="22">+PF13+1</f>
        <v>30</v>
      </c>
      <c r="PU13" s="669" t="str">
        <f>+VLOOKUP(PT13,'Cost x Depart'!$A$2:$AL$72,3,0)</f>
        <v>AMAZONAS</v>
      </c>
      <c r="QH13" s="669">
        <f t="shared" ref="QH13" si="23">+PT13+1</f>
        <v>31</v>
      </c>
      <c r="QI13" s="669" t="str">
        <f>+VLOOKUP(QH13,'Cost x Depart'!$A$2:$AL$72,3,0)</f>
        <v>GUAINÍA</v>
      </c>
      <c r="QV13" s="669">
        <f t="shared" ref="QV13" si="24">+QH13+1</f>
        <v>32</v>
      </c>
      <c r="QW13" s="669" t="str">
        <f>+VLOOKUP(QV13,'Cost x Depart'!$A$2:$AL$72,3,0)</f>
        <v>GUAVIARE</v>
      </c>
      <c r="RJ13" s="669">
        <f t="shared" ref="RJ13" si="25">+QV13+1</f>
        <v>33</v>
      </c>
      <c r="RK13" s="669" t="str">
        <f>+VLOOKUP(RJ13,'Cost x Depart'!$A$2:$AL$72,3,0)</f>
        <v>VAUPÉS</v>
      </c>
      <c r="RX13" s="669">
        <f t="shared" ref="RX13" si="26">+RJ13+1</f>
        <v>34</v>
      </c>
      <c r="RY13" s="669" t="str">
        <f>+VLOOKUP(RX13,'Cost x Depart'!$A$2:$AL$72,3,0)</f>
        <v>VICHADA</v>
      </c>
      <c r="SL13" s="669">
        <f t="shared" ref="SL13" si="27">+RX13+1</f>
        <v>35</v>
      </c>
      <c r="SM13" s="669" t="str">
        <f>+VLOOKUP(SL13,'Cost x Depart'!$A$2:$AL$72,3,0)</f>
        <v>BOGOTÁ</v>
      </c>
      <c r="SZ13" s="669"/>
      <c r="TA13" s="669" t="s">
        <v>1585</v>
      </c>
      <c r="TM13" s="937"/>
      <c r="TN13" s="725"/>
    </row>
    <row r="14" spans="1:534" ht="10.5" customHeight="1" thickBot="1">
      <c r="TM14" s="937"/>
      <c r="TN14" s="725"/>
    </row>
    <row r="15" spans="1:534" ht="46.5" customHeight="1" thickBot="1">
      <c r="B15" s="693" t="s">
        <v>1220</v>
      </c>
      <c r="C15" s="695" t="s">
        <v>1221</v>
      </c>
      <c r="D15" s="695" t="s">
        <v>24</v>
      </c>
      <c r="E15" s="695" t="s">
        <v>1222</v>
      </c>
      <c r="F15" s="1148" t="s">
        <v>1205</v>
      </c>
      <c r="G15" s="1155"/>
      <c r="H15" s="121" t="s">
        <v>1223</v>
      </c>
      <c r="I15" s="112"/>
      <c r="M15" s="668" t="s">
        <v>1571</v>
      </c>
      <c r="P15" s="650"/>
      <c r="Q15" s="649"/>
      <c r="R15" s="649"/>
      <c r="S15" s="649"/>
      <c r="T15" s="1147"/>
      <c r="U15" s="1148"/>
      <c r="V15" s="121"/>
      <c r="W15" s="112"/>
      <c r="AA15" s="668"/>
      <c r="AD15" s="688"/>
      <c r="AE15" s="690"/>
      <c r="AF15" s="690"/>
      <c r="AG15" s="690"/>
      <c r="AH15" s="1147"/>
      <c r="AI15" s="1148"/>
      <c r="AJ15" s="121"/>
      <c r="AK15" s="112"/>
      <c r="AO15" s="668"/>
      <c r="AR15" s="693" t="s">
        <v>1220</v>
      </c>
      <c r="AS15" s="695" t="s">
        <v>1221</v>
      </c>
      <c r="AT15" s="695" t="s">
        <v>24</v>
      </c>
      <c r="AU15" s="695" t="s">
        <v>1222</v>
      </c>
      <c r="AV15" s="1147" t="s">
        <v>1205</v>
      </c>
      <c r="AW15" s="1148"/>
      <c r="AX15" s="121" t="s">
        <v>1223</v>
      </c>
      <c r="AY15" s="112"/>
      <c r="BC15" s="668" t="s">
        <v>1571</v>
      </c>
      <c r="BF15" s="693" t="s">
        <v>1220</v>
      </c>
      <c r="BG15" s="695" t="s">
        <v>1221</v>
      </c>
      <c r="BH15" s="695" t="s">
        <v>24</v>
      </c>
      <c r="BI15" s="695" t="s">
        <v>1222</v>
      </c>
      <c r="BJ15" s="1147" t="s">
        <v>1205</v>
      </c>
      <c r="BK15" s="1148"/>
      <c r="BL15" s="121" t="s">
        <v>1223</v>
      </c>
      <c r="BM15" s="112"/>
      <c r="BQ15" s="668" t="s">
        <v>1571</v>
      </c>
      <c r="BT15" s="693" t="s">
        <v>1220</v>
      </c>
      <c r="BU15" s="695" t="s">
        <v>1221</v>
      </c>
      <c r="BV15" s="695" t="s">
        <v>24</v>
      </c>
      <c r="BW15" s="695" t="s">
        <v>1222</v>
      </c>
      <c r="BX15" s="1147" t="s">
        <v>1205</v>
      </c>
      <c r="BY15" s="1148"/>
      <c r="BZ15" s="121" t="s">
        <v>1223</v>
      </c>
      <c r="CA15" s="112"/>
      <c r="CE15" s="668" t="s">
        <v>1571</v>
      </c>
      <c r="CH15" s="693" t="s">
        <v>1220</v>
      </c>
      <c r="CI15" s="695" t="s">
        <v>1221</v>
      </c>
      <c r="CJ15" s="695" t="s">
        <v>24</v>
      </c>
      <c r="CK15" s="695" t="s">
        <v>1222</v>
      </c>
      <c r="CL15" s="1147" t="s">
        <v>1205</v>
      </c>
      <c r="CM15" s="1148"/>
      <c r="CN15" s="121" t="s">
        <v>1223</v>
      </c>
      <c r="CO15" s="112"/>
      <c r="CS15" s="668" t="s">
        <v>1571</v>
      </c>
      <c r="CV15" s="693" t="s">
        <v>1220</v>
      </c>
      <c r="CW15" s="695" t="s">
        <v>1221</v>
      </c>
      <c r="CX15" s="695" t="s">
        <v>24</v>
      </c>
      <c r="CY15" s="695" t="s">
        <v>1222</v>
      </c>
      <c r="CZ15" s="1147" t="s">
        <v>1205</v>
      </c>
      <c r="DA15" s="1148"/>
      <c r="DB15" s="121" t="s">
        <v>1223</v>
      </c>
      <c r="DC15" s="112"/>
      <c r="DG15" s="668" t="s">
        <v>1571</v>
      </c>
      <c r="DJ15" s="693" t="s">
        <v>1220</v>
      </c>
      <c r="DK15" s="695" t="s">
        <v>1221</v>
      </c>
      <c r="DL15" s="695" t="s">
        <v>24</v>
      </c>
      <c r="DM15" s="695" t="s">
        <v>1222</v>
      </c>
      <c r="DN15" s="1147" t="s">
        <v>1205</v>
      </c>
      <c r="DO15" s="1148"/>
      <c r="DP15" s="121" t="s">
        <v>1223</v>
      </c>
      <c r="DQ15" s="112"/>
      <c r="DU15" s="668" t="s">
        <v>1571</v>
      </c>
      <c r="DX15" s="693" t="s">
        <v>1220</v>
      </c>
      <c r="DY15" s="695" t="s">
        <v>1221</v>
      </c>
      <c r="DZ15" s="695" t="s">
        <v>24</v>
      </c>
      <c r="EA15" s="695" t="s">
        <v>1222</v>
      </c>
      <c r="EB15" s="1147" t="s">
        <v>1205</v>
      </c>
      <c r="EC15" s="1148"/>
      <c r="ED15" s="121" t="s">
        <v>1223</v>
      </c>
      <c r="EE15" s="112"/>
      <c r="EI15" s="668" t="s">
        <v>1571</v>
      </c>
      <c r="EL15" s="693" t="s">
        <v>1220</v>
      </c>
      <c r="EM15" s="695" t="s">
        <v>1221</v>
      </c>
      <c r="EN15" s="695" t="s">
        <v>24</v>
      </c>
      <c r="EO15" s="695" t="s">
        <v>1222</v>
      </c>
      <c r="EP15" s="1147" t="s">
        <v>1205</v>
      </c>
      <c r="EQ15" s="1148"/>
      <c r="ER15" s="121" t="s">
        <v>1223</v>
      </c>
      <c r="ES15" s="668" t="s">
        <v>1571</v>
      </c>
      <c r="EW15" s="668" t="s">
        <v>1571</v>
      </c>
      <c r="EZ15" s="693" t="s">
        <v>1220</v>
      </c>
      <c r="FA15" s="695" t="s">
        <v>1221</v>
      </c>
      <c r="FB15" s="695" t="s">
        <v>24</v>
      </c>
      <c r="FC15" s="695" t="s">
        <v>1222</v>
      </c>
      <c r="FD15" s="1147" t="s">
        <v>1205</v>
      </c>
      <c r="FE15" s="1148"/>
      <c r="FF15" s="121" t="s">
        <v>1223</v>
      </c>
      <c r="FG15" s="112"/>
      <c r="FK15" s="668" t="s">
        <v>1571</v>
      </c>
      <c r="FN15" s="693" t="s">
        <v>1220</v>
      </c>
      <c r="FO15" s="695" t="s">
        <v>1221</v>
      </c>
      <c r="FP15" s="695" t="s">
        <v>24</v>
      </c>
      <c r="FQ15" s="695" t="s">
        <v>1222</v>
      </c>
      <c r="FR15" s="1147" t="s">
        <v>1205</v>
      </c>
      <c r="FS15" s="1148"/>
      <c r="FT15" s="121" t="s">
        <v>1223</v>
      </c>
      <c r="FU15" s="112"/>
      <c r="FY15" s="668" t="s">
        <v>1571</v>
      </c>
      <c r="GB15" s="693" t="s">
        <v>1220</v>
      </c>
      <c r="GC15" s="695" t="s">
        <v>1221</v>
      </c>
      <c r="GD15" s="695" t="s">
        <v>24</v>
      </c>
      <c r="GE15" s="695" t="s">
        <v>1222</v>
      </c>
      <c r="GF15" s="1147" t="s">
        <v>1205</v>
      </c>
      <c r="GG15" s="1148"/>
      <c r="GH15" s="121" t="s">
        <v>1223</v>
      </c>
      <c r="GI15" s="112"/>
      <c r="GM15" s="668" t="s">
        <v>1571</v>
      </c>
      <c r="GP15" s="693" t="s">
        <v>1220</v>
      </c>
      <c r="GQ15" s="695" t="s">
        <v>1221</v>
      </c>
      <c r="GR15" s="695" t="s">
        <v>24</v>
      </c>
      <c r="GS15" s="695" t="s">
        <v>1222</v>
      </c>
      <c r="GT15" s="1147" t="s">
        <v>1205</v>
      </c>
      <c r="GU15" s="1148"/>
      <c r="GV15" s="121" t="s">
        <v>1223</v>
      </c>
      <c r="GW15" s="112"/>
      <c r="HA15" s="668" t="s">
        <v>1571</v>
      </c>
      <c r="HD15" s="693" t="s">
        <v>1220</v>
      </c>
      <c r="HE15" s="695" t="s">
        <v>1221</v>
      </c>
      <c r="HF15" s="695" t="s">
        <v>24</v>
      </c>
      <c r="HG15" s="695" t="s">
        <v>1222</v>
      </c>
      <c r="HH15" s="1147" t="s">
        <v>1205</v>
      </c>
      <c r="HI15" s="1148"/>
      <c r="HJ15" s="121" t="s">
        <v>1223</v>
      </c>
      <c r="HK15" s="112"/>
      <c r="HO15" s="668" t="s">
        <v>1571</v>
      </c>
      <c r="HR15" s="693" t="s">
        <v>1220</v>
      </c>
      <c r="HS15" s="695" t="s">
        <v>1221</v>
      </c>
      <c r="HT15" s="695" t="s">
        <v>24</v>
      </c>
      <c r="HU15" s="695" t="s">
        <v>1222</v>
      </c>
      <c r="HV15" s="1147" t="s">
        <v>1205</v>
      </c>
      <c r="HW15" s="1148"/>
      <c r="HX15" s="121" t="s">
        <v>1223</v>
      </c>
      <c r="HY15" s="668" t="s">
        <v>1571</v>
      </c>
      <c r="IC15" s="668" t="s">
        <v>1571</v>
      </c>
      <c r="IF15" s="693"/>
      <c r="IG15" s="695"/>
      <c r="IH15" s="695"/>
      <c r="II15" s="695"/>
      <c r="IJ15" s="1147"/>
      <c r="IK15" s="1148"/>
      <c r="IL15" s="121"/>
      <c r="IM15" s="112"/>
      <c r="IQ15" s="668"/>
      <c r="IT15" s="693"/>
      <c r="IU15" s="695"/>
      <c r="IV15" s="695"/>
      <c r="IW15" s="695"/>
      <c r="IX15" s="1147"/>
      <c r="IY15" s="1148"/>
      <c r="IZ15" s="121"/>
      <c r="JA15" s="112"/>
      <c r="JE15" s="668"/>
      <c r="JH15" s="693" t="s">
        <v>1220</v>
      </c>
      <c r="JI15" s="695" t="s">
        <v>1221</v>
      </c>
      <c r="JJ15" s="695" t="s">
        <v>24</v>
      </c>
      <c r="JK15" s="695" t="s">
        <v>1222</v>
      </c>
      <c r="JL15" s="1147" t="s">
        <v>1205</v>
      </c>
      <c r="JM15" s="1148"/>
      <c r="JN15" s="121" t="s">
        <v>1223</v>
      </c>
      <c r="JO15" s="112"/>
      <c r="JS15" s="668" t="s">
        <v>1571</v>
      </c>
      <c r="JV15" s="693" t="s">
        <v>1220</v>
      </c>
      <c r="JW15" s="695" t="s">
        <v>1221</v>
      </c>
      <c r="JX15" s="695" t="s">
        <v>24</v>
      </c>
      <c r="JY15" s="695" t="s">
        <v>1222</v>
      </c>
      <c r="JZ15" s="1147" t="s">
        <v>1205</v>
      </c>
      <c r="KA15" s="1148"/>
      <c r="KB15" s="121" t="s">
        <v>1223</v>
      </c>
      <c r="KC15" s="112"/>
      <c r="KG15" s="668" t="s">
        <v>1571</v>
      </c>
      <c r="KJ15" s="693" t="s">
        <v>1220</v>
      </c>
      <c r="KK15" s="695" t="s">
        <v>1221</v>
      </c>
      <c r="KL15" s="695" t="s">
        <v>24</v>
      </c>
      <c r="KM15" s="695" t="s">
        <v>1222</v>
      </c>
      <c r="KN15" s="1147" t="s">
        <v>1205</v>
      </c>
      <c r="KO15" s="1148"/>
      <c r="KP15" s="121" t="s">
        <v>1223</v>
      </c>
      <c r="KQ15" s="112"/>
      <c r="KU15" s="668" t="s">
        <v>1571</v>
      </c>
      <c r="KX15" s="693" t="s">
        <v>1220</v>
      </c>
      <c r="KY15" s="695" t="s">
        <v>1221</v>
      </c>
      <c r="KZ15" s="695" t="s">
        <v>24</v>
      </c>
      <c r="LA15" s="695" t="s">
        <v>1222</v>
      </c>
      <c r="LB15" s="1147" t="s">
        <v>1205</v>
      </c>
      <c r="LC15" s="1148"/>
      <c r="LD15" s="121" t="s">
        <v>1223</v>
      </c>
      <c r="LE15" s="112"/>
      <c r="LI15" s="668" t="s">
        <v>1571</v>
      </c>
      <c r="LL15" s="693" t="s">
        <v>1220</v>
      </c>
      <c r="LM15" s="695" t="s">
        <v>1221</v>
      </c>
      <c r="LN15" s="695" t="s">
        <v>24</v>
      </c>
      <c r="LO15" s="695" t="s">
        <v>1222</v>
      </c>
      <c r="LP15" s="1147" t="s">
        <v>1205</v>
      </c>
      <c r="LQ15" s="1148"/>
      <c r="LR15" s="121" t="s">
        <v>1223</v>
      </c>
      <c r="LS15" s="112"/>
      <c r="LW15" s="668" t="s">
        <v>1571</v>
      </c>
      <c r="LZ15" s="693" t="s">
        <v>1220</v>
      </c>
      <c r="MA15" s="695" t="s">
        <v>1221</v>
      </c>
      <c r="MB15" s="695" t="s">
        <v>24</v>
      </c>
      <c r="MC15" s="695" t="s">
        <v>1222</v>
      </c>
      <c r="MD15" s="1147" t="s">
        <v>1205</v>
      </c>
      <c r="ME15" s="1148"/>
      <c r="MF15" s="121" t="s">
        <v>1223</v>
      </c>
      <c r="MG15" s="112"/>
      <c r="MK15" s="668" t="s">
        <v>1571</v>
      </c>
      <c r="MN15" s="693" t="s">
        <v>1220</v>
      </c>
      <c r="MO15" s="695" t="s">
        <v>1221</v>
      </c>
      <c r="MP15" s="695" t="s">
        <v>24</v>
      </c>
      <c r="MQ15" s="695" t="s">
        <v>1222</v>
      </c>
      <c r="MR15" s="1147" t="s">
        <v>1205</v>
      </c>
      <c r="MS15" s="1148"/>
      <c r="MT15" s="121" t="s">
        <v>1223</v>
      </c>
      <c r="MU15" s="112"/>
      <c r="MY15" s="668" t="s">
        <v>1571</v>
      </c>
      <c r="NB15" s="693" t="s">
        <v>1220</v>
      </c>
      <c r="NC15" s="695" t="s">
        <v>1221</v>
      </c>
      <c r="ND15" s="695" t="s">
        <v>24</v>
      </c>
      <c r="NE15" s="695" t="s">
        <v>1222</v>
      </c>
      <c r="NF15" s="1147" t="s">
        <v>1205</v>
      </c>
      <c r="NG15" s="1148"/>
      <c r="NH15" s="121" t="s">
        <v>1223</v>
      </c>
      <c r="NI15" s="112"/>
      <c r="NM15" s="668" t="s">
        <v>1571</v>
      </c>
      <c r="NP15" s="693" t="s">
        <v>1220</v>
      </c>
      <c r="NQ15" s="695" t="s">
        <v>1221</v>
      </c>
      <c r="NR15" s="695" t="s">
        <v>24</v>
      </c>
      <c r="NS15" s="695" t="s">
        <v>1222</v>
      </c>
      <c r="NT15" s="1147" t="s">
        <v>1205</v>
      </c>
      <c r="NU15" s="1148"/>
      <c r="NV15" s="121" t="s">
        <v>1223</v>
      </c>
      <c r="NW15" s="112"/>
      <c r="OA15" s="668" t="s">
        <v>1571</v>
      </c>
      <c r="OD15" s="693" t="s">
        <v>1220</v>
      </c>
      <c r="OE15" s="695" t="s">
        <v>1221</v>
      </c>
      <c r="OF15" s="695" t="s">
        <v>24</v>
      </c>
      <c r="OG15" s="695" t="s">
        <v>1222</v>
      </c>
      <c r="OH15" s="1147" t="s">
        <v>1205</v>
      </c>
      <c r="OI15" s="1148"/>
      <c r="OJ15" s="121" t="s">
        <v>1223</v>
      </c>
      <c r="OK15" s="112"/>
      <c r="OO15" s="668" t="s">
        <v>1571</v>
      </c>
      <c r="OR15" s="693" t="s">
        <v>1220</v>
      </c>
      <c r="OS15" s="695" t="s">
        <v>1221</v>
      </c>
      <c r="OT15" s="695" t="s">
        <v>24</v>
      </c>
      <c r="OU15" s="695" t="s">
        <v>1222</v>
      </c>
      <c r="OV15" s="1147" t="s">
        <v>1205</v>
      </c>
      <c r="OW15" s="1148"/>
      <c r="OX15" s="121" t="s">
        <v>1223</v>
      </c>
      <c r="OY15" s="112"/>
      <c r="PC15" s="668" t="s">
        <v>1571</v>
      </c>
      <c r="PF15" s="693" t="s">
        <v>1220</v>
      </c>
      <c r="PG15" s="695" t="s">
        <v>1221</v>
      </c>
      <c r="PH15" s="695" t="s">
        <v>24</v>
      </c>
      <c r="PI15" s="695" t="s">
        <v>1222</v>
      </c>
      <c r="PJ15" s="1147" t="s">
        <v>1205</v>
      </c>
      <c r="PK15" s="1148"/>
      <c r="PL15" s="121" t="s">
        <v>1223</v>
      </c>
      <c r="PM15" s="112"/>
      <c r="PQ15" s="668" t="s">
        <v>1571</v>
      </c>
      <c r="PT15" s="693" t="s">
        <v>1220</v>
      </c>
      <c r="PU15" s="695" t="s">
        <v>1221</v>
      </c>
      <c r="PV15" s="695" t="s">
        <v>24</v>
      </c>
      <c r="PW15" s="695" t="s">
        <v>1222</v>
      </c>
      <c r="PX15" s="1147" t="s">
        <v>1205</v>
      </c>
      <c r="PY15" s="1148"/>
      <c r="PZ15" s="121" t="s">
        <v>1223</v>
      </c>
      <c r="QA15" s="112"/>
      <c r="QE15" s="668" t="s">
        <v>1571</v>
      </c>
      <c r="QH15" s="693" t="s">
        <v>1220</v>
      </c>
      <c r="QI15" s="695" t="s">
        <v>1221</v>
      </c>
      <c r="QJ15" s="695" t="s">
        <v>24</v>
      </c>
      <c r="QK15" s="695" t="s">
        <v>1222</v>
      </c>
      <c r="QL15" s="1147" t="s">
        <v>1205</v>
      </c>
      <c r="QM15" s="1148"/>
      <c r="QN15" s="121" t="s">
        <v>1223</v>
      </c>
      <c r="QO15" s="112"/>
      <c r="QS15" s="668" t="s">
        <v>1571</v>
      </c>
      <c r="QV15" s="693" t="s">
        <v>1220</v>
      </c>
      <c r="QW15" s="695" t="s">
        <v>1221</v>
      </c>
      <c r="QX15" s="695" t="s">
        <v>24</v>
      </c>
      <c r="QY15" s="695" t="s">
        <v>1222</v>
      </c>
      <c r="QZ15" s="1147" t="s">
        <v>1205</v>
      </c>
      <c r="RA15" s="1148"/>
      <c r="RB15" s="121" t="s">
        <v>1223</v>
      </c>
      <c r="RC15" s="112"/>
      <c r="RG15" s="668" t="s">
        <v>1571</v>
      </c>
      <c r="RJ15" s="693" t="s">
        <v>1220</v>
      </c>
      <c r="RK15" s="695" t="s">
        <v>1221</v>
      </c>
      <c r="RL15" s="695" t="s">
        <v>24</v>
      </c>
      <c r="RM15" s="695" t="s">
        <v>1222</v>
      </c>
      <c r="RN15" s="1147" t="s">
        <v>1205</v>
      </c>
      <c r="RO15" s="1148"/>
      <c r="RP15" s="121" t="s">
        <v>1223</v>
      </c>
      <c r="RQ15" s="112"/>
      <c r="RU15" s="668" t="s">
        <v>1571</v>
      </c>
      <c r="RX15" s="693" t="s">
        <v>1220</v>
      </c>
      <c r="RY15" s="695" t="s">
        <v>1221</v>
      </c>
      <c r="RZ15" s="695" t="s">
        <v>24</v>
      </c>
      <c r="SA15" s="695" t="s">
        <v>1222</v>
      </c>
      <c r="SB15" s="1147" t="s">
        <v>1205</v>
      </c>
      <c r="SC15" s="1148"/>
      <c r="SD15" s="121" t="s">
        <v>1223</v>
      </c>
      <c r="SE15" s="112"/>
      <c r="SI15" s="668" t="s">
        <v>1571</v>
      </c>
      <c r="SL15" s="693" t="s">
        <v>1220</v>
      </c>
      <c r="SM15" s="695" t="s">
        <v>1221</v>
      </c>
      <c r="SN15" s="695" t="s">
        <v>24</v>
      </c>
      <c r="SO15" s="695" t="s">
        <v>1222</v>
      </c>
      <c r="SP15" s="1147" t="s">
        <v>1205</v>
      </c>
      <c r="SQ15" s="1148"/>
      <c r="SR15" s="121" t="s">
        <v>1223</v>
      </c>
      <c r="SS15" s="112"/>
      <c r="SW15" s="668" t="s">
        <v>1571</v>
      </c>
      <c r="SZ15" s="650" t="s">
        <v>1220</v>
      </c>
      <c r="TA15" s="649" t="s">
        <v>1221</v>
      </c>
      <c r="TB15" s="649" t="s">
        <v>24</v>
      </c>
      <c r="TC15" s="649" t="s">
        <v>1222</v>
      </c>
      <c r="TD15" s="1147" t="s">
        <v>1205</v>
      </c>
      <c r="TE15" s="1148"/>
      <c r="TF15" s="1147" t="s">
        <v>1223</v>
      </c>
      <c r="TG15" s="1148"/>
      <c r="TK15" s="668" t="s">
        <v>1571</v>
      </c>
      <c r="TM15" s="937"/>
      <c r="TN15" s="725"/>
    </row>
    <row r="16" spans="1:534" ht="15.75" customHeight="1">
      <c r="A16" s="95">
        <v>14</v>
      </c>
      <c r="B16" s="1156" t="s">
        <v>1545</v>
      </c>
      <c r="C16" s="300">
        <f>+'Componentes T.H.'!B6</f>
        <v>0</v>
      </c>
      <c r="D16" s="301">
        <f>+VLOOKUP(B13,'Cost x Depart'!$A$2:$AL$72,A16,0)</f>
        <v>0</v>
      </c>
      <c r="E16" s="302">
        <f>+'Componentes T.H.'!$T$6</f>
        <v>0</v>
      </c>
      <c r="F16" s="1159">
        <f>+'Componentes T.H.'!$Q$6</f>
        <v>0</v>
      </c>
      <c r="G16" s="1160"/>
      <c r="H16" s="230">
        <f>+D16*E16*F16*E11</f>
        <v>0</v>
      </c>
      <c r="I16" s="113"/>
      <c r="J16" s="114"/>
      <c r="K16" s="114"/>
      <c r="L16" s="114"/>
      <c r="M16" s="928">
        <f>+IF(H16=0,0,H16/H$72)</f>
        <v>0</v>
      </c>
      <c r="O16" s="95">
        <v>14</v>
      </c>
      <c r="P16" s="1156"/>
      <c r="Q16" s="300"/>
      <c r="R16" s="301"/>
      <c r="S16" s="302"/>
      <c r="T16" s="1194"/>
      <c r="U16" s="1159"/>
      <c r="V16" s="230"/>
      <c r="W16" s="113"/>
      <c r="X16" s="114"/>
      <c r="Y16" s="114"/>
      <c r="Z16" s="114"/>
      <c r="AA16" s="928"/>
      <c r="AC16" s="95">
        <v>10</v>
      </c>
      <c r="AD16" s="1156"/>
      <c r="AE16" s="300"/>
      <c r="AF16" s="301"/>
      <c r="AG16" s="302"/>
      <c r="AH16" s="1194"/>
      <c r="AI16" s="1159"/>
      <c r="AJ16" s="230"/>
      <c r="AK16" s="113"/>
      <c r="AL16" s="114"/>
      <c r="AM16" s="114"/>
      <c r="AN16" s="114"/>
      <c r="AO16" s="928"/>
      <c r="AQ16" s="95">
        <v>14</v>
      </c>
      <c r="AR16" s="1156" t="s">
        <v>1545</v>
      </c>
      <c r="AS16" s="300">
        <f>+C16</f>
        <v>0</v>
      </c>
      <c r="AT16" s="301">
        <f>+VLOOKUP(AR13,'Cost x Depart'!$A$2:$AL$72,AQ16,0)</f>
        <v>0</v>
      </c>
      <c r="AU16" s="302">
        <f>+'Componentes T.H.'!$T$6</f>
        <v>0</v>
      </c>
      <c r="AV16" s="1194">
        <f>+'Componentes T.H.'!$Q$6</f>
        <v>0</v>
      </c>
      <c r="AW16" s="1159"/>
      <c r="AX16" s="230">
        <f t="shared" ref="AX16" si="28">+AT16*AU16*AV16*AU11</f>
        <v>0</v>
      </c>
      <c r="AY16" s="113"/>
      <c r="AZ16" s="114"/>
      <c r="BA16" s="114"/>
      <c r="BB16" s="114"/>
      <c r="BC16" s="928">
        <f>+IF(AX16=0,0,AX16/AX$72)</f>
        <v>0</v>
      </c>
      <c r="BE16" s="95">
        <v>14</v>
      </c>
      <c r="BF16" s="1156" t="s">
        <v>1545</v>
      </c>
      <c r="BG16" s="300">
        <f t="shared" ref="BG16:BG20" si="29">+AS16</f>
        <v>0</v>
      </c>
      <c r="BH16" s="301">
        <f>+VLOOKUP(BF13,'Cost x Depart'!$A$2:$AL$72,BE16,0)</f>
        <v>0</v>
      </c>
      <c r="BI16" s="302">
        <f>+'Componentes T.H.'!$T$6</f>
        <v>0</v>
      </c>
      <c r="BJ16" s="1194">
        <f>+'Componentes T.H.'!$Q$6</f>
        <v>0</v>
      </c>
      <c r="BK16" s="1159"/>
      <c r="BL16" s="230">
        <f t="shared" ref="BL16" si="30">+BH16*BI16*BJ16*BI11</f>
        <v>0</v>
      </c>
      <c r="BM16" s="113"/>
      <c r="BN16" s="114"/>
      <c r="BO16" s="114"/>
      <c r="BP16" s="114"/>
      <c r="BQ16" s="928">
        <f>+IF(BL16=0,0,BL16/BL$72)</f>
        <v>0</v>
      </c>
      <c r="BS16" s="95">
        <v>14</v>
      </c>
      <c r="BT16" s="1156" t="s">
        <v>1545</v>
      </c>
      <c r="BU16" s="300">
        <f t="shared" ref="BU16:BU20" si="31">+BG16</f>
        <v>0</v>
      </c>
      <c r="BV16" s="301">
        <f>+VLOOKUP(BT13,'Cost x Depart'!$A$2:$AL$72,BS16,0)</f>
        <v>0</v>
      </c>
      <c r="BW16" s="302">
        <f>+'Componentes T.H.'!$T$6</f>
        <v>0</v>
      </c>
      <c r="BX16" s="1194">
        <f>+'Componentes T.H.'!$Q$6</f>
        <v>0</v>
      </c>
      <c r="BY16" s="1159"/>
      <c r="BZ16" s="230">
        <f t="shared" ref="BZ16" si="32">+BV16*BW16*BX16*BW11</f>
        <v>0</v>
      </c>
      <c r="CA16" s="113"/>
      <c r="CB16" s="114"/>
      <c r="CC16" s="114"/>
      <c r="CD16" s="114"/>
      <c r="CE16" s="928">
        <f>+IF(BZ16=0,0,BZ16/BZ$72)</f>
        <v>0</v>
      </c>
      <c r="CG16" s="95">
        <v>14</v>
      </c>
      <c r="CH16" s="1156" t="s">
        <v>1545</v>
      </c>
      <c r="CI16" s="300">
        <f t="shared" ref="CI16:CI20" si="33">+BU16</f>
        <v>0</v>
      </c>
      <c r="CJ16" s="301">
        <f>+VLOOKUP(CH13,'Cost x Depart'!$A$2:$AL$72,CG16,0)</f>
        <v>0</v>
      </c>
      <c r="CK16" s="302">
        <f>+'Componentes T.H.'!$T$6</f>
        <v>0</v>
      </c>
      <c r="CL16" s="1194">
        <f>+'Componentes T.H.'!$Q$6</f>
        <v>0</v>
      </c>
      <c r="CM16" s="1159"/>
      <c r="CN16" s="230">
        <f t="shared" ref="CN16" si="34">+CJ16*CK16*CL16*CK11</f>
        <v>0</v>
      </c>
      <c r="CO16" s="113"/>
      <c r="CP16" s="114"/>
      <c r="CQ16" s="114"/>
      <c r="CR16" s="114"/>
      <c r="CS16" s="928">
        <f>+IF(CN16=0,0,CN16/CN$72)</f>
        <v>0</v>
      </c>
      <c r="CU16" s="95">
        <v>14</v>
      </c>
      <c r="CV16" s="1156" t="s">
        <v>1545</v>
      </c>
      <c r="CW16" s="300">
        <f t="shared" ref="CW16:CW20" si="35">+CI16</f>
        <v>0</v>
      </c>
      <c r="CX16" s="301">
        <f>+VLOOKUP(CV13,'Cost x Depart'!$A$2:$AL$72,CU16,0)</f>
        <v>0</v>
      </c>
      <c r="CY16" s="302">
        <f>+'Componentes T.H.'!$T$6</f>
        <v>0</v>
      </c>
      <c r="CZ16" s="1194">
        <f>+'Componentes T.H.'!$Q$6</f>
        <v>0</v>
      </c>
      <c r="DA16" s="1159"/>
      <c r="DB16" s="230">
        <f t="shared" ref="DB16" si="36">+CX16*CY16*CZ16*CY11</f>
        <v>0</v>
      </c>
      <c r="DC16" s="113"/>
      <c r="DD16" s="114"/>
      <c r="DE16" s="114"/>
      <c r="DF16" s="114"/>
      <c r="DG16" s="928">
        <f>+IF(DB16=0,0,DB16/DB$72)</f>
        <v>0</v>
      </c>
      <c r="DI16" s="95">
        <v>14</v>
      </c>
      <c r="DJ16" s="1156" t="s">
        <v>1545</v>
      </c>
      <c r="DK16" s="300">
        <f t="shared" ref="DK16:DK20" si="37">+CW16</f>
        <v>0</v>
      </c>
      <c r="DL16" s="301">
        <f>+VLOOKUP(DJ13,'Cost x Depart'!$A$2:$AL$72,DI16,0)</f>
        <v>0</v>
      </c>
      <c r="DM16" s="302">
        <f>+'Componentes T.H.'!$T$6</f>
        <v>0</v>
      </c>
      <c r="DN16" s="1194">
        <f>+'Componentes T.H.'!$Q$6</f>
        <v>0</v>
      </c>
      <c r="DO16" s="1159"/>
      <c r="DP16" s="230">
        <f t="shared" ref="DP16" si="38">+DL16*DM16*DN16*DM11</f>
        <v>0</v>
      </c>
      <c r="DQ16" s="113"/>
      <c r="DR16" s="114"/>
      <c r="DS16" s="114"/>
      <c r="DT16" s="114"/>
      <c r="DU16" s="928">
        <f>+IF(DP16=0,0,DP16/DP$72)</f>
        <v>0</v>
      </c>
      <c r="DW16" s="95">
        <v>14</v>
      </c>
      <c r="DX16" s="1156" t="s">
        <v>1545</v>
      </c>
      <c r="DY16" s="300">
        <f t="shared" ref="DY16:DY20" si="39">+DK16</f>
        <v>0</v>
      </c>
      <c r="DZ16" s="301">
        <f>+VLOOKUP(DX13,'Cost x Depart'!$A$2:$AL$72,DW16,0)</f>
        <v>0</v>
      </c>
      <c r="EA16" s="302">
        <f>+'Componentes T.H.'!$T$6</f>
        <v>0</v>
      </c>
      <c r="EB16" s="1194">
        <f>+'Componentes T.H.'!$Q$6</f>
        <v>0</v>
      </c>
      <c r="EC16" s="1159"/>
      <c r="ED16" s="230">
        <f t="shared" ref="ED16" si="40">+DZ16*EA16*EB16*EA11</f>
        <v>0</v>
      </c>
      <c r="EE16" s="113"/>
      <c r="EF16" s="114"/>
      <c r="EG16" s="114"/>
      <c r="EH16" s="114"/>
      <c r="EI16" s="928">
        <f>+IF(ED16=0,0,ED16/ED$72)</f>
        <v>0</v>
      </c>
      <c r="EK16" s="95">
        <v>14</v>
      </c>
      <c r="EL16" s="1156" t="s">
        <v>1545</v>
      </c>
      <c r="EM16" s="300">
        <f t="shared" ref="EM16:EM20" si="41">+DY16</f>
        <v>0</v>
      </c>
      <c r="EN16" s="301">
        <f>+VLOOKUP(EL13,'Cost x Depart'!$A$2:$AL$72,EK16,0)</f>
        <v>0</v>
      </c>
      <c r="EO16" s="302">
        <f>+'Componentes T.H.'!$T$6</f>
        <v>0</v>
      </c>
      <c r="EP16" s="1194">
        <f>+'Componentes T.H.'!$Q$6</f>
        <v>0</v>
      </c>
      <c r="EQ16" s="1159"/>
      <c r="ER16" s="230">
        <f t="shared" ref="ER16" si="42">+EN16*EO16*EP16*EO11</f>
        <v>0</v>
      </c>
      <c r="ES16" s="928">
        <f>+IF(EN16=0,0,EN16/EN$72)</f>
        <v>0</v>
      </c>
      <c r="ET16" s="114"/>
      <c r="EU16" s="114"/>
      <c r="EV16" s="114"/>
      <c r="EW16" s="928">
        <f>+IF(ER16=0,0,ER16/ER$72)</f>
        <v>0</v>
      </c>
      <c r="EY16" s="95">
        <v>14</v>
      </c>
      <c r="EZ16" s="1156" t="s">
        <v>1545</v>
      </c>
      <c r="FA16" s="300">
        <f t="shared" ref="FA16:FA20" si="43">+EM16</f>
        <v>0</v>
      </c>
      <c r="FB16" s="301">
        <f>+VLOOKUP(EZ13,'Cost x Depart'!$A$2:$AL$72,EY16,0)</f>
        <v>0</v>
      </c>
      <c r="FC16" s="302">
        <f>+'Componentes T.H.'!$T$6</f>
        <v>0</v>
      </c>
      <c r="FD16" s="1194">
        <f>+'Componentes T.H.'!$Q$6</f>
        <v>0</v>
      </c>
      <c r="FE16" s="1159"/>
      <c r="FF16" s="230">
        <f t="shared" ref="FF16" si="44">+FB16*FC16*FD16*FC11</f>
        <v>0</v>
      </c>
      <c r="FG16" s="113"/>
      <c r="FH16" s="114"/>
      <c r="FI16" s="114"/>
      <c r="FJ16" s="114"/>
      <c r="FK16" s="928">
        <f>+IF(FF16=0,0,FF16/FF$72)</f>
        <v>0</v>
      </c>
      <c r="FM16" s="95">
        <v>14</v>
      </c>
      <c r="FN16" s="1156" t="s">
        <v>1545</v>
      </c>
      <c r="FO16" s="300">
        <f t="shared" ref="FO16:FO20" si="45">+FA16</f>
        <v>0</v>
      </c>
      <c r="FP16" s="301">
        <f>+VLOOKUP(FN13,'Cost x Depart'!$A$2:$AL$72,FM16,0)</f>
        <v>0</v>
      </c>
      <c r="FQ16" s="302">
        <f>+'Componentes T.H.'!$T$6</f>
        <v>0</v>
      </c>
      <c r="FR16" s="1194">
        <f>+'Componentes T.H.'!$Q$6</f>
        <v>0</v>
      </c>
      <c r="FS16" s="1159"/>
      <c r="FT16" s="230">
        <f t="shared" ref="FT16" si="46">+FP16*FQ16*FR16*FQ11</f>
        <v>0</v>
      </c>
      <c r="FU16" s="113"/>
      <c r="FV16" s="114"/>
      <c r="FW16" s="114"/>
      <c r="FX16" s="114"/>
      <c r="FY16" s="928">
        <f>+IF(FT16=0,0,FT16/FT$72)</f>
        <v>0</v>
      </c>
      <c r="GA16" s="95">
        <v>14</v>
      </c>
      <c r="GB16" s="1156" t="s">
        <v>1545</v>
      </c>
      <c r="GC16" s="300">
        <f t="shared" ref="GC16:GC20" si="47">+FO16</f>
        <v>0</v>
      </c>
      <c r="GD16" s="301">
        <f>+VLOOKUP(GB13,'Cost x Depart'!$A$2:$AL$72,GA16,0)</f>
        <v>0</v>
      </c>
      <c r="GE16" s="302">
        <f>+'Componentes T.H.'!$T$6</f>
        <v>0</v>
      </c>
      <c r="GF16" s="1194">
        <f>+'Componentes T.H.'!$Q$6</f>
        <v>0</v>
      </c>
      <c r="GG16" s="1159"/>
      <c r="GH16" s="230">
        <f t="shared" ref="GH16" si="48">+GD16*GE16*GF16*GE11</f>
        <v>0</v>
      </c>
      <c r="GI16" s="113"/>
      <c r="GJ16" s="114"/>
      <c r="GK16" s="114"/>
      <c r="GL16" s="114"/>
      <c r="GM16" s="928">
        <f>+IF(GH16=0,0,GH16/GH$72)</f>
        <v>0</v>
      </c>
      <c r="GO16" s="95">
        <v>14</v>
      </c>
      <c r="GP16" s="1156" t="s">
        <v>1545</v>
      </c>
      <c r="GQ16" s="300">
        <f t="shared" ref="GQ16:GQ20" si="49">+GC16</f>
        <v>0</v>
      </c>
      <c r="GR16" s="301">
        <f>+VLOOKUP(GP13,'Cost x Depart'!$A$2:$AL$72,GO16,0)</f>
        <v>0</v>
      </c>
      <c r="GS16" s="302">
        <f>+'Componentes T.H.'!$T$6</f>
        <v>0</v>
      </c>
      <c r="GT16" s="1194">
        <f>+'Componentes T.H.'!$Q$6</f>
        <v>0</v>
      </c>
      <c r="GU16" s="1159"/>
      <c r="GV16" s="230">
        <f t="shared" ref="GV16" si="50">+GR16*GS16*GT16*GS11</f>
        <v>0</v>
      </c>
      <c r="GW16" s="113"/>
      <c r="GX16" s="114"/>
      <c r="GY16" s="114"/>
      <c r="GZ16" s="114"/>
      <c r="HA16" s="928">
        <f>+IF(GV16=0,0,GV16/GV$72)</f>
        <v>0</v>
      </c>
      <c r="HC16" s="95">
        <v>14</v>
      </c>
      <c r="HD16" s="1156" t="s">
        <v>1545</v>
      </c>
      <c r="HE16" s="300">
        <f t="shared" ref="HE16:HE20" si="51">+GQ16</f>
        <v>0</v>
      </c>
      <c r="HF16" s="301">
        <f>+VLOOKUP(HD13,'Cost x Depart'!$A$2:$AL$72,HC16,0)</f>
        <v>0</v>
      </c>
      <c r="HG16" s="302">
        <f>+'Componentes T.H.'!$T$6</f>
        <v>0</v>
      </c>
      <c r="HH16" s="1194">
        <f>+'Componentes T.H.'!$Q$6</f>
        <v>0</v>
      </c>
      <c r="HI16" s="1159"/>
      <c r="HJ16" s="230">
        <f t="shared" ref="HJ16" si="52">+HF16*HG16*HH16*HG11</f>
        <v>0</v>
      </c>
      <c r="HK16" s="113"/>
      <c r="HL16" s="114"/>
      <c r="HM16" s="114"/>
      <c r="HN16" s="114"/>
      <c r="HO16" s="928">
        <f>+IF(HJ16=0,0,HJ16/HJ$72)</f>
        <v>0</v>
      </c>
      <c r="HQ16" s="95">
        <v>14</v>
      </c>
      <c r="HR16" s="1156" t="s">
        <v>1545</v>
      </c>
      <c r="HS16" s="300">
        <f t="shared" ref="HS16:HS20" si="53">+HE16</f>
        <v>0</v>
      </c>
      <c r="HT16" s="301">
        <f>+VLOOKUP(HR13,'Cost x Depart'!$A$2:$AL$72,HQ16,0)</f>
        <v>0</v>
      </c>
      <c r="HU16" s="302">
        <f>+'Componentes T.H.'!$T$6</f>
        <v>0</v>
      </c>
      <c r="HV16" s="1194">
        <f>+'Componentes T.H.'!$Q$6</f>
        <v>0</v>
      </c>
      <c r="HW16" s="1159"/>
      <c r="HX16" s="230">
        <f t="shared" ref="HX16" si="54">+HT16*HU16*HV16*HU11</f>
        <v>0</v>
      </c>
      <c r="HY16" s="928">
        <f>+IF(HT16=0,0,HT16/HT$70)</f>
        <v>0</v>
      </c>
      <c r="HZ16" s="114"/>
      <c r="IA16" s="114"/>
      <c r="IB16" s="114"/>
      <c r="IC16" s="928">
        <f>+IF(HX16=0,0,HX16/HX$72)</f>
        <v>0</v>
      </c>
      <c r="IE16" s="95">
        <v>14</v>
      </c>
      <c r="IF16" s="1156"/>
      <c r="IG16" s="300"/>
      <c r="IH16" s="301"/>
      <c r="II16" s="302"/>
      <c r="IJ16" s="1194"/>
      <c r="IK16" s="1159"/>
      <c r="IL16" s="230"/>
      <c r="IM16" s="113"/>
      <c r="IN16" s="114"/>
      <c r="IO16" s="114"/>
      <c r="IP16" s="114"/>
      <c r="IQ16" s="928"/>
      <c r="IS16" s="95">
        <v>14</v>
      </c>
      <c r="IT16" s="1156"/>
      <c r="IU16" s="300"/>
      <c r="IV16" s="301"/>
      <c r="IW16" s="302"/>
      <c r="IX16" s="1194"/>
      <c r="IY16" s="1159"/>
      <c r="IZ16" s="230"/>
      <c r="JA16" s="113"/>
      <c r="JB16" s="114"/>
      <c r="JC16" s="114"/>
      <c r="JD16" s="114"/>
      <c r="JE16" s="928"/>
      <c r="JG16" s="95">
        <v>14</v>
      </c>
      <c r="JH16" s="1156" t="s">
        <v>1545</v>
      </c>
      <c r="JI16" s="300">
        <f>+HS16</f>
        <v>0</v>
      </c>
      <c r="JJ16" s="301">
        <f>+VLOOKUP(JH$13,'Cost x Depart'!$A$2:$AL$72,JG16,0)</f>
        <v>0</v>
      </c>
      <c r="JK16" s="302">
        <f>+'Componentes T.H.'!$T$6</f>
        <v>0</v>
      </c>
      <c r="JL16" s="1194">
        <f>+'Componentes T.H.'!$Q$6</f>
        <v>0</v>
      </c>
      <c r="JM16" s="1159"/>
      <c r="JN16" s="230">
        <f t="shared" ref="JN16" si="55">+JJ16*JK16*JL16*JK11</f>
        <v>0</v>
      </c>
      <c r="JO16" s="113"/>
      <c r="JP16" s="114"/>
      <c r="JQ16" s="114"/>
      <c r="JR16" s="114"/>
      <c r="JS16" s="928">
        <f>+IF(JN16=0,0,JN16/JN$72)</f>
        <v>0</v>
      </c>
      <c r="JU16" s="95">
        <v>14</v>
      </c>
      <c r="JV16" s="1156" t="s">
        <v>1545</v>
      </c>
      <c r="JW16" s="300">
        <f>+JI16</f>
        <v>0</v>
      </c>
      <c r="JX16" s="301">
        <f>+VLOOKUP(JV13,'Cost x Depart'!$A$2:$AL$72,JU16,0)</f>
        <v>0</v>
      </c>
      <c r="JY16" s="302">
        <f>+'Componentes T.H.'!$T$6</f>
        <v>0</v>
      </c>
      <c r="JZ16" s="1194">
        <f>+'Componentes T.H.'!$Q$6</f>
        <v>0</v>
      </c>
      <c r="KA16" s="1159"/>
      <c r="KB16" s="230">
        <f t="shared" ref="KB16" si="56">+JX16*JY16*JZ16*JY11</f>
        <v>0</v>
      </c>
      <c r="KC16" s="113"/>
      <c r="KD16" s="114"/>
      <c r="KE16" s="114"/>
      <c r="KF16" s="114"/>
      <c r="KG16" s="928">
        <f>+IF(KB16=0,0,KB16/KB$72)</f>
        <v>0</v>
      </c>
      <c r="KI16" s="95">
        <v>14</v>
      </c>
      <c r="KJ16" s="1156" t="s">
        <v>1545</v>
      </c>
      <c r="KK16" s="300">
        <f t="shared" ref="KK16:KK20" si="57">+JW16</f>
        <v>0</v>
      </c>
      <c r="KL16" s="301">
        <f>+VLOOKUP(KJ13,'Cost x Depart'!$A$2:$AL$72,KI16,0)</f>
        <v>0</v>
      </c>
      <c r="KM16" s="302">
        <f>+'Componentes T.H.'!$T$6</f>
        <v>0</v>
      </c>
      <c r="KN16" s="1194">
        <f>+'Componentes T.H.'!$Q$6</f>
        <v>0</v>
      </c>
      <c r="KO16" s="1159"/>
      <c r="KP16" s="230">
        <f t="shared" ref="KP16" si="58">+KL16*KM16*KN16*KM11</f>
        <v>0</v>
      </c>
      <c r="KQ16" s="113"/>
      <c r="KR16" s="114"/>
      <c r="KS16" s="114"/>
      <c r="KT16" s="114"/>
      <c r="KU16" s="928">
        <f>+IF(KP16=0,0,KP16/KP$72)</f>
        <v>0</v>
      </c>
      <c r="KW16" s="95">
        <v>14</v>
      </c>
      <c r="KX16" s="1156" t="s">
        <v>1545</v>
      </c>
      <c r="KY16" s="300">
        <f t="shared" ref="KY16:KY20" si="59">+KK16</f>
        <v>0</v>
      </c>
      <c r="KZ16" s="301">
        <f>+VLOOKUP(KX13,'Cost x Depart'!$A$2:$AL$72,KW16,0)</f>
        <v>0</v>
      </c>
      <c r="LA16" s="302">
        <f>+'Componentes T.H.'!$T$6</f>
        <v>0</v>
      </c>
      <c r="LB16" s="1194">
        <f>+'Componentes T.H.'!$Q$6</f>
        <v>0</v>
      </c>
      <c r="LC16" s="1159"/>
      <c r="LD16" s="230">
        <f t="shared" ref="LD16" si="60">+KZ16*LA16*LB16*LA11</f>
        <v>0</v>
      </c>
      <c r="LE16" s="113"/>
      <c r="LF16" s="114"/>
      <c r="LG16" s="114"/>
      <c r="LH16" s="114"/>
      <c r="LI16" s="928">
        <f>+IF(LD16=0,0,LD16/LD$72)</f>
        <v>0</v>
      </c>
      <c r="LK16" s="95">
        <v>14</v>
      </c>
      <c r="LL16" s="1156" t="s">
        <v>1545</v>
      </c>
      <c r="LM16" s="300">
        <f t="shared" ref="LM16:LM20" si="61">+KY16</f>
        <v>0</v>
      </c>
      <c r="LN16" s="301">
        <f>+VLOOKUP(LL13,'Cost x Depart'!$A$2:$AL$72,LK16,0)</f>
        <v>0</v>
      </c>
      <c r="LO16" s="302">
        <f>+'Componentes T.H.'!$T$6</f>
        <v>0</v>
      </c>
      <c r="LP16" s="1194">
        <f>+'Componentes T.H.'!$Q$6</f>
        <v>0</v>
      </c>
      <c r="LQ16" s="1159"/>
      <c r="LR16" s="230">
        <f t="shared" ref="LR16" si="62">+LN16*LO16*LP16*LO11</f>
        <v>0</v>
      </c>
      <c r="LS16" s="113"/>
      <c r="LT16" s="114"/>
      <c r="LU16" s="114"/>
      <c r="LV16" s="114"/>
      <c r="LW16" s="928">
        <f>+IF(LR16=0,0,LR16/LR$72)</f>
        <v>0</v>
      </c>
      <c r="LY16" s="95">
        <v>14</v>
      </c>
      <c r="LZ16" s="1156" t="s">
        <v>1545</v>
      </c>
      <c r="MA16" s="300">
        <f t="shared" ref="MA16:MA20" si="63">+LM16</f>
        <v>0</v>
      </c>
      <c r="MB16" s="301">
        <f>+VLOOKUP(LZ13,'Cost x Depart'!$A$2:$AL$72,LY16,0)</f>
        <v>0</v>
      </c>
      <c r="MC16" s="302">
        <f>+'Componentes T.H.'!$T$6</f>
        <v>0</v>
      </c>
      <c r="MD16" s="1194">
        <f>+'Componentes T.H.'!$Q$6</f>
        <v>0</v>
      </c>
      <c r="ME16" s="1159"/>
      <c r="MF16" s="230">
        <f t="shared" ref="MF16" si="64">+MB16*MC16*MD16*MC11</f>
        <v>0</v>
      </c>
      <c r="MG16" s="113"/>
      <c r="MH16" s="114"/>
      <c r="MI16" s="114"/>
      <c r="MJ16" s="114"/>
      <c r="MK16" s="928">
        <f>+IF(MF16=0,0,MF16/MF$72)</f>
        <v>0</v>
      </c>
      <c r="MM16" s="95">
        <v>14</v>
      </c>
      <c r="MN16" s="1156" t="s">
        <v>1545</v>
      </c>
      <c r="MO16" s="300">
        <f t="shared" ref="MO16:MO20" si="65">+MA16</f>
        <v>0</v>
      </c>
      <c r="MP16" s="301">
        <f>+VLOOKUP(MN13,'Cost x Depart'!$A$2:$AL$72,MM16,0)</f>
        <v>0</v>
      </c>
      <c r="MQ16" s="302">
        <f>+'Componentes T.H.'!$T$6</f>
        <v>0</v>
      </c>
      <c r="MR16" s="1194">
        <f>+'Componentes T.H.'!$Q$6</f>
        <v>0</v>
      </c>
      <c r="MS16" s="1159"/>
      <c r="MT16" s="230">
        <f t="shared" ref="MT16" si="66">+MP16*MQ16*MR16*MQ11</f>
        <v>0</v>
      </c>
      <c r="MU16" s="113"/>
      <c r="MV16" s="114"/>
      <c r="MW16" s="114"/>
      <c r="MX16" s="114"/>
      <c r="MY16" s="928">
        <f>+IF(MT16=0,0,MT16/MT$72)</f>
        <v>0</v>
      </c>
      <c r="NA16" s="95">
        <v>14</v>
      </c>
      <c r="NB16" s="1156" t="s">
        <v>1545</v>
      </c>
      <c r="NC16" s="300">
        <f t="shared" ref="NC16:NC20" si="67">+MO16</f>
        <v>0</v>
      </c>
      <c r="ND16" s="301">
        <f>+VLOOKUP(NB13,'Cost x Depart'!$A$2:$AL$72,NA16,0)</f>
        <v>0</v>
      </c>
      <c r="NE16" s="302">
        <f>+'Componentes T.H.'!$T$6</f>
        <v>0</v>
      </c>
      <c r="NF16" s="1194">
        <f>+'Componentes T.H.'!$Q$6</f>
        <v>0</v>
      </c>
      <c r="NG16" s="1159"/>
      <c r="NH16" s="230">
        <f t="shared" ref="NH16" si="68">+ND16*NE16*NF16*NE11</f>
        <v>0</v>
      </c>
      <c r="NI16" s="113"/>
      <c r="NJ16" s="114"/>
      <c r="NK16" s="114"/>
      <c r="NL16" s="114"/>
      <c r="NM16" s="928">
        <f>+IF(NH16=0,0,NH16/NH$72)</f>
        <v>0</v>
      </c>
      <c r="NO16" s="95">
        <v>14</v>
      </c>
      <c r="NP16" s="1156" t="s">
        <v>1545</v>
      </c>
      <c r="NQ16" s="300">
        <f t="shared" ref="NQ16:NQ20" si="69">+NC16</f>
        <v>0</v>
      </c>
      <c r="NR16" s="301">
        <f>+VLOOKUP(NP13,'Cost x Depart'!$A$2:$AL$72,NO16,0)</f>
        <v>0</v>
      </c>
      <c r="NS16" s="302">
        <f>+'Componentes T.H.'!$T$6</f>
        <v>0</v>
      </c>
      <c r="NT16" s="1194">
        <f>+'Componentes T.H.'!$Q$6</f>
        <v>0</v>
      </c>
      <c r="NU16" s="1159"/>
      <c r="NV16" s="230">
        <f t="shared" ref="NV16" si="70">+NR16*NS16*NT16*NS11</f>
        <v>0</v>
      </c>
      <c r="NW16" s="113"/>
      <c r="NX16" s="114"/>
      <c r="NY16" s="114"/>
      <c r="NZ16" s="114"/>
      <c r="OA16" s="928">
        <f>+IF(NV16=0,0,NV16/NV$72)</f>
        <v>0</v>
      </c>
      <c r="OC16" s="95">
        <v>14</v>
      </c>
      <c r="OD16" s="1156" t="s">
        <v>1545</v>
      </c>
      <c r="OE16" s="300">
        <f t="shared" ref="OE16:OE20" si="71">+NQ16</f>
        <v>0</v>
      </c>
      <c r="OF16" s="301">
        <f>+VLOOKUP(OD13,'Cost x Depart'!$A$2:$AL$72,OC16,0)</f>
        <v>0</v>
      </c>
      <c r="OG16" s="302">
        <f>+'Componentes T.H.'!$T$6</f>
        <v>0</v>
      </c>
      <c r="OH16" s="1194">
        <f>+'Componentes T.H.'!$Q$6</f>
        <v>0</v>
      </c>
      <c r="OI16" s="1159"/>
      <c r="OJ16" s="230">
        <f t="shared" ref="OJ16" si="72">+OF16*OG16*OH16*OG11</f>
        <v>0</v>
      </c>
      <c r="OK16" s="113"/>
      <c r="OL16" s="114"/>
      <c r="OM16" s="114"/>
      <c r="ON16" s="114"/>
      <c r="OO16" s="928">
        <f>+IF(OJ16=0,0,OJ16/OJ$72)</f>
        <v>0</v>
      </c>
      <c r="OQ16" s="95">
        <v>14</v>
      </c>
      <c r="OR16" s="1156" t="s">
        <v>1545</v>
      </c>
      <c r="OS16" s="300">
        <f t="shared" ref="OS16:OS20" si="73">+OE16</f>
        <v>0</v>
      </c>
      <c r="OT16" s="301">
        <f>+VLOOKUP(OR13,'Cost x Depart'!$A$2:$AL$72,OQ16,0)</f>
        <v>0</v>
      </c>
      <c r="OU16" s="302">
        <f>+'Componentes T.H.'!$T$6</f>
        <v>0</v>
      </c>
      <c r="OV16" s="1194">
        <f>+'Componentes T.H.'!$Q$6</f>
        <v>0</v>
      </c>
      <c r="OW16" s="1159"/>
      <c r="OX16" s="230">
        <f t="shared" ref="OX16" si="74">+OT16*OU16*OV16*OU11</f>
        <v>0</v>
      </c>
      <c r="OY16" s="113"/>
      <c r="OZ16" s="114"/>
      <c r="PA16" s="114"/>
      <c r="PB16" s="114"/>
      <c r="PC16" s="928">
        <f>+IF(OX16=0,0,OX16/OX$72)</f>
        <v>0</v>
      </c>
      <c r="PE16" s="95">
        <v>14</v>
      </c>
      <c r="PF16" s="1156" t="s">
        <v>1545</v>
      </c>
      <c r="PG16" s="300">
        <f t="shared" ref="PG16:PG20" si="75">+OS16</f>
        <v>0</v>
      </c>
      <c r="PH16" s="301">
        <f>+VLOOKUP(PF13,'Cost x Depart'!$A$2:$AL$72,PE16,0)</f>
        <v>0</v>
      </c>
      <c r="PI16" s="302">
        <f>+'Componentes T.H.'!$T$6</f>
        <v>0</v>
      </c>
      <c r="PJ16" s="1194">
        <f>+'Componentes T.H.'!$Q$6</f>
        <v>0</v>
      </c>
      <c r="PK16" s="1159"/>
      <c r="PL16" s="230">
        <f t="shared" ref="PL16" si="76">+PH16*PI16*PJ16*PI11</f>
        <v>0</v>
      </c>
      <c r="PM16" s="113"/>
      <c r="PN16" s="114"/>
      <c r="PO16" s="114"/>
      <c r="PP16" s="114"/>
      <c r="PQ16" s="928">
        <f>+IF(PL16=0,0,PL16/PL$72)</f>
        <v>0</v>
      </c>
      <c r="PS16" s="95">
        <v>14</v>
      </c>
      <c r="PT16" s="1156" t="s">
        <v>1545</v>
      </c>
      <c r="PU16" s="300">
        <f t="shared" ref="PU16:PU20" si="77">+PG16</f>
        <v>0</v>
      </c>
      <c r="PV16" s="301">
        <f>+VLOOKUP(PT13,'Cost x Depart'!$A$2:$AL$72,PS16,0)</f>
        <v>0</v>
      </c>
      <c r="PW16" s="302">
        <f>+'Componentes T.H.'!$T$6</f>
        <v>0</v>
      </c>
      <c r="PX16" s="1194">
        <f>+'Componentes T.H.'!$Q$6</f>
        <v>0</v>
      </c>
      <c r="PY16" s="1159"/>
      <c r="PZ16" s="230">
        <f t="shared" ref="PZ16" si="78">+PV16*PW16*PX16*PW11</f>
        <v>0</v>
      </c>
      <c r="QA16" s="113"/>
      <c r="QB16" s="114"/>
      <c r="QC16" s="114"/>
      <c r="QD16" s="114"/>
      <c r="QE16" s="928">
        <f>+IF(PZ16=0,0,PZ16/PZ$72)</f>
        <v>0</v>
      </c>
      <c r="QG16" s="95">
        <v>14</v>
      </c>
      <c r="QH16" s="1156" t="s">
        <v>1545</v>
      </c>
      <c r="QI16" s="300">
        <f t="shared" ref="QI16:QI20" si="79">+PU16</f>
        <v>0</v>
      </c>
      <c r="QJ16" s="301">
        <f>+VLOOKUP(QH13,'Cost x Depart'!$A$2:$AL$72,QG16,0)</f>
        <v>0</v>
      </c>
      <c r="QK16" s="302">
        <f>+'Componentes T.H.'!$T$6</f>
        <v>0</v>
      </c>
      <c r="QL16" s="1194">
        <f>+'Componentes T.H.'!$Q$6</f>
        <v>0</v>
      </c>
      <c r="QM16" s="1159"/>
      <c r="QN16" s="230">
        <f t="shared" ref="QN16" si="80">+QJ16*QK16*QL16*QK11</f>
        <v>0</v>
      </c>
      <c r="QO16" s="113"/>
      <c r="QP16" s="114"/>
      <c r="QQ16" s="114"/>
      <c r="QR16" s="114"/>
      <c r="QS16" s="928">
        <f>+IF(QN16=0,0,QN16/QN$72)</f>
        <v>0</v>
      </c>
      <c r="QU16" s="95">
        <v>14</v>
      </c>
      <c r="QV16" s="1156" t="s">
        <v>1545</v>
      </c>
      <c r="QW16" s="300">
        <f t="shared" ref="QW16:QW20" si="81">+QI16</f>
        <v>0</v>
      </c>
      <c r="QX16" s="301">
        <f>+VLOOKUP(QV13,'Cost x Depart'!$A$2:$AL$72,QU16,0)</f>
        <v>0</v>
      </c>
      <c r="QY16" s="302">
        <f>+'Componentes T.H.'!$T$6</f>
        <v>0</v>
      </c>
      <c r="QZ16" s="1194">
        <f>+'Componentes T.H.'!$Q$6</f>
        <v>0</v>
      </c>
      <c r="RA16" s="1159"/>
      <c r="RB16" s="230">
        <f t="shared" ref="RB16" si="82">+QX16*QY16*QZ16*QY11</f>
        <v>0</v>
      </c>
      <c r="RC16" s="113"/>
      <c r="RD16" s="114"/>
      <c r="RE16" s="114"/>
      <c r="RF16" s="114"/>
      <c r="RG16" s="928">
        <f>+IF(RB16=0,0,RB16/RB$72)</f>
        <v>0</v>
      </c>
      <c r="RI16" s="95">
        <v>14</v>
      </c>
      <c r="RJ16" s="1156" t="s">
        <v>1545</v>
      </c>
      <c r="RK16" s="300">
        <f t="shared" ref="RK16:RK20" si="83">+QW16</f>
        <v>0</v>
      </c>
      <c r="RL16" s="301">
        <f>+VLOOKUP(RJ13,'Cost x Depart'!$A$2:$AL$72,RI16,0)</f>
        <v>0</v>
      </c>
      <c r="RM16" s="302">
        <f>+'Componentes T.H.'!$T$6</f>
        <v>0</v>
      </c>
      <c r="RN16" s="1194">
        <f>+'Componentes T.H.'!$Q$6</f>
        <v>0</v>
      </c>
      <c r="RO16" s="1159"/>
      <c r="RP16" s="230">
        <f t="shared" ref="RP16" si="84">+RL16*RM16*RN16*RM11</f>
        <v>0</v>
      </c>
      <c r="RQ16" s="113"/>
      <c r="RR16" s="114"/>
      <c r="RS16" s="114"/>
      <c r="RT16" s="114"/>
      <c r="RU16" s="928">
        <f>+IF(RP16=0,0,RP16/RP$72)</f>
        <v>0</v>
      </c>
      <c r="RW16" s="95">
        <v>14</v>
      </c>
      <c r="RX16" s="1156" t="s">
        <v>1545</v>
      </c>
      <c r="RY16" s="300">
        <f t="shared" ref="RY16:RY20" si="85">+RK16</f>
        <v>0</v>
      </c>
      <c r="RZ16" s="301">
        <f>+VLOOKUP(RX13,'Cost x Depart'!$A$2:$AL$72,RW16,0)</f>
        <v>0</v>
      </c>
      <c r="SA16" s="302">
        <f>+'Componentes T.H.'!$T$6</f>
        <v>0</v>
      </c>
      <c r="SB16" s="1194">
        <f>+'Componentes T.H.'!$Q$6</f>
        <v>0</v>
      </c>
      <c r="SC16" s="1159"/>
      <c r="SD16" s="230">
        <f t="shared" ref="SD16" si="86">+RZ16*SA16*SB16*SA11</f>
        <v>0</v>
      </c>
      <c r="SE16" s="113"/>
      <c r="SF16" s="114"/>
      <c r="SG16" s="114"/>
      <c r="SH16" s="114"/>
      <c r="SI16" s="928">
        <f>+IF(SD16=0,0,SD16/SD$72)</f>
        <v>0</v>
      </c>
      <c r="SK16" s="95">
        <v>14</v>
      </c>
      <c r="SL16" s="1156" t="s">
        <v>1545</v>
      </c>
      <c r="SM16" s="300">
        <f t="shared" ref="SM16:SM20" si="87">+RY16</f>
        <v>0</v>
      </c>
      <c r="SN16" s="301">
        <f>+VLOOKUP(SL13,'Cost x Depart'!$A$2:$AL$72,SK16,0)</f>
        <v>0</v>
      </c>
      <c r="SO16" s="302">
        <f>+'Componentes T.H.'!$T$6</f>
        <v>0</v>
      </c>
      <c r="SP16" s="1194">
        <f>+'Componentes T.H.'!$Q$6</f>
        <v>0</v>
      </c>
      <c r="SQ16" s="1159"/>
      <c r="SR16" s="230">
        <f t="shared" ref="SR16" si="88">+SN16*SO16*SP16*SO11</f>
        <v>0</v>
      </c>
      <c r="SS16" s="113"/>
      <c r="ST16" s="114"/>
      <c r="SU16" s="114"/>
      <c r="SV16" s="114"/>
      <c r="SW16" s="928">
        <f>+IF(SR16=0,0,SR16/SR$72)</f>
        <v>0</v>
      </c>
      <c r="SY16" s="95">
        <v>10</v>
      </c>
      <c r="SZ16" s="1156" t="s">
        <v>1545</v>
      </c>
      <c r="TA16" s="300">
        <f t="shared" ref="TA16:TA20" si="89">+RY16</f>
        <v>0</v>
      </c>
      <c r="TB16" s="301">
        <f t="shared" ref="TB16:TB20" si="90">+D16+R16+AT16+BH16+BV16+CJ16+CX16+DL16+DZ16+EN16+FB16+FP16+GD16+GR16+HF16+HT16+IH16+IV16+JX16+KL16+KZ16+LN16+MB16+MP16+ND16+NR16+OF16+OT16+PH16+PV16+QJ16+QX16+RL16+RZ16+SN16</f>
        <v>0</v>
      </c>
      <c r="TC16" s="302">
        <f>+'Componentes T.H.'!$T$6</f>
        <v>0</v>
      </c>
      <c r="TD16" s="1194">
        <f>+'Componentes T.H.'!$Q$6</f>
        <v>0</v>
      </c>
      <c r="TE16" s="1159"/>
      <c r="TF16" s="721">
        <f>+TB16*TC16*TD16*TC11</f>
        <v>0</v>
      </c>
      <c r="TG16" s="113"/>
      <c r="TH16" s="114"/>
      <c r="TI16" s="114"/>
      <c r="TJ16" s="114"/>
      <c r="TK16" s="928">
        <f>+IF(TF16=0,0,TF16/TF$72)</f>
        <v>0</v>
      </c>
      <c r="TM16" s="937"/>
      <c r="TN16" s="725"/>
    </row>
    <row r="17" spans="1:534" ht="15.75" customHeight="1">
      <c r="A17" s="95">
        <v>15</v>
      </c>
      <c r="B17" s="1157"/>
      <c r="C17" s="173">
        <f>+'Componentes T.H.'!B7</f>
        <v>0</v>
      </c>
      <c r="D17" s="115">
        <f>+VLOOKUP(B13,'Cost x Depart'!$A$2:$AL$72,A17,0)</f>
        <v>0</v>
      </c>
      <c r="E17" s="100">
        <f>+'Componentes T.H.'!$T$7</f>
        <v>0</v>
      </c>
      <c r="F17" s="1161">
        <f>+'Componentes T.H.'!$Q$7</f>
        <v>0</v>
      </c>
      <c r="G17" s="1162"/>
      <c r="H17" s="231">
        <f>+D17*E17*F17*E11</f>
        <v>0</v>
      </c>
      <c r="I17" s="113"/>
      <c r="J17" s="114"/>
      <c r="K17" s="114"/>
      <c r="L17" s="114"/>
      <c r="M17" s="929">
        <f>+IF(H17=0,0,H17/H$72)</f>
        <v>0</v>
      </c>
      <c r="O17" s="95">
        <v>15</v>
      </c>
      <c r="P17" s="1157"/>
      <c r="Q17" s="173"/>
      <c r="R17" s="115"/>
      <c r="S17" s="100"/>
      <c r="T17" s="1165"/>
      <c r="U17" s="1161"/>
      <c r="V17" s="231"/>
      <c r="W17" s="113"/>
      <c r="X17" s="114"/>
      <c r="Y17" s="114"/>
      <c r="Z17" s="114"/>
      <c r="AA17" s="929"/>
      <c r="AC17" s="95">
        <v>11</v>
      </c>
      <c r="AD17" s="1157"/>
      <c r="AE17" s="173"/>
      <c r="AF17" s="115"/>
      <c r="AG17" s="100"/>
      <c r="AH17" s="1165"/>
      <c r="AI17" s="1161"/>
      <c r="AJ17" s="231"/>
      <c r="AK17" s="113"/>
      <c r="AL17" s="114"/>
      <c r="AM17" s="114"/>
      <c r="AN17" s="114"/>
      <c r="AO17" s="929"/>
      <c r="AQ17" s="95">
        <v>15</v>
      </c>
      <c r="AR17" s="1157"/>
      <c r="AS17" s="173">
        <f t="shared" ref="AS17:AS20" si="91">+C17</f>
        <v>0</v>
      </c>
      <c r="AT17" s="115">
        <f>+VLOOKUP(AR13,'Cost x Depart'!$A$2:$AL$72,AQ17,0)</f>
        <v>0</v>
      </c>
      <c r="AU17" s="100">
        <f>+'Componentes T.H.'!$T$7</f>
        <v>0</v>
      </c>
      <c r="AV17" s="1165">
        <f>+'Componentes T.H.'!$Q$7</f>
        <v>0</v>
      </c>
      <c r="AW17" s="1161"/>
      <c r="AX17" s="231">
        <f t="shared" ref="AX17" si="92">+AT17*AU17*AV17*AU11</f>
        <v>0</v>
      </c>
      <c r="AY17" s="113"/>
      <c r="AZ17" s="114"/>
      <c r="BA17" s="114"/>
      <c r="BB17" s="114"/>
      <c r="BC17" s="929">
        <f>+IF(AX17=0,0,AX17/AX$72)</f>
        <v>0</v>
      </c>
      <c r="BE17" s="95">
        <v>15</v>
      </c>
      <c r="BF17" s="1157"/>
      <c r="BG17" s="173">
        <f t="shared" si="29"/>
        <v>0</v>
      </c>
      <c r="BH17" s="115">
        <f>+VLOOKUP(BF13,'Cost x Depart'!$A$2:$AL$72,BE17,0)</f>
        <v>0</v>
      </c>
      <c r="BI17" s="100">
        <f>+'Componentes T.H.'!$T$7</f>
        <v>0</v>
      </c>
      <c r="BJ17" s="1165">
        <f>+'Componentes T.H.'!$Q$7</f>
        <v>0</v>
      </c>
      <c r="BK17" s="1161"/>
      <c r="BL17" s="231">
        <f t="shared" ref="BL17" si="93">+BH17*BI17*BJ17*BI11</f>
        <v>0</v>
      </c>
      <c r="BM17" s="113"/>
      <c r="BN17" s="114"/>
      <c r="BO17" s="114"/>
      <c r="BP17" s="114"/>
      <c r="BQ17" s="929">
        <f>+IF(BL17=0,0,BL17/BL$72)</f>
        <v>0</v>
      </c>
      <c r="BS17" s="95">
        <v>15</v>
      </c>
      <c r="BT17" s="1157"/>
      <c r="BU17" s="173">
        <f t="shared" si="31"/>
        <v>0</v>
      </c>
      <c r="BV17" s="115">
        <f>+VLOOKUP(BT13,'Cost x Depart'!$A$2:$AL$72,BS17,0)</f>
        <v>0</v>
      </c>
      <c r="BW17" s="100">
        <f>+'Componentes T.H.'!$T$7</f>
        <v>0</v>
      </c>
      <c r="BX17" s="1165">
        <f>+'Componentes T.H.'!$Q$7</f>
        <v>0</v>
      </c>
      <c r="BY17" s="1161"/>
      <c r="BZ17" s="231">
        <f t="shared" ref="BZ17" si="94">+BV17*BW17*BX17*BW11</f>
        <v>0</v>
      </c>
      <c r="CA17" s="113"/>
      <c r="CB17" s="114"/>
      <c r="CC17" s="114"/>
      <c r="CD17" s="114"/>
      <c r="CE17" s="929">
        <f>+IF(BZ17=0,0,BZ17/BZ$72)</f>
        <v>0</v>
      </c>
      <c r="CG17" s="95">
        <v>15</v>
      </c>
      <c r="CH17" s="1157"/>
      <c r="CI17" s="173">
        <f t="shared" si="33"/>
        <v>0</v>
      </c>
      <c r="CJ17" s="115">
        <f>+VLOOKUP(CH13,'Cost x Depart'!$A$2:$AL$72,CG17,0)</f>
        <v>0</v>
      </c>
      <c r="CK17" s="100">
        <f>+'Componentes T.H.'!$T$7</f>
        <v>0</v>
      </c>
      <c r="CL17" s="1165">
        <f>+'Componentes T.H.'!$Q$7</f>
        <v>0</v>
      </c>
      <c r="CM17" s="1161"/>
      <c r="CN17" s="231">
        <f t="shared" ref="CN17" si="95">+CJ17*CK17*CL17*CK11</f>
        <v>0</v>
      </c>
      <c r="CO17" s="113"/>
      <c r="CP17" s="114"/>
      <c r="CQ17" s="114"/>
      <c r="CR17" s="114"/>
      <c r="CS17" s="929">
        <f>+IF(CN17=0,0,CN17/CN$72)</f>
        <v>0</v>
      </c>
      <c r="CU17" s="95">
        <v>15</v>
      </c>
      <c r="CV17" s="1157"/>
      <c r="CW17" s="173">
        <f t="shared" si="35"/>
        <v>0</v>
      </c>
      <c r="CX17" s="115">
        <f>+VLOOKUP(CV13,'Cost x Depart'!$A$2:$AL$72,CU17,0)</f>
        <v>0</v>
      </c>
      <c r="CY17" s="100">
        <f>+'Componentes T.H.'!$T$7</f>
        <v>0</v>
      </c>
      <c r="CZ17" s="1165">
        <f>+'Componentes T.H.'!$Q$7</f>
        <v>0</v>
      </c>
      <c r="DA17" s="1161"/>
      <c r="DB17" s="231">
        <f t="shared" ref="DB17" si="96">+CX17*CY17*CZ17*CY11</f>
        <v>0</v>
      </c>
      <c r="DC17" s="113"/>
      <c r="DD17" s="114"/>
      <c r="DE17" s="114"/>
      <c r="DF17" s="114"/>
      <c r="DG17" s="929">
        <f>+IF(DB17=0,0,DB17/DB$72)</f>
        <v>0</v>
      </c>
      <c r="DI17" s="95">
        <v>15</v>
      </c>
      <c r="DJ17" s="1157"/>
      <c r="DK17" s="173">
        <f t="shared" si="37"/>
        <v>0</v>
      </c>
      <c r="DL17" s="115">
        <f>+VLOOKUP(DJ13,'Cost x Depart'!$A$2:$AL$72,DI17,0)</f>
        <v>0</v>
      </c>
      <c r="DM17" s="100">
        <f>+'Componentes T.H.'!$T$7</f>
        <v>0</v>
      </c>
      <c r="DN17" s="1165">
        <f>+'Componentes T.H.'!$Q$7</f>
        <v>0</v>
      </c>
      <c r="DO17" s="1161"/>
      <c r="DP17" s="231">
        <f t="shared" ref="DP17" si="97">+DL17*DM17*DN17*DM11</f>
        <v>0</v>
      </c>
      <c r="DQ17" s="113"/>
      <c r="DR17" s="114"/>
      <c r="DS17" s="114"/>
      <c r="DT17" s="114"/>
      <c r="DU17" s="929">
        <f>+IF(DP17=0,0,DP17/DP$72)</f>
        <v>0</v>
      </c>
      <c r="DW17" s="95">
        <v>15</v>
      </c>
      <c r="DX17" s="1157"/>
      <c r="DY17" s="173">
        <f t="shared" si="39"/>
        <v>0</v>
      </c>
      <c r="DZ17" s="115">
        <f>+VLOOKUP(DX13,'Cost x Depart'!$A$2:$AL$72,DW17,0)</f>
        <v>0</v>
      </c>
      <c r="EA17" s="100">
        <f>+'Componentes T.H.'!$T$7</f>
        <v>0</v>
      </c>
      <c r="EB17" s="1165">
        <f>+'Componentes T.H.'!$Q$7</f>
        <v>0</v>
      </c>
      <c r="EC17" s="1161"/>
      <c r="ED17" s="231">
        <f t="shared" ref="ED17" si="98">+DZ17*EA17*EB17*EA11</f>
        <v>0</v>
      </c>
      <c r="EE17" s="113"/>
      <c r="EF17" s="114"/>
      <c r="EG17" s="114"/>
      <c r="EH17" s="114"/>
      <c r="EI17" s="929">
        <f>+IF(ED17=0,0,ED17/ED$72)</f>
        <v>0</v>
      </c>
      <c r="EK17" s="95">
        <v>15</v>
      </c>
      <c r="EL17" s="1157"/>
      <c r="EM17" s="173">
        <f t="shared" si="41"/>
        <v>0</v>
      </c>
      <c r="EN17" s="115">
        <f>+VLOOKUP(EL13,'Cost x Depart'!$A$2:$AL$72,EK17,0)</f>
        <v>0</v>
      </c>
      <c r="EO17" s="100">
        <f>+'Componentes T.H.'!$T$7</f>
        <v>0</v>
      </c>
      <c r="EP17" s="1165">
        <f>+'Componentes T.H.'!$Q$7</f>
        <v>0</v>
      </c>
      <c r="EQ17" s="1161"/>
      <c r="ER17" s="231">
        <f t="shared" ref="ER17" si="99">+EN17*EO17*EP17*EO11</f>
        <v>0</v>
      </c>
      <c r="ES17" s="929">
        <f>+IF(EN17=0,0,EN17/EN$72)</f>
        <v>0</v>
      </c>
      <c r="ET17" s="114"/>
      <c r="EU17" s="114"/>
      <c r="EV17" s="114"/>
      <c r="EW17" s="929">
        <f>+IF(ER17=0,0,ER17/ER$72)</f>
        <v>0</v>
      </c>
      <c r="EY17" s="95">
        <v>15</v>
      </c>
      <c r="EZ17" s="1157"/>
      <c r="FA17" s="173">
        <f t="shared" si="43"/>
        <v>0</v>
      </c>
      <c r="FB17" s="115">
        <f>+VLOOKUP(EZ13,'Cost x Depart'!$A$2:$AL$72,EY17,0)</f>
        <v>0</v>
      </c>
      <c r="FC17" s="100">
        <f>+'Componentes T.H.'!$T$7</f>
        <v>0</v>
      </c>
      <c r="FD17" s="1165">
        <f>+'Componentes T.H.'!$Q$7</f>
        <v>0</v>
      </c>
      <c r="FE17" s="1161"/>
      <c r="FF17" s="231">
        <f t="shared" ref="FF17" si="100">+FB17*FC17*FD17*FC11</f>
        <v>0</v>
      </c>
      <c r="FG17" s="113"/>
      <c r="FH17" s="114"/>
      <c r="FI17" s="114"/>
      <c r="FJ17" s="114"/>
      <c r="FK17" s="929">
        <f>+IF(FF17=0,0,FF17/FF$72)</f>
        <v>0</v>
      </c>
      <c r="FM17" s="95">
        <v>15</v>
      </c>
      <c r="FN17" s="1157"/>
      <c r="FO17" s="173">
        <f t="shared" si="45"/>
        <v>0</v>
      </c>
      <c r="FP17" s="115">
        <f>+VLOOKUP(FN13,'Cost x Depart'!$A$2:$AL$72,FM17,0)</f>
        <v>0</v>
      </c>
      <c r="FQ17" s="100">
        <f>+'Componentes T.H.'!$T$7</f>
        <v>0</v>
      </c>
      <c r="FR17" s="1165">
        <f>+'Componentes T.H.'!$Q$7</f>
        <v>0</v>
      </c>
      <c r="FS17" s="1161"/>
      <c r="FT17" s="231">
        <f t="shared" ref="FT17" si="101">+FP17*FQ17*FR17*FQ11</f>
        <v>0</v>
      </c>
      <c r="FU17" s="113"/>
      <c r="FV17" s="114"/>
      <c r="FW17" s="114"/>
      <c r="FX17" s="114"/>
      <c r="FY17" s="929">
        <f>+IF(FT17=0,0,FT17/FT$72)</f>
        <v>0</v>
      </c>
      <c r="GA17" s="95">
        <v>15</v>
      </c>
      <c r="GB17" s="1157"/>
      <c r="GC17" s="173">
        <f t="shared" si="47"/>
        <v>0</v>
      </c>
      <c r="GD17" s="115">
        <f>+VLOOKUP(GB13,'Cost x Depart'!$A$2:$AL$72,GA17,0)</f>
        <v>0</v>
      </c>
      <c r="GE17" s="100">
        <f>+'Componentes T.H.'!$T$7</f>
        <v>0</v>
      </c>
      <c r="GF17" s="1165">
        <f>+'Componentes T.H.'!$Q$7</f>
        <v>0</v>
      </c>
      <c r="GG17" s="1161"/>
      <c r="GH17" s="231">
        <f t="shared" ref="GH17" si="102">+GD17*GE17*GF17*GE11</f>
        <v>0</v>
      </c>
      <c r="GI17" s="113"/>
      <c r="GJ17" s="114"/>
      <c r="GK17" s="114"/>
      <c r="GL17" s="114"/>
      <c r="GM17" s="929">
        <f>+IF(GH17=0,0,GH17/GH$72)</f>
        <v>0</v>
      </c>
      <c r="GO17" s="95">
        <v>15</v>
      </c>
      <c r="GP17" s="1157"/>
      <c r="GQ17" s="173">
        <f t="shared" si="49"/>
        <v>0</v>
      </c>
      <c r="GR17" s="115">
        <f>+VLOOKUP(GP13,'Cost x Depart'!$A$2:$AL$72,GO17,0)</f>
        <v>0</v>
      </c>
      <c r="GS17" s="100">
        <f>+'Componentes T.H.'!$T$7</f>
        <v>0</v>
      </c>
      <c r="GT17" s="1165">
        <f>+'Componentes T.H.'!$Q$7</f>
        <v>0</v>
      </c>
      <c r="GU17" s="1161"/>
      <c r="GV17" s="231">
        <f t="shared" ref="GV17" si="103">+GR17*GS17*GT17*GS11</f>
        <v>0</v>
      </c>
      <c r="GW17" s="113"/>
      <c r="GX17" s="114"/>
      <c r="GY17" s="114"/>
      <c r="GZ17" s="114"/>
      <c r="HA17" s="929">
        <f>+IF(GV17=0,0,GV17/GV$72)</f>
        <v>0</v>
      </c>
      <c r="HC17" s="95">
        <v>15</v>
      </c>
      <c r="HD17" s="1157"/>
      <c r="HE17" s="173">
        <f t="shared" si="51"/>
        <v>0</v>
      </c>
      <c r="HF17" s="115">
        <f>+VLOOKUP(HD13,'Cost x Depart'!$A$2:$AL$72,HC17,0)</f>
        <v>0</v>
      </c>
      <c r="HG17" s="100">
        <f>+'Componentes T.H.'!$T$7</f>
        <v>0</v>
      </c>
      <c r="HH17" s="1165">
        <f>+'Componentes T.H.'!$Q$7</f>
        <v>0</v>
      </c>
      <c r="HI17" s="1161"/>
      <c r="HJ17" s="231">
        <f t="shared" ref="HJ17" si="104">+HF17*HG17*HH17*HG11</f>
        <v>0</v>
      </c>
      <c r="HK17" s="113"/>
      <c r="HL17" s="114"/>
      <c r="HM17" s="114"/>
      <c r="HN17" s="114"/>
      <c r="HO17" s="929">
        <f>+IF(HJ17=0,0,HJ17/HJ$72)</f>
        <v>0</v>
      </c>
      <c r="HQ17" s="95">
        <v>15</v>
      </c>
      <c r="HR17" s="1157"/>
      <c r="HS17" s="173">
        <f t="shared" si="53"/>
        <v>0</v>
      </c>
      <c r="HT17" s="115">
        <f>+VLOOKUP(HR13,'Cost x Depart'!$A$2:$AL$72,HQ17,0)</f>
        <v>0</v>
      </c>
      <c r="HU17" s="100">
        <f>+'Componentes T.H.'!$T$7</f>
        <v>0</v>
      </c>
      <c r="HV17" s="1165">
        <f>+'Componentes T.H.'!$Q$7</f>
        <v>0</v>
      </c>
      <c r="HW17" s="1161"/>
      <c r="HX17" s="231">
        <f t="shared" ref="HX17" si="105">+HT17*HU17*HV17*HU11</f>
        <v>0</v>
      </c>
      <c r="HY17" s="929">
        <f t="shared" ref="HY17:HY20" si="106">+IF(HT17=0,0,HT17/HT$70)</f>
        <v>0</v>
      </c>
      <c r="HZ17" s="114"/>
      <c r="IA17" s="114"/>
      <c r="IB17" s="114"/>
      <c r="IC17" s="929">
        <f>+IF(HX17=0,0,HX17/HX$72)</f>
        <v>0</v>
      </c>
      <c r="IE17" s="95">
        <v>15</v>
      </c>
      <c r="IF17" s="1157"/>
      <c r="IG17" s="173"/>
      <c r="IH17" s="115"/>
      <c r="II17" s="100"/>
      <c r="IJ17" s="1165"/>
      <c r="IK17" s="1161"/>
      <c r="IL17" s="231"/>
      <c r="IM17" s="113"/>
      <c r="IN17" s="114"/>
      <c r="IO17" s="114"/>
      <c r="IP17" s="114"/>
      <c r="IQ17" s="929"/>
      <c r="IS17" s="95">
        <v>15</v>
      </c>
      <c r="IT17" s="1157"/>
      <c r="IU17" s="173"/>
      <c r="IV17" s="115"/>
      <c r="IW17" s="100"/>
      <c r="IX17" s="1165"/>
      <c r="IY17" s="1161"/>
      <c r="IZ17" s="231"/>
      <c r="JA17" s="113"/>
      <c r="JB17" s="114"/>
      <c r="JC17" s="114"/>
      <c r="JD17" s="114"/>
      <c r="JE17" s="929"/>
      <c r="JG17" s="95">
        <v>15</v>
      </c>
      <c r="JH17" s="1157"/>
      <c r="JI17" s="173">
        <f t="shared" ref="JI17:JI20" si="107">+HS17</f>
        <v>0</v>
      </c>
      <c r="JJ17" s="115">
        <f>+VLOOKUP(JH$13,'Cost x Depart'!$A$2:$AL$72,JG17,0)</f>
        <v>0</v>
      </c>
      <c r="JK17" s="100">
        <f>+'Componentes T.H.'!$T$7</f>
        <v>0</v>
      </c>
      <c r="JL17" s="1165">
        <f>+'Componentes T.H.'!$Q$7</f>
        <v>0</v>
      </c>
      <c r="JM17" s="1161"/>
      <c r="JN17" s="231">
        <f t="shared" ref="JN17" si="108">+JJ17*JK17*JL17*JK11</f>
        <v>0</v>
      </c>
      <c r="JO17" s="113"/>
      <c r="JP17" s="114"/>
      <c r="JQ17" s="114"/>
      <c r="JR17" s="114"/>
      <c r="JS17" s="929">
        <f>+IF(JN17=0,0,JN17/JN$72)</f>
        <v>0</v>
      </c>
      <c r="JU17" s="95">
        <v>15</v>
      </c>
      <c r="JV17" s="1157"/>
      <c r="JW17" s="173">
        <f t="shared" ref="JW17:JW20" si="109">+JI17</f>
        <v>0</v>
      </c>
      <c r="JX17" s="115">
        <f>+VLOOKUP(JV13,'Cost x Depart'!$A$2:$AL$72,JU17,0)</f>
        <v>0</v>
      </c>
      <c r="JY17" s="100">
        <f>+'Componentes T.H.'!$T$7</f>
        <v>0</v>
      </c>
      <c r="JZ17" s="1165">
        <f>+'Componentes T.H.'!$Q$7</f>
        <v>0</v>
      </c>
      <c r="KA17" s="1161"/>
      <c r="KB17" s="231">
        <f t="shared" ref="KB17" si="110">+JX17*JY17*JZ17*JY11</f>
        <v>0</v>
      </c>
      <c r="KC17" s="113"/>
      <c r="KD17" s="114"/>
      <c r="KE17" s="114"/>
      <c r="KF17" s="114"/>
      <c r="KG17" s="929">
        <f>+IF(KB17=0,0,KB17/KB$72)</f>
        <v>0</v>
      </c>
      <c r="KI17" s="95">
        <v>15</v>
      </c>
      <c r="KJ17" s="1157"/>
      <c r="KK17" s="173">
        <f t="shared" si="57"/>
        <v>0</v>
      </c>
      <c r="KL17" s="115">
        <f>+VLOOKUP(KJ13,'Cost x Depart'!$A$2:$AL$72,KI17,0)</f>
        <v>0</v>
      </c>
      <c r="KM17" s="100">
        <f>+'Componentes T.H.'!$T$7</f>
        <v>0</v>
      </c>
      <c r="KN17" s="1165">
        <f>+'Componentes T.H.'!$Q$7</f>
        <v>0</v>
      </c>
      <c r="KO17" s="1161"/>
      <c r="KP17" s="231">
        <f t="shared" ref="KP17" si="111">+KL17*KM17*KN17*KM11</f>
        <v>0</v>
      </c>
      <c r="KQ17" s="113"/>
      <c r="KR17" s="114"/>
      <c r="KS17" s="114"/>
      <c r="KT17" s="114"/>
      <c r="KU17" s="929">
        <f>+IF(KP17=0,0,KP17/KP$72)</f>
        <v>0</v>
      </c>
      <c r="KW17" s="95">
        <v>15</v>
      </c>
      <c r="KX17" s="1157"/>
      <c r="KY17" s="173">
        <f t="shared" si="59"/>
        <v>0</v>
      </c>
      <c r="KZ17" s="115">
        <f>+VLOOKUP(KX13,'Cost x Depart'!$A$2:$AL$72,KW17,0)</f>
        <v>0</v>
      </c>
      <c r="LA17" s="100">
        <f>+'Componentes T.H.'!$T$7</f>
        <v>0</v>
      </c>
      <c r="LB17" s="1165">
        <f>+'Componentes T.H.'!$Q$7</f>
        <v>0</v>
      </c>
      <c r="LC17" s="1161"/>
      <c r="LD17" s="231">
        <f t="shared" ref="LD17" si="112">+KZ17*LA17*LB17*LA11</f>
        <v>0</v>
      </c>
      <c r="LE17" s="113"/>
      <c r="LF17" s="114"/>
      <c r="LG17" s="114"/>
      <c r="LH17" s="114"/>
      <c r="LI17" s="929">
        <f>+IF(LD17=0,0,LD17/LD$72)</f>
        <v>0</v>
      </c>
      <c r="LK17" s="95">
        <v>15</v>
      </c>
      <c r="LL17" s="1157"/>
      <c r="LM17" s="173">
        <f t="shared" si="61"/>
        <v>0</v>
      </c>
      <c r="LN17" s="115">
        <f>+VLOOKUP(LL13,'Cost x Depart'!$A$2:$AL$72,LK17,0)</f>
        <v>0</v>
      </c>
      <c r="LO17" s="100">
        <f>+'Componentes T.H.'!$T$7</f>
        <v>0</v>
      </c>
      <c r="LP17" s="1165">
        <f>+'Componentes T.H.'!$Q$7</f>
        <v>0</v>
      </c>
      <c r="LQ17" s="1161"/>
      <c r="LR17" s="231">
        <f t="shared" ref="LR17" si="113">+LN17*LO17*LP17*LO11</f>
        <v>0</v>
      </c>
      <c r="LS17" s="113"/>
      <c r="LT17" s="114"/>
      <c r="LU17" s="114"/>
      <c r="LV17" s="114"/>
      <c r="LW17" s="929">
        <f>+IF(LR17=0,0,LR17/LR$72)</f>
        <v>0</v>
      </c>
      <c r="LY17" s="95">
        <v>15</v>
      </c>
      <c r="LZ17" s="1157"/>
      <c r="MA17" s="173">
        <f t="shared" si="63"/>
        <v>0</v>
      </c>
      <c r="MB17" s="115">
        <f>+VLOOKUP(LZ13,'Cost x Depart'!$A$2:$AL$72,LY17,0)</f>
        <v>0</v>
      </c>
      <c r="MC17" s="100">
        <f>+'Componentes T.H.'!$T$7</f>
        <v>0</v>
      </c>
      <c r="MD17" s="1165">
        <f>+'Componentes T.H.'!$Q$7</f>
        <v>0</v>
      </c>
      <c r="ME17" s="1161"/>
      <c r="MF17" s="231">
        <f t="shared" ref="MF17" si="114">+MB17*MC17*MD17*MC11</f>
        <v>0</v>
      </c>
      <c r="MG17" s="113"/>
      <c r="MH17" s="114"/>
      <c r="MI17" s="114"/>
      <c r="MJ17" s="114"/>
      <c r="MK17" s="929">
        <f>+IF(MF17=0,0,MF17/MF$72)</f>
        <v>0</v>
      </c>
      <c r="MM17" s="95">
        <v>15</v>
      </c>
      <c r="MN17" s="1157"/>
      <c r="MO17" s="173">
        <f t="shared" si="65"/>
        <v>0</v>
      </c>
      <c r="MP17" s="115">
        <f>+VLOOKUP(MN13,'Cost x Depart'!$A$2:$AL$72,MM17,0)</f>
        <v>0</v>
      </c>
      <c r="MQ17" s="100">
        <f>+'Componentes T.H.'!$T$7</f>
        <v>0</v>
      </c>
      <c r="MR17" s="1165">
        <f>+'Componentes T.H.'!$Q$7</f>
        <v>0</v>
      </c>
      <c r="MS17" s="1161"/>
      <c r="MT17" s="231">
        <f t="shared" ref="MT17" si="115">+MP17*MQ17*MR17*MQ11</f>
        <v>0</v>
      </c>
      <c r="MU17" s="113"/>
      <c r="MV17" s="114"/>
      <c r="MW17" s="114"/>
      <c r="MX17" s="114"/>
      <c r="MY17" s="929">
        <f>+IF(MT17=0,0,MT17/MT$72)</f>
        <v>0</v>
      </c>
      <c r="NA17" s="95">
        <v>15</v>
      </c>
      <c r="NB17" s="1157"/>
      <c r="NC17" s="173">
        <f t="shared" si="67"/>
        <v>0</v>
      </c>
      <c r="ND17" s="115">
        <f>+VLOOKUP(NB13,'Cost x Depart'!$A$2:$AL$72,NA17,0)</f>
        <v>0</v>
      </c>
      <c r="NE17" s="100">
        <f>+'Componentes T.H.'!$T$7</f>
        <v>0</v>
      </c>
      <c r="NF17" s="1165">
        <f>+'Componentes T.H.'!$Q$7</f>
        <v>0</v>
      </c>
      <c r="NG17" s="1161"/>
      <c r="NH17" s="231">
        <f t="shared" ref="NH17" si="116">+ND17*NE17*NF17*NE11</f>
        <v>0</v>
      </c>
      <c r="NI17" s="113"/>
      <c r="NJ17" s="114"/>
      <c r="NK17" s="114"/>
      <c r="NL17" s="114"/>
      <c r="NM17" s="929">
        <f>+IF(NH17=0,0,NH17/NH$72)</f>
        <v>0</v>
      </c>
      <c r="NO17" s="95">
        <v>15</v>
      </c>
      <c r="NP17" s="1157"/>
      <c r="NQ17" s="173">
        <f t="shared" si="69"/>
        <v>0</v>
      </c>
      <c r="NR17" s="115">
        <f>+VLOOKUP(NP13,'Cost x Depart'!$A$2:$AL$72,NO17,0)</f>
        <v>0</v>
      </c>
      <c r="NS17" s="100">
        <f>+'Componentes T.H.'!$T$7</f>
        <v>0</v>
      </c>
      <c r="NT17" s="1165">
        <f>+'Componentes T.H.'!$Q$7</f>
        <v>0</v>
      </c>
      <c r="NU17" s="1161"/>
      <c r="NV17" s="231">
        <f t="shared" ref="NV17" si="117">+NR17*NS17*NT17*NS11</f>
        <v>0</v>
      </c>
      <c r="NW17" s="113"/>
      <c r="NX17" s="114"/>
      <c r="NY17" s="114"/>
      <c r="NZ17" s="114"/>
      <c r="OA17" s="929">
        <f>+IF(NV17=0,0,NV17/NV$72)</f>
        <v>0</v>
      </c>
      <c r="OC17" s="95">
        <v>15</v>
      </c>
      <c r="OD17" s="1157"/>
      <c r="OE17" s="173">
        <f t="shared" si="71"/>
        <v>0</v>
      </c>
      <c r="OF17" s="115">
        <f>+VLOOKUP(OD13,'Cost x Depart'!$A$2:$AL$72,OC17,0)</f>
        <v>0</v>
      </c>
      <c r="OG17" s="100">
        <f>+'Componentes T.H.'!$T$7</f>
        <v>0</v>
      </c>
      <c r="OH17" s="1165">
        <f>+'Componentes T.H.'!$Q$7</f>
        <v>0</v>
      </c>
      <c r="OI17" s="1161"/>
      <c r="OJ17" s="231">
        <f t="shared" ref="OJ17" si="118">+OF17*OG17*OH17*OG11</f>
        <v>0</v>
      </c>
      <c r="OK17" s="113"/>
      <c r="OL17" s="114"/>
      <c r="OM17" s="114"/>
      <c r="ON17" s="114"/>
      <c r="OO17" s="929">
        <f>+IF(OJ17=0,0,OJ17/OJ$72)</f>
        <v>0</v>
      </c>
      <c r="OQ17" s="95">
        <v>15</v>
      </c>
      <c r="OR17" s="1157"/>
      <c r="OS17" s="173">
        <f t="shared" si="73"/>
        <v>0</v>
      </c>
      <c r="OT17" s="115">
        <f>+VLOOKUP(OR13,'Cost x Depart'!$A$2:$AL$72,OQ17,0)</f>
        <v>0</v>
      </c>
      <c r="OU17" s="100">
        <f>+'Componentes T.H.'!$T$7</f>
        <v>0</v>
      </c>
      <c r="OV17" s="1165">
        <f>+'Componentes T.H.'!$Q$7</f>
        <v>0</v>
      </c>
      <c r="OW17" s="1161"/>
      <c r="OX17" s="231">
        <f t="shared" ref="OX17" si="119">+OT17*OU17*OV17*OU11</f>
        <v>0</v>
      </c>
      <c r="OY17" s="113"/>
      <c r="OZ17" s="114"/>
      <c r="PA17" s="114"/>
      <c r="PB17" s="114"/>
      <c r="PC17" s="929">
        <f>+IF(OX17=0,0,OX17/OX$72)</f>
        <v>0</v>
      </c>
      <c r="PE17" s="95">
        <v>15</v>
      </c>
      <c r="PF17" s="1157"/>
      <c r="PG17" s="173">
        <f t="shared" si="75"/>
        <v>0</v>
      </c>
      <c r="PH17" s="115">
        <f>+VLOOKUP(PF13,'Cost x Depart'!$A$2:$AL$72,PE17,0)</f>
        <v>0</v>
      </c>
      <c r="PI17" s="100">
        <f>+'Componentes T.H.'!$T$7</f>
        <v>0</v>
      </c>
      <c r="PJ17" s="1165">
        <f>+'Componentes T.H.'!$Q$7</f>
        <v>0</v>
      </c>
      <c r="PK17" s="1161"/>
      <c r="PL17" s="231">
        <f t="shared" ref="PL17" si="120">+PH17*PI17*PJ17*PI11</f>
        <v>0</v>
      </c>
      <c r="PM17" s="113"/>
      <c r="PN17" s="114"/>
      <c r="PO17" s="114"/>
      <c r="PP17" s="114"/>
      <c r="PQ17" s="929">
        <f>+IF(PL17=0,0,PL17/PL$72)</f>
        <v>0</v>
      </c>
      <c r="PS17" s="95">
        <v>15</v>
      </c>
      <c r="PT17" s="1157"/>
      <c r="PU17" s="173">
        <f t="shared" si="77"/>
        <v>0</v>
      </c>
      <c r="PV17" s="115">
        <f>+VLOOKUP(PT13,'Cost x Depart'!$A$2:$AL$72,PS17,0)</f>
        <v>0</v>
      </c>
      <c r="PW17" s="100">
        <f>+'Componentes T.H.'!$T$7</f>
        <v>0</v>
      </c>
      <c r="PX17" s="1165">
        <f>+'Componentes T.H.'!$Q$7</f>
        <v>0</v>
      </c>
      <c r="PY17" s="1161"/>
      <c r="PZ17" s="231">
        <f t="shared" ref="PZ17" si="121">+PV17*PW17*PX17*PW11</f>
        <v>0</v>
      </c>
      <c r="QA17" s="113"/>
      <c r="QB17" s="114"/>
      <c r="QC17" s="114"/>
      <c r="QD17" s="114"/>
      <c r="QE17" s="929">
        <f>+IF(PZ17=0,0,PZ17/PZ$72)</f>
        <v>0</v>
      </c>
      <c r="QG17" s="95">
        <v>15</v>
      </c>
      <c r="QH17" s="1157"/>
      <c r="QI17" s="173">
        <f t="shared" si="79"/>
        <v>0</v>
      </c>
      <c r="QJ17" s="115">
        <f>+VLOOKUP(QH13,'Cost x Depart'!$A$2:$AL$72,QG17,0)</f>
        <v>0</v>
      </c>
      <c r="QK17" s="100">
        <f>+'Componentes T.H.'!$T$7</f>
        <v>0</v>
      </c>
      <c r="QL17" s="1165">
        <f>+'Componentes T.H.'!$Q$7</f>
        <v>0</v>
      </c>
      <c r="QM17" s="1161"/>
      <c r="QN17" s="231">
        <f t="shared" ref="QN17" si="122">+QJ17*QK17*QL17*QK11</f>
        <v>0</v>
      </c>
      <c r="QO17" s="113"/>
      <c r="QP17" s="114"/>
      <c r="QQ17" s="114"/>
      <c r="QR17" s="114"/>
      <c r="QS17" s="929">
        <f>+IF(QN17=0,0,QN17/QN$72)</f>
        <v>0</v>
      </c>
      <c r="QU17" s="95">
        <v>15</v>
      </c>
      <c r="QV17" s="1157"/>
      <c r="QW17" s="173">
        <f t="shared" si="81"/>
        <v>0</v>
      </c>
      <c r="QX17" s="115">
        <f>+VLOOKUP(QV13,'Cost x Depart'!$A$2:$AL$72,QU17,0)</f>
        <v>0</v>
      </c>
      <c r="QY17" s="100">
        <f>+'Componentes T.H.'!$T$7</f>
        <v>0</v>
      </c>
      <c r="QZ17" s="1165">
        <f>+'Componentes T.H.'!$Q$7</f>
        <v>0</v>
      </c>
      <c r="RA17" s="1161"/>
      <c r="RB17" s="231">
        <f t="shared" ref="RB17" si="123">+QX17*QY17*QZ17*QY11</f>
        <v>0</v>
      </c>
      <c r="RC17" s="113"/>
      <c r="RD17" s="114"/>
      <c r="RE17" s="114"/>
      <c r="RF17" s="114"/>
      <c r="RG17" s="929">
        <f>+IF(RB17=0,0,RB17/RB$72)</f>
        <v>0</v>
      </c>
      <c r="RI17" s="95">
        <v>15</v>
      </c>
      <c r="RJ17" s="1157"/>
      <c r="RK17" s="173">
        <f t="shared" si="83"/>
        <v>0</v>
      </c>
      <c r="RL17" s="115">
        <f>+VLOOKUP(RJ13,'Cost x Depart'!$A$2:$AL$72,RI17,0)</f>
        <v>0</v>
      </c>
      <c r="RM17" s="100">
        <f>+'Componentes T.H.'!$T$7</f>
        <v>0</v>
      </c>
      <c r="RN17" s="1165">
        <f>+'Componentes T.H.'!$Q$7</f>
        <v>0</v>
      </c>
      <c r="RO17" s="1161"/>
      <c r="RP17" s="231">
        <f t="shared" ref="RP17" si="124">+RL17*RM17*RN17*RM11</f>
        <v>0</v>
      </c>
      <c r="RQ17" s="113"/>
      <c r="RR17" s="114"/>
      <c r="RS17" s="114"/>
      <c r="RT17" s="114"/>
      <c r="RU17" s="929">
        <f>+IF(RP17=0,0,RP17/RP$72)</f>
        <v>0</v>
      </c>
      <c r="RW17" s="95">
        <v>15</v>
      </c>
      <c r="RX17" s="1157"/>
      <c r="RY17" s="173">
        <f t="shared" si="85"/>
        <v>0</v>
      </c>
      <c r="RZ17" s="115">
        <f>+VLOOKUP(RX13,'Cost x Depart'!$A$2:$AL$72,RW17,0)</f>
        <v>0</v>
      </c>
      <c r="SA17" s="100">
        <f>+'Componentes T.H.'!$T$7</f>
        <v>0</v>
      </c>
      <c r="SB17" s="1165">
        <f>+'Componentes T.H.'!$Q$7</f>
        <v>0</v>
      </c>
      <c r="SC17" s="1161"/>
      <c r="SD17" s="231">
        <f t="shared" ref="SD17" si="125">+RZ17*SA17*SB17*SA11</f>
        <v>0</v>
      </c>
      <c r="SE17" s="113"/>
      <c r="SF17" s="114"/>
      <c r="SG17" s="114"/>
      <c r="SH17" s="114"/>
      <c r="SI17" s="929">
        <f>+IF(SD17=0,0,SD17/SD$72)</f>
        <v>0</v>
      </c>
      <c r="SK17" s="95">
        <v>15</v>
      </c>
      <c r="SL17" s="1157"/>
      <c r="SM17" s="173">
        <f t="shared" si="87"/>
        <v>0</v>
      </c>
      <c r="SN17" s="115">
        <f>+VLOOKUP(SL13,'Cost x Depart'!$A$2:$AL$72,SK17,0)</f>
        <v>0</v>
      </c>
      <c r="SO17" s="100">
        <f>+'Componentes T.H.'!$T$7</f>
        <v>0</v>
      </c>
      <c r="SP17" s="1165">
        <f>+'Componentes T.H.'!$Q$7</f>
        <v>0</v>
      </c>
      <c r="SQ17" s="1161"/>
      <c r="SR17" s="231">
        <f t="shared" ref="SR17" si="126">+SN17*SO17*SP17*SO11</f>
        <v>0</v>
      </c>
      <c r="SS17" s="113"/>
      <c r="ST17" s="114"/>
      <c r="SU17" s="114"/>
      <c r="SV17" s="114"/>
      <c r="SW17" s="929">
        <f>+IF(SR17=0,0,SR17/SR$72)</f>
        <v>0</v>
      </c>
      <c r="SY17" s="95">
        <v>11</v>
      </c>
      <c r="SZ17" s="1157"/>
      <c r="TA17" s="173">
        <f t="shared" si="89"/>
        <v>0</v>
      </c>
      <c r="TB17" s="115">
        <f t="shared" si="90"/>
        <v>0</v>
      </c>
      <c r="TC17" s="100">
        <f>+'Componentes T.H.'!$T$7</f>
        <v>0</v>
      </c>
      <c r="TD17" s="1165">
        <f>+'Componentes T.H.'!$Q$7</f>
        <v>0</v>
      </c>
      <c r="TE17" s="1161"/>
      <c r="TF17" s="722">
        <f t="shared" ref="TF17" si="127">+TB17*TC17*TD17*TC11</f>
        <v>0</v>
      </c>
      <c r="TG17" s="113"/>
      <c r="TH17" s="114"/>
      <c r="TI17" s="114"/>
      <c r="TJ17" s="114"/>
      <c r="TK17" s="929">
        <f>+IF(TF17=0,0,TF17/TF$72)</f>
        <v>0</v>
      </c>
      <c r="TM17" s="937"/>
      <c r="TN17" s="725"/>
    </row>
    <row r="18" spans="1:534" ht="15.75" customHeight="1">
      <c r="A18" s="95">
        <v>17</v>
      </c>
      <c r="B18" s="1157"/>
      <c r="C18" s="173" t="str">
        <f>+'Componentes T.H.'!B8</f>
        <v>Coordinador Metodológico</v>
      </c>
      <c r="D18" s="115">
        <f>+VLOOKUP(B13,'Cost x Depart'!$A$2:$AL$72,A18,0)</f>
        <v>0.7</v>
      </c>
      <c r="E18" s="100">
        <f>+'Componentes T.H.'!$T$8</f>
        <v>1</v>
      </c>
      <c r="F18" s="1161">
        <f>+'Componentes T.H.'!$Q$8</f>
        <v>2058155.7920726666</v>
      </c>
      <c r="G18" s="1162"/>
      <c r="H18" s="231">
        <f>+D18*E18*F18*E11</f>
        <v>9364608.8539306317</v>
      </c>
      <c r="I18" s="113"/>
      <c r="J18" s="114"/>
      <c r="K18" s="114"/>
      <c r="L18" s="114"/>
      <c r="M18" s="929">
        <f>+IF(H18=0,0,H18/H$72)</f>
        <v>5.0860421876636863E-2</v>
      </c>
      <c r="O18" s="95">
        <v>17</v>
      </c>
      <c r="P18" s="1157"/>
      <c r="Q18" s="173"/>
      <c r="R18" s="115"/>
      <c r="S18" s="100"/>
      <c r="T18" s="1165"/>
      <c r="U18" s="1161"/>
      <c r="V18" s="231"/>
      <c r="W18" s="113"/>
      <c r="X18" s="114"/>
      <c r="Y18" s="114"/>
      <c r="Z18" s="114"/>
      <c r="AA18" s="929"/>
      <c r="AC18" s="95">
        <v>13</v>
      </c>
      <c r="AD18" s="1157"/>
      <c r="AE18" s="173"/>
      <c r="AF18" s="115"/>
      <c r="AG18" s="100"/>
      <c r="AH18" s="1165"/>
      <c r="AI18" s="1161"/>
      <c r="AJ18" s="231"/>
      <c r="AK18" s="113"/>
      <c r="AL18" s="114"/>
      <c r="AM18" s="114"/>
      <c r="AN18" s="114"/>
      <c r="AO18" s="929"/>
      <c r="AQ18" s="95">
        <v>17</v>
      </c>
      <c r="AR18" s="1157"/>
      <c r="AS18" s="173" t="str">
        <f t="shared" si="91"/>
        <v>Coordinador Metodológico</v>
      </c>
      <c r="AT18" s="115">
        <f>+VLOOKUP(AR13,'Cost x Depart'!$A$2:$AL$72,AQ18,0)</f>
        <v>0</v>
      </c>
      <c r="AU18" s="100">
        <f>+'Componentes T.H.'!$T$8</f>
        <v>1</v>
      </c>
      <c r="AV18" s="1165">
        <f>+'Componentes T.H.'!$Q$8</f>
        <v>2058155.7920726666</v>
      </c>
      <c r="AW18" s="1161"/>
      <c r="AX18" s="231">
        <f t="shared" ref="AX18" si="128">+AT18*AU18*AV18*AU11</f>
        <v>0</v>
      </c>
      <c r="AY18" s="113"/>
      <c r="AZ18" s="114"/>
      <c r="BA18" s="114"/>
      <c r="BB18" s="114"/>
      <c r="BC18" s="929">
        <f>+IF(AX18=0,0,AX18/AX$72)</f>
        <v>0</v>
      </c>
      <c r="BE18" s="95">
        <v>17</v>
      </c>
      <c r="BF18" s="1157"/>
      <c r="BG18" s="173" t="str">
        <f t="shared" si="29"/>
        <v>Coordinador Metodológico</v>
      </c>
      <c r="BH18" s="115">
        <f>+VLOOKUP(BF13,'Cost x Depart'!$A$2:$AL$72,BE18,0)</f>
        <v>1.8</v>
      </c>
      <c r="BI18" s="100">
        <f>+'Componentes T.H.'!$T$8</f>
        <v>1</v>
      </c>
      <c r="BJ18" s="1165">
        <f>+'Componentes T.H.'!$Q$8</f>
        <v>2058155.7920726666</v>
      </c>
      <c r="BK18" s="1161"/>
      <c r="BL18" s="231">
        <f t="shared" ref="BL18" si="129">+BH18*BI18*BJ18*BI11</f>
        <v>24080422.767250199</v>
      </c>
      <c r="BM18" s="113"/>
      <c r="BN18" s="114"/>
      <c r="BO18" s="114"/>
      <c r="BP18" s="114"/>
      <c r="BQ18" s="929">
        <f>+IF(BL18=0,0,BL18/BL$72)</f>
        <v>5.1733888158212504E-2</v>
      </c>
      <c r="BS18" s="95">
        <v>17</v>
      </c>
      <c r="BT18" s="1157"/>
      <c r="BU18" s="173" t="str">
        <f t="shared" si="31"/>
        <v>Coordinador Metodológico</v>
      </c>
      <c r="BV18" s="115">
        <f>+VLOOKUP(BT13,'Cost x Depart'!$A$2:$AL$72,BS18,0)</f>
        <v>0</v>
      </c>
      <c r="BW18" s="100">
        <f>+'Componentes T.H.'!$T$8</f>
        <v>1</v>
      </c>
      <c r="BX18" s="1165">
        <f>+'Componentes T.H.'!$Q$8</f>
        <v>2058155.7920726666</v>
      </c>
      <c r="BY18" s="1161"/>
      <c r="BZ18" s="231">
        <f t="shared" ref="BZ18" si="130">+BV18*BW18*BX18*BW11</f>
        <v>0</v>
      </c>
      <c r="CA18" s="113"/>
      <c r="CB18" s="114"/>
      <c r="CC18" s="114"/>
      <c r="CD18" s="114"/>
      <c r="CE18" s="929">
        <f>+IF(BZ18=0,0,BZ18/BZ$72)</f>
        <v>0</v>
      </c>
      <c r="CG18" s="95">
        <v>17</v>
      </c>
      <c r="CH18" s="1157"/>
      <c r="CI18" s="173" t="str">
        <f t="shared" si="33"/>
        <v>Coordinador Metodológico</v>
      </c>
      <c r="CJ18" s="115">
        <f>+VLOOKUP(CH13,'Cost x Depart'!$A$2:$AL$72,CG18,0)</f>
        <v>0.1</v>
      </c>
      <c r="CK18" s="100">
        <f>+'Componentes T.H.'!$T$8</f>
        <v>1</v>
      </c>
      <c r="CL18" s="1165">
        <f>+'Componentes T.H.'!$Q$8</f>
        <v>2058155.7920726666</v>
      </c>
      <c r="CM18" s="1161"/>
      <c r="CN18" s="231">
        <f t="shared" ref="CN18" si="131">+CJ18*CK18*CL18*CK11</f>
        <v>1337801.2648472334</v>
      </c>
      <c r="CO18" s="113"/>
      <c r="CP18" s="114"/>
      <c r="CQ18" s="114"/>
      <c r="CR18" s="114"/>
      <c r="CS18" s="929">
        <f>+IF(CN18=0,0,CN18/CN$72)</f>
        <v>5.1820113284804716E-2</v>
      </c>
      <c r="CU18" s="95">
        <v>17</v>
      </c>
      <c r="CV18" s="1157"/>
      <c r="CW18" s="173" t="str">
        <f t="shared" si="35"/>
        <v>Coordinador Metodológico</v>
      </c>
      <c r="CX18" s="115">
        <f>+VLOOKUP(CV13,'Cost x Depart'!$A$2:$AL$72,CU18,0)</f>
        <v>1.3</v>
      </c>
      <c r="CY18" s="100">
        <f>+'Componentes T.H.'!$T$8</f>
        <v>1</v>
      </c>
      <c r="CZ18" s="1165">
        <f>+'Componentes T.H.'!$Q$8</f>
        <v>2058155.7920726666</v>
      </c>
      <c r="DA18" s="1161"/>
      <c r="DB18" s="231">
        <f t="shared" ref="DB18" si="132">+CX18*CY18*CZ18*CY11</f>
        <v>17391416.443014033</v>
      </c>
      <c r="DC18" s="113"/>
      <c r="DD18" s="114"/>
      <c r="DE18" s="114"/>
      <c r="DF18" s="114"/>
      <c r="DG18" s="929">
        <f>+IF(DB18=0,0,DB18/DB$72)</f>
        <v>4.675584328953989E-2</v>
      </c>
      <c r="DI18" s="95">
        <v>17</v>
      </c>
      <c r="DJ18" s="1157"/>
      <c r="DK18" s="173" t="str">
        <f t="shared" si="37"/>
        <v>Coordinador Metodológico</v>
      </c>
      <c r="DL18" s="115">
        <f>+VLOOKUP(DJ13,'Cost x Depart'!$A$2:$AL$72,DI18,0)</f>
        <v>0.1</v>
      </c>
      <c r="DM18" s="100">
        <f>+'Componentes T.H.'!$T$8</f>
        <v>1</v>
      </c>
      <c r="DN18" s="1165">
        <f>+'Componentes T.H.'!$Q$8</f>
        <v>2058155.7920726666</v>
      </c>
      <c r="DO18" s="1161"/>
      <c r="DP18" s="231">
        <f t="shared" ref="DP18" si="133">+DL18*DM18*DN18*DM11</f>
        <v>1337801.2648472334</v>
      </c>
      <c r="DQ18" s="113"/>
      <c r="DR18" s="114"/>
      <c r="DS18" s="114"/>
      <c r="DT18" s="114"/>
      <c r="DU18" s="929">
        <f>+IF(DP18=0,0,DP18/DP$72)</f>
        <v>4.6022432127395471E-2</v>
      </c>
      <c r="DW18" s="95">
        <v>17</v>
      </c>
      <c r="DX18" s="1157"/>
      <c r="DY18" s="173" t="str">
        <f t="shared" si="39"/>
        <v>Coordinador Metodológico</v>
      </c>
      <c r="DZ18" s="115">
        <f>+VLOOKUP(DX13,'Cost x Depart'!$A$2:$AL$72,DW18,0)</f>
        <v>0.5</v>
      </c>
      <c r="EA18" s="100">
        <f>+'Componentes T.H.'!$T$8</f>
        <v>1</v>
      </c>
      <c r="EB18" s="1165">
        <f>+'Componentes T.H.'!$Q$8</f>
        <v>2058155.7920726666</v>
      </c>
      <c r="EC18" s="1161"/>
      <c r="ED18" s="231">
        <f t="shared" ref="ED18" si="134">+DZ18*EA18*EB18*EA11</f>
        <v>6689006.3242361667</v>
      </c>
      <c r="EE18" s="113"/>
      <c r="EF18" s="114"/>
      <c r="EG18" s="114"/>
      <c r="EH18" s="114"/>
      <c r="EI18" s="929">
        <f>+IF(ED18=0,0,ED18/ED$72)</f>
        <v>4.8890019411092292E-2</v>
      </c>
      <c r="EK18" s="95">
        <v>17</v>
      </c>
      <c r="EL18" s="1157"/>
      <c r="EM18" s="173" t="str">
        <f t="shared" si="41"/>
        <v>Coordinador Metodológico</v>
      </c>
      <c r="EN18" s="115">
        <f>+VLOOKUP(EL13,'Cost x Depart'!$A$2:$AL$72,EK18,0)</f>
        <v>0.9</v>
      </c>
      <c r="EO18" s="100">
        <f>+'Componentes T.H.'!$T$8</f>
        <v>1</v>
      </c>
      <c r="EP18" s="1165">
        <f>+'Componentes T.H.'!$Q$8</f>
        <v>2058155.7920726666</v>
      </c>
      <c r="EQ18" s="1161"/>
      <c r="ER18" s="231">
        <f t="shared" ref="ER18" si="135">+EN18*EO18*EP18*EO11</f>
        <v>12040211.383625099</v>
      </c>
      <c r="ES18" s="929" t="e">
        <f>+IF(EN18=0,0,EN18/EN$72)</f>
        <v>#DIV/0!</v>
      </c>
      <c r="ET18" s="114"/>
      <c r="EU18" s="114"/>
      <c r="EV18" s="114"/>
      <c r="EW18" s="929">
        <f>+IF(ER18=0,0,ER18/ER$72)</f>
        <v>5.1733888158212504E-2</v>
      </c>
      <c r="EY18" s="95">
        <v>17</v>
      </c>
      <c r="EZ18" s="1157"/>
      <c r="FA18" s="173" t="str">
        <f t="shared" si="43"/>
        <v>Coordinador Metodológico</v>
      </c>
      <c r="FB18" s="115">
        <f>+VLOOKUP(EZ13,'Cost x Depart'!$A$2:$AL$72,EY18,0)</f>
        <v>0</v>
      </c>
      <c r="FC18" s="100">
        <f>+'Componentes T.H.'!$T$8</f>
        <v>1</v>
      </c>
      <c r="FD18" s="1165">
        <f>+'Componentes T.H.'!$Q$8</f>
        <v>2058155.7920726666</v>
      </c>
      <c r="FE18" s="1161"/>
      <c r="FF18" s="231">
        <f t="shared" ref="FF18" si="136">+FB18*FC18*FD18*FC11</f>
        <v>0</v>
      </c>
      <c r="FG18" s="113"/>
      <c r="FH18" s="114"/>
      <c r="FI18" s="114"/>
      <c r="FJ18" s="114"/>
      <c r="FK18" s="929">
        <f>+IF(FF18=0,0,FF18/FF$72)</f>
        <v>0</v>
      </c>
      <c r="FM18" s="95">
        <v>17</v>
      </c>
      <c r="FN18" s="1157"/>
      <c r="FO18" s="173" t="str">
        <f t="shared" si="45"/>
        <v>Coordinador Metodológico</v>
      </c>
      <c r="FP18" s="115">
        <f>+VLOOKUP(FN13,'Cost x Depart'!$A$2:$AL$72,FM18,0)</f>
        <v>0.65</v>
      </c>
      <c r="FQ18" s="100">
        <f>+'Componentes T.H.'!$T$8</f>
        <v>1</v>
      </c>
      <c r="FR18" s="1165">
        <f>+'Componentes T.H.'!$Q$8</f>
        <v>2058155.7920726666</v>
      </c>
      <c r="FS18" s="1161"/>
      <c r="FT18" s="231">
        <f t="shared" ref="FT18" si="137">+FP18*FQ18*FR18*FQ11</f>
        <v>8695708.2215070166</v>
      </c>
      <c r="FU18" s="113"/>
      <c r="FV18" s="114"/>
      <c r="FW18" s="114"/>
      <c r="FX18" s="114"/>
      <c r="FY18" s="929">
        <f>+IF(FT18=0,0,FT18/FT$72)</f>
        <v>2.7418900825891136E-2</v>
      </c>
      <c r="GA18" s="95">
        <v>17</v>
      </c>
      <c r="GB18" s="1157"/>
      <c r="GC18" s="173" t="str">
        <f t="shared" si="47"/>
        <v>Coordinador Metodológico</v>
      </c>
      <c r="GD18" s="115">
        <f>+VLOOKUP(GB13,'Cost x Depart'!$A$2:$AL$72,GA18,0)</f>
        <v>0.6</v>
      </c>
      <c r="GE18" s="100">
        <f>+'Componentes T.H.'!$T$8</f>
        <v>1</v>
      </c>
      <c r="GF18" s="1165">
        <f>+'Componentes T.H.'!$Q$8</f>
        <v>2058155.7920726666</v>
      </c>
      <c r="GG18" s="1161"/>
      <c r="GH18" s="231">
        <f t="shared" ref="GH18" si="138">+GD18*GE18*GF18*GE11</f>
        <v>8026807.5890833987</v>
      </c>
      <c r="GI18" s="113"/>
      <c r="GJ18" s="114"/>
      <c r="GK18" s="114"/>
      <c r="GL18" s="114"/>
      <c r="GM18" s="929">
        <f>+IF(GH18=0,0,GH18/GH$72)</f>
        <v>5.3203446300370751E-2</v>
      </c>
      <c r="GO18" s="95">
        <v>17</v>
      </c>
      <c r="GP18" s="1157"/>
      <c r="GQ18" s="173" t="str">
        <f t="shared" si="49"/>
        <v>Coordinador Metodológico</v>
      </c>
      <c r="GR18" s="115">
        <f>+VLOOKUP(GP13,'Cost x Depart'!$A$2:$AL$72,GO18,0)</f>
        <v>0</v>
      </c>
      <c r="GS18" s="100">
        <f>+'Componentes T.H.'!$T$8</f>
        <v>1</v>
      </c>
      <c r="GT18" s="1165">
        <f>+'Componentes T.H.'!$Q$8</f>
        <v>2058155.7920726666</v>
      </c>
      <c r="GU18" s="1161"/>
      <c r="GV18" s="231">
        <f t="shared" ref="GV18" si="139">+GR18*GS18*GT18*GS11</f>
        <v>0</v>
      </c>
      <c r="GW18" s="113"/>
      <c r="GX18" s="114"/>
      <c r="GY18" s="114"/>
      <c r="GZ18" s="114"/>
      <c r="HA18" s="929">
        <f>+IF(GV18=0,0,GV18/GV$72)</f>
        <v>0</v>
      </c>
      <c r="HC18" s="95">
        <v>17</v>
      </c>
      <c r="HD18" s="1157"/>
      <c r="HE18" s="173" t="str">
        <f t="shared" si="51"/>
        <v>Coordinador Metodológico</v>
      </c>
      <c r="HF18" s="115">
        <f>+VLOOKUP(HD13,'Cost x Depart'!$A$2:$AL$72,HC18,0)</f>
        <v>0.3</v>
      </c>
      <c r="HG18" s="100">
        <f>+'Componentes T.H.'!$T$8</f>
        <v>1</v>
      </c>
      <c r="HH18" s="1165">
        <f>+'Componentes T.H.'!$Q$8</f>
        <v>2058155.7920726666</v>
      </c>
      <c r="HI18" s="1161"/>
      <c r="HJ18" s="231">
        <f t="shared" ref="HJ18" si="140">+HF18*HG18*HH18*HG11</f>
        <v>4013403.7945416993</v>
      </c>
      <c r="HK18" s="113"/>
      <c r="HL18" s="114"/>
      <c r="HM18" s="114"/>
      <c r="HN18" s="114"/>
      <c r="HO18" s="929">
        <f>+IF(HJ18=0,0,HJ18/HJ$72)</f>
        <v>5.1733888158212518E-2</v>
      </c>
      <c r="HQ18" s="95">
        <v>17</v>
      </c>
      <c r="HR18" s="1157"/>
      <c r="HS18" s="173" t="str">
        <f t="shared" si="53"/>
        <v>Coordinador Metodológico</v>
      </c>
      <c r="HT18" s="115">
        <f>+VLOOKUP(HR13,'Cost x Depart'!$A$2:$AL$72,HQ18,0)</f>
        <v>1.1000000000000001</v>
      </c>
      <c r="HU18" s="100">
        <f>+'Componentes T.H.'!$T$8</f>
        <v>1</v>
      </c>
      <c r="HV18" s="1165">
        <f>+'Componentes T.H.'!$Q$8</f>
        <v>2058155.7920726666</v>
      </c>
      <c r="HW18" s="1161"/>
      <c r="HX18" s="231">
        <f t="shared" ref="HX18" si="141">+HT18*HU18*HV18*HU11</f>
        <v>14715813.913319567</v>
      </c>
      <c r="HY18" s="929" t="e">
        <f t="shared" si="106"/>
        <v>#DIV/0!</v>
      </c>
      <c r="HZ18" s="114"/>
      <c r="IA18" s="114"/>
      <c r="IB18" s="114"/>
      <c r="IC18" s="929">
        <f>+IF(HX18=0,0,HX18/HX$72)</f>
        <v>4.9752369078261117E-2</v>
      </c>
      <c r="IE18" s="95">
        <v>17</v>
      </c>
      <c r="IF18" s="1157"/>
      <c r="IG18" s="173"/>
      <c r="IH18" s="115"/>
      <c r="II18" s="100"/>
      <c r="IJ18" s="1165"/>
      <c r="IK18" s="1161"/>
      <c r="IL18" s="231"/>
      <c r="IM18" s="113"/>
      <c r="IN18" s="114"/>
      <c r="IO18" s="114"/>
      <c r="IP18" s="114"/>
      <c r="IQ18" s="929"/>
      <c r="IS18" s="95">
        <v>17</v>
      </c>
      <c r="IT18" s="1157"/>
      <c r="IU18" s="173"/>
      <c r="IV18" s="115"/>
      <c r="IW18" s="100"/>
      <c r="IX18" s="1165"/>
      <c r="IY18" s="1161"/>
      <c r="IZ18" s="231"/>
      <c r="JA18" s="113"/>
      <c r="JB18" s="114"/>
      <c r="JC18" s="114"/>
      <c r="JD18" s="114"/>
      <c r="JE18" s="929"/>
      <c r="JG18" s="95">
        <v>17</v>
      </c>
      <c r="JH18" s="1157"/>
      <c r="JI18" s="173" t="str">
        <f t="shared" si="107"/>
        <v>Coordinador Metodológico</v>
      </c>
      <c r="JJ18" s="115">
        <f>+VLOOKUP(JH$13,'Cost x Depart'!$A$2:$AL$72,JG18,0)</f>
        <v>1.5</v>
      </c>
      <c r="JK18" s="100">
        <f>+'Componentes T.H.'!$T$8</f>
        <v>1</v>
      </c>
      <c r="JL18" s="1165">
        <f>+'Componentes T.H.'!$Q$8</f>
        <v>2058155.7920726666</v>
      </c>
      <c r="JM18" s="1161"/>
      <c r="JN18" s="231">
        <f t="shared" ref="JN18" si="142">+JJ18*JK18*JL18*JK11</f>
        <v>20067018.972708497</v>
      </c>
      <c r="JO18" s="113"/>
      <c r="JP18" s="114"/>
      <c r="JQ18" s="114"/>
      <c r="JR18" s="114"/>
      <c r="JS18" s="929">
        <f>+IF(JN18=0,0,JN18/JN$72)</f>
        <v>4.6823946543107155E-2</v>
      </c>
      <c r="JU18" s="95">
        <v>17</v>
      </c>
      <c r="JV18" s="1157"/>
      <c r="JW18" s="173" t="str">
        <f t="shared" si="109"/>
        <v>Coordinador Metodológico</v>
      </c>
      <c r="JX18" s="115">
        <f>+VLOOKUP(JV13,'Cost x Depart'!$A$2:$AL$72,JU18,0)</f>
        <v>0.65</v>
      </c>
      <c r="JY18" s="100">
        <f>+'Componentes T.H.'!$T$8</f>
        <v>1</v>
      </c>
      <c r="JZ18" s="1165">
        <f>+'Componentes T.H.'!$Q$8</f>
        <v>2058155.7920726666</v>
      </c>
      <c r="KA18" s="1161"/>
      <c r="KB18" s="231">
        <f t="shared" ref="KB18" si="143">+JX18*JY18*JZ18*JY11</f>
        <v>8695708.2215070166</v>
      </c>
      <c r="KC18" s="113"/>
      <c r="KD18" s="114"/>
      <c r="KE18" s="114"/>
      <c r="KF18" s="114"/>
      <c r="KG18" s="929">
        <f>+IF(KB18=0,0,KB18/KB$72)</f>
        <v>4.9310531480471195E-2</v>
      </c>
      <c r="KI18" s="95">
        <v>17</v>
      </c>
      <c r="KJ18" s="1157"/>
      <c r="KK18" s="173" t="str">
        <f t="shared" si="57"/>
        <v>Coordinador Metodológico</v>
      </c>
      <c r="KL18" s="115">
        <f>+VLOOKUP(KJ13,'Cost x Depart'!$A$2:$AL$72,KI18,0)</f>
        <v>0</v>
      </c>
      <c r="KM18" s="100">
        <f>+'Componentes T.H.'!$T$8</f>
        <v>1</v>
      </c>
      <c r="KN18" s="1165">
        <f>+'Componentes T.H.'!$Q$8</f>
        <v>2058155.7920726666</v>
      </c>
      <c r="KO18" s="1161"/>
      <c r="KP18" s="231">
        <f t="shared" ref="KP18" si="144">+KL18*KM18*KN18*KM11</f>
        <v>0</v>
      </c>
      <c r="KQ18" s="113"/>
      <c r="KR18" s="114"/>
      <c r="KS18" s="114"/>
      <c r="KT18" s="114"/>
      <c r="KU18" s="929">
        <f>+IF(KP18=0,0,KP18/KP$72)</f>
        <v>0</v>
      </c>
      <c r="KW18" s="95">
        <v>17</v>
      </c>
      <c r="KX18" s="1157"/>
      <c r="KY18" s="173" t="str">
        <f t="shared" si="59"/>
        <v>Coordinador Metodológico</v>
      </c>
      <c r="KZ18" s="115">
        <f>+VLOOKUP(KX13,'Cost x Depart'!$A$2:$AL$72,KW18,0)</f>
        <v>0</v>
      </c>
      <c r="LA18" s="100">
        <f>+'Componentes T.H.'!$T$8</f>
        <v>1</v>
      </c>
      <c r="LB18" s="1165">
        <f>+'Componentes T.H.'!$Q$8</f>
        <v>2058155.7920726666</v>
      </c>
      <c r="LC18" s="1161"/>
      <c r="LD18" s="231">
        <f t="shared" ref="LD18" si="145">+KZ18*LA18*LB18*LA11</f>
        <v>0</v>
      </c>
      <c r="LE18" s="113"/>
      <c r="LF18" s="114"/>
      <c r="LG18" s="114"/>
      <c r="LH18" s="114"/>
      <c r="LI18" s="929">
        <f>+IF(LD18=0,0,LD18/LD$72)</f>
        <v>0</v>
      </c>
      <c r="LK18" s="95">
        <v>17</v>
      </c>
      <c r="LL18" s="1157"/>
      <c r="LM18" s="173" t="str">
        <f t="shared" si="61"/>
        <v>Coordinador Metodológico</v>
      </c>
      <c r="LN18" s="115">
        <f>+VLOOKUP(LL13,'Cost x Depart'!$A$2:$AL$72,LK18,0)</f>
        <v>0</v>
      </c>
      <c r="LO18" s="100">
        <f>+'Componentes T.H.'!$T$8</f>
        <v>1</v>
      </c>
      <c r="LP18" s="1165">
        <f>+'Componentes T.H.'!$Q$8</f>
        <v>2058155.7920726666</v>
      </c>
      <c r="LQ18" s="1161"/>
      <c r="LR18" s="231">
        <f t="shared" ref="LR18" si="146">+LN18*LO18*LP18*LO11</f>
        <v>0</v>
      </c>
      <c r="LS18" s="113"/>
      <c r="LT18" s="114"/>
      <c r="LU18" s="114"/>
      <c r="LV18" s="114"/>
      <c r="LW18" s="929">
        <f>+IF(LR18=0,0,LR18/LR$72)</f>
        <v>0</v>
      </c>
      <c r="LY18" s="95">
        <v>17</v>
      </c>
      <c r="LZ18" s="1157"/>
      <c r="MA18" s="173" t="str">
        <f t="shared" si="63"/>
        <v>Coordinador Metodológico</v>
      </c>
      <c r="MB18" s="115">
        <f>+VLOOKUP(LZ13,'Cost x Depart'!$A$2:$AL$72,LY18,0)</f>
        <v>0.45</v>
      </c>
      <c r="MC18" s="100">
        <f>+'Componentes T.H.'!$T$8</f>
        <v>1</v>
      </c>
      <c r="MD18" s="1165">
        <f>+'Componentes T.H.'!$Q$8</f>
        <v>2058155.7920726666</v>
      </c>
      <c r="ME18" s="1161"/>
      <c r="MF18" s="231">
        <f t="shared" ref="MF18" si="147">+MB18*MC18*MD18*MC11</f>
        <v>6020105.6918125497</v>
      </c>
      <c r="MG18" s="113"/>
      <c r="MH18" s="114"/>
      <c r="MI18" s="114"/>
      <c r="MJ18" s="114"/>
      <c r="MK18" s="929">
        <f>+IF(MF18=0,0,MF18/MF$72)</f>
        <v>4.8890019411092299E-2</v>
      </c>
      <c r="MM18" s="95">
        <v>17</v>
      </c>
      <c r="MN18" s="1157"/>
      <c r="MO18" s="173" t="str">
        <f t="shared" si="65"/>
        <v>Coordinador Metodológico</v>
      </c>
      <c r="MP18" s="115">
        <f>+VLOOKUP(MN13,'Cost x Depart'!$A$2:$AL$72,MM18,0)</f>
        <v>0.6</v>
      </c>
      <c r="MQ18" s="100">
        <f>+'Componentes T.H.'!$T$8</f>
        <v>1</v>
      </c>
      <c r="MR18" s="1165">
        <f>+'Componentes T.H.'!$Q$8</f>
        <v>2058155.7920726666</v>
      </c>
      <c r="MS18" s="1161"/>
      <c r="MT18" s="231">
        <f t="shared" ref="MT18" si="148">+MP18*MQ18*MR18*MQ11</f>
        <v>8026807.5890833987</v>
      </c>
      <c r="MU18" s="113"/>
      <c r="MV18" s="114"/>
      <c r="MW18" s="114"/>
      <c r="MX18" s="114"/>
      <c r="MY18" s="929">
        <f>+IF(MT18=0,0,MT18/MT$72)</f>
        <v>5.0052804251578195E-2</v>
      </c>
      <c r="NA18" s="95">
        <v>17</v>
      </c>
      <c r="NB18" s="1157"/>
      <c r="NC18" s="173" t="str">
        <f t="shared" si="67"/>
        <v>Coordinador Metodológico</v>
      </c>
      <c r="ND18" s="115">
        <f>+VLOOKUP(NB13,'Cost x Depart'!$A$2:$AL$72,NA18,0)</f>
        <v>0.7</v>
      </c>
      <c r="NE18" s="100">
        <f>+'Componentes T.H.'!$T$8</f>
        <v>1</v>
      </c>
      <c r="NF18" s="1165">
        <f>+'Componentes T.H.'!$Q$8</f>
        <v>2058155.7920726666</v>
      </c>
      <c r="NG18" s="1161"/>
      <c r="NH18" s="231">
        <f t="shared" ref="NH18" si="149">+ND18*NE18*NF18*NE11</f>
        <v>9364608.8539306317</v>
      </c>
      <c r="NI18" s="113"/>
      <c r="NJ18" s="114"/>
      <c r="NK18" s="114"/>
      <c r="NL18" s="114"/>
      <c r="NM18" s="929">
        <f>+IF(NH18=0,0,NH18/NH$72)</f>
        <v>5.2572294945889102E-2</v>
      </c>
      <c r="NO18" s="95">
        <v>17</v>
      </c>
      <c r="NP18" s="1157"/>
      <c r="NQ18" s="173" t="str">
        <f t="shared" si="69"/>
        <v>Coordinador Metodológico</v>
      </c>
      <c r="NR18" s="115">
        <f>+VLOOKUP(NP13,'Cost x Depart'!$A$2:$AL$72,NO18,0)</f>
        <v>0.8</v>
      </c>
      <c r="NS18" s="100">
        <f>+'Componentes T.H.'!$T$8</f>
        <v>1</v>
      </c>
      <c r="NT18" s="1165">
        <f>+'Componentes T.H.'!$Q$8</f>
        <v>2058155.7920726666</v>
      </c>
      <c r="NU18" s="1161"/>
      <c r="NV18" s="231">
        <f t="shared" ref="NV18" si="150">+NR18*NS18*NT18*NS11</f>
        <v>10702410.118777867</v>
      </c>
      <c r="NW18" s="113"/>
      <c r="NX18" s="114"/>
      <c r="NY18" s="114"/>
      <c r="NZ18" s="114"/>
      <c r="OA18" s="929">
        <f>+IF(NV18=0,0,NV18/NV$72)</f>
        <v>2.5738470745630345E-2</v>
      </c>
      <c r="OC18" s="95">
        <v>17</v>
      </c>
      <c r="OD18" s="1157"/>
      <c r="OE18" s="173" t="str">
        <f t="shared" si="71"/>
        <v>Coordinador Metodológico</v>
      </c>
      <c r="OF18" s="115">
        <f>+VLOOKUP(OD13,'Cost x Depart'!$A$2:$AL$72,OC18,0)</f>
        <v>0.2</v>
      </c>
      <c r="OG18" s="100">
        <f>+'Componentes T.H.'!$T$8</f>
        <v>1</v>
      </c>
      <c r="OH18" s="1165">
        <f>+'Componentes T.H.'!$Q$8</f>
        <v>2058155.7920726666</v>
      </c>
      <c r="OI18" s="1161"/>
      <c r="OJ18" s="231">
        <f t="shared" ref="OJ18" si="151">+OF18*OG18*OH18*OG11</f>
        <v>2675602.5296944669</v>
      </c>
      <c r="OK18" s="113"/>
      <c r="OL18" s="114"/>
      <c r="OM18" s="114"/>
      <c r="ON18" s="114"/>
      <c r="OO18" s="929">
        <f>+IF(OJ18=0,0,OJ18/OJ$72)</f>
        <v>3.5293798784322226E-2</v>
      </c>
      <c r="OQ18" s="95">
        <v>17</v>
      </c>
      <c r="OR18" s="1157"/>
      <c r="OS18" s="173" t="str">
        <f t="shared" si="73"/>
        <v>Coordinador Metodológico</v>
      </c>
      <c r="OT18" s="115">
        <f>+VLOOKUP(OR13,'Cost x Depart'!$A$2:$AL$72,OQ18,0)</f>
        <v>1</v>
      </c>
      <c r="OU18" s="100">
        <f>+'Componentes T.H.'!$T$8</f>
        <v>1</v>
      </c>
      <c r="OV18" s="1165">
        <f>+'Componentes T.H.'!$Q$8</f>
        <v>2058155.7920726666</v>
      </c>
      <c r="OW18" s="1161"/>
      <c r="OX18" s="231">
        <f t="shared" ref="OX18" si="152">+OT18*OU18*OV18*OU11</f>
        <v>13378012.648472333</v>
      </c>
      <c r="OY18" s="113"/>
      <c r="OZ18" s="114"/>
      <c r="PA18" s="114"/>
      <c r="PB18" s="114"/>
      <c r="PC18" s="929">
        <f>+IF(OX18=0,0,OX18/OX$72)</f>
        <v>4.4525937594676476E-2</v>
      </c>
      <c r="PE18" s="95">
        <v>17</v>
      </c>
      <c r="PF18" s="1157"/>
      <c r="PG18" s="173" t="str">
        <f t="shared" si="75"/>
        <v>Coordinador Metodológico</v>
      </c>
      <c r="PH18" s="115">
        <f>+VLOOKUP(PF13,'Cost x Depart'!$A$2:$AL$72,PE18,0)</f>
        <v>0</v>
      </c>
      <c r="PI18" s="100">
        <f>+'Componentes T.H.'!$T$8</f>
        <v>1</v>
      </c>
      <c r="PJ18" s="1165">
        <f>+'Componentes T.H.'!$Q$8</f>
        <v>2058155.7920726666</v>
      </c>
      <c r="PK18" s="1161"/>
      <c r="PL18" s="231">
        <f t="shared" ref="PL18" si="153">+PH18*PI18*PJ18*PI11</f>
        <v>0</v>
      </c>
      <c r="PM18" s="113"/>
      <c r="PN18" s="114"/>
      <c r="PO18" s="114"/>
      <c r="PP18" s="114"/>
      <c r="PQ18" s="929">
        <f>+IF(PL18=0,0,PL18/PL$72)</f>
        <v>0</v>
      </c>
      <c r="PS18" s="95">
        <v>17</v>
      </c>
      <c r="PT18" s="1157"/>
      <c r="PU18" s="173" t="str">
        <f t="shared" si="77"/>
        <v>Coordinador Metodológico</v>
      </c>
      <c r="PV18" s="115">
        <f>+VLOOKUP(PT13,'Cost x Depart'!$A$2:$AL$72,PS18,0)</f>
        <v>0</v>
      </c>
      <c r="PW18" s="100">
        <f>+'Componentes T.H.'!$T$8</f>
        <v>1</v>
      </c>
      <c r="PX18" s="1165">
        <f>+'Componentes T.H.'!$Q$8</f>
        <v>2058155.7920726666</v>
      </c>
      <c r="PY18" s="1161"/>
      <c r="PZ18" s="231">
        <f t="shared" ref="PZ18" si="154">+PV18*PW18*PX18*PW11</f>
        <v>0</v>
      </c>
      <c r="QA18" s="113"/>
      <c r="QB18" s="114"/>
      <c r="QC18" s="114"/>
      <c r="QD18" s="114"/>
      <c r="QE18" s="929">
        <f>+IF(PZ18=0,0,PZ18/PZ$72)</f>
        <v>0</v>
      </c>
      <c r="QG18" s="95">
        <v>17</v>
      </c>
      <c r="QH18" s="1157"/>
      <c r="QI18" s="173" t="str">
        <f t="shared" si="79"/>
        <v>Coordinador Metodológico</v>
      </c>
      <c r="QJ18" s="115">
        <f>+VLOOKUP(QH13,'Cost x Depart'!$A$2:$AL$72,QG18,0)</f>
        <v>0</v>
      </c>
      <c r="QK18" s="100">
        <f>+'Componentes T.H.'!$T$8</f>
        <v>1</v>
      </c>
      <c r="QL18" s="1165">
        <f>+'Componentes T.H.'!$Q$8</f>
        <v>2058155.7920726666</v>
      </c>
      <c r="QM18" s="1161"/>
      <c r="QN18" s="231">
        <f t="shared" ref="QN18" si="155">+QJ18*QK18*QL18*QK11</f>
        <v>0</v>
      </c>
      <c r="QO18" s="113"/>
      <c r="QP18" s="114"/>
      <c r="QQ18" s="114"/>
      <c r="QR18" s="114"/>
      <c r="QS18" s="929">
        <f>+IF(QN18=0,0,QN18/QN$72)</f>
        <v>0</v>
      </c>
      <c r="QU18" s="95">
        <v>17</v>
      </c>
      <c r="QV18" s="1157"/>
      <c r="QW18" s="173" t="str">
        <f t="shared" si="81"/>
        <v>Coordinador Metodológico</v>
      </c>
      <c r="QX18" s="115">
        <f>+VLOOKUP(QV13,'Cost x Depart'!$A$2:$AL$72,QU18,0)</f>
        <v>0.6</v>
      </c>
      <c r="QY18" s="100">
        <f>+'Componentes T.H.'!$T$8</f>
        <v>1</v>
      </c>
      <c r="QZ18" s="1165">
        <f>+'Componentes T.H.'!$Q$8</f>
        <v>2058155.7920726666</v>
      </c>
      <c r="RA18" s="1161"/>
      <c r="RB18" s="231">
        <f t="shared" ref="RB18" si="156">+QX18*QY18*QZ18*QY11</f>
        <v>8026807.5890833987</v>
      </c>
      <c r="RC18" s="113"/>
      <c r="RD18" s="114"/>
      <c r="RE18" s="114"/>
      <c r="RF18" s="114"/>
      <c r="RG18" s="929">
        <f>+IF(RB18=0,0,RB18/RB$72)</f>
        <v>2.5738470745630335E-2</v>
      </c>
      <c r="RI18" s="95">
        <v>17</v>
      </c>
      <c r="RJ18" s="1157"/>
      <c r="RK18" s="173" t="str">
        <f t="shared" si="83"/>
        <v>Coordinador Metodológico</v>
      </c>
      <c r="RL18" s="115">
        <f>+VLOOKUP(RJ13,'Cost x Depart'!$A$2:$AL$72,RI18,0)</f>
        <v>0.1</v>
      </c>
      <c r="RM18" s="100">
        <f>+'Componentes T.H.'!$T$8</f>
        <v>1</v>
      </c>
      <c r="RN18" s="1165">
        <f>+'Componentes T.H.'!$Q$8</f>
        <v>2058155.7920726666</v>
      </c>
      <c r="RO18" s="1161"/>
      <c r="RP18" s="231">
        <f t="shared" ref="RP18" si="157">+RL18*RM18*RN18*RM11</f>
        <v>1337801.2648472334</v>
      </c>
      <c r="RQ18" s="113"/>
      <c r="RR18" s="114"/>
      <c r="RS18" s="114"/>
      <c r="RT18" s="114"/>
      <c r="RU18" s="929">
        <f>+IF(RP18=0,0,RP18/RP$72)</f>
        <v>2.26336028406941E-2</v>
      </c>
      <c r="RW18" s="95">
        <v>17</v>
      </c>
      <c r="RX18" s="1157"/>
      <c r="RY18" s="173" t="str">
        <f t="shared" si="85"/>
        <v>Coordinador Metodológico</v>
      </c>
      <c r="RZ18" s="115">
        <f>+VLOOKUP(RX13,'Cost x Depart'!$A$2:$AL$72,RW18,0)</f>
        <v>0.35</v>
      </c>
      <c r="SA18" s="100">
        <f>+'Componentes T.H.'!$T$8</f>
        <v>1</v>
      </c>
      <c r="SB18" s="1165">
        <f>+'Componentes T.H.'!$Q$8</f>
        <v>2058155.7920726666</v>
      </c>
      <c r="SC18" s="1161"/>
      <c r="SD18" s="231">
        <f t="shared" ref="SD18" si="158">+RZ18*SA18*SB18*SA11</f>
        <v>4682304.4269653158</v>
      </c>
      <c r="SE18" s="113"/>
      <c r="SF18" s="114"/>
      <c r="SG18" s="114"/>
      <c r="SH18" s="114"/>
      <c r="SI18" s="929">
        <f>+IF(SD18=0,0,SD18/SD$72)</f>
        <v>2.5738470745630328E-2</v>
      </c>
      <c r="SK18" s="95">
        <v>17</v>
      </c>
      <c r="SL18" s="1157"/>
      <c r="SM18" s="173" t="str">
        <f t="shared" si="87"/>
        <v>Coordinador Metodológico</v>
      </c>
      <c r="SN18" s="115">
        <f>+VLOOKUP(SL13,'Cost x Depart'!$A$2:$AL$72,SK18,0)</f>
        <v>0</v>
      </c>
      <c r="SO18" s="100">
        <f>+'Componentes T.H.'!$T$8</f>
        <v>1</v>
      </c>
      <c r="SP18" s="1165">
        <f>+'Componentes T.H.'!$Q$8</f>
        <v>2058155.7920726666</v>
      </c>
      <c r="SQ18" s="1161"/>
      <c r="SR18" s="231">
        <f t="shared" ref="SR18" si="159">+SN18*SO18*SP18*SO11</f>
        <v>0</v>
      </c>
      <c r="SS18" s="113"/>
      <c r="ST18" s="114"/>
      <c r="SU18" s="114"/>
      <c r="SV18" s="114"/>
      <c r="SW18" s="929">
        <f>+IF(SR18=0,0,SR18/SR$72)</f>
        <v>0</v>
      </c>
      <c r="SY18" s="95">
        <v>13</v>
      </c>
      <c r="SZ18" s="1157"/>
      <c r="TA18" s="173" t="str">
        <f t="shared" si="89"/>
        <v>Coordinador Metodológico</v>
      </c>
      <c r="TB18" s="115">
        <f>+D18+AT18+BH18+BV18+CJ18+CX18+DL18+DZ18+EN18+FB18+FP18+GD18+HF18+HT18+JJ18+JX18+KL18+KZ18+LN18+MB18+MP18+ND18+NR18+OF18+OT18+PH18+PV18+QJ18+QX18+RL18+RZ18+SN18</f>
        <v>14.999999999999998</v>
      </c>
      <c r="TC18" s="100">
        <f>+'Componentes T.H.'!$T$8</f>
        <v>1</v>
      </c>
      <c r="TD18" s="1165">
        <f>+'Componentes T.H.'!$Q$8</f>
        <v>2058155.7920726666</v>
      </c>
      <c r="TE18" s="1161"/>
      <c r="TF18" s="722">
        <f t="shared" ref="TF18" si="160">+TB18*TC18*TD18*TC11</f>
        <v>200670189.72708496</v>
      </c>
      <c r="TG18" s="113"/>
      <c r="TH18" s="114"/>
      <c r="TI18" s="114"/>
      <c r="TJ18" s="114"/>
      <c r="TK18" s="929">
        <f>+IF(TF18=0,0,TF18/TF$72)</f>
        <v>4.270610916430486E-2</v>
      </c>
      <c r="TM18" s="937"/>
      <c r="TN18" s="725"/>
    </row>
    <row r="19" spans="1:534" ht="15.75" customHeight="1">
      <c r="A19" s="95">
        <v>18</v>
      </c>
      <c r="B19" s="1157"/>
      <c r="C19" s="174" t="str">
        <f>+'Componentes T.H.'!B9</f>
        <v xml:space="preserve">Promotor de Derechos </v>
      </c>
      <c r="D19" s="115">
        <f>+VLOOKUP(B13,'Cost x Depart'!$A$2:$AL$72,A19,0)</f>
        <v>7</v>
      </c>
      <c r="E19" s="100">
        <f>+'Componentes T.H.'!$T$9</f>
        <v>1</v>
      </c>
      <c r="F19" s="1161">
        <f>+'Componentes T.H.'!$Q$9</f>
        <v>1060062.4566260003</v>
      </c>
      <c r="G19" s="1162"/>
      <c r="H19" s="231">
        <f>+D19*E19*F19*E11</f>
        <v>48232841.776483022</v>
      </c>
      <c r="I19" s="113"/>
      <c r="J19" s="114"/>
      <c r="K19" s="114"/>
      <c r="L19" s="114"/>
      <c r="M19" s="929">
        <f>+IF(H19=0,0,H19/H$72)</f>
        <v>0.2619589049927416</v>
      </c>
      <c r="O19" s="95">
        <v>18</v>
      </c>
      <c r="P19" s="1157"/>
      <c r="Q19" s="174"/>
      <c r="R19" s="115"/>
      <c r="S19" s="100"/>
      <c r="T19" s="1165"/>
      <c r="U19" s="1161"/>
      <c r="V19" s="231"/>
      <c r="W19" s="113"/>
      <c r="X19" s="114"/>
      <c r="Y19" s="114"/>
      <c r="Z19" s="114"/>
      <c r="AA19" s="929"/>
      <c r="AC19" s="95">
        <v>14</v>
      </c>
      <c r="AD19" s="1157"/>
      <c r="AE19" s="174"/>
      <c r="AF19" s="115"/>
      <c r="AG19" s="100"/>
      <c r="AH19" s="1165"/>
      <c r="AI19" s="1161"/>
      <c r="AJ19" s="231"/>
      <c r="AK19" s="113"/>
      <c r="AL19" s="114"/>
      <c r="AM19" s="114"/>
      <c r="AN19" s="114"/>
      <c r="AO19" s="929"/>
      <c r="AQ19" s="95">
        <v>18</v>
      </c>
      <c r="AR19" s="1157"/>
      <c r="AS19" s="174" t="str">
        <f t="shared" si="91"/>
        <v xml:space="preserve">Promotor de Derechos </v>
      </c>
      <c r="AT19" s="115">
        <f>+VLOOKUP(AR13,'Cost x Depart'!$A$2:$AL$72,AQ19,0)</f>
        <v>0</v>
      </c>
      <c r="AU19" s="100">
        <f>+'Componentes T.H.'!$T$9</f>
        <v>1</v>
      </c>
      <c r="AV19" s="1165">
        <f>+'Componentes T.H.'!$Q$9</f>
        <v>1060062.4566260003</v>
      </c>
      <c r="AW19" s="1161"/>
      <c r="AX19" s="231">
        <f t="shared" ref="AX19" si="161">+AT19*AU19*AV19*AU11</f>
        <v>0</v>
      </c>
      <c r="AY19" s="113"/>
      <c r="AZ19" s="114"/>
      <c r="BA19" s="114"/>
      <c r="BB19" s="114"/>
      <c r="BC19" s="929">
        <f>+IF(AX19=0,0,AX19/AX$72)</f>
        <v>0</v>
      </c>
      <c r="BE19" s="95">
        <v>18</v>
      </c>
      <c r="BF19" s="1157"/>
      <c r="BG19" s="174" t="str">
        <f t="shared" si="29"/>
        <v xml:space="preserve">Promotor de Derechos </v>
      </c>
      <c r="BH19" s="115">
        <f>+VLOOKUP(BF13,'Cost x Depart'!$A$2:$AL$72,BE19,0)</f>
        <v>18</v>
      </c>
      <c r="BI19" s="100">
        <f>+'Componentes T.H.'!$T$9</f>
        <v>1</v>
      </c>
      <c r="BJ19" s="1165">
        <f>+'Componentes T.H.'!$Q$9</f>
        <v>1060062.4566260003</v>
      </c>
      <c r="BK19" s="1161"/>
      <c r="BL19" s="231">
        <f t="shared" ref="BL19" si="162">+BH19*BI19*BJ19*BI11</f>
        <v>124027307.42524204</v>
      </c>
      <c r="BM19" s="113"/>
      <c r="BN19" s="114"/>
      <c r="BO19" s="114"/>
      <c r="BP19" s="114"/>
      <c r="BQ19" s="929">
        <f>+IF(BL19=0,0,BL19/BL$72)</f>
        <v>0.26645773261207639</v>
      </c>
      <c r="BS19" s="95">
        <v>18</v>
      </c>
      <c r="BT19" s="1157"/>
      <c r="BU19" s="174" t="str">
        <f t="shared" si="31"/>
        <v xml:space="preserve">Promotor de Derechos </v>
      </c>
      <c r="BV19" s="115">
        <f>+VLOOKUP(BT13,'Cost x Depart'!$A$2:$AL$72,BS19,0)</f>
        <v>0</v>
      </c>
      <c r="BW19" s="100">
        <f>+'Componentes T.H.'!$T$9</f>
        <v>1</v>
      </c>
      <c r="BX19" s="1165">
        <f>+'Componentes T.H.'!$Q$9</f>
        <v>1060062.4566260003</v>
      </c>
      <c r="BY19" s="1161"/>
      <c r="BZ19" s="231">
        <f t="shared" ref="BZ19" si="163">+BV19*BW19*BX19*BW11</f>
        <v>0</v>
      </c>
      <c r="CA19" s="113"/>
      <c r="CB19" s="114"/>
      <c r="CC19" s="114"/>
      <c r="CD19" s="114"/>
      <c r="CE19" s="929">
        <f>+IF(BZ19=0,0,BZ19/BZ$72)</f>
        <v>0</v>
      </c>
      <c r="CG19" s="95">
        <v>18</v>
      </c>
      <c r="CH19" s="1157"/>
      <c r="CI19" s="174" t="str">
        <f t="shared" si="33"/>
        <v xml:space="preserve">Promotor de Derechos </v>
      </c>
      <c r="CJ19" s="115">
        <f>+VLOOKUP(CH13,'Cost x Depart'!$A$2:$AL$72,CG19,0)</f>
        <v>1</v>
      </c>
      <c r="CK19" s="100">
        <f>+'Componentes T.H.'!$T$9</f>
        <v>1</v>
      </c>
      <c r="CL19" s="1165">
        <f>+'Componentes T.H.'!$Q$9</f>
        <v>1060062.4566260003</v>
      </c>
      <c r="CM19" s="1161"/>
      <c r="CN19" s="231">
        <f t="shared" ref="CN19" si="164">+CJ19*CK19*CL19*CK11</f>
        <v>6890405.968069002</v>
      </c>
      <c r="CO19" s="113"/>
      <c r="CP19" s="114"/>
      <c r="CQ19" s="114"/>
      <c r="CR19" s="114"/>
      <c r="CS19" s="929">
        <f>+IF(CN19=0,0,CN19/CN$72)</f>
        <v>0.26690183902943454</v>
      </c>
      <c r="CU19" s="95">
        <v>18</v>
      </c>
      <c r="CV19" s="1157"/>
      <c r="CW19" s="174" t="str">
        <f t="shared" si="35"/>
        <v xml:space="preserve">Promotor de Derechos </v>
      </c>
      <c r="CX19" s="115">
        <f>+VLOOKUP(CV13,'Cost x Depart'!$A$2:$AL$72,CU19,0)</f>
        <v>13</v>
      </c>
      <c r="CY19" s="100">
        <f>+'Componentes T.H.'!$T$9</f>
        <v>1</v>
      </c>
      <c r="CZ19" s="1165">
        <f>+'Componentes T.H.'!$Q$9</f>
        <v>1060062.4566260003</v>
      </c>
      <c r="DA19" s="1161"/>
      <c r="DB19" s="231">
        <f t="shared" ref="DB19" si="165">+CX19*CY19*CZ19*CY11</f>
        <v>89575277.584897026</v>
      </c>
      <c r="DC19" s="113"/>
      <c r="DD19" s="114"/>
      <c r="DE19" s="114"/>
      <c r="DF19" s="114"/>
      <c r="DG19" s="929">
        <f>+IF(DB19=0,0,DB19/DB$72)</f>
        <v>0.24081808719259482</v>
      </c>
      <c r="DI19" s="95">
        <v>18</v>
      </c>
      <c r="DJ19" s="1157"/>
      <c r="DK19" s="174" t="str">
        <f t="shared" si="37"/>
        <v xml:space="preserve">Promotor de Derechos </v>
      </c>
      <c r="DL19" s="115">
        <f>+VLOOKUP(DJ13,'Cost x Depart'!$A$2:$AL$72,DI19,0)</f>
        <v>1</v>
      </c>
      <c r="DM19" s="100">
        <f>+'Componentes T.H.'!$T$9</f>
        <v>1</v>
      </c>
      <c r="DN19" s="1165">
        <f>+'Componentes T.H.'!$Q$9</f>
        <v>1060062.4566260003</v>
      </c>
      <c r="DO19" s="1161"/>
      <c r="DP19" s="231">
        <f t="shared" ref="DP19" si="166">+DL19*DM19*DN19*DM11</f>
        <v>6890405.968069002</v>
      </c>
      <c r="DQ19" s="113"/>
      <c r="DR19" s="114"/>
      <c r="DS19" s="114"/>
      <c r="DT19" s="114"/>
      <c r="DU19" s="929">
        <f>+IF(DP19=0,0,DP19/DP$72)</f>
        <v>0.2370406198052655</v>
      </c>
      <c r="DW19" s="95">
        <v>18</v>
      </c>
      <c r="DX19" s="1157"/>
      <c r="DY19" s="174" t="str">
        <f t="shared" si="39"/>
        <v xml:space="preserve">Promotor de Derechos </v>
      </c>
      <c r="DZ19" s="115">
        <f>+VLOOKUP(DX13,'Cost x Depart'!$A$2:$AL$72,DW19,0)</f>
        <v>5</v>
      </c>
      <c r="EA19" s="100">
        <f>+'Componentes T.H.'!$T$9</f>
        <v>1</v>
      </c>
      <c r="EB19" s="1165">
        <f>+'Componentes T.H.'!$Q$9</f>
        <v>1060062.4566260003</v>
      </c>
      <c r="EC19" s="1161"/>
      <c r="ED19" s="231">
        <f t="shared" ref="ED19" si="167">+DZ19*EA19*EB19*EA11</f>
        <v>34452029.84034501</v>
      </c>
      <c r="EE19" s="113"/>
      <c r="EF19" s="114"/>
      <c r="EG19" s="114"/>
      <c r="EH19" s="114"/>
      <c r="EI19" s="929">
        <f>+IF(ED19=0,0,ED19/ED$72)</f>
        <v>0.25181025790678102</v>
      </c>
      <c r="EK19" s="95">
        <v>18</v>
      </c>
      <c r="EL19" s="1157"/>
      <c r="EM19" s="174" t="str">
        <f t="shared" si="41"/>
        <v xml:space="preserve">Promotor de Derechos </v>
      </c>
      <c r="EN19" s="115">
        <f>+VLOOKUP(EL13,'Cost x Depart'!$A$2:$AL$72,EK19,0)</f>
        <v>9</v>
      </c>
      <c r="EO19" s="100">
        <f>+'Componentes T.H.'!$T$9</f>
        <v>1</v>
      </c>
      <c r="EP19" s="1165">
        <f>+'Componentes T.H.'!$Q$9</f>
        <v>1060062.4566260003</v>
      </c>
      <c r="EQ19" s="1161"/>
      <c r="ER19" s="231">
        <f t="shared" ref="ER19" si="168">+EN19*EO19*EP19*EO11</f>
        <v>62013653.712621018</v>
      </c>
      <c r="ES19" s="929" t="e">
        <f>+IF(EN19=0,0,EN19/EN$72)</f>
        <v>#DIV/0!</v>
      </c>
      <c r="ET19" s="114"/>
      <c r="EU19" s="114"/>
      <c r="EV19" s="114"/>
      <c r="EW19" s="929">
        <f>+IF(ER19=0,0,ER19/ER$72)</f>
        <v>0.26645773261207639</v>
      </c>
      <c r="EY19" s="95">
        <v>18</v>
      </c>
      <c r="EZ19" s="1157"/>
      <c r="FA19" s="174" t="str">
        <f t="shared" si="43"/>
        <v xml:space="preserve">Promotor de Derechos </v>
      </c>
      <c r="FB19" s="115">
        <f>+VLOOKUP(EZ13,'Cost x Depart'!$A$2:$AL$72,EY19,0)</f>
        <v>0</v>
      </c>
      <c r="FC19" s="100">
        <f>+'Componentes T.H.'!$T$9</f>
        <v>1</v>
      </c>
      <c r="FD19" s="1165">
        <f>+'Componentes T.H.'!$Q$9</f>
        <v>1060062.4566260003</v>
      </c>
      <c r="FE19" s="1161"/>
      <c r="FF19" s="231">
        <f t="shared" ref="FF19" si="169">+FB19*FC19*FD19*FC11</f>
        <v>0</v>
      </c>
      <c r="FG19" s="113"/>
      <c r="FH19" s="114"/>
      <c r="FI19" s="114"/>
      <c r="FJ19" s="114"/>
      <c r="FK19" s="929">
        <f>+IF(FF19=0,0,FF19/FF$72)</f>
        <v>0</v>
      </c>
      <c r="FM19" s="95">
        <v>18</v>
      </c>
      <c r="FN19" s="1157"/>
      <c r="FO19" s="174" t="str">
        <f t="shared" si="45"/>
        <v xml:space="preserve">Promotor de Derechos </v>
      </c>
      <c r="FP19" s="115">
        <f>+VLOOKUP(FN13,'Cost x Depart'!$A$2:$AL$72,FM19,0)</f>
        <v>6.5</v>
      </c>
      <c r="FQ19" s="100">
        <f>+'Componentes T.H.'!$T$9</f>
        <v>1</v>
      </c>
      <c r="FR19" s="1165">
        <f>+'Componentes T.H.'!$Q$9</f>
        <v>1060062.4566260003</v>
      </c>
      <c r="FS19" s="1161"/>
      <c r="FT19" s="231">
        <f t="shared" ref="FT19" si="170">+FP19*FQ19*FR19*FQ11</f>
        <v>44787638.792448513</v>
      </c>
      <c r="FU19" s="113"/>
      <c r="FV19" s="114"/>
      <c r="FW19" s="114"/>
      <c r="FX19" s="114"/>
      <c r="FY19" s="929">
        <f>+IF(FT19=0,0,FT19/FT$72)</f>
        <v>0.14122228977723866</v>
      </c>
      <c r="GA19" s="95">
        <v>18</v>
      </c>
      <c r="GB19" s="1157"/>
      <c r="GC19" s="174" t="str">
        <f t="shared" si="47"/>
        <v xml:space="preserve">Promotor de Derechos </v>
      </c>
      <c r="GD19" s="115">
        <f>+VLOOKUP(GB13,'Cost x Depart'!$A$2:$AL$72,GA19,0)</f>
        <v>6</v>
      </c>
      <c r="GE19" s="100">
        <f>+'Componentes T.H.'!$T$9</f>
        <v>1</v>
      </c>
      <c r="GF19" s="1165">
        <f>+'Componentes T.H.'!$Q$9</f>
        <v>1060062.4566260003</v>
      </c>
      <c r="GG19" s="1161"/>
      <c r="GH19" s="231">
        <f t="shared" ref="GH19" si="171">+GD19*GE19*GF19*GE11</f>
        <v>41342435.808414012</v>
      </c>
      <c r="GI19" s="113"/>
      <c r="GJ19" s="114"/>
      <c r="GK19" s="114"/>
      <c r="GL19" s="114"/>
      <c r="GM19" s="929">
        <f>+IF(GH19=0,0,GH19/GH$72)</f>
        <v>0.27402675834050394</v>
      </c>
      <c r="GO19" s="95">
        <v>18</v>
      </c>
      <c r="GP19" s="1157"/>
      <c r="GQ19" s="174" t="str">
        <f t="shared" si="49"/>
        <v xml:space="preserve">Promotor de Derechos </v>
      </c>
      <c r="GR19" s="115">
        <f>+VLOOKUP(GP13,'Cost x Depart'!$A$2:$AL$72,GO19,0)</f>
        <v>0</v>
      </c>
      <c r="GS19" s="100">
        <f>+'Componentes T.H.'!$T$9</f>
        <v>1</v>
      </c>
      <c r="GT19" s="1165">
        <f>+'Componentes T.H.'!$Q$9</f>
        <v>1060062.4566260003</v>
      </c>
      <c r="GU19" s="1161"/>
      <c r="GV19" s="231">
        <f t="shared" ref="GV19" si="172">+GR19*GS19*GT19*GS11</f>
        <v>0</v>
      </c>
      <c r="GW19" s="113"/>
      <c r="GX19" s="114"/>
      <c r="GY19" s="114"/>
      <c r="GZ19" s="114"/>
      <c r="HA19" s="929">
        <f>+IF(GV19=0,0,GV19/GV$72)</f>
        <v>0</v>
      </c>
      <c r="HC19" s="95">
        <v>18</v>
      </c>
      <c r="HD19" s="1157"/>
      <c r="HE19" s="174" t="str">
        <f t="shared" si="51"/>
        <v xml:space="preserve">Promotor de Derechos </v>
      </c>
      <c r="HF19" s="115">
        <f>+VLOOKUP(HD13,'Cost x Depart'!$A$2:$AL$72,HC19,0)</f>
        <v>3</v>
      </c>
      <c r="HG19" s="100">
        <f>+'Componentes T.H.'!$T$9</f>
        <v>1</v>
      </c>
      <c r="HH19" s="1165">
        <f>+'Componentes T.H.'!$Q$9</f>
        <v>1060062.4566260003</v>
      </c>
      <c r="HI19" s="1161"/>
      <c r="HJ19" s="231">
        <f t="shared" ref="HJ19" si="173">+HF19*HG19*HH19*HG11</f>
        <v>20671217.904207006</v>
      </c>
      <c r="HK19" s="113"/>
      <c r="HL19" s="114"/>
      <c r="HM19" s="114"/>
      <c r="HN19" s="114"/>
      <c r="HO19" s="929">
        <f>+IF(HJ19=0,0,HJ19/HJ$72)</f>
        <v>0.2664577326120765</v>
      </c>
      <c r="HQ19" s="95">
        <v>18</v>
      </c>
      <c r="HR19" s="1157"/>
      <c r="HS19" s="174" t="str">
        <f t="shared" si="53"/>
        <v xml:space="preserve">Promotor de Derechos </v>
      </c>
      <c r="HT19" s="115">
        <f>+VLOOKUP(HR13,'Cost x Depart'!$A$2:$AL$72,HQ19,0)</f>
        <v>11</v>
      </c>
      <c r="HU19" s="100">
        <f>+'Componentes T.H.'!$T$9</f>
        <v>1</v>
      </c>
      <c r="HV19" s="1165">
        <f>+'Componentes T.H.'!$Q$9</f>
        <v>1060062.4566260003</v>
      </c>
      <c r="HW19" s="1161"/>
      <c r="HX19" s="231">
        <f t="shared" ref="HX19" si="174">+HT19*HU19*HV19*HU11</f>
        <v>75794465.648759022</v>
      </c>
      <c r="HY19" s="929" t="e">
        <f t="shared" si="106"/>
        <v>#DIV/0!</v>
      </c>
      <c r="HZ19" s="114"/>
      <c r="IA19" s="114"/>
      <c r="IB19" s="114"/>
      <c r="IC19" s="929">
        <f>+IF(HX19=0,0,HX19/HX$72)</f>
        <v>0.25625182890043746</v>
      </c>
      <c r="IE19" s="95">
        <v>18</v>
      </c>
      <c r="IF19" s="1157"/>
      <c r="IG19" s="174"/>
      <c r="IH19" s="115"/>
      <c r="II19" s="100"/>
      <c r="IJ19" s="1165"/>
      <c r="IK19" s="1161"/>
      <c r="IL19" s="231"/>
      <c r="IM19" s="113"/>
      <c r="IN19" s="114"/>
      <c r="IO19" s="114"/>
      <c r="IP19" s="114"/>
      <c r="IQ19" s="929"/>
      <c r="IS19" s="95">
        <v>18</v>
      </c>
      <c r="IT19" s="1157"/>
      <c r="IU19" s="174"/>
      <c r="IV19" s="115"/>
      <c r="IW19" s="100"/>
      <c r="IX19" s="1165"/>
      <c r="IY19" s="1161"/>
      <c r="IZ19" s="231"/>
      <c r="JA19" s="113"/>
      <c r="JB19" s="114"/>
      <c r="JC19" s="114"/>
      <c r="JD19" s="114"/>
      <c r="JE19" s="929"/>
      <c r="JG19" s="95">
        <v>18</v>
      </c>
      <c r="JH19" s="1157"/>
      <c r="JI19" s="174" t="str">
        <f t="shared" si="107"/>
        <v xml:space="preserve">Promotor de Derechos </v>
      </c>
      <c r="JJ19" s="115">
        <f>+VLOOKUP(JH$13,'Cost x Depart'!$A$2:$AL$72,JG19,0)</f>
        <v>15</v>
      </c>
      <c r="JK19" s="100">
        <f>+'Componentes T.H.'!$T$9</f>
        <v>1</v>
      </c>
      <c r="JL19" s="1165">
        <f>+'Componentes T.H.'!$Q$9</f>
        <v>1060062.4566260003</v>
      </c>
      <c r="JM19" s="1161"/>
      <c r="JN19" s="231">
        <f t="shared" ref="JN19" si="175">+JJ19*JK19*JL19*JK11</f>
        <v>103356089.52103503</v>
      </c>
      <c r="JO19" s="113"/>
      <c r="JP19" s="114"/>
      <c r="JQ19" s="114"/>
      <c r="JR19" s="114"/>
      <c r="JS19" s="929">
        <f>+IF(JN19=0,0,JN19/JN$72)</f>
        <v>0.24116885608267985</v>
      </c>
      <c r="JU19" s="95">
        <v>18</v>
      </c>
      <c r="JV19" s="1157"/>
      <c r="JW19" s="174" t="str">
        <f t="shared" si="109"/>
        <v xml:space="preserve">Promotor de Derechos </v>
      </c>
      <c r="JX19" s="115">
        <f>+VLOOKUP(JV13,'Cost x Depart'!$A$2:$AL$72,JU19,0)</f>
        <v>6.5</v>
      </c>
      <c r="JY19" s="100">
        <f>+'Componentes T.H.'!$T$9</f>
        <v>1</v>
      </c>
      <c r="JZ19" s="1165">
        <f>+'Componentes T.H.'!$Q$9</f>
        <v>1060062.4566260003</v>
      </c>
      <c r="KA19" s="1161"/>
      <c r="KB19" s="231">
        <f t="shared" ref="KB19" si="176">+JX19*JY19*JZ19*JY11</f>
        <v>44787638.792448513</v>
      </c>
      <c r="KC19" s="113"/>
      <c r="KD19" s="114"/>
      <c r="KE19" s="114"/>
      <c r="KF19" s="114"/>
      <c r="KG19" s="929">
        <f>+IF(KB19=0,0,KB19/KB$72)</f>
        <v>0.25397612435393552</v>
      </c>
      <c r="KI19" s="95">
        <v>18</v>
      </c>
      <c r="KJ19" s="1157"/>
      <c r="KK19" s="174" t="str">
        <f t="shared" si="57"/>
        <v xml:space="preserve">Promotor de Derechos </v>
      </c>
      <c r="KL19" s="115">
        <f>+VLOOKUP(KJ13,'Cost x Depart'!$A$2:$AL$72,KI19,0)</f>
        <v>0</v>
      </c>
      <c r="KM19" s="100">
        <f>+'Componentes T.H.'!$T$9</f>
        <v>1</v>
      </c>
      <c r="KN19" s="1165">
        <f>+'Componentes T.H.'!$Q$9</f>
        <v>1060062.4566260003</v>
      </c>
      <c r="KO19" s="1161"/>
      <c r="KP19" s="231">
        <f t="shared" ref="KP19" si="177">+KL19*KM19*KN19*KM11</f>
        <v>0</v>
      </c>
      <c r="KQ19" s="113"/>
      <c r="KR19" s="114"/>
      <c r="KS19" s="114"/>
      <c r="KT19" s="114"/>
      <c r="KU19" s="929">
        <f>+IF(KP19=0,0,KP19/KP$72)</f>
        <v>0</v>
      </c>
      <c r="KW19" s="95">
        <v>18</v>
      </c>
      <c r="KX19" s="1157"/>
      <c r="KY19" s="174" t="str">
        <f t="shared" si="59"/>
        <v xml:space="preserve">Promotor de Derechos </v>
      </c>
      <c r="KZ19" s="115">
        <f>+VLOOKUP(KX13,'Cost x Depart'!$A$2:$AL$72,KW19,0)</f>
        <v>0</v>
      </c>
      <c r="LA19" s="100">
        <f>+'Componentes T.H.'!$T$9</f>
        <v>1</v>
      </c>
      <c r="LB19" s="1165">
        <f>+'Componentes T.H.'!$Q$9</f>
        <v>1060062.4566260003</v>
      </c>
      <c r="LC19" s="1161"/>
      <c r="LD19" s="231">
        <f t="shared" ref="LD19" si="178">+KZ19*LA19*LB19*LA11</f>
        <v>0</v>
      </c>
      <c r="LE19" s="113"/>
      <c r="LF19" s="114"/>
      <c r="LG19" s="114"/>
      <c r="LH19" s="114"/>
      <c r="LI19" s="929">
        <f>+IF(LD19=0,0,LD19/LD$72)</f>
        <v>0</v>
      </c>
      <c r="LK19" s="95">
        <v>18</v>
      </c>
      <c r="LL19" s="1157"/>
      <c r="LM19" s="174" t="str">
        <f t="shared" si="61"/>
        <v xml:space="preserve">Promotor de Derechos </v>
      </c>
      <c r="LN19" s="115">
        <f>+VLOOKUP(LL13,'Cost x Depart'!$A$2:$AL$72,LK19,0)</f>
        <v>0</v>
      </c>
      <c r="LO19" s="100">
        <f>+'Componentes T.H.'!$T$9</f>
        <v>1</v>
      </c>
      <c r="LP19" s="1165">
        <f>+'Componentes T.H.'!$Q$9</f>
        <v>1060062.4566260003</v>
      </c>
      <c r="LQ19" s="1161"/>
      <c r="LR19" s="231">
        <f t="shared" ref="LR19" si="179">+LN19*LO19*LP19*LO11</f>
        <v>0</v>
      </c>
      <c r="LS19" s="113"/>
      <c r="LT19" s="114"/>
      <c r="LU19" s="114"/>
      <c r="LV19" s="114"/>
      <c r="LW19" s="929">
        <f>+IF(LR19=0,0,LR19/LR$72)</f>
        <v>0</v>
      </c>
      <c r="LY19" s="95">
        <v>18</v>
      </c>
      <c r="LZ19" s="1157"/>
      <c r="MA19" s="174" t="str">
        <f t="shared" si="63"/>
        <v xml:space="preserve">Promotor de Derechos </v>
      </c>
      <c r="MB19" s="115">
        <f>+VLOOKUP(LZ13,'Cost x Depart'!$A$2:$AL$72,LY19,0)</f>
        <v>4.5</v>
      </c>
      <c r="MC19" s="100">
        <f>+'Componentes T.H.'!$T$9</f>
        <v>1</v>
      </c>
      <c r="MD19" s="1165">
        <f>+'Componentes T.H.'!$Q$9</f>
        <v>1060062.4566260003</v>
      </c>
      <c r="ME19" s="1161"/>
      <c r="MF19" s="231">
        <f t="shared" ref="MF19" si="180">+MB19*MC19*MD19*MC11</f>
        <v>31006826.856310509</v>
      </c>
      <c r="MG19" s="113"/>
      <c r="MH19" s="114"/>
      <c r="MI19" s="114"/>
      <c r="MJ19" s="114"/>
      <c r="MK19" s="929">
        <f>+IF(MF19=0,0,MF19/MF$72)</f>
        <v>0.25181025790678108</v>
      </c>
      <c r="MM19" s="95">
        <v>18</v>
      </c>
      <c r="MN19" s="1157"/>
      <c r="MO19" s="174" t="str">
        <f t="shared" si="65"/>
        <v xml:space="preserve">Promotor de Derechos </v>
      </c>
      <c r="MP19" s="115">
        <f>+VLOOKUP(MN13,'Cost x Depart'!$A$2:$AL$72,MM19,0)</f>
        <v>6</v>
      </c>
      <c r="MQ19" s="100">
        <f>+'Componentes T.H.'!$T$9</f>
        <v>1</v>
      </c>
      <c r="MR19" s="1165">
        <f>+'Componentes T.H.'!$Q$9</f>
        <v>1060062.4566260003</v>
      </c>
      <c r="MS19" s="1161"/>
      <c r="MT19" s="231">
        <f t="shared" ref="MT19" si="181">+MP19*MQ19*MR19*MQ11</f>
        <v>41342435.808414012</v>
      </c>
      <c r="MU19" s="113"/>
      <c r="MV19" s="114"/>
      <c r="MW19" s="114"/>
      <c r="MX19" s="114"/>
      <c r="MY19" s="929">
        <f>+IF(MT19=0,0,MT19/MT$72)</f>
        <v>0.2577992338593334</v>
      </c>
      <c r="NA19" s="95">
        <v>18</v>
      </c>
      <c r="NB19" s="1157"/>
      <c r="NC19" s="174" t="str">
        <f t="shared" si="67"/>
        <v xml:space="preserve">Promotor de Derechos </v>
      </c>
      <c r="ND19" s="115">
        <f>+VLOOKUP(NB13,'Cost x Depart'!$A$2:$AL$72,NA19,0)</f>
        <v>7</v>
      </c>
      <c r="NE19" s="100">
        <f>+'Componentes T.H.'!$T$9</f>
        <v>1</v>
      </c>
      <c r="NF19" s="1165">
        <f>+'Componentes T.H.'!$Q$9</f>
        <v>1060062.4566260003</v>
      </c>
      <c r="NG19" s="1161"/>
      <c r="NH19" s="231">
        <f t="shared" ref="NH19" si="182">+ND19*NE19*NF19*NE11</f>
        <v>48232841.776483022</v>
      </c>
      <c r="NI19" s="113"/>
      <c r="NJ19" s="114"/>
      <c r="NK19" s="114"/>
      <c r="NL19" s="114"/>
      <c r="NM19" s="929">
        <f>+IF(NH19=0,0,NH19/NH$72)</f>
        <v>0.27077598472117137</v>
      </c>
      <c r="NO19" s="95">
        <v>18</v>
      </c>
      <c r="NP19" s="1157"/>
      <c r="NQ19" s="174" t="str">
        <f t="shared" si="69"/>
        <v xml:space="preserve">Promotor de Derechos </v>
      </c>
      <c r="NR19" s="115">
        <f>+VLOOKUP(NP13,'Cost x Depart'!$A$2:$AL$72,NO19,0)</f>
        <v>8</v>
      </c>
      <c r="NS19" s="100">
        <f>+'Componentes T.H.'!$T$9</f>
        <v>1</v>
      </c>
      <c r="NT19" s="1165">
        <f>+'Componentes T.H.'!$Q$9</f>
        <v>1060062.4566260003</v>
      </c>
      <c r="NU19" s="1161"/>
      <c r="NV19" s="231">
        <f t="shared" ref="NV19" si="183">+NR19*NS19*NT19*NS11</f>
        <v>55123247.744552016</v>
      </c>
      <c r="NW19" s="113"/>
      <c r="NX19" s="114"/>
      <c r="NY19" s="114"/>
      <c r="NZ19" s="114"/>
      <c r="OA19" s="929">
        <f>+IF(NV19=0,0,NV19/NV$72)</f>
        <v>0.13256715858682686</v>
      </c>
      <c r="OC19" s="95">
        <v>18</v>
      </c>
      <c r="OD19" s="1157"/>
      <c r="OE19" s="174" t="str">
        <f t="shared" si="71"/>
        <v xml:space="preserve">Promotor de Derechos </v>
      </c>
      <c r="OF19" s="115">
        <f>+VLOOKUP(OD13,'Cost x Depart'!$A$2:$AL$72,OC19,0)</f>
        <v>2</v>
      </c>
      <c r="OG19" s="100">
        <f>+'Componentes T.H.'!$T$9</f>
        <v>1</v>
      </c>
      <c r="OH19" s="1165">
        <f>+'Componentes T.H.'!$Q$9</f>
        <v>1060062.4566260003</v>
      </c>
      <c r="OI19" s="1161"/>
      <c r="OJ19" s="231">
        <f t="shared" ref="OJ19" si="184">+OF19*OG19*OH19*OG11</f>
        <v>13780811.936138004</v>
      </c>
      <c r="OK19" s="113"/>
      <c r="OL19" s="114"/>
      <c r="OM19" s="114"/>
      <c r="ON19" s="114"/>
      <c r="OO19" s="929">
        <f>+IF(OJ19=0,0,OJ19/OJ$72)</f>
        <v>0.18178230815702706</v>
      </c>
      <c r="OQ19" s="95">
        <v>18</v>
      </c>
      <c r="OR19" s="1157"/>
      <c r="OS19" s="174" t="str">
        <f t="shared" si="73"/>
        <v xml:space="preserve">Promotor de Derechos </v>
      </c>
      <c r="OT19" s="115">
        <f>+VLOOKUP(OR13,'Cost x Depart'!$A$2:$AL$72,OQ19,0)</f>
        <v>10</v>
      </c>
      <c r="OU19" s="100">
        <f>+'Componentes T.H.'!$T$9</f>
        <v>1</v>
      </c>
      <c r="OV19" s="1165">
        <f>+'Componentes T.H.'!$Q$9</f>
        <v>1060062.4566260003</v>
      </c>
      <c r="OW19" s="1161"/>
      <c r="OX19" s="231">
        <f t="shared" ref="OX19" si="185">+OT19*OU19*OV19*OU11</f>
        <v>68904059.68069002</v>
      </c>
      <c r="OY19" s="113"/>
      <c r="OZ19" s="114"/>
      <c r="PA19" s="114"/>
      <c r="PB19" s="114"/>
      <c r="PC19" s="929">
        <f>+IF(OX19=0,0,OX19/OX$72)</f>
        <v>0.22933285697802144</v>
      </c>
      <c r="PE19" s="95">
        <v>18</v>
      </c>
      <c r="PF19" s="1157"/>
      <c r="PG19" s="174" t="str">
        <f t="shared" si="75"/>
        <v xml:space="preserve">Promotor de Derechos </v>
      </c>
      <c r="PH19" s="115">
        <f>+VLOOKUP(PF13,'Cost x Depart'!$A$2:$AL$72,PE19,0)</f>
        <v>0</v>
      </c>
      <c r="PI19" s="100">
        <f>+'Componentes T.H.'!$T$9</f>
        <v>1</v>
      </c>
      <c r="PJ19" s="1165">
        <f>+'Componentes T.H.'!$Q$9</f>
        <v>1060062.4566260003</v>
      </c>
      <c r="PK19" s="1161"/>
      <c r="PL19" s="231">
        <f t="shared" ref="PL19" si="186">+PH19*PI19*PJ19*PI11</f>
        <v>0</v>
      </c>
      <c r="PM19" s="113"/>
      <c r="PN19" s="114"/>
      <c r="PO19" s="114"/>
      <c r="PP19" s="114"/>
      <c r="PQ19" s="929">
        <f>+IF(PL19=0,0,PL19/PL$72)</f>
        <v>0</v>
      </c>
      <c r="PS19" s="95">
        <v>18</v>
      </c>
      <c r="PT19" s="1157"/>
      <c r="PU19" s="174" t="str">
        <f t="shared" si="77"/>
        <v xml:space="preserve">Promotor de Derechos </v>
      </c>
      <c r="PV19" s="115">
        <f>+VLOOKUP(PT13,'Cost x Depart'!$A$2:$AL$72,PS19,0)</f>
        <v>0</v>
      </c>
      <c r="PW19" s="100">
        <f>+'Componentes T.H.'!$T$9</f>
        <v>1</v>
      </c>
      <c r="PX19" s="1165">
        <f>+'Componentes T.H.'!$Q$9</f>
        <v>1060062.4566260003</v>
      </c>
      <c r="PY19" s="1161"/>
      <c r="PZ19" s="231">
        <f t="shared" ref="PZ19" si="187">+PV19*PW19*PX19*PW11</f>
        <v>0</v>
      </c>
      <c r="QA19" s="113"/>
      <c r="QB19" s="114"/>
      <c r="QC19" s="114"/>
      <c r="QD19" s="114"/>
      <c r="QE19" s="929">
        <f>+IF(PZ19=0,0,PZ19/PZ$72)</f>
        <v>0</v>
      </c>
      <c r="QG19" s="95">
        <v>18</v>
      </c>
      <c r="QH19" s="1157"/>
      <c r="QI19" s="174" t="str">
        <f t="shared" si="79"/>
        <v xml:space="preserve">Promotor de Derechos </v>
      </c>
      <c r="QJ19" s="115">
        <f>+VLOOKUP(QH13,'Cost x Depart'!$A$2:$AL$72,QG19,0)</f>
        <v>0</v>
      </c>
      <c r="QK19" s="100">
        <f>+'Componentes T.H.'!$T$9</f>
        <v>1</v>
      </c>
      <c r="QL19" s="1165">
        <f>+'Componentes T.H.'!$Q$9</f>
        <v>1060062.4566260003</v>
      </c>
      <c r="QM19" s="1161"/>
      <c r="QN19" s="231">
        <f t="shared" ref="QN19" si="188">+QJ19*QK19*QL19*QK11</f>
        <v>0</v>
      </c>
      <c r="QO19" s="113"/>
      <c r="QP19" s="114"/>
      <c r="QQ19" s="114"/>
      <c r="QR19" s="114"/>
      <c r="QS19" s="929">
        <f>+IF(QN19=0,0,QN19/QN$72)</f>
        <v>0</v>
      </c>
      <c r="QU19" s="95">
        <v>18</v>
      </c>
      <c r="QV19" s="1157"/>
      <c r="QW19" s="174" t="str">
        <f t="shared" si="81"/>
        <v xml:space="preserve">Promotor de Derechos </v>
      </c>
      <c r="QX19" s="115">
        <f>+VLOOKUP(QV13,'Cost x Depart'!$A$2:$AL$72,QU19,0)</f>
        <v>6</v>
      </c>
      <c r="QY19" s="100">
        <f>+'Componentes T.H.'!$T$9</f>
        <v>1</v>
      </c>
      <c r="QZ19" s="1165">
        <f>+'Componentes T.H.'!$Q$9</f>
        <v>1060062.4566260003</v>
      </c>
      <c r="RA19" s="1161"/>
      <c r="RB19" s="231">
        <f t="shared" ref="RB19" si="189">+QX19*QY19*QZ19*QY11</f>
        <v>41342435.808414012</v>
      </c>
      <c r="RC19" s="113"/>
      <c r="RD19" s="114"/>
      <c r="RE19" s="114"/>
      <c r="RF19" s="114"/>
      <c r="RG19" s="929">
        <f>+IF(RB19=0,0,RB19/RB$72)</f>
        <v>0.13256715858682683</v>
      </c>
      <c r="RI19" s="95">
        <v>18</v>
      </c>
      <c r="RJ19" s="1157"/>
      <c r="RK19" s="174" t="str">
        <f t="shared" si="83"/>
        <v xml:space="preserve">Promotor de Derechos </v>
      </c>
      <c r="RL19" s="115">
        <f>+VLOOKUP(RJ13,'Cost x Depart'!$A$2:$AL$72,RI19,0)</f>
        <v>1</v>
      </c>
      <c r="RM19" s="100">
        <f>+'Componentes T.H.'!$T$9</f>
        <v>1</v>
      </c>
      <c r="RN19" s="1165">
        <f>+'Componentes T.H.'!$Q$9</f>
        <v>1060062.4566260003</v>
      </c>
      <c r="RO19" s="1161"/>
      <c r="RP19" s="231">
        <f t="shared" ref="RP19" si="190">+RL19*RM19*RN19*RM11</f>
        <v>6890405.968069002</v>
      </c>
      <c r="RQ19" s="113"/>
      <c r="RR19" s="114"/>
      <c r="RS19" s="114"/>
      <c r="RT19" s="114"/>
      <c r="RU19" s="929">
        <f>+IF(RP19=0,0,RP19/RP$72)</f>
        <v>0.11657539590548301</v>
      </c>
      <c r="RW19" s="95">
        <v>18</v>
      </c>
      <c r="RX19" s="1157"/>
      <c r="RY19" s="174" t="str">
        <f t="shared" si="85"/>
        <v xml:space="preserve">Promotor de Derechos </v>
      </c>
      <c r="RZ19" s="115">
        <f>+VLOOKUP(RX13,'Cost x Depart'!$A$2:$AL$72,RW19,0)</f>
        <v>3.5</v>
      </c>
      <c r="SA19" s="100">
        <f>+'Componentes T.H.'!$T$9</f>
        <v>1</v>
      </c>
      <c r="SB19" s="1165">
        <f>+'Componentes T.H.'!$Q$9</f>
        <v>1060062.4566260003</v>
      </c>
      <c r="SC19" s="1161"/>
      <c r="SD19" s="231">
        <f t="shared" ref="SD19" si="191">+RZ19*SA19*SB19*SA11</f>
        <v>24116420.888241511</v>
      </c>
      <c r="SE19" s="113"/>
      <c r="SF19" s="114"/>
      <c r="SG19" s="114"/>
      <c r="SH19" s="114"/>
      <c r="SI19" s="929">
        <f>+IF(SD19=0,0,SD19/SD$72)</f>
        <v>0.13256715858682683</v>
      </c>
      <c r="SK19" s="95">
        <v>18</v>
      </c>
      <c r="SL19" s="1157"/>
      <c r="SM19" s="174" t="str">
        <f t="shared" si="87"/>
        <v xml:space="preserve">Promotor de Derechos </v>
      </c>
      <c r="SN19" s="115">
        <f>+VLOOKUP(SL13,'Cost x Depart'!$A$2:$AL$72,SK19,0)</f>
        <v>0</v>
      </c>
      <c r="SO19" s="100">
        <f>+'Componentes T.H.'!$T$9</f>
        <v>1</v>
      </c>
      <c r="SP19" s="1165">
        <f>+'Componentes T.H.'!$Q$9</f>
        <v>1060062.4566260003</v>
      </c>
      <c r="SQ19" s="1161"/>
      <c r="SR19" s="231">
        <f t="shared" ref="SR19" si="192">+SN19*SO19*SP19*SO11</f>
        <v>0</v>
      </c>
      <c r="SS19" s="113"/>
      <c r="ST19" s="114"/>
      <c r="SU19" s="114"/>
      <c r="SV19" s="114"/>
      <c r="SW19" s="929">
        <f>+IF(SR19=0,0,SR19/SR$72)</f>
        <v>0</v>
      </c>
      <c r="SY19" s="95">
        <v>14</v>
      </c>
      <c r="SZ19" s="1157"/>
      <c r="TA19" s="174" t="str">
        <f t="shared" si="89"/>
        <v xml:space="preserve">Promotor de Derechos </v>
      </c>
      <c r="TB19" s="115">
        <f>+D19+AT19+BH19+BV19+CJ19+CX19+DL19+DZ19+EN19+FB19+FP19+GD19+HF19+HT19+JJ19+JX19+KL19+KZ19+LN19+MB19+MP19+ND19+NR19+OF19+OT19+PH19+PV19+QJ19+QX19+RL19+RZ19+SN19</f>
        <v>150</v>
      </c>
      <c r="TC19" s="100">
        <f>+'Componentes T.H.'!$T$9</f>
        <v>1</v>
      </c>
      <c r="TD19" s="1165">
        <f>+'Componentes T.H.'!$Q$9</f>
        <v>1060062.4566260003</v>
      </c>
      <c r="TE19" s="1161"/>
      <c r="TF19" s="722">
        <f t="shared" ref="TF19" si="193">+TB19*TC19*TD19*TC11</f>
        <v>1033560895.2103504</v>
      </c>
      <c r="TG19" s="113"/>
      <c r="TH19" s="114"/>
      <c r="TI19" s="114"/>
      <c r="TJ19" s="114"/>
      <c r="TK19" s="929">
        <f>+IF(TF19=0,0,TF19/TF$72)</f>
        <v>0.21995974827571649</v>
      </c>
      <c r="TM19" s="937"/>
      <c r="TN19" s="725"/>
    </row>
    <row r="20" spans="1:534" ht="15.75" customHeight="1" thickBot="1">
      <c r="A20" s="95">
        <v>16</v>
      </c>
      <c r="B20" s="1158"/>
      <c r="C20" s="303">
        <f>+'Componentes T.H.'!B10</f>
        <v>0</v>
      </c>
      <c r="D20" s="304">
        <f>+VLOOKUP(B13,'Cost x Depart'!$A$2:$AL$72,A20,0)</f>
        <v>0</v>
      </c>
      <c r="E20" s="305">
        <f>+'Componentes T.H.'!$T$10</f>
        <v>0</v>
      </c>
      <c r="F20" s="1163">
        <f>+'Componentes T.H.'!$Q$10</f>
        <v>0</v>
      </c>
      <c r="G20" s="1164"/>
      <c r="H20" s="232">
        <f>+D20*E20*F20*E11</f>
        <v>0</v>
      </c>
      <c r="I20" s="113"/>
      <c r="J20" s="114"/>
      <c r="K20" s="114"/>
      <c r="L20" s="114"/>
      <c r="M20" s="929">
        <f>+IF(H72=0,,H20/H$72)</f>
        <v>0</v>
      </c>
      <c r="O20" s="95">
        <v>16</v>
      </c>
      <c r="P20" s="1158"/>
      <c r="Q20" s="303"/>
      <c r="R20" s="304"/>
      <c r="S20" s="305"/>
      <c r="T20" s="1166"/>
      <c r="U20" s="1163"/>
      <c r="V20" s="232"/>
      <c r="W20" s="113"/>
      <c r="X20" s="114"/>
      <c r="Y20" s="114"/>
      <c r="Z20" s="114"/>
      <c r="AA20" s="929"/>
      <c r="AC20" s="95">
        <v>12</v>
      </c>
      <c r="AD20" s="1158"/>
      <c r="AE20" s="303"/>
      <c r="AF20" s="304"/>
      <c r="AG20" s="305"/>
      <c r="AH20" s="1166"/>
      <c r="AI20" s="1163"/>
      <c r="AJ20" s="232"/>
      <c r="AK20" s="113"/>
      <c r="AL20" s="114"/>
      <c r="AM20" s="114"/>
      <c r="AN20" s="114"/>
      <c r="AO20" s="929"/>
      <c r="AQ20" s="95">
        <v>16</v>
      </c>
      <c r="AR20" s="1158"/>
      <c r="AS20" s="303">
        <f t="shared" si="91"/>
        <v>0</v>
      </c>
      <c r="AT20" s="304">
        <f>+VLOOKUP(AR13,'Cost x Depart'!$A$2:$AL$72,AQ20,0)</f>
        <v>0</v>
      </c>
      <c r="AU20" s="305">
        <f>+'Componentes T.H.'!$T$10</f>
        <v>0</v>
      </c>
      <c r="AV20" s="1166">
        <f>+'Componentes T.H.'!$Q$10</f>
        <v>0</v>
      </c>
      <c r="AW20" s="1163"/>
      <c r="AX20" s="232">
        <f t="shared" ref="AX20" si="194">+AT20*AU20*AV20*AU11</f>
        <v>0</v>
      </c>
      <c r="AY20" s="113"/>
      <c r="AZ20" s="114"/>
      <c r="BA20" s="114"/>
      <c r="BB20" s="114"/>
      <c r="BC20" s="929">
        <f>+IF(AX72=0,,AX20/AX$72)</f>
        <v>0</v>
      </c>
      <c r="BE20" s="95">
        <v>16</v>
      </c>
      <c r="BF20" s="1158"/>
      <c r="BG20" s="303">
        <f t="shared" si="29"/>
        <v>0</v>
      </c>
      <c r="BH20" s="304">
        <f>+VLOOKUP(BF13,'Cost x Depart'!$A$2:$AL$72,BE20,0)</f>
        <v>0</v>
      </c>
      <c r="BI20" s="305">
        <f>+'Componentes T.H.'!$T$10</f>
        <v>0</v>
      </c>
      <c r="BJ20" s="1166">
        <f>+'Componentes T.H.'!$Q$10</f>
        <v>0</v>
      </c>
      <c r="BK20" s="1163"/>
      <c r="BL20" s="232">
        <f t="shared" ref="BL20" si="195">+BH20*BI20*BJ20*BI11</f>
        <v>0</v>
      </c>
      <c r="BM20" s="113"/>
      <c r="BN20" s="114"/>
      <c r="BO20" s="114"/>
      <c r="BP20" s="114"/>
      <c r="BQ20" s="929">
        <f>+IF(BL72=0,,BL20/BL$72)</f>
        <v>0</v>
      </c>
      <c r="BS20" s="95">
        <v>16</v>
      </c>
      <c r="BT20" s="1158"/>
      <c r="BU20" s="303">
        <f t="shared" si="31"/>
        <v>0</v>
      </c>
      <c r="BV20" s="304">
        <f>+VLOOKUP(BT13,'Cost x Depart'!$A$2:$AL$72,BS20,0)</f>
        <v>0</v>
      </c>
      <c r="BW20" s="305">
        <f>+'Componentes T.H.'!$T$10</f>
        <v>0</v>
      </c>
      <c r="BX20" s="1166">
        <f>+'Componentes T.H.'!$Q$10</f>
        <v>0</v>
      </c>
      <c r="BY20" s="1163"/>
      <c r="BZ20" s="232">
        <f t="shared" ref="BZ20" si="196">+BV20*BW20*BX20*BW11</f>
        <v>0</v>
      </c>
      <c r="CA20" s="113"/>
      <c r="CB20" s="114"/>
      <c r="CC20" s="114"/>
      <c r="CD20" s="114"/>
      <c r="CE20" s="929">
        <f>+IF(BZ72=0,,BZ20/BZ$72)</f>
        <v>0</v>
      </c>
      <c r="CG20" s="95">
        <v>16</v>
      </c>
      <c r="CH20" s="1158"/>
      <c r="CI20" s="303">
        <f t="shared" si="33"/>
        <v>0</v>
      </c>
      <c r="CJ20" s="304">
        <f>+VLOOKUP(CH13,'Cost x Depart'!$A$2:$AL$72,CG20,0)</f>
        <v>0</v>
      </c>
      <c r="CK20" s="305">
        <f>+'Componentes T.H.'!$T$10</f>
        <v>0</v>
      </c>
      <c r="CL20" s="1166">
        <f>+'Componentes T.H.'!$Q$10</f>
        <v>0</v>
      </c>
      <c r="CM20" s="1163"/>
      <c r="CN20" s="232">
        <f t="shared" ref="CN20" si="197">+CJ20*CK20*CL20*CK11</f>
        <v>0</v>
      </c>
      <c r="CO20" s="113"/>
      <c r="CP20" s="114"/>
      <c r="CQ20" s="114"/>
      <c r="CR20" s="114"/>
      <c r="CS20" s="929">
        <f>+IF(CN72=0,,CN20/CN$72)</f>
        <v>0</v>
      </c>
      <c r="CU20" s="95">
        <v>16</v>
      </c>
      <c r="CV20" s="1158"/>
      <c r="CW20" s="303">
        <f t="shared" si="35"/>
        <v>0</v>
      </c>
      <c r="CX20" s="304">
        <f>+VLOOKUP(CV13,'Cost x Depart'!$A$2:$AL$72,CU20,0)</f>
        <v>0</v>
      </c>
      <c r="CY20" s="305">
        <f>+'Componentes T.H.'!$T$10</f>
        <v>0</v>
      </c>
      <c r="CZ20" s="1166">
        <f>+'Componentes T.H.'!$Q$10</f>
        <v>0</v>
      </c>
      <c r="DA20" s="1163"/>
      <c r="DB20" s="232">
        <f t="shared" ref="DB20" si="198">+CX20*CY20*CZ20*CY11</f>
        <v>0</v>
      </c>
      <c r="DC20" s="113"/>
      <c r="DD20" s="114"/>
      <c r="DE20" s="114"/>
      <c r="DF20" s="114"/>
      <c r="DG20" s="929">
        <f>+IF(DB72=0,,DB20/DB$72)</f>
        <v>0</v>
      </c>
      <c r="DI20" s="95">
        <v>16</v>
      </c>
      <c r="DJ20" s="1158"/>
      <c r="DK20" s="303">
        <f t="shared" si="37"/>
        <v>0</v>
      </c>
      <c r="DL20" s="304">
        <f>+VLOOKUP(DJ13,'Cost x Depart'!$A$2:$AL$72,DI20,0)</f>
        <v>0</v>
      </c>
      <c r="DM20" s="305">
        <f>+'Componentes T.H.'!$T$10</f>
        <v>0</v>
      </c>
      <c r="DN20" s="1166">
        <f>+'Componentes T.H.'!$Q$10</f>
        <v>0</v>
      </c>
      <c r="DO20" s="1163"/>
      <c r="DP20" s="232">
        <f t="shared" ref="DP20" si="199">+DL20*DM20*DN20*DM11</f>
        <v>0</v>
      </c>
      <c r="DQ20" s="113"/>
      <c r="DR20" s="114"/>
      <c r="DS20" s="114"/>
      <c r="DT20" s="114"/>
      <c r="DU20" s="929">
        <f>+IF(DP72=0,,DP20/DP$72)</f>
        <v>0</v>
      </c>
      <c r="DW20" s="95">
        <v>16</v>
      </c>
      <c r="DX20" s="1158"/>
      <c r="DY20" s="303">
        <f t="shared" si="39"/>
        <v>0</v>
      </c>
      <c r="DZ20" s="304">
        <f>+VLOOKUP(DX13,'Cost x Depart'!$A$2:$AL$72,DW20,0)</f>
        <v>0</v>
      </c>
      <c r="EA20" s="305">
        <f>+'Componentes T.H.'!$T$10</f>
        <v>0</v>
      </c>
      <c r="EB20" s="1166">
        <f>+'Componentes T.H.'!$Q$10</f>
        <v>0</v>
      </c>
      <c r="EC20" s="1163"/>
      <c r="ED20" s="232">
        <f t="shared" ref="ED20" si="200">+DZ20*EA20*EB20*EA11</f>
        <v>0</v>
      </c>
      <c r="EE20" s="113"/>
      <c r="EF20" s="114"/>
      <c r="EG20" s="114"/>
      <c r="EH20" s="114"/>
      <c r="EI20" s="929">
        <f>+IF(ED72=0,,ED20/ED$72)</f>
        <v>0</v>
      </c>
      <c r="EK20" s="95">
        <v>16</v>
      </c>
      <c r="EL20" s="1158"/>
      <c r="EM20" s="303">
        <f t="shared" si="41"/>
        <v>0</v>
      </c>
      <c r="EN20" s="304">
        <f>+VLOOKUP(EL13,'Cost x Depart'!$A$2:$AL$72,EK20,0)</f>
        <v>0</v>
      </c>
      <c r="EO20" s="305">
        <f>+'Componentes T.H.'!$T$10</f>
        <v>0</v>
      </c>
      <c r="EP20" s="1166">
        <f>+'Componentes T.H.'!$Q$10</f>
        <v>0</v>
      </c>
      <c r="EQ20" s="1163"/>
      <c r="ER20" s="232">
        <f t="shared" ref="ER20" si="201">+EN20*EO20*EP20*EO11</f>
        <v>0</v>
      </c>
      <c r="ES20" s="929">
        <f>+IF(EN72=0,,EN20/EN$72)</f>
        <v>0</v>
      </c>
      <c r="ET20" s="114"/>
      <c r="EU20" s="114"/>
      <c r="EV20" s="114"/>
      <c r="EW20" s="929">
        <f t="shared" ref="EW20" si="202">+ER20/ER$72</f>
        <v>0</v>
      </c>
      <c r="EY20" s="95">
        <v>16</v>
      </c>
      <c r="EZ20" s="1158"/>
      <c r="FA20" s="303">
        <f t="shared" si="43"/>
        <v>0</v>
      </c>
      <c r="FB20" s="304">
        <f>+VLOOKUP(EZ13,'Cost x Depart'!$A$2:$AL$72,EY20,0)</f>
        <v>0</v>
      </c>
      <c r="FC20" s="305">
        <f>+'Componentes T.H.'!$T$10</f>
        <v>0</v>
      </c>
      <c r="FD20" s="1166">
        <f>+'Componentes T.H.'!$Q$10</f>
        <v>0</v>
      </c>
      <c r="FE20" s="1163"/>
      <c r="FF20" s="232">
        <f t="shared" ref="FF20" si="203">+FB20*FC20*FD20*FC11</f>
        <v>0</v>
      </c>
      <c r="FG20" s="113"/>
      <c r="FH20" s="114"/>
      <c r="FI20" s="114"/>
      <c r="FJ20" s="114"/>
      <c r="FK20" s="929">
        <f>+IF(FF72=0,,FF20/FF$72)</f>
        <v>0</v>
      </c>
      <c r="FM20" s="95">
        <v>16</v>
      </c>
      <c r="FN20" s="1158"/>
      <c r="FO20" s="303">
        <f t="shared" si="45"/>
        <v>0</v>
      </c>
      <c r="FP20" s="304">
        <f>+VLOOKUP(FN13,'Cost x Depart'!$A$2:$AL$72,FM20,0)</f>
        <v>0</v>
      </c>
      <c r="FQ20" s="305">
        <f>+'Componentes T.H.'!$T$10</f>
        <v>0</v>
      </c>
      <c r="FR20" s="1166">
        <f>+'Componentes T.H.'!$Q$10</f>
        <v>0</v>
      </c>
      <c r="FS20" s="1163"/>
      <c r="FT20" s="232">
        <f t="shared" ref="FT20" si="204">+FP20*FQ20*FR20*FQ11</f>
        <v>0</v>
      </c>
      <c r="FU20" s="113"/>
      <c r="FV20" s="114"/>
      <c r="FW20" s="114"/>
      <c r="FX20" s="114"/>
      <c r="FY20" s="929">
        <f>+IF(FT72=0,,FT20/FT$72)</f>
        <v>0</v>
      </c>
      <c r="GA20" s="95">
        <v>16</v>
      </c>
      <c r="GB20" s="1158"/>
      <c r="GC20" s="303">
        <f t="shared" si="47"/>
        <v>0</v>
      </c>
      <c r="GD20" s="304">
        <f>+VLOOKUP(GB13,'Cost x Depart'!$A$2:$AL$72,GA20,0)</f>
        <v>0</v>
      </c>
      <c r="GE20" s="305">
        <f>+'Componentes T.H.'!$T$10</f>
        <v>0</v>
      </c>
      <c r="GF20" s="1166">
        <f>+'Componentes T.H.'!$Q$10</f>
        <v>0</v>
      </c>
      <c r="GG20" s="1163"/>
      <c r="GH20" s="232">
        <f t="shared" ref="GH20" si="205">+GD20*GE20*GF20*GE11</f>
        <v>0</v>
      </c>
      <c r="GI20" s="113"/>
      <c r="GJ20" s="114"/>
      <c r="GK20" s="114"/>
      <c r="GL20" s="114"/>
      <c r="GM20" s="929">
        <f>+IF(GH72=0,,GH20/GH$72)</f>
        <v>0</v>
      </c>
      <c r="GO20" s="95">
        <v>16</v>
      </c>
      <c r="GP20" s="1158"/>
      <c r="GQ20" s="303">
        <f t="shared" si="49"/>
        <v>0</v>
      </c>
      <c r="GR20" s="304">
        <f>+VLOOKUP(GP13,'Cost x Depart'!$A$2:$AL$72,GO20,0)</f>
        <v>0</v>
      </c>
      <c r="GS20" s="305">
        <f>+'Componentes T.H.'!$T$10</f>
        <v>0</v>
      </c>
      <c r="GT20" s="1166">
        <f>+'Componentes T.H.'!$Q$10</f>
        <v>0</v>
      </c>
      <c r="GU20" s="1163"/>
      <c r="GV20" s="232">
        <f t="shared" ref="GV20" si="206">+GR20*GS20*GT20*GS11</f>
        <v>0</v>
      </c>
      <c r="GW20" s="113"/>
      <c r="GX20" s="114"/>
      <c r="GY20" s="114"/>
      <c r="GZ20" s="114"/>
      <c r="HA20" s="929">
        <f>+IF(GV72=0,,GV20/GV$72)</f>
        <v>0</v>
      </c>
      <c r="HC20" s="95">
        <v>16</v>
      </c>
      <c r="HD20" s="1158"/>
      <c r="HE20" s="303">
        <f t="shared" si="51"/>
        <v>0</v>
      </c>
      <c r="HF20" s="304">
        <f>+VLOOKUP(HD13,'Cost x Depart'!$A$2:$AL$72,HC20,0)</f>
        <v>0</v>
      </c>
      <c r="HG20" s="305">
        <f>+'Componentes T.H.'!$T$10</f>
        <v>0</v>
      </c>
      <c r="HH20" s="1166">
        <f>+'Componentes T.H.'!$Q$10</f>
        <v>0</v>
      </c>
      <c r="HI20" s="1163"/>
      <c r="HJ20" s="232">
        <f t="shared" ref="HJ20" si="207">+HF20*HG20*HH20*HG11</f>
        <v>0</v>
      </c>
      <c r="HK20" s="113"/>
      <c r="HL20" s="114"/>
      <c r="HM20" s="114"/>
      <c r="HN20" s="114"/>
      <c r="HO20" s="929">
        <f>+IF(HJ72=0,,HJ20/HJ$72)</f>
        <v>0</v>
      </c>
      <c r="HQ20" s="95">
        <v>16</v>
      </c>
      <c r="HR20" s="1158"/>
      <c r="HS20" s="303">
        <f t="shared" si="53"/>
        <v>0</v>
      </c>
      <c r="HT20" s="304">
        <f>+VLOOKUP(HR13,'Cost x Depart'!$A$2:$AL$72,HQ20,0)</f>
        <v>0</v>
      </c>
      <c r="HU20" s="305">
        <f>+'Componentes T.H.'!$T$10</f>
        <v>0</v>
      </c>
      <c r="HV20" s="1166">
        <f>+'Componentes T.H.'!$Q$10</f>
        <v>0</v>
      </c>
      <c r="HW20" s="1163"/>
      <c r="HX20" s="232">
        <f t="shared" ref="HX20" si="208">+HT20*HU20*HV20*HU11</f>
        <v>0</v>
      </c>
      <c r="HY20" s="929">
        <f t="shared" si="106"/>
        <v>0</v>
      </c>
      <c r="HZ20" s="114"/>
      <c r="IA20" s="114"/>
      <c r="IB20" s="114"/>
      <c r="IC20" s="929">
        <f>+IF(HX72=0,,HX20/HX$72)</f>
        <v>0</v>
      </c>
      <c r="IE20" s="95">
        <v>16</v>
      </c>
      <c r="IF20" s="1158"/>
      <c r="IG20" s="303"/>
      <c r="IH20" s="304"/>
      <c r="II20" s="305"/>
      <c r="IJ20" s="1166"/>
      <c r="IK20" s="1163"/>
      <c r="IL20" s="232"/>
      <c r="IM20" s="113"/>
      <c r="IN20" s="114"/>
      <c r="IO20" s="114"/>
      <c r="IP20" s="114"/>
      <c r="IQ20" s="929"/>
      <c r="IS20" s="95">
        <v>16</v>
      </c>
      <c r="IT20" s="1158"/>
      <c r="IU20" s="303"/>
      <c r="IV20" s="304"/>
      <c r="IW20" s="305"/>
      <c r="IX20" s="1166"/>
      <c r="IY20" s="1163"/>
      <c r="IZ20" s="232"/>
      <c r="JA20" s="113"/>
      <c r="JB20" s="114"/>
      <c r="JC20" s="114"/>
      <c r="JD20" s="114"/>
      <c r="JE20" s="929"/>
      <c r="JG20" s="95">
        <v>16</v>
      </c>
      <c r="JH20" s="1158"/>
      <c r="JI20" s="303">
        <f t="shared" si="107"/>
        <v>0</v>
      </c>
      <c r="JJ20" s="304">
        <f>+VLOOKUP(JH$13,'Cost x Depart'!$A$2:$AL$72,JG20,0)</f>
        <v>0</v>
      </c>
      <c r="JK20" s="305">
        <f>+'Componentes T.H.'!$T$10</f>
        <v>0</v>
      </c>
      <c r="JL20" s="1166">
        <f>+'Componentes T.H.'!$Q$10</f>
        <v>0</v>
      </c>
      <c r="JM20" s="1163"/>
      <c r="JN20" s="232">
        <f t="shared" ref="JN20" si="209">+JJ20*JK20*JL20*JK11</f>
        <v>0</v>
      </c>
      <c r="JO20" s="113"/>
      <c r="JP20" s="114"/>
      <c r="JQ20" s="114"/>
      <c r="JR20" s="114"/>
      <c r="JS20" s="929">
        <f>+IF(JN72=0,,JN20/JN$72)</f>
        <v>0</v>
      </c>
      <c r="JU20" s="95">
        <v>16</v>
      </c>
      <c r="JV20" s="1158"/>
      <c r="JW20" s="303">
        <f t="shared" si="109"/>
        <v>0</v>
      </c>
      <c r="JX20" s="304">
        <f>+VLOOKUP(JV13,'Cost x Depart'!$A$2:$AL$72,JU20,0)</f>
        <v>0</v>
      </c>
      <c r="JY20" s="305">
        <f>+'Componentes T.H.'!$T$10</f>
        <v>0</v>
      </c>
      <c r="JZ20" s="1166">
        <f>+'Componentes T.H.'!$Q$10</f>
        <v>0</v>
      </c>
      <c r="KA20" s="1163"/>
      <c r="KB20" s="232">
        <f t="shared" ref="KB20" si="210">+JX20*JY20*JZ20*JY11</f>
        <v>0</v>
      </c>
      <c r="KC20" s="113"/>
      <c r="KD20" s="114"/>
      <c r="KE20" s="114"/>
      <c r="KF20" s="114"/>
      <c r="KG20" s="929">
        <f>+IF(KB72=0,,KB20/KB$72)</f>
        <v>0</v>
      </c>
      <c r="KI20" s="95">
        <v>16</v>
      </c>
      <c r="KJ20" s="1158"/>
      <c r="KK20" s="303">
        <f t="shared" si="57"/>
        <v>0</v>
      </c>
      <c r="KL20" s="304">
        <f>+VLOOKUP(KJ13,'Cost x Depart'!$A$2:$AL$72,KI20,0)</f>
        <v>0</v>
      </c>
      <c r="KM20" s="305">
        <f>+'Componentes T.H.'!$T$10</f>
        <v>0</v>
      </c>
      <c r="KN20" s="1166">
        <f>+'Componentes T.H.'!$Q$10</f>
        <v>0</v>
      </c>
      <c r="KO20" s="1163"/>
      <c r="KP20" s="232">
        <f t="shared" ref="KP20" si="211">+KL20*KM20*KN20*KM11</f>
        <v>0</v>
      </c>
      <c r="KQ20" s="113"/>
      <c r="KR20" s="114"/>
      <c r="KS20" s="114"/>
      <c r="KT20" s="114"/>
      <c r="KU20" s="929">
        <f>+IF(KP72=0,,KP20/KP$72)</f>
        <v>0</v>
      </c>
      <c r="KW20" s="95">
        <v>16</v>
      </c>
      <c r="KX20" s="1158"/>
      <c r="KY20" s="303">
        <f t="shared" si="59"/>
        <v>0</v>
      </c>
      <c r="KZ20" s="304">
        <f>+VLOOKUP(KX13,'Cost x Depart'!$A$2:$AL$72,KW20,0)</f>
        <v>0</v>
      </c>
      <c r="LA20" s="305">
        <f>+'Componentes T.H.'!$T$10</f>
        <v>0</v>
      </c>
      <c r="LB20" s="1166">
        <f>+'Componentes T.H.'!$Q$10</f>
        <v>0</v>
      </c>
      <c r="LC20" s="1163"/>
      <c r="LD20" s="232">
        <f t="shared" ref="LD20" si="212">+KZ20*LA20*LB20*LA11</f>
        <v>0</v>
      </c>
      <c r="LE20" s="113"/>
      <c r="LF20" s="114"/>
      <c r="LG20" s="114"/>
      <c r="LH20" s="114"/>
      <c r="LI20" s="929">
        <f>+IF(LD72=0,,LD20/LD$72)</f>
        <v>0</v>
      </c>
      <c r="LK20" s="95">
        <v>16</v>
      </c>
      <c r="LL20" s="1158"/>
      <c r="LM20" s="303">
        <f t="shared" si="61"/>
        <v>0</v>
      </c>
      <c r="LN20" s="304">
        <f>+VLOOKUP(LL13,'Cost x Depart'!$A$2:$AL$72,LK20,0)</f>
        <v>0</v>
      </c>
      <c r="LO20" s="305">
        <f>+'Componentes T.H.'!$T$10</f>
        <v>0</v>
      </c>
      <c r="LP20" s="1166">
        <f>+'Componentes T.H.'!$Q$10</f>
        <v>0</v>
      </c>
      <c r="LQ20" s="1163"/>
      <c r="LR20" s="232">
        <f t="shared" ref="LR20" si="213">+LN20*LO20*LP20*LO11</f>
        <v>0</v>
      </c>
      <c r="LS20" s="113"/>
      <c r="LT20" s="114"/>
      <c r="LU20" s="114"/>
      <c r="LV20" s="114"/>
      <c r="LW20" s="929">
        <f>+IF(LR72=0,,LR20/LR$72)</f>
        <v>0</v>
      </c>
      <c r="LY20" s="95">
        <v>16</v>
      </c>
      <c r="LZ20" s="1158"/>
      <c r="MA20" s="303">
        <f t="shared" si="63"/>
        <v>0</v>
      </c>
      <c r="MB20" s="304">
        <f>+VLOOKUP(LZ13,'Cost x Depart'!$A$2:$AL$72,LY20,0)</f>
        <v>0</v>
      </c>
      <c r="MC20" s="305">
        <f>+'Componentes T.H.'!$T$10</f>
        <v>0</v>
      </c>
      <c r="MD20" s="1166">
        <f>+'Componentes T.H.'!$Q$10</f>
        <v>0</v>
      </c>
      <c r="ME20" s="1163"/>
      <c r="MF20" s="232">
        <f t="shared" ref="MF20" si="214">+MB20*MC20*MD20*MC11</f>
        <v>0</v>
      </c>
      <c r="MG20" s="113"/>
      <c r="MH20" s="114"/>
      <c r="MI20" s="114"/>
      <c r="MJ20" s="114"/>
      <c r="MK20" s="929">
        <f>+IF(MF72=0,,MF20/MF$72)</f>
        <v>0</v>
      </c>
      <c r="MM20" s="95">
        <v>16</v>
      </c>
      <c r="MN20" s="1158"/>
      <c r="MO20" s="303">
        <f t="shared" si="65"/>
        <v>0</v>
      </c>
      <c r="MP20" s="304">
        <f>+VLOOKUP(MN13,'Cost x Depart'!$A$2:$AL$72,MM20,0)</f>
        <v>0</v>
      </c>
      <c r="MQ20" s="305">
        <f>+'Componentes T.H.'!$T$10</f>
        <v>0</v>
      </c>
      <c r="MR20" s="1166">
        <f>+'Componentes T.H.'!$Q$10</f>
        <v>0</v>
      </c>
      <c r="MS20" s="1163"/>
      <c r="MT20" s="232">
        <f t="shared" ref="MT20" si="215">+MP20*MQ20*MR20*MQ11</f>
        <v>0</v>
      </c>
      <c r="MU20" s="113"/>
      <c r="MV20" s="114"/>
      <c r="MW20" s="114"/>
      <c r="MX20" s="114"/>
      <c r="MY20" s="929">
        <f>+IF(MT72=0,,MT20/MT$72)</f>
        <v>0</v>
      </c>
      <c r="NA20" s="95">
        <v>16</v>
      </c>
      <c r="NB20" s="1158"/>
      <c r="NC20" s="303">
        <f t="shared" si="67"/>
        <v>0</v>
      </c>
      <c r="ND20" s="304">
        <f>+VLOOKUP(NB13,'Cost x Depart'!$A$2:$AL$72,NA20,0)</f>
        <v>0</v>
      </c>
      <c r="NE20" s="305">
        <f>+'Componentes T.H.'!$T$10</f>
        <v>0</v>
      </c>
      <c r="NF20" s="1166">
        <f>+'Componentes T.H.'!$Q$10</f>
        <v>0</v>
      </c>
      <c r="NG20" s="1163"/>
      <c r="NH20" s="232">
        <f t="shared" ref="NH20" si="216">+ND20*NE20*NF20*NE11</f>
        <v>0</v>
      </c>
      <c r="NI20" s="113"/>
      <c r="NJ20" s="114"/>
      <c r="NK20" s="114"/>
      <c r="NL20" s="114"/>
      <c r="NM20" s="929">
        <f>+IF(NH72=0,,NH20/NH$72)</f>
        <v>0</v>
      </c>
      <c r="NO20" s="95">
        <v>16</v>
      </c>
      <c r="NP20" s="1158"/>
      <c r="NQ20" s="303">
        <f t="shared" si="69"/>
        <v>0</v>
      </c>
      <c r="NR20" s="304">
        <f>+VLOOKUP(NP13,'Cost x Depart'!$A$2:$AL$72,NO20,0)</f>
        <v>0</v>
      </c>
      <c r="NS20" s="305">
        <f>+'Componentes T.H.'!$T$10</f>
        <v>0</v>
      </c>
      <c r="NT20" s="1166">
        <f>+'Componentes T.H.'!$Q$10</f>
        <v>0</v>
      </c>
      <c r="NU20" s="1163"/>
      <c r="NV20" s="232">
        <f t="shared" ref="NV20" si="217">+NR20*NS20*NT20*NS11</f>
        <v>0</v>
      </c>
      <c r="NW20" s="113"/>
      <c r="NX20" s="114"/>
      <c r="NY20" s="114"/>
      <c r="NZ20" s="114"/>
      <c r="OA20" s="929">
        <f>+IF(NV72=0,,NV20/NV$72)</f>
        <v>0</v>
      </c>
      <c r="OC20" s="95">
        <v>16</v>
      </c>
      <c r="OD20" s="1158"/>
      <c r="OE20" s="303">
        <f t="shared" si="71"/>
        <v>0</v>
      </c>
      <c r="OF20" s="304">
        <f>+VLOOKUP(OD13,'Cost x Depart'!$A$2:$AL$72,OC20,0)</f>
        <v>0</v>
      </c>
      <c r="OG20" s="305">
        <f>+'Componentes T.H.'!$T$10</f>
        <v>0</v>
      </c>
      <c r="OH20" s="1166">
        <f>+'Componentes T.H.'!$Q$10</f>
        <v>0</v>
      </c>
      <c r="OI20" s="1163"/>
      <c r="OJ20" s="232">
        <f t="shared" ref="OJ20" si="218">+OF20*OG20*OH20*OG11</f>
        <v>0</v>
      </c>
      <c r="OK20" s="113"/>
      <c r="OL20" s="114"/>
      <c r="OM20" s="114"/>
      <c r="ON20" s="114"/>
      <c r="OO20" s="929">
        <f>+IF(OJ72=0,,OJ20/OJ$72)</f>
        <v>0</v>
      </c>
      <c r="OQ20" s="95">
        <v>16</v>
      </c>
      <c r="OR20" s="1158"/>
      <c r="OS20" s="303">
        <f t="shared" si="73"/>
        <v>0</v>
      </c>
      <c r="OT20" s="304">
        <f>+VLOOKUP(OR13,'Cost x Depart'!$A$2:$AL$72,OQ20,0)</f>
        <v>0</v>
      </c>
      <c r="OU20" s="305">
        <f>+'Componentes T.H.'!$T$10</f>
        <v>0</v>
      </c>
      <c r="OV20" s="1166">
        <f>+'Componentes T.H.'!$Q$10</f>
        <v>0</v>
      </c>
      <c r="OW20" s="1163"/>
      <c r="OX20" s="232">
        <f t="shared" ref="OX20" si="219">+OT20*OU20*OV20*OU11</f>
        <v>0</v>
      </c>
      <c r="OY20" s="113"/>
      <c r="OZ20" s="114"/>
      <c r="PA20" s="114"/>
      <c r="PB20" s="114"/>
      <c r="PC20" s="929">
        <f>+IF(OX72=0,,OX20/OX$72)</f>
        <v>0</v>
      </c>
      <c r="PE20" s="95">
        <v>16</v>
      </c>
      <c r="PF20" s="1158"/>
      <c r="PG20" s="303">
        <f t="shared" si="75"/>
        <v>0</v>
      </c>
      <c r="PH20" s="304">
        <f>+VLOOKUP(PF13,'Cost x Depart'!$A$2:$AL$72,PE20,0)</f>
        <v>0</v>
      </c>
      <c r="PI20" s="305">
        <f>+'Componentes T.H.'!$T$10</f>
        <v>0</v>
      </c>
      <c r="PJ20" s="1166">
        <f>+'Componentes T.H.'!$Q$10</f>
        <v>0</v>
      </c>
      <c r="PK20" s="1163"/>
      <c r="PL20" s="232">
        <f t="shared" ref="PL20" si="220">+PH20*PI20*PJ20*PI11</f>
        <v>0</v>
      </c>
      <c r="PM20" s="113"/>
      <c r="PN20" s="114"/>
      <c r="PO20" s="114"/>
      <c r="PP20" s="114"/>
      <c r="PQ20" s="929">
        <f>+IF(PL72=0,,PL20/PL$72)</f>
        <v>0</v>
      </c>
      <c r="PS20" s="95">
        <v>16</v>
      </c>
      <c r="PT20" s="1158"/>
      <c r="PU20" s="303">
        <f t="shared" si="77"/>
        <v>0</v>
      </c>
      <c r="PV20" s="304">
        <f>+VLOOKUP(PT13,'Cost x Depart'!$A$2:$AL$72,PS20,0)</f>
        <v>0</v>
      </c>
      <c r="PW20" s="305">
        <f>+'Componentes T.H.'!$T$10</f>
        <v>0</v>
      </c>
      <c r="PX20" s="1166">
        <f>+'Componentes T.H.'!$Q$10</f>
        <v>0</v>
      </c>
      <c r="PY20" s="1163"/>
      <c r="PZ20" s="232">
        <f t="shared" ref="PZ20" si="221">+PV20*PW20*PX20*PW11</f>
        <v>0</v>
      </c>
      <c r="QA20" s="113"/>
      <c r="QB20" s="114"/>
      <c r="QC20" s="114"/>
      <c r="QD20" s="114"/>
      <c r="QE20" s="929">
        <f>+IF(PZ72=0,,PZ20/PZ$72)</f>
        <v>0</v>
      </c>
      <c r="QG20" s="95">
        <v>16</v>
      </c>
      <c r="QH20" s="1158"/>
      <c r="QI20" s="303">
        <f t="shared" si="79"/>
        <v>0</v>
      </c>
      <c r="QJ20" s="304">
        <f>+VLOOKUP(QH13,'Cost x Depart'!$A$2:$AL$72,QG20,0)</f>
        <v>0</v>
      </c>
      <c r="QK20" s="305">
        <f>+'Componentes T.H.'!$T$10</f>
        <v>0</v>
      </c>
      <c r="QL20" s="1166">
        <f>+'Componentes T.H.'!$Q$10</f>
        <v>0</v>
      </c>
      <c r="QM20" s="1163"/>
      <c r="QN20" s="232">
        <f t="shared" ref="QN20" si="222">+QJ20*QK20*QL20*QK11</f>
        <v>0</v>
      </c>
      <c r="QO20" s="113"/>
      <c r="QP20" s="114"/>
      <c r="QQ20" s="114"/>
      <c r="QR20" s="114"/>
      <c r="QS20" s="929">
        <f>+IF(QN72=0,,QN20/QN$72)</f>
        <v>0</v>
      </c>
      <c r="QU20" s="95">
        <v>16</v>
      </c>
      <c r="QV20" s="1158"/>
      <c r="QW20" s="303">
        <f t="shared" si="81"/>
        <v>0</v>
      </c>
      <c r="QX20" s="304">
        <f>+VLOOKUP(QV13,'Cost x Depart'!$A$2:$AL$72,QU20,0)</f>
        <v>0</v>
      </c>
      <c r="QY20" s="305">
        <f>+'Componentes T.H.'!$T$10</f>
        <v>0</v>
      </c>
      <c r="QZ20" s="1166">
        <f>+'Componentes T.H.'!$Q$10</f>
        <v>0</v>
      </c>
      <c r="RA20" s="1163"/>
      <c r="RB20" s="232">
        <f t="shared" ref="RB20" si="223">+QX20*QY20*QZ20*QY11</f>
        <v>0</v>
      </c>
      <c r="RC20" s="113"/>
      <c r="RD20" s="114"/>
      <c r="RE20" s="114"/>
      <c r="RF20" s="114"/>
      <c r="RG20" s="929">
        <f>+IF(RB72=0,,RB20/RB$72)</f>
        <v>0</v>
      </c>
      <c r="RI20" s="95">
        <v>16</v>
      </c>
      <c r="RJ20" s="1158"/>
      <c r="RK20" s="303">
        <f t="shared" si="83"/>
        <v>0</v>
      </c>
      <c r="RL20" s="304">
        <f>+VLOOKUP(RJ13,'Cost x Depart'!$A$2:$AL$72,RI20,0)</f>
        <v>0</v>
      </c>
      <c r="RM20" s="305">
        <f>+'Componentes T.H.'!$T$10</f>
        <v>0</v>
      </c>
      <c r="RN20" s="1166">
        <f>+'Componentes T.H.'!$Q$10</f>
        <v>0</v>
      </c>
      <c r="RO20" s="1163"/>
      <c r="RP20" s="232">
        <f t="shared" ref="RP20" si="224">+RL20*RM20*RN20*RM11</f>
        <v>0</v>
      </c>
      <c r="RQ20" s="113"/>
      <c r="RR20" s="114"/>
      <c r="RS20" s="114"/>
      <c r="RT20" s="114"/>
      <c r="RU20" s="929">
        <f>+IF(RP72=0,,RP20/RP$72)</f>
        <v>0</v>
      </c>
      <c r="RW20" s="95">
        <v>16</v>
      </c>
      <c r="RX20" s="1158"/>
      <c r="RY20" s="303">
        <f t="shared" si="85"/>
        <v>0</v>
      </c>
      <c r="RZ20" s="304">
        <f>+VLOOKUP(RX13,'Cost x Depart'!$A$2:$AL$72,RW20,0)</f>
        <v>0</v>
      </c>
      <c r="SA20" s="305">
        <f>+'Componentes T.H.'!$T$10</f>
        <v>0</v>
      </c>
      <c r="SB20" s="1166">
        <f>+'Componentes T.H.'!$Q$10</f>
        <v>0</v>
      </c>
      <c r="SC20" s="1163"/>
      <c r="SD20" s="232">
        <f t="shared" ref="SD20" si="225">+RZ20*SA20*SB20*SA11</f>
        <v>0</v>
      </c>
      <c r="SE20" s="113"/>
      <c r="SF20" s="114"/>
      <c r="SG20" s="114"/>
      <c r="SH20" s="114"/>
      <c r="SI20" s="929">
        <f>+IF(SD72=0,,SD20/SD$72)</f>
        <v>0</v>
      </c>
      <c r="SK20" s="95">
        <v>16</v>
      </c>
      <c r="SL20" s="1158"/>
      <c r="SM20" s="303">
        <f t="shared" si="87"/>
        <v>0</v>
      </c>
      <c r="SN20" s="304">
        <f>+VLOOKUP(SL13,'Cost x Depart'!$A$2:$AL$72,SK20,0)</f>
        <v>0</v>
      </c>
      <c r="SO20" s="305">
        <f>+'Componentes T.H.'!$T$10</f>
        <v>0</v>
      </c>
      <c r="SP20" s="1166">
        <f>+'Componentes T.H.'!$Q$10</f>
        <v>0</v>
      </c>
      <c r="SQ20" s="1163"/>
      <c r="SR20" s="232">
        <f t="shared" ref="SR20" si="226">+SN20*SO20*SP20*SO11</f>
        <v>0</v>
      </c>
      <c r="SS20" s="113"/>
      <c r="ST20" s="114"/>
      <c r="SU20" s="114"/>
      <c r="SV20" s="114"/>
      <c r="SW20" s="929">
        <f>+IF(SR72=0,,SR20/SR$72)</f>
        <v>0</v>
      </c>
      <c r="SY20" s="95">
        <v>12</v>
      </c>
      <c r="SZ20" s="1158"/>
      <c r="TA20" s="303">
        <f t="shared" si="89"/>
        <v>0</v>
      </c>
      <c r="TB20" s="304">
        <f t="shared" si="90"/>
        <v>0</v>
      </c>
      <c r="TC20" s="305">
        <f>+'Componentes T.H.'!$T$10</f>
        <v>0</v>
      </c>
      <c r="TD20" s="1166">
        <f>+'Componentes T.H.'!$Q$10</f>
        <v>0</v>
      </c>
      <c r="TE20" s="1163"/>
      <c r="TF20" s="723">
        <f t="shared" ref="TF20" si="227">+TB20*TC20*TD20*TC11</f>
        <v>0</v>
      </c>
      <c r="TG20" s="113"/>
      <c r="TH20" s="114"/>
      <c r="TI20" s="114"/>
      <c r="TJ20" s="114"/>
      <c r="TK20" s="929">
        <f>+IF(TF72=0,,TF20/TF$72)</f>
        <v>0</v>
      </c>
      <c r="TM20" s="937"/>
      <c r="TN20" s="725"/>
    </row>
    <row r="21" spans="1:534" ht="15.75" customHeight="1" collapsed="1" thickBot="1">
      <c r="B21" s="677" t="s">
        <v>1543</v>
      </c>
      <c r="C21" s="118"/>
      <c r="D21" s="118"/>
      <c r="E21" s="118"/>
      <c r="F21" s="118"/>
      <c r="G21" s="118"/>
      <c r="H21" s="256">
        <f>+SUM(H16:H20)</f>
        <v>57597450.630413651</v>
      </c>
      <c r="I21" s="119"/>
      <c r="J21" s="114"/>
      <c r="K21" s="114"/>
      <c r="L21" s="114"/>
      <c r="M21" s="930">
        <f>SUM(M16:M20)</f>
        <v>0.31281932686937847</v>
      </c>
      <c r="P21" s="677"/>
      <c r="Q21" s="118"/>
      <c r="R21" s="118"/>
      <c r="S21" s="118"/>
      <c r="T21" s="118"/>
      <c r="U21" s="118"/>
      <c r="V21" s="256"/>
      <c r="W21" s="119"/>
      <c r="X21" s="114"/>
      <c r="Y21" s="114"/>
      <c r="Z21" s="114"/>
      <c r="AA21" s="930"/>
      <c r="AD21" s="677"/>
      <c r="AE21" s="118"/>
      <c r="AF21" s="118"/>
      <c r="AG21" s="118"/>
      <c r="AH21" s="118"/>
      <c r="AI21" s="118"/>
      <c r="AJ21" s="256"/>
      <c r="AK21" s="119"/>
      <c r="AL21" s="114"/>
      <c r="AM21" s="114"/>
      <c r="AN21" s="114"/>
      <c r="AO21" s="930"/>
      <c r="AR21" s="677" t="s">
        <v>1543</v>
      </c>
      <c r="AS21" s="118"/>
      <c r="AT21" s="118"/>
      <c r="AU21" s="118"/>
      <c r="AV21" s="118"/>
      <c r="AW21" s="118"/>
      <c r="AX21" s="256">
        <f t="shared" ref="AX21" si="228">+SUM(AX16:AX20)</f>
        <v>0</v>
      </c>
      <c r="AY21" s="119"/>
      <c r="AZ21" s="114"/>
      <c r="BA21" s="114"/>
      <c r="BB21" s="114"/>
      <c r="BC21" s="930">
        <f>SUM(BC16:BC20)</f>
        <v>0</v>
      </c>
      <c r="BF21" s="677" t="s">
        <v>1543</v>
      </c>
      <c r="BG21" s="118"/>
      <c r="BH21" s="118"/>
      <c r="BI21" s="118"/>
      <c r="BJ21" s="118"/>
      <c r="BK21" s="118"/>
      <c r="BL21" s="256">
        <f t="shared" ref="BL21" si="229">+SUM(BL16:BL20)</f>
        <v>148107730.19249225</v>
      </c>
      <c r="BM21" s="119"/>
      <c r="BN21" s="114"/>
      <c r="BO21" s="114"/>
      <c r="BP21" s="114"/>
      <c r="BQ21" s="930">
        <f>SUM(BQ16:BQ20)</f>
        <v>0.3181916207702889</v>
      </c>
      <c r="BT21" s="677" t="s">
        <v>1543</v>
      </c>
      <c r="BU21" s="118"/>
      <c r="BV21" s="118"/>
      <c r="BW21" s="118"/>
      <c r="BX21" s="118"/>
      <c r="BY21" s="118"/>
      <c r="BZ21" s="256">
        <f t="shared" ref="BZ21:ED21" si="230">+SUM(BZ16:BZ20)</f>
        <v>0</v>
      </c>
      <c r="CA21" s="119"/>
      <c r="CB21" s="114"/>
      <c r="CC21" s="114"/>
      <c r="CD21" s="114"/>
      <c r="CE21" s="930">
        <f>SUM(CE16:CE20)</f>
        <v>0</v>
      </c>
      <c r="CH21" s="677" t="s">
        <v>1543</v>
      </c>
      <c r="CI21" s="118"/>
      <c r="CJ21" s="118"/>
      <c r="CK21" s="118"/>
      <c r="CL21" s="118"/>
      <c r="CM21" s="118"/>
      <c r="CN21" s="256">
        <f t="shared" si="230"/>
        <v>8228207.2329162359</v>
      </c>
      <c r="CO21" s="119"/>
      <c r="CP21" s="114"/>
      <c r="CQ21" s="114"/>
      <c r="CR21" s="114"/>
      <c r="CS21" s="930">
        <f>SUM(CS16:CS20)</f>
        <v>0.31872195231423928</v>
      </c>
      <c r="CV21" s="677" t="s">
        <v>1543</v>
      </c>
      <c r="CW21" s="118"/>
      <c r="CX21" s="118"/>
      <c r="CY21" s="118"/>
      <c r="CZ21" s="118"/>
      <c r="DA21" s="118"/>
      <c r="DB21" s="256">
        <f t="shared" si="230"/>
        <v>106966694.02791107</v>
      </c>
      <c r="DC21" s="119"/>
      <c r="DD21" s="114"/>
      <c r="DE21" s="114"/>
      <c r="DF21" s="114"/>
      <c r="DG21" s="930">
        <f>SUM(DG16:DG20)</f>
        <v>0.2875739304821347</v>
      </c>
      <c r="DJ21" s="677" t="s">
        <v>1543</v>
      </c>
      <c r="DK21" s="118"/>
      <c r="DL21" s="118"/>
      <c r="DM21" s="118"/>
      <c r="DN21" s="118"/>
      <c r="DO21" s="118"/>
      <c r="DP21" s="256">
        <f t="shared" si="230"/>
        <v>8228207.2329162359</v>
      </c>
      <c r="DQ21" s="119"/>
      <c r="DR21" s="114"/>
      <c r="DS21" s="114"/>
      <c r="DT21" s="114"/>
      <c r="DU21" s="930">
        <f>SUM(DU16:DU20)</f>
        <v>0.28306305193266096</v>
      </c>
      <c r="DX21" s="677" t="s">
        <v>1543</v>
      </c>
      <c r="DY21" s="118"/>
      <c r="DZ21" s="118"/>
      <c r="EA21" s="118"/>
      <c r="EB21" s="118"/>
      <c r="EC21" s="118"/>
      <c r="ED21" s="256">
        <f t="shared" si="230"/>
        <v>41141036.16458118</v>
      </c>
      <c r="EE21" s="119"/>
      <c r="EF21" s="114"/>
      <c r="EG21" s="114"/>
      <c r="EH21" s="114"/>
      <c r="EI21" s="930">
        <f>SUM(EI16:EI20)</f>
        <v>0.3007002773178733</v>
      </c>
      <c r="EL21" s="677" t="s">
        <v>1543</v>
      </c>
      <c r="EM21" s="118"/>
      <c r="EN21" s="118"/>
      <c r="EO21" s="118"/>
      <c r="EP21" s="118"/>
      <c r="EQ21" s="118"/>
      <c r="ER21" s="256">
        <f t="shared" ref="ER21:GV21" si="231">+SUM(ER16:ER20)</f>
        <v>74053865.096246123</v>
      </c>
      <c r="ES21" s="930" t="e">
        <f>SUM(ES16:ES20)</f>
        <v>#DIV/0!</v>
      </c>
      <c r="ET21" s="114"/>
      <c r="EU21" s="114"/>
      <c r="EV21" s="114"/>
      <c r="EW21" s="930">
        <f>SUM(EW16:EW20)</f>
        <v>0.3181916207702889</v>
      </c>
      <c r="EZ21" s="677" t="s">
        <v>1543</v>
      </c>
      <c r="FA21" s="118"/>
      <c r="FB21" s="118"/>
      <c r="FC21" s="118"/>
      <c r="FD21" s="118"/>
      <c r="FE21" s="118"/>
      <c r="FF21" s="256">
        <f t="shared" si="231"/>
        <v>0</v>
      </c>
      <c r="FG21" s="119"/>
      <c r="FH21" s="114"/>
      <c r="FI21" s="114"/>
      <c r="FJ21" s="114"/>
      <c r="FK21" s="930">
        <f>SUM(FK16:FK20)</f>
        <v>0</v>
      </c>
      <c r="FN21" s="677" t="s">
        <v>1543</v>
      </c>
      <c r="FO21" s="118"/>
      <c r="FP21" s="118"/>
      <c r="FQ21" s="118"/>
      <c r="FR21" s="118"/>
      <c r="FS21" s="118"/>
      <c r="FT21" s="256">
        <f t="shared" si="231"/>
        <v>53483347.013955534</v>
      </c>
      <c r="FU21" s="119"/>
      <c r="FV21" s="114"/>
      <c r="FW21" s="114"/>
      <c r="FX21" s="114"/>
      <c r="FY21" s="930">
        <f>SUM(FY16:FY20)</f>
        <v>0.16864119060312979</v>
      </c>
      <c r="GB21" s="677" t="s">
        <v>1543</v>
      </c>
      <c r="GC21" s="118"/>
      <c r="GD21" s="118"/>
      <c r="GE21" s="118"/>
      <c r="GF21" s="118"/>
      <c r="GG21" s="118"/>
      <c r="GH21" s="256">
        <f t="shared" si="231"/>
        <v>49369243.397497408</v>
      </c>
      <c r="GI21" s="119"/>
      <c r="GJ21" s="114"/>
      <c r="GK21" s="114"/>
      <c r="GL21" s="114"/>
      <c r="GM21" s="930">
        <f>SUM(GM16:GM20)</f>
        <v>0.32723020464087471</v>
      </c>
      <c r="GP21" s="677" t="s">
        <v>1543</v>
      </c>
      <c r="GQ21" s="118"/>
      <c r="GR21" s="118"/>
      <c r="GS21" s="118"/>
      <c r="GT21" s="118"/>
      <c r="GU21" s="118"/>
      <c r="GV21" s="256">
        <f t="shared" si="231"/>
        <v>0</v>
      </c>
      <c r="GW21" s="119"/>
      <c r="GX21" s="114"/>
      <c r="GY21" s="114"/>
      <c r="GZ21" s="114"/>
      <c r="HA21" s="930">
        <f>SUM(HA16:HA20)</f>
        <v>0</v>
      </c>
      <c r="HD21" s="677" t="s">
        <v>1543</v>
      </c>
      <c r="HE21" s="118"/>
      <c r="HF21" s="118"/>
      <c r="HG21" s="118"/>
      <c r="HH21" s="118"/>
      <c r="HI21" s="118"/>
      <c r="HJ21" s="256">
        <f t="shared" ref="HJ21:KB21" si="232">+SUM(HJ16:HJ20)</f>
        <v>24684621.698748704</v>
      </c>
      <c r="HK21" s="119"/>
      <c r="HL21" s="114"/>
      <c r="HM21" s="114"/>
      <c r="HN21" s="114"/>
      <c r="HO21" s="930">
        <f>SUM(HO16:HO20)</f>
        <v>0.31819162077028901</v>
      </c>
      <c r="HR21" s="677" t="s">
        <v>1543</v>
      </c>
      <c r="HS21" s="118"/>
      <c r="HT21" s="118"/>
      <c r="HU21" s="118"/>
      <c r="HV21" s="118"/>
      <c r="HW21" s="118"/>
      <c r="HX21" s="256">
        <f t="shared" si="232"/>
        <v>90510279.562078595</v>
      </c>
      <c r="HY21" s="930" t="e">
        <f>SUM(HY16:HY20)</f>
        <v>#DIV/0!</v>
      </c>
      <c r="HZ21" s="114"/>
      <c r="IA21" s="114"/>
      <c r="IB21" s="114"/>
      <c r="IC21" s="930">
        <f>SUM(IC16:IC20)</f>
        <v>0.3060041979786986</v>
      </c>
      <c r="IF21" s="677"/>
      <c r="IG21" s="118"/>
      <c r="IH21" s="118"/>
      <c r="II21" s="118"/>
      <c r="IJ21" s="118"/>
      <c r="IK21" s="118"/>
      <c r="IL21" s="256"/>
      <c r="IM21" s="119"/>
      <c r="IN21" s="114"/>
      <c r="IO21" s="114"/>
      <c r="IP21" s="114"/>
      <c r="IQ21" s="930"/>
      <c r="IT21" s="677"/>
      <c r="IU21" s="118"/>
      <c r="IV21" s="118"/>
      <c r="IW21" s="118"/>
      <c r="IX21" s="118"/>
      <c r="IY21" s="118"/>
      <c r="IZ21" s="256"/>
      <c r="JA21" s="119"/>
      <c r="JB21" s="114"/>
      <c r="JC21" s="114"/>
      <c r="JD21" s="114"/>
      <c r="JE21" s="930"/>
      <c r="JH21" s="677" t="s">
        <v>1543</v>
      </c>
      <c r="JI21" s="118"/>
      <c r="JJ21" s="118"/>
      <c r="JK21" s="118"/>
      <c r="JL21" s="118"/>
      <c r="JM21" s="118"/>
      <c r="JN21" s="256">
        <f t="shared" ref="JN21" si="233">+SUM(JN16:JN20)</f>
        <v>123423108.49374352</v>
      </c>
      <c r="JO21" s="119"/>
      <c r="JP21" s="114"/>
      <c r="JQ21" s="114"/>
      <c r="JR21" s="114"/>
      <c r="JS21" s="930">
        <f>SUM(JS16:JS20)</f>
        <v>0.28799280262578703</v>
      </c>
      <c r="JV21" s="677" t="s">
        <v>1543</v>
      </c>
      <c r="JW21" s="118"/>
      <c r="JX21" s="118"/>
      <c r="JY21" s="118"/>
      <c r="JZ21" s="118"/>
      <c r="KA21" s="118"/>
      <c r="KB21" s="256">
        <f t="shared" si="232"/>
        <v>53483347.013955534</v>
      </c>
      <c r="KC21" s="119"/>
      <c r="KD21" s="114"/>
      <c r="KE21" s="114"/>
      <c r="KF21" s="114"/>
      <c r="KG21" s="930">
        <f>SUM(KG16:KG20)</f>
        <v>0.30328665583440673</v>
      </c>
      <c r="KJ21" s="677" t="s">
        <v>1543</v>
      </c>
      <c r="KK21" s="118"/>
      <c r="KL21" s="118"/>
      <c r="KM21" s="118"/>
      <c r="KN21" s="118"/>
      <c r="KO21" s="118"/>
      <c r="KP21" s="256">
        <f t="shared" ref="KP21:MT21" si="234">+SUM(KP16:KP20)</f>
        <v>0</v>
      </c>
      <c r="KQ21" s="119"/>
      <c r="KR21" s="114"/>
      <c r="KS21" s="114"/>
      <c r="KT21" s="114"/>
      <c r="KU21" s="930">
        <f>SUM(KU16:KU20)</f>
        <v>0</v>
      </c>
      <c r="KX21" s="677" t="s">
        <v>1543</v>
      </c>
      <c r="KY21" s="118"/>
      <c r="KZ21" s="118"/>
      <c r="LA21" s="118"/>
      <c r="LB21" s="118"/>
      <c r="LC21" s="118"/>
      <c r="LD21" s="256">
        <f t="shared" si="234"/>
        <v>0</v>
      </c>
      <c r="LE21" s="119"/>
      <c r="LF21" s="114"/>
      <c r="LG21" s="114"/>
      <c r="LH21" s="114"/>
      <c r="LI21" s="930">
        <f>SUM(LI16:LI20)</f>
        <v>0</v>
      </c>
      <c r="LL21" s="677" t="s">
        <v>1543</v>
      </c>
      <c r="LM21" s="118"/>
      <c r="LN21" s="118"/>
      <c r="LO21" s="118"/>
      <c r="LP21" s="118"/>
      <c r="LQ21" s="118"/>
      <c r="LR21" s="256">
        <f t="shared" si="234"/>
        <v>0</v>
      </c>
      <c r="LS21" s="119"/>
      <c r="LT21" s="114"/>
      <c r="LU21" s="114"/>
      <c r="LV21" s="114"/>
      <c r="LW21" s="930">
        <f>SUM(LW16:LW20)</f>
        <v>0</v>
      </c>
      <c r="LZ21" s="677" t="s">
        <v>1543</v>
      </c>
      <c r="MA21" s="118"/>
      <c r="MB21" s="118"/>
      <c r="MC21" s="118"/>
      <c r="MD21" s="118"/>
      <c r="ME21" s="118"/>
      <c r="MF21" s="256">
        <f t="shared" si="234"/>
        <v>37026932.548123062</v>
      </c>
      <c r="MG21" s="119"/>
      <c r="MH21" s="114"/>
      <c r="MI21" s="114"/>
      <c r="MJ21" s="114"/>
      <c r="MK21" s="930">
        <f>SUM(MK16:MK20)</f>
        <v>0.30070027731787335</v>
      </c>
      <c r="MN21" s="677" t="s">
        <v>1543</v>
      </c>
      <c r="MO21" s="118"/>
      <c r="MP21" s="118"/>
      <c r="MQ21" s="118"/>
      <c r="MR21" s="118"/>
      <c r="MS21" s="118"/>
      <c r="MT21" s="256">
        <f t="shared" si="234"/>
        <v>49369243.397497408</v>
      </c>
      <c r="MU21" s="119"/>
      <c r="MV21" s="114"/>
      <c r="MW21" s="114"/>
      <c r="MX21" s="114"/>
      <c r="MY21" s="930">
        <f>SUM(MY16:MY20)</f>
        <v>0.30785203811091161</v>
      </c>
      <c r="NB21" s="677" t="s">
        <v>1543</v>
      </c>
      <c r="NC21" s="118"/>
      <c r="ND21" s="118"/>
      <c r="NE21" s="118"/>
      <c r="NF21" s="118"/>
      <c r="NG21" s="118"/>
      <c r="NH21" s="256">
        <f t="shared" ref="NH21:PL21" si="235">+SUM(NH16:NH20)</f>
        <v>57597450.630413651</v>
      </c>
      <c r="NI21" s="119"/>
      <c r="NJ21" s="114"/>
      <c r="NK21" s="114"/>
      <c r="NL21" s="114"/>
      <c r="NM21" s="930">
        <f>SUM(NM16:NM20)</f>
        <v>0.32334827966706048</v>
      </c>
      <c r="NP21" s="677" t="s">
        <v>1543</v>
      </c>
      <c r="NQ21" s="118"/>
      <c r="NR21" s="118"/>
      <c r="NS21" s="118"/>
      <c r="NT21" s="118"/>
      <c r="NU21" s="118"/>
      <c r="NV21" s="256">
        <f t="shared" si="235"/>
        <v>65825657.863329887</v>
      </c>
      <c r="NW21" s="119"/>
      <c r="NX21" s="114"/>
      <c r="NY21" s="114"/>
      <c r="NZ21" s="114"/>
      <c r="OA21" s="930">
        <f>SUM(OA16:OA20)</f>
        <v>0.1583056293324572</v>
      </c>
      <c r="OD21" s="677" t="s">
        <v>1543</v>
      </c>
      <c r="OE21" s="118"/>
      <c r="OF21" s="118"/>
      <c r="OG21" s="118"/>
      <c r="OH21" s="118"/>
      <c r="OI21" s="118"/>
      <c r="OJ21" s="256">
        <f t="shared" si="235"/>
        <v>16456414.465832472</v>
      </c>
      <c r="OK21" s="119"/>
      <c r="OL21" s="114"/>
      <c r="OM21" s="114"/>
      <c r="ON21" s="114"/>
      <c r="OO21" s="930">
        <f>SUM(OO16:OO20)</f>
        <v>0.21707610694134929</v>
      </c>
      <c r="OR21" s="677" t="s">
        <v>1543</v>
      </c>
      <c r="OS21" s="118"/>
      <c r="OT21" s="118"/>
      <c r="OU21" s="118"/>
      <c r="OV21" s="118"/>
      <c r="OW21" s="118"/>
      <c r="OX21" s="256">
        <f t="shared" si="235"/>
        <v>82282072.329162359</v>
      </c>
      <c r="OY21" s="119"/>
      <c r="OZ21" s="114"/>
      <c r="PA21" s="114"/>
      <c r="PB21" s="114"/>
      <c r="PC21" s="930">
        <f>SUM(PC16:PC20)</f>
        <v>0.27385879457269791</v>
      </c>
      <c r="PF21" s="677" t="s">
        <v>1543</v>
      </c>
      <c r="PG21" s="118"/>
      <c r="PH21" s="118"/>
      <c r="PI21" s="118"/>
      <c r="PJ21" s="118"/>
      <c r="PK21" s="118"/>
      <c r="PL21" s="256">
        <f t="shared" si="235"/>
        <v>0</v>
      </c>
      <c r="PM21" s="119"/>
      <c r="PN21" s="114"/>
      <c r="PO21" s="114"/>
      <c r="PP21" s="114"/>
      <c r="PQ21" s="930">
        <f>SUM(PQ16:PQ20)</f>
        <v>0</v>
      </c>
      <c r="PT21" s="677" t="s">
        <v>1543</v>
      </c>
      <c r="PU21" s="118"/>
      <c r="PV21" s="118"/>
      <c r="PW21" s="118"/>
      <c r="PX21" s="118"/>
      <c r="PY21" s="118"/>
      <c r="PZ21" s="256">
        <f t="shared" ref="PZ21:SD21" si="236">+SUM(PZ16:PZ20)</f>
        <v>0</v>
      </c>
      <c r="QA21" s="119"/>
      <c r="QB21" s="114"/>
      <c r="QC21" s="114"/>
      <c r="QD21" s="114"/>
      <c r="QE21" s="930">
        <f>SUM(QE16:QE20)</f>
        <v>0</v>
      </c>
      <c r="QH21" s="677" t="s">
        <v>1543</v>
      </c>
      <c r="QI21" s="118"/>
      <c r="QJ21" s="118"/>
      <c r="QK21" s="118"/>
      <c r="QL21" s="118"/>
      <c r="QM21" s="118"/>
      <c r="QN21" s="256">
        <f t="shared" si="236"/>
        <v>0</v>
      </c>
      <c r="QO21" s="119"/>
      <c r="QP21" s="114"/>
      <c r="QQ21" s="114"/>
      <c r="QR21" s="114"/>
      <c r="QS21" s="930">
        <f>SUM(QS16:QS20)</f>
        <v>0</v>
      </c>
      <c r="QV21" s="677" t="s">
        <v>1543</v>
      </c>
      <c r="QW21" s="118"/>
      <c r="QX21" s="118"/>
      <c r="QY21" s="118"/>
      <c r="QZ21" s="118"/>
      <c r="RA21" s="118"/>
      <c r="RB21" s="256">
        <f t="shared" si="236"/>
        <v>49369243.397497408</v>
      </c>
      <c r="RC21" s="119"/>
      <c r="RD21" s="114"/>
      <c r="RE21" s="114"/>
      <c r="RF21" s="114"/>
      <c r="RG21" s="930">
        <f>SUM(RG16:RG20)</f>
        <v>0.15830562933245718</v>
      </c>
      <c r="RJ21" s="677" t="s">
        <v>1543</v>
      </c>
      <c r="RK21" s="118"/>
      <c r="RL21" s="118"/>
      <c r="RM21" s="118"/>
      <c r="RN21" s="118"/>
      <c r="RO21" s="118"/>
      <c r="RP21" s="256">
        <f t="shared" si="236"/>
        <v>8228207.2329162359</v>
      </c>
      <c r="RQ21" s="119"/>
      <c r="RR21" s="114"/>
      <c r="RS21" s="114"/>
      <c r="RT21" s="114"/>
      <c r="RU21" s="930">
        <f>SUM(RU16:RU20)</f>
        <v>0.13920899874617709</v>
      </c>
      <c r="RX21" s="677" t="s">
        <v>1543</v>
      </c>
      <c r="RY21" s="118"/>
      <c r="RZ21" s="118"/>
      <c r="SA21" s="118"/>
      <c r="SB21" s="118"/>
      <c r="SC21" s="118"/>
      <c r="SD21" s="256">
        <f t="shared" si="236"/>
        <v>28798725.315206826</v>
      </c>
      <c r="SE21" s="119"/>
      <c r="SF21" s="114"/>
      <c r="SG21" s="114"/>
      <c r="SH21" s="114"/>
      <c r="SI21" s="930">
        <f>SUM(SI16:SI20)</f>
        <v>0.15830562933245715</v>
      </c>
      <c r="SL21" s="677" t="s">
        <v>1543</v>
      </c>
      <c r="SM21" s="118"/>
      <c r="SN21" s="118"/>
      <c r="SO21" s="118"/>
      <c r="SP21" s="118"/>
      <c r="SQ21" s="118"/>
      <c r="SR21" s="256">
        <f t="shared" ref="SR21" si="237">+SUM(SR16:SR20)</f>
        <v>0</v>
      </c>
      <c r="SS21" s="119"/>
      <c r="ST21" s="114"/>
      <c r="SU21" s="114"/>
      <c r="SV21" s="114"/>
      <c r="SW21" s="930">
        <f>SUM(SW16:SW20)</f>
        <v>0</v>
      </c>
      <c r="SZ21" s="677" t="s">
        <v>1543</v>
      </c>
      <c r="TA21" s="118"/>
      <c r="TB21" s="118"/>
      <c r="TC21" s="118"/>
      <c r="TD21" s="118"/>
      <c r="TE21" s="118"/>
      <c r="TF21" s="724">
        <f t="shared" ref="TF21" si="238">+SUM(TF16:TF20)</f>
        <v>1234231084.9374354</v>
      </c>
      <c r="TG21" s="119"/>
      <c r="TH21" s="114"/>
      <c r="TI21" s="114"/>
      <c r="TJ21" s="114"/>
      <c r="TK21" s="930">
        <f>SUM(TK16:TK20)</f>
        <v>0.26266585744002136</v>
      </c>
      <c r="TM21" s="941">
        <f>+H21+AX21+BL21+BZ21+CN21+DB21+DP21+ED21+ER21+FF21+FT21+GH21+HJ21+HX21+JN21+KB21+KP21+LD21+LR21+MF21+MT21+NH21+NV21+OJ21+OX21+PL21+PZ21+QN21+RB21+RP21+SD21+SR21-TF21</f>
        <v>0</v>
      </c>
      <c r="TN21" s="726"/>
    </row>
    <row r="22" spans="1:534" thickBot="1">
      <c r="ES22" s="667"/>
      <c r="HY22" s="667"/>
      <c r="TF22" s="725"/>
      <c r="TM22" s="937"/>
      <c r="TN22" s="725"/>
    </row>
    <row r="23" spans="1:534" ht="30.75" customHeight="1" thickBot="1">
      <c r="B23" s="99" t="s">
        <v>1220</v>
      </c>
      <c r="C23" s="1188" t="s">
        <v>1207</v>
      </c>
      <c r="D23" s="1155"/>
      <c r="E23" s="121" t="s">
        <v>1272</v>
      </c>
      <c r="F23" s="1188" t="s">
        <v>1301</v>
      </c>
      <c r="G23" s="1155"/>
      <c r="H23" s="121" t="s">
        <v>1217</v>
      </c>
      <c r="I23" s="112"/>
      <c r="M23" s="665"/>
      <c r="P23" s="99"/>
      <c r="Q23" s="1188"/>
      <c r="R23" s="1155"/>
      <c r="S23" s="121"/>
      <c r="T23" s="1188"/>
      <c r="U23" s="1155"/>
      <c r="V23" s="121"/>
      <c r="W23" s="112"/>
      <c r="AA23" s="665"/>
      <c r="AD23" s="99"/>
      <c r="AE23" s="1188"/>
      <c r="AF23" s="1155"/>
      <c r="AG23" s="121"/>
      <c r="AH23" s="1188"/>
      <c r="AI23" s="1155"/>
      <c r="AJ23" s="121"/>
      <c r="AK23" s="112"/>
      <c r="AO23" s="665"/>
      <c r="AR23" s="99" t="s">
        <v>1220</v>
      </c>
      <c r="AS23" s="1188" t="s">
        <v>1207</v>
      </c>
      <c r="AT23" s="1155"/>
      <c r="AU23" s="121" t="s">
        <v>1272</v>
      </c>
      <c r="AV23" s="1188" t="s">
        <v>1301</v>
      </c>
      <c r="AW23" s="1155"/>
      <c r="AX23" s="121" t="s">
        <v>1217</v>
      </c>
      <c r="AY23" s="112"/>
      <c r="BC23" s="665"/>
      <c r="BF23" s="99" t="s">
        <v>1220</v>
      </c>
      <c r="BG23" s="1188" t="s">
        <v>1207</v>
      </c>
      <c r="BH23" s="1155"/>
      <c r="BI23" s="121" t="s">
        <v>1272</v>
      </c>
      <c r="BJ23" s="1188" t="s">
        <v>1301</v>
      </c>
      <c r="BK23" s="1155"/>
      <c r="BL23" s="121" t="s">
        <v>1217</v>
      </c>
      <c r="BM23" s="112"/>
      <c r="BQ23" s="665"/>
      <c r="BT23" s="99" t="s">
        <v>1220</v>
      </c>
      <c r="BU23" s="1188" t="s">
        <v>1207</v>
      </c>
      <c r="BV23" s="1155"/>
      <c r="BW23" s="121" t="s">
        <v>1272</v>
      </c>
      <c r="BX23" s="1188" t="s">
        <v>1301</v>
      </c>
      <c r="BY23" s="1155"/>
      <c r="BZ23" s="121" t="s">
        <v>1217</v>
      </c>
      <c r="CA23" s="112"/>
      <c r="CE23" s="665"/>
      <c r="CH23" s="99" t="s">
        <v>1220</v>
      </c>
      <c r="CI23" s="1188" t="s">
        <v>1207</v>
      </c>
      <c r="CJ23" s="1155"/>
      <c r="CK23" s="121" t="s">
        <v>1272</v>
      </c>
      <c r="CL23" s="1188" t="s">
        <v>1301</v>
      </c>
      <c r="CM23" s="1155"/>
      <c r="CN23" s="121" t="s">
        <v>1217</v>
      </c>
      <c r="CO23" s="112"/>
      <c r="CS23" s="665"/>
      <c r="CV23" s="99" t="s">
        <v>1220</v>
      </c>
      <c r="CW23" s="1188" t="s">
        <v>1207</v>
      </c>
      <c r="CX23" s="1155"/>
      <c r="CY23" s="121" t="s">
        <v>1272</v>
      </c>
      <c r="CZ23" s="1188" t="s">
        <v>1301</v>
      </c>
      <c r="DA23" s="1155"/>
      <c r="DB23" s="121" t="s">
        <v>1217</v>
      </c>
      <c r="DC23" s="112"/>
      <c r="DG23" s="665"/>
      <c r="DJ23" s="99" t="s">
        <v>1220</v>
      </c>
      <c r="DK23" s="1188" t="s">
        <v>1207</v>
      </c>
      <c r="DL23" s="1155"/>
      <c r="DM23" s="121" t="s">
        <v>1272</v>
      </c>
      <c r="DN23" s="1188" t="s">
        <v>1301</v>
      </c>
      <c r="DO23" s="1155"/>
      <c r="DP23" s="121" t="s">
        <v>1217</v>
      </c>
      <c r="DQ23" s="112"/>
      <c r="DU23" s="665"/>
      <c r="DX23" s="99" t="s">
        <v>1220</v>
      </c>
      <c r="DY23" s="1188" t="s">
        <v>1207</v>
      </c>
      <c r="DZ23" s="1155"/>
      <c r="EA23" s="121" t="s">
        <v>1272</v>
      </c>
      <c r="EB23" s="1188" t="s">
        <v>1301</v>
      </c>
      <c r="EC23" s="1155"/>
      <c r="ED23" s="121" t="s">
        <v>1217</v>
      </c>
      <c r="EE23" s="112"/>
      <c r="EI23" s="665"/>
      <c r="EL23" s="99" t="s">
        <v>1220</v>
      </c>
      <c r="EM23" s="1188" t="s">
        <v>1207</v>
      </c>
      <c r="EN23" s="1155"/>
      <c r="EO23" s="121" t="s">
        <v>1272</v>
      </c>
      <c r="EP23" s="1188" t="s">
        <v>1301</v>
      </c>
      <c r="EQ23" s="1155"/>
      <c r="ER23" s="121" t="s">
        <v>1217</v>
      </c>
      <c r="ES23" s="665"/>
      <c r="EW23" s="665"/>
      <c r="EZ23" s="99" t="s">
        <v>1220</v>
      </c>
      <c r="FA23" s="1188" t="s">
        <v>1207</v>
      </c>
      <c r="FB23" s="1155"/>
      <c r="FC23" s="121" t="s">
        <v>1272</v>
      </c>
      <c r="FD23" s="1188" t="s">
        <v>1301</v>
      </c>
      <c r="FE23" s="1155"/>
      <c r="FF23" s="121" t="s">
        <v>1217</v>
      </c>
      <c r="FG23" s="112"/>
      <c r="FK23" s="665"/>
      <c r="FN23" s="99" t="s">
        <v>1220</v>
      </c>
      <c r="FO23" s="1188" t="s">
        <v>1207</v>
      </c>
      <c r="FP23" s="1155"/>
      <c r="FQ23" s="121" t="s">
        <v>1272</v>
      </c>
      <c r="FR23" s="1188" t="s">
        <v>1301</v>
      </c>
      <c r="FS23" s="1155"/>
      <c r="FT23" s="121" t="s">
        <v>1217</v>
      </c>
      <c r="FU23" s="112"/>
      <c r="FY23" s="665"/>
      <c r="GB23" s="99" t="s">
        <v>1220</v>
      </c>
      <c r="GC23" s="1188" t="s">
        <v>1207</v>
      </c>
      <c r="GD23" s="1155"/>
      <c r="GE23" s="121" t="s">
        <v>1272</v>
      </c>
      <c r="GF23" s="1188" t="s">
        <v>1301</v>
      </c>
      <c r="GG23" s="1155"/>
      <c r="GH23" s="121" t="s">
        <v>1217</v>
      </c>
      <c r="GI23" s="112"/>
      <c r="GM23" s="665"/>
      <c r="GP23" s="99" t="s">
        <v>1220</v>
      </c>
      <c r="GQ23" s="1188" t="s">
        <v>1207</v>
      </c>
      <c r="GR23" s="1155"/>
      <c r="GS23" s="121" t="s">
        <v>1272</v>
      </c>
      <c r="GT23" s="1188" t="s">
        <v>1301</v>
      </c>
      <c r="GU23" s="1155"/>
      <c r="GV23" s="121" t="s">
        <v>1217</v>
      </c>
      <c r="GW23" s="112"/>
      <c r="HA23" s="665"/>
      <c r="HD23" s="99" t="s">
        <v>1220</v>
      </c>
      <c r="HE23" s="1188" t="s">
        <v>1207</v>
      </c>
      <c r="HF23" s="1155"/>
      <c r="HG23" s="121" t="s">
        <v>1272</v>
      </c>
      <c r="HH23" s="1188" t="s">
        <v>1301</v>
      </c>
      <c r="HI23" s="1155"/>
      <c r="HJ23" s="121" t="s">
        <v>1217</v>
      </c>
      <c r="HK23" s="112"/>
      <c r="HO23" s="665"/>
      <c r="HR23" s="99" t="s">
        <v>1220</v>
      </c>
      <c r="HS23" s="1188" t="s">
        <v>1207</v>
      </c>
      <c r="HT23" s="1155"/>
      <c r="HU23" s="121" t="s">
        <v>1272</v>
      </c>
      <c r="HV23" s="1188" t="s">
        <v>1301</v>
      </c>
      <c r="HW23" s="1155"/>
      <c r="HX23" s="121" t="s">
        <v>1217</v>
      </c>
      <c r="HY23" s="665"/>
      <c r="IC23" s="665"/>
      <c r="IF23" s="99"/>
      <c r="IG23" s="1188"/>
      <c r="IH23" s="1155"/>
      <c r="II23" s="121"/>
      <c r="IJ23" s="1188"/>
      <c r="IK23" s="1155"/>
      <c r="IL23" s="121"/>
      <c r="IM23" s="112"/>
      <c r="IQ23" s="665"/>
      <c r="IT23" s="99"/>
      <c r="IU23" s="1188"/>
      <c r="IV23" s="1155"/>
      <c r="IW23" s="121"/>
      <c r="IX23" s="1188"/>
      <c r="IY23" s="1155"/>
      <c r="IZ23" s="121"/>
      <c r="JA23" s="112"/>
      <c r="JE23" s="665"/>
      <c r="JH23" s="99" t="s">
        <v>1220</v>
      </c>
      <c r="JI23" s="1188" t="s">
        <v>1207</v>
      </c>
      <c r="JJ23" s="1155"/>
      <c r="JK23" s="121" t="s">
        <v>1272</v>
      </c>
      <c r="JL23" s="1188" t="s">
        <v>1301</v>
      </c>
      <c r="JM23" s="1155"/>
      <c r="JN23" s="121" t="s">
        <v>1217</v>
      </c>
      <c r="JO23" s="112"/>
      <c r="JS23" s="665"/>
      <c r="JV23" s="99" t="s">
        <v>1220</v>
      </c>
      <c r="JW23" s="1188" t="s">
        <v>1207</v>
      </c>
      <c r="JX23" s="1155"/>
      <c r="JY23" s="121" t="s">
        <v>1272</v>
      </c>
      <c r="JZ23" s="1188" t="s">
        <v>1301</v>
      </c>
      <c r="KA23" s="1155"/>
      <c r="KB23" s="121" t="s">
        <v>1217</v>
      </c>
      <c r="KC23" s="112"/>
      <c r="KG23" s="665"/>
      <c r="KJ23" s="99" t="s">
        <v>1220</v>
      </c>
      <c r="KK23" s="1188" t="s">
        <v>1207</v>
      </c>
      <c r="KL23" s="1155"/>
      <c r="KM23" s="121" t="s">
        <v>1272</v>
      </c>
      <c r="KN23" s="1188" t="s">
        <v>1301</v>
      </c>
      <c r="KO23" s="1155"/>
      <c r="KP23" s="121" t="s">
        <v>1217</v>
      </c>
      <c r="KQ23" s="112"/>
      <c r="KU23" s="665"/>
      <c r="KX23" s="99" t="s">
        <v>1220</v>
      </c>
      <c r="KY23" s="1188" t="s">
        <v>1207</v>
      </c>
      <c r="KZ23" s="1155"/>
      <c r="LA23" s="121" t="s">
        <v>1272</v>
      </c>
      <c r="LB23" s="1188" t="s">
        <v>1301</v>
      </c>
      <c r="LC23" s="1155"/>
      <c r="LD23" s="121" t="s">
        <v>1217</v>
      </c>
      <c r="LE23" s="112"/>
      <c r="LI23" s="665"/>
      <c r="LL23" s="99" t="s">
        <v>1220</v>
      </c>
      <c r="LM23" s="1188" t="s">
        <v>1207</v>
      </c>
      <c r="LN23" s="1155"/>
      <c r="LO23" s="121" t="s">
        <v>1272</v>
      </c>
      <c r="LP23" s="1188" t="s">
        <v>1301</v>
      </c>
      <c r="LQ23" s="1155"/>
      <c r="LR23" s="121" t="s">
        <v>1217</v>
      </c>
      <c r="LS23" s="112"/>
      <c r="LW23" s="665"/>
      <c r="LZ23" s="99" t="s">
        <v>1220</v>
      </c>
      <c r="MA23" s="1188" t="s">
        <v>1207</v>
      </c>
      <c r="MB23" s="1155"/>
      <c r="MC23" s="121" t="s">
        <v>1272</v>
      </c>
      <c r="MD23" s="1188" t="s">
        <v>1301</v>
      </c>
      <c r="ME23" s="1155"/>
      <c r="MF23" s="121" t="s">
        <v>1217</v>
      </c>
      <c r="MG23" s="112"/>
      <c r="MK23" s="665"/>
      <c r="MN23" s="99" t="s">
        <v>1220</v>
      </c>
      <c r="MO23" s="1188" t="s">
        <v>1207</v>
      </c>
      <c r="MP23" s="1155"/>
      <c r="MQ23" s="121" t="s">
        <v>1272</v>
      </c>
      <c r="MR23" s="1188" t="s">
        <v>1301</v>
      </c>
      <c r="MS23" s="1155"/>
      <c r="MT23" s="121" t="s">
        <v>1217</v>
      </c>
      <c r="MU23" s="112"/>
      <c r="MY23" s="665"/>
      <c r="NB23" s="99" t="s">
        <v>1220</v>
      </c>
      <c r="NC23" s="1188" t="s">
        <v>1207</v>
      </c>
      <c r="ND23" s="1155"/>
      <c r="NE23" s="121" t="s">
        <v>1272</v>
      </c>
      <c r="NF23" s="1188" t="s">
        <v>1301</v>
      </c>
      <c r="NG23" s="1155"/>
      <c r="NH23" s="121" t="s">
        <v>1217</v>
      </c>
      <c r="NI23" s="112"/>
      <c r="NM23" s="665"/>
      <c r="NP23" s="99" t="s">
        <v>1220</v>
      </c>
      <c r="NQ23" s="1188" t="s">
        <v>1207</v>
      </c>
      <c r="NR23" s="1155"/>
      <c r="NS23" s="121" t="s">
        <v>1272</v>
      </c>
      <c r="NT23" s="1188" t="s">
        <v>1301</v>
      </c>
      <c r="NU23" s="1155"/>
      <c r="NV23" s="121" t="s">
        <v>1217</v>
      </c>
      <c r="NW23" s="112"/>
      <c r="OA23" s="665"/>
      <c r="OD23" s="99" t="s">
        <v>1220</v>
      </c>
      <c r="OE23" s="1188" t="s">
        <v>1207</v>
      </c>
      <c r="OF23" s="1155"/>
      <c r="OG23" s="121" t="s">
        <v>1272</v>
      </c>
      <c r="OH23" s="1188" t="s">
        <v>1301</v>
      </c>
      <c r="OI23" s="1155"/>
      <c r="OJ23" s="121" t="s">
        <v>1217</v>
      </c>
      <c r="OK23" s="112"/>
      <c r="OO23" s="665"/>
      <c r="OR23" s="99" t="s">
        <v>1220</v>
      </c>
      <c r="OS23" s="1188" t="s">
        <v>1207</v>
      </c>
      <c r="OT23" s="1155"/>
      <c r="OU23" s="121" t="s">
        <v>1272</v>
      </c>
      <c r="OV23" s="1188" t="s">
        <v>1301</v>
      </c>
      <c r="OW23" s="1155"/>
      <c r="OX23" s="121" t="s">
        <v>1217</v>
      </c>
      <c r="OY23" s="112"/>
      <c r="PC23" s="665"/>
      <c r="PF23" s="99" t="s">
        <v>1220</v>
      </c>
      <c r="PG23" s="1188" t="s">
        <v>1207</v>
      </c>
      <c r="PH23" s="1155"/>
      <c r="PI23" s="121" t="s">
        <v>1272</v>
      </c>
      <c r="PJ23" s="1188" t="s">
        <v>1301</v>
      </c>
      <c r="PK23" s="1155"/>
      <c r="PL23" s="121" t="s">
        <v>1217</v>
      </c>
      <c r="PM23" s="112"/>
      <c r="PQ23" s="665"/>
      <c r="PT23" s="99" t="s">
        <v>1220</v>
      </c>
      <c r="PU23" s="1188" t="s">
        <v>1207</v>
      </c>
      <c r="PV23" s="1155"/>
      <c r="PW23" s="121" t="s">
        <v>1272</v>
      </c>
      <c r="PX23" s="1188" t="s">
        <v>1301</v>
      </c>
      <c r="PY23" s="1155"/>
      <c r="PZ23" s="121" t="s">
        <v>1217</v>
      </c>
      <c r="QA23" s="112"/>
      <c r="QE23" s="665"/>
      <c r="QH23" s="99" t="s">
        <v>1220</v>
      </c>
      <c r="QI23" s="1188" t="s">
        <v>1207</v>
      </c>
      <c r="QJ23" s="1155"/>
      <c r="QK23" s="121" t="s">
        <v>1272</v>
      </c>
      <c r="QL23" s="1188" t="s">
        <v>1301</v>
      </c>
      <c r="QM23" s="1155"/>
      <c r="QN23" s="121" t="s">
        <v>1217</v>
      </c>
      <c r="QO23" s="112"/>
      <c r="QS23" s="665"/>
      <c r="QV23" s="99" t="s">
        <v>1220</v>
      </c>
      <c r="QW23" s="1188" t="s">
        <v>1207</v>
      </c>
      <c r="QX23" s="1155"/>
      <c r="QY23" s="121" t="s">
        <v>1272</v>
      </c>
      <c r="QZ23" s="1188" t="s">
        <v>1301</v>
      </c>
      <c r="RA23" s="1155"/>
      <c r="RB23" s="121" t="s">
        <v>1217</v>
      </c>
      <c r="RC23" s="112"/>
      <c r="RG23" s="665"/>
      <c r="RJ23" s="99" t="s">
        <v>1220</v>
      </c>
      <c r="RK23" s="1188" t="s">
        <v>1207</v>
      </c>
      <c r="RL23" s="1155"/>
      <c r="RM23" s="121" t="s">
        <v>1272</v>
      </c>
      <c r="RN23" s="1188" t="s">
        <v>1301</v>
      </c>
      <c r="RO23" s="1155"/>
      <c r="RP23" s="121" t="s">
        <v>1217</v>
      </c>
      <c r="RQ23" s="112"/>
      <c r="RU23" s="665"/>
      <c r="RX23" s="99" t="s">
        <v>1220</v>
      </c>
      <c r="RY23" s="1188" t="s">
        <v>1207</v>
      </c>
      <c r="RZ23" s="1155"/>
      <c r="SA23" s="121" t="s">
        <v>1272</v>
      </c>
      <c r="SB23" s="1188" t="s">
        <v>1301</v>
      </c>
      <c r="SC23" s="1155"/>
      <c r="SD23" s="121" t="s">
        <v>1217</v>
      </c>
      <c r="SE23" s="112"/>
      <c r="SI23" s="665"/>
      <c r="SL23" s="99" t="s">
        <v>1220</v>
      </c>
      <c r="SM23" s="1188" t="s">
        <v>1207</v>
      </c>
      <c r="SN23" s="1155"/>
      <c r="SO23" s="121" t="s">
        <v>1272</v>
      </c>
      <c r="SP23" s="1188" t="s">
        <v>1301</v>
      </c>
      <c r="SQ23" s="1155"/>
      <c r="SR23" s="121" t="s">
        <v>1217</v>
      </c>
      <c r="SS23" s="112"/>
      <c r="SW23" s="665"/>
      <c r="SZ23" s="99" t="s">
        <v>1220</v>
      </c>
      <c r="TA23" s="1188" t="s">
        <v>1207</v>
      </c>
      <c r="TB23" s="1155"/>
      <c r="TC23" s="121" t="s">
        <v>1272</v>
      </c>
      <c r="TD23" s="1188" t="s">
        <v>1301</v>
      </c>
      <c r="TE23" s="1155"/>
      <c r="TF23" s="720" t="s">
        <v>1217</v>
      </c>
      <c r="TG23" s="112"/>
      <c r="TK23" s="665"/>
      <c r="TM23" s="937"/>
      <c r="TN23" s="725"/>
    </row>
    <row r="24" spans="1:534" ht="18" customHeight="1" collapsed="1" thickBot="1">
      <c r="A24" s="95">
        <v>24</v>
      </c>
      <c r="B24" s="1181" t="s">
        <v>1266</v>
      </c>
      <c r="C24" s="1183" t="s">
        <v>1271</v>
      </c>
      <c r="D24" s="1184"/>
      <c r="E24" s="250">
        <f>+D19</f>
        <v>7</v>
      </c>
      <c r="F24" s="247"/>
      <c r="G24" s="248"/>
      <c r="H24" s="249">
        <f>+VLOOKUP(B13,'Cost x Depart'!$A$2:$AL$72,A24,0)</f>
        <v>5745928.3497028612</v>
      </c>
      <c r="I24" s="113"/>
      <c r="M24" s="928">
        <f>+IF(H24=0,0,H24/H$72)</f>
        <v>3.1206892300275044E-2</v>
      </c>
      <c r="O24" s="95">
        <v>24</v>
      </c>
      <c r="P24" s="1181"/>
      <c r="Q24" s="1183"/>
      <c r="R24" s="1184"/>
      <c r="S24" s="250"/>
      <c r="T24" s="247"/>
      <c r="U24" s="248"/>
      <c r="V24" s="249"/>
      <c r="W24" s="113"/>
      <c r="AA24" s="928"/>
      <c r="AC24" s="95">
        <v>20</v>
      </c>
      <c r="AD24" s="1181"/>
      <c r="AE24" s="1183"/>
      <c r="AF24" s="1184"/>
      <c r="AG24" s="250"/>
      <c r="AH24" s="247"/>
      <c r="AI24" s="248"/>
      <c r="AJ24" s="249"/>
      <c r="AK24" s="113"/>
      <c r="AO24" s="928"/>
      <c r="AQ24" s="95">
        <v>24</v>
      </c>
      <c r="AR24" s="1181" t="s">
        <v>1266</v>
      </c>
      <c r="AS24" s="1183" t="s">
        <v>1271</v>
      </c>
      <c r="AT24" s="1184"/>
      <c r="AU24" s="250">
        <f t="shared" ref="AU24" si="239">+AT19</f>
        <v>0</v>
      </c>
      <c r="AV24" s="247"/>
      <c r="AW24" s="248"/>
      <c r="AX24" s="249">
        <f>+VLOOKUP(AR13,'Cost x Depart'!$A$2:$AL$72,AQ24,0)</f>
        <v>0</v>
      </c>
      <c r="AY24" s="113"/>
      <c r="BC24" s="928">
        <f>+IF(AX24=0,0,AX24/AX$72)</f>
        <v>0</v>
      </c>
      <c r="BE24" s="95">
        <v>24</v>
      </c>
      <c r="BF24" s="1181" t="s">
        <v>1266</v>
      </c>
      <c r="BG24" s="1183" t="s">
        <v>1271</v>
      </c>
      <c r="BH24" s="1184"/>
      <c r="BI24" s="250">
        <f t="shared" ref="BI24" si="240">+BH19</f>
        <v>18</v>
      </c>
      <c r="BJ24" s="247"/>
      <c r="BK24" s="248"/>
      <c r="BL24" s="249">
        <f>+VLOOKUP(BF13,'Cost x Depart'!$A$2:$AL$72,BE24,0)</f>
        <v>9092722.7665327638</v>
      </c>
      <c r="BM24" s="113"/>
      <c r="BQ24" s="928">
        <f>+IF(BL24=0,0,BL24/BL$72)</f>
        <v>1.9534619769931677E-2</v>
      </c>
      <c r="BS24" s="95">
        <v>24</v>
      </c>
      <c r="BT24" s="1181" t="s">
        <v>1266</v>
      </c>
      <c r="BU24" s="1183" t="s">
        <v>1271</v>
      </c>
      <c r="BV24" s="1184"/>
      <c r="BW24" s="250">
        <f t="shared" ref="BW24" si="241">+BV19</f>
        <v>0</v>
      </c>
      <c r="BX24" s="247"/>
      <c r="BY24" s="248"/>
      <c r="BZ24" s="249">
        <f>+VLOOKUP(BT13,'Cost x Depart'!$A$2:$AL$72,BS24,0)</f>
        <v>0</v>
      </c>
      <c r="CA24" s="113"/>
      <c r="CE24" s="928">
        <f>+IF(BZ24=0,0,BZ24/BZ$72)</f>
        <v>0</v>
      </c>
      <c r="CG24" s="95">
        <v>24</v>
      </c>
      <c r="CH24" s="1181" t="s">
        <v>1266</v>
      </c>
      <c r="CI24" s="1183" t="s">
        <v>1271</v>
      </c>
      <c r="CJ24" s="1184"/>
      <c r="CK24" s="250">
        <f t="shared" ref="CK24" si="242">+CJ19</f>
        <v>1</v>
      </c>
      <c r="CL24" s="247"/>
      <c r="CM24" s="248"/>
      <c r="CN24" s="249">
        <f>+VLOOKUP(CH13,'Cost x Depart'!$A$2:$AL$72,CG24,0)</f>
        <v>474564.19435620075</v>
      </c>
      <c r="CO24" s="113"/>
      <c r="CS24" s="928">
        <f>+IF(CN24=0,0,CN24/CN$72)</f>
        <v>1.8382379325421416E-2</v>
      </c>
      <c r="CU24" s="95">
        <v>24</v>
      </c>
      <c r="CV24" s="1181" t="s">
        <v>1266</v>
      </c>
      <c r="CW24" s="1183" t="s">
        <v>1271</v>
      </c>
      <c r="CX24" s="1184"/>
      <c r="CY24" s="250">
        <f t="shared" ref="CY24" si="243">+CX19</f>
        <v>13</v>
      </c>
      <c r="CZ24" s="247"/>
      <c r="DA24" s="248"/>
      <c r="DB24" s="249">
        <f>+VLOOKUP(CV13,'Cost x Depart'!$A$2:$AL$72,CU24,0)</f>
        <v>32009986.804475062</v>
      </c>
      <c r="DC24" s="113"/>
      <c r="DG24" s="928">
        <f>+IF(DB24=0,0,DB24/DB$72)</f>
        <v>8.6057046108597296E-2</v>
      </c>
      <c r="DI24" s="95">
        <v>24</v>
      </c>
      <c r="DJ24" s="1181" t="s">
        <v>1266</v>
      </c>
      <c r="DK24" s="1183" t="s">
        <v>1271</v>
      </c>
      <c r="DL24" s="1184"/>
      <c r="DM24" s="250">
        <f t="shared" ref="DM24" si="244">+DL19</f>
        <v>1</v>
      </c>
      <c r="DN24" s="247"/>
      <c r="DO24" s="248"/>
      <c r="DP24" s="249">
        <f>+VLOOKUP(DJ13,'Cost x Depart'!$A$2:$AL$72,DI24,0)</f>
        <v>2786436.9359574877</v>
      </c>
      <c r="DQ24" s="113"/>
      <c r="DU24" s="928">
        <f>+IF(DP24=0,0,DP24/DP$72)</f>
        <v>9.585773921137318E-2</v>
      </c>
      <c r="DW24" s="95">
        <v>24</v>
      </c>
      <c r="DX24" s="1181" t="s">
        <v>1266</v>
      </c>
      <c r="DY24" s="1183" t="s">
        <v>1271</v>
      </c>
      <c r="DZ24" s="1184"/>
      <c r="EA24" s="250">
        <f t="shared" ref="EA24" si="245">+DZ19</f>
        <v>5</v>
      </c>
      <c r="EB24" s="247"/>
      <c r="EC24" s="248"/>
      <c r="ED24" s="249">
        <f>+VLOOKUP(DX13,'Cost x Depart'!$A$2:$AL$72,DW24,0)</f>
        <v>7872159.9666869026</v>
      </c>
      <c r="EE24" s="113"/>
      <c r="EI24" s="928">
        <f>+IF(ED24=0,0,ED24/ED$72)</f>
        <v>5.7537702152269311E-2</v>
      </c>
      <c r="EK24" s="95">
        <v>24</v>
      </c>
      <c r="EL24" s="1181" t="s">
        <v>1266</v>
      </c>
      <c r="EM24" s="1183" t="s">
        <v>1271</v>
      </c>
      <c r="EN24" s="1184"/>
      <c r="EO24" s="250">
        <f t="shared" ref="EO24" si="246">+EN19</f>
        <v>9</v>
      </c>
      <c r="EP24" s="247"/>
      <c r="EQ24" s="248"/>
      <c r="ER24" s="249">
        <f>+VLOOKUP(EL13,'Cost x Depart'!$A$2:$AL$72,EK24,0)</f>
        <v>4546361.3832663819</v>
      </c>
      <c r="ES24" s="928">
        <f>+IF(EN24=0,0,EN24/EN$72)</f>
        <v>0</v>
      </c>
      <c r="EW24" s="928">
        <f>+IF(ER24=0,0,ER24/ER$72)</f>
        <v>1.9534619769931677E-2</v>
      </c>
      <c r="EY24" s="95">
        <v>24</v>
      </c>
      <c r="EZ24" s="1181" t="s">
        <v>1266</v>
      </c>
      <c r="FA24" s="1183" t="s">
        <v>1271</v>
      </c>
      <c r="FB24" s="1184"/>
      <c r="FC24" s="250">
        <f t="shared" ref="FC24" si="247">+FB19</f>
        <v>0</v>
      </c>
      <c r="FD24" s="247"/>
      <c r="FE24" s="248"/>
      <c r="FF24" s="249">
        <f>+VLOOKUP(EZ13,'Cost x Depart'!$A$2:$AL$72,EY24,0)</f>
        <v>0</v>
      </c>
      <c r="FG24" s="113"/>
      <c r="FK24" s="928">
        <f>+IF(FF24=0,0,FF24/FF$72)</f>
        <v>0</v>
      </c>
      <c r="FM24" s="95">
        <v>24</v>
      </c>
      <c r="FN24" s="1181" t="s">
        <v>1266</v>
      </c>
      <c r="FO24" s="1183" t="s">
        <v>1271</v>
      </c>
      <c r="FP24" s="1184"/>
      <c r="FQ24" s="250">
        <f t="shared" ref="FQ24" si="248">+FP19</f>
        <v>6.5</v>
      </c>
      <c r="FR24" s="247"/>
      <c r="FS24" s="248"/>
      <c r="FT24" s="249">
        <f>+VLOOKUP(FN13,'Cost x Depart'!$A$2:$AL$72,FM24,0)</f>
        <v>109242950.06194586</v>
      </c>
      <c r="FU24" s="113"/>
      <c r="FY24" s="928">
        <f>+IF(FT24=0,0,FT24/FT$72)</f>
        <v>0.34445976536654821</v>
      </c>
      <c r="GA24" s="95">
        <v>24</v>
      </c>
      <c r="GB24" s="1181" t="s">
        <v>1266</v>
      </c>
      <c r="GC24" s="1183" t="s">
        <v>1271</v>
      </c>
      <c r="GD24" s="1184"/>
      <c r="GE24" s="250">
        <f t="shared" ref="GE24" si="249">+GD19</f>
        <v>6</v>
      </c>
      <c r="GF24" s="247"/>
      <c r="GG24" s="248"/>
      <c r="GH24" s="249">
        <f>+VLOOKUP(GB13,'Cost x Depart'!$A$2:$AL$72,GA24,0)</f>
        <v>0</v>
      </c>
      <c r="GI24" s="113"/>
      <c r="GM24" s="928">
        <f>+IF(GH24=0,0,GH24/GH$72)</f>
        <v>0</v>
      </c>
      <c r="GO24" s="95">
        <v>24</v>
      </c>
      <c r="GP24" s="1181" t="s">
        <v>1266</v>
      </c>
      <c r="GQ24" s="1183" t="s">
        <v>1271</v>
      </c>
      <c r="GR24" s="1184"/>
      <c r="GS24" s="250">
        <f t="shared" ref="GS24" si="250">+GR19</f>
        <v>0</v>
      </c>
      <c r="GT24" s="247"/>
      <c r="GU24" s="248"/>
      <c r="GV24" s="249">
        <f>+VLOOKUP(GP13,'Cost x Depart'!$A$2:$AL$72,GO24,0)</f>
        <v>0</v>
      </c>
      <c r="GW24" s="113"/>
      <c r="HA24" s="928">
        <f>+IF(GV24=0,0,GV24/GV$72)</f>
        <v>0</v>
      </c>
      <c r="HC24" s="95">
        <v>24</v>
      </c>
      <c r="HD24" s="1181" t="s">
        <v>1266</v>
      </c>
      <c r="HE24" s="1183" t="s">
        <v>1271</v>
      </c>
      <c r="HF24" s="1184"/>
      <c r="HG24" s="250">
        <f t="shared" ref="HG24" si="251">+HF19</f>
        <v>3</v>
      </c>
      <c r="HH24" s="247"/>
      <c r="HI24" s="248"/>
      <c r="HJ24" s="249">
        <f>+VLOOKUP(HD13,'Cost x Depart'!$A$2:$AL$72,HC24,0)</f>
        <v>1515453.7944221273</v>
      </c>
      <c r="HK24" s="113"/>
      <c r="HO24" s="928">
        <f>+IF(HJ24=0,0,HJ24/HJ$72)</f>
        <v>1.9534619769931684E-2</v>
      </c>
      <c r="HQ24" s="95">
        <v>24</v>
      </c>
      <c r="HR24" s="1181" t="s">
        <v>1266</v>
      </c>
      <c r="HS24" s="1183" t="s">
        <v>1271</v>
      </c>
      <c r="HT24" s="1184"/>
      <c r="HU24" s="250">
        <f t="shared" ref="HU24" si="252">+HT19</f>
        <v>11</v>
      </c>
      <c r="HV24" s="247"/>
      <c r="HW24" s="248"/>
      <c r="HX24" s="249">
        <f>+VLOOKUP(HR13,'Cost x Depart'!$A$2:$AL$72,HQ24,0)</f>
        <v>13610069.634506255</v>
      </c>
      <c r="HY24" s="928">
        <f t="shared" ref="HY24:HY25" si="253">+IF(HT24=0,0,HT24/HT$70)</f>
        <v>0</v>
      </c>
      <c r="IC24" s="928">
        <f>+IF(HX24=0,0,HX24/HX$72)</f>
        <v>4.601398275523879E-2</v>
      </c>
      <c r="IE24" s="95">
        <v>24</v>
      </c>
      <c r="IF24" s="1181"/>
      <c r="IG24" s="1183"/>
      <c r="IH24" s="1184"/>
      <c r="II24" s="250"/>
      <c r="IJ24" s="247"/>
      <c r="IK24" s="248"/>
      <c r="IL24" s="249"/>
      <c r="IM24" s="113"/>
      <c r="IQ24" s="928"/>
      <c r="IS24" s="95">
        <v>24</v>
      </c>
      <c r="IT24" s="1181"/>
      <c r="IU24" s="1183"/>
      <c r="IV24" s="1184"/>
      <c r="IW24" s="250"/>
      <c r="IX24" s="247"/>
      <c r="IY24" s="248"/>
      <c r="IZ24" s="249"/>
      <c r="JA24" s="113"/>
      <c r="JE24" s="928"/>
      <c r="JG24" s="95">
        <v>24</v>
      </c>
      <c r="JH24" s="1181" t="s">
        <v>1266</v>
      </c>
      <c r="JI24" s="1183" t="s">
        <v>1271</v>
      </c>
      <c r="JJ24" s="1184"/>
      <c r="JK24" s="250">
        <f t="shared" ref="JK24" si="254">+JJ19</f>
        <v>15</v>
      </c>
      <c r="JL24" s="247"/>
      <c r="JM24" s="248"/>
      <c r="JN24" s="249">
        <f>+VLOOKUP(JH13,'Cost x Depart'!$A$2:$AL$72,JG24,0)</f>
        <v>36490855.917236961</v>
      </c>
      <c r="JO24" s="113"/>
      <c r="JS24" s="928">
        <f>+IF(JN24=0,0,JN24/JN$72)</f>
        <v>8.5146971212052849E-2</v>
      </c>
      <c r="JU24" s="95">
        <v>24</v>
      </c>
      <c r="JV24" s="1181" t="s">
        <v>1266</v>
      </c>
      <c r="JW24" s="1183" t="s">
        <v>1271</v>
      </c>
      <c r="JX24" s="1184"/>
      <c r="JY24" s="250">
        <f t="shared" ref="JY24" si="255">+JX19</f>
        <v>6.5</v>
      </c>
      <c r="JZ24" s="247"/>
      <c r="KA24" s="248"/>
      <c r="KB24" s="249">
        <f>+VLOOKUP(JV13,'Cost x Depart'!$A$2:$AL$72,JU24,0)</f>
        <v>9155582.8272583056</v>
      </c>
      <c r="KC24" s="113"/>
      <c r="KG24" s="928">
        <f>+IF(KB24=0,0,KB24/KB$72)</f>
        <v>5.1918330712727202E-2</v>
      </c>
      <c r="KI24" s="95">
        <v>24</v>
      </c>
      <c r="KJ24" s="1181" t="s">
        <v>1266</v>
      </c>
      <c r="KK24" s="1183" t="s">
        <v>1271</v>
      </c>
      <c r="KL24" s="1184"/>
      <c r="KM24" s="250">
        <f t="shared" ref="KM24" si="256">+KL19</f>
        <v>0</v>
      </c>
      <c r="KN24" s="247"/>
      <c r="KO24" s="248"/>
      <c r="KP24" s="249">
        <f>+VLOOKUP(KJ13,'Cost x Depart'!$A$2:$AL$72,KI24,0)</f>
        <v>0</v>
      </c>
      <c r="KQ24" s="113"/>
      <c r="KU24" s="928">
        <f>+IF(KP24=0,0,KP24/KP$72)</f>
        <v>0</v>
      </c>
      <c r="KW24" s="95">
        <v>24</v>
      </c>
      <c r="KX24" s="1181" t="s">
        <v>1266</v>
      </c>
      <c r="KY24" s="1183" t="s">
        <v>1271</v>
      </c>
      <c r="KZ24" s="1184"/>
      <c r="LA24" s="250">
        <f t="shared" ref="LA24" si="257">+KZ19</f>
        <v>0</v>
      </c>
      <c r="LB24" s="247"/>
      <c r="LC24" s="248"/>
      <c r="LD24" s="249">
        <f>+VLOOKUP(KX13,'Cost x Depart'!$A$2:$AL$72,KW24,0)</f>
        <v>0</v>
      </c>
      <c r="LE24" s="113"/>
      <c r="LI24" s="928">
        <f>+IF(LD24=0,0,LD24/LD$72)</f>
        <v>0</v>
      </c>
      <c r="LK24" s="95">
        <v>24</v>
      </c>
      <c r="LL24" s="1181" t="s">
        <v>1266</v>
      </c>
      <c r="LM24" s="1183" t="s">
        <v>1271</v>
      </c>
      <c r="LN24" s="1184"/>
      <c r="LO24" s="250">
        <f t="shared" ref="LO24" si="258">+LN19</f>
        <v>0</v>
      </c>
      <c r="LP24" s="247"/>
      <c r="LQ24" s="248"/>
      <c r="LR24" s="249">
        <f>+VLOOKUP(LL13,'Cost x Depart'!$A$2:$AL$72,LK24,0)</f>
        <v>0</v>
      </c>
      <c r="LS24" s="113"/>
      <c r="LW24" s="928">
        <f>+IF(LR24=0,0,LR24/LR$72)</f>
        <v>0</v>
      </c>
      <c r="LY24" s="95">
        <v>24</v>
      </c>
      <c r="LZ24" s="1181" t="s">
        <v>1266</v>
      </c>
      <c r="MA24" s="1183" t="s">
        <v>1271</v>
      </c>
      <c r="MB24" s="1184"/>
      <c r="MC24" s="250">
        <f t="shared" ref="MC24" si="259">+MB19</f>
        <v>4.5</v>
      </c>
      <c r="MD24" s="247"/>
      <c r="ME24" s="248"/>
      <c r="MF24" s="249">
        <f>+VLOOKUP(LZ13,'Cost x Depart'!$A$2:$AL$72,LY24,0)</f>
        <v>7084943.9700182136</v>
      </c>
      <c r="MG24" s="113"/>
      <c r="MK24" s="928">
        <f>+IF(MF24=0,0,MF24/MF$72)</f>
        <v>5.7537702152269332E-2</v>
      </c>
      <c r="MM24" s="95">
        <v>24</v>
      </c>
      <c r="MN24" s="1181" t="s">
        <v>1266</v>
      </c>
      <c r="MO24" s="1183" t="s">
        <v>1271</v>
      </c>
      <c r="MP24" s="1184"/>
      <c r="MQ24" s="250">
        <f t="shared" ref="MQ24" si="260">+MP19</f>
        <v>6</v>
      </c>
      <c r="MR24" s="247"/>
      <c r="MS24" s="248"/>
      <c r="MT24" s="249">
        <f>+VLOOKUP(MN13,'Cost x Depart'!$A$2:$AL$72,MM24,0)</f>
        <v>6735279.8847583383</v>
      </c>
      <c r="MU24" s="113"/>
      <c r="MY24" s="928">
        <f>+IF(MT24=0,0,MT24/MT$72)</f>
        <v>4.1999218482562106E-2</v>
      </c>
      <c r="NA24" s="95">
        <v>24</v>
      </c>
      <c r="NB24" s="1181" t="s">
        <v>1266</v>
      </c>
      <c r="NC24" s="1183" t="s">
        <v>1271</v>
      </c>
      <c r="ND24" s="1184"/>
      <c r="NE24" s="250">
        <f t="shared" ref="NE24" si="261">+ND19</f>
        <v>7</v>
      </c>
      <c r="NF24" s="247"/>
      <c r="NG24" s="248"/>
      <c r="NH24" s="249">
        <f>+VLOOKUP(NB13,'Cost x Depart'!$A$2:$AL$72,NA24,0)</f>
        <v>1483959.9386700168</v>
      </c>
      <c r="NI24" s="113"/>
      <c r="NM24" s="928">
        <f>+IF(NH24=0,0,NH24/NH$72)</f>
        <v>8.3308529806771486E-3</v>
      </c>
      <c r="NO24" s="95">
        <v>24</v>
      </c>
      <c r="NP24" s="1181" t="s">
        <v>1266</v>
      </c>
      <c r="NQ24" s="1183" t="s">
        <v>1271</v>
      </c>
      <c r="NR24" s="1184"/>
      <c r="NS24" s="250">
        <f t="shared" ref="NS24" si="262">+NR19</f>
        <v>8</v>
      </c>
      <c r="NT24" s="247"/>
      <c r="NU24" s="248"/>
      <c r="NV24" s="249">
        <f>+VLOOKUP(NP13,'Cost x Depart'!$A$2:$AL$72,NO24,0)</f>
        <v>152568563.87391835</v>
      </c>
      <c r="NW24" s="113"/>
      <c r="OA24" s="928">
        <f>+IF(NV24=0,0,NV24/NV$72)</f>
        <v>0.36691562689059998</v>
      </c>
      <c r="OC24" s="95">
        <v>24</v>
      </c>
      <c r="OD24" s="1181" t="s">
        <v>1266</v>
      </c>
      <c r="OE24" s="1183" t="s">
        <v>1271</v>
      </c>
      <c r="OF24" s="1184"/>
      <c r="OG24" s="250">
        <f t="shared" ref="OG24" si="263">+OF19</f>
        <v>2</v>
      </c>
      <c r="OH24" s="247"/>
      <c r="OI24" s="248"/>
      <c r="OJ24" s="249">
        <f>+VLOOKUP(OD13,'Cost x Depart'!$A$2:$AL$72,OC24,0)</f>
        <v>18135601.626827598</v>
      </c>
      <c r="OK24" s="113"/>
      <c r="OO24" s="928">
        <f>+IF(OJ24=0,0,OJ24/OJ$72)</f>
        <v>0.23922621822418877</v>
      </c>
      <c r="OQ24" s="95">
        <v>24</v>
      </c>
      <c r="OR24" s="1181" t="s">
        <v>1266</v>
      </c>
      <c r="OS24" s="1183" t="s">
        <v>1271</v>
      </c>
      <c r="OT24" s="1184"/>
      <c r="OU24" s="250">
        <f t="shared" ref="OU24" si="264">+OT19</f>
        <v>10</v>
      </c>
      <c r="OV24" s="247"/>
      <c r="OW24" s="248"/>
      <c r="OX24" s="249">
        <f>+VLOOKUP(OR13,'Cost x Depart'!$A$2:$AL$72,OQ24,0)</f>
        <v>34809333.633683257</v>
      </c>
      <c r="OY24" s="113"/>
      <c r="PC24" s="928">
        <f>+IF(OX24=0,0,OX24/OX$72)</f>
        <v>0.11585563998271765</v>
      </c>
      <c r="PE24" s="95">
        <v>24</v>
      </c>
      <c r="PF24" s="1181" t="s">
        <v>1266</v>
      </c>
      <c r="PG24" s="1183" t="s">
        <v>1271</v>
      </c>
      <c r="PH24" s="1184"/>
      <c r="PI24" s="250">
        <f t="shared" ref="PI24" si="265">+PH19</f>
        <v>0</v>
      </c>
      <c r="PJ24" s="247"/>
      <c r="PK24" s="248"/>
      <c r="PL24" s="249">
        <f>+VLOOKUP(PF13,'Cost x Depart'!$A$2:$AL$72,PE24,0)</f>
        <v>0</v>
      </c>
      <c r="PM24" s="113"/>
      <c r="PQ24" s="928">
        <f>+IF(PL24=0,0,PL24/PL$72)</f>
        <v>0</v>
      </c>
      <c r="PS24" s="95">
        <v>24</v>
      </c>
      <c r="PT24" s="1181" t="s">
        <v>1266</v>
      </c>
      <c r="PU24" s="1183" t="s">
        <v>1271</v>
      </c>
      <c r="PV24" s="1184"/>
      <c r="PW24" s="250">
        <f t="shared" ref="PW24" si="266">+PV19</f>
        <v>0</v>
      </c>
      <c r="PX24" s="247"/>
      <c r="PY24" s="248"/>
      <c r="PZ24" s="249">
        <f>+VLOOKUP(PT13,'Cost x Depart'!$A$2:$AL$72,PS24,0)</f>
        <v>0</v>
      </c>
      <c r="QA24" s="113"/>
      <c r="QE24" s="928">
        <f>+IF(PZ24=0,0,PZ24/PZ$72)</f>
        <v>0</v>
      </c>
      <c r="QG24" s="95">
        <v>24</v>
      </c>
      <c r="QH24" s="1181" t="s">
        <v>1266</v>
      </c>
      <c r="QI24" s="1183" t="s">
        <v>1271</v>
      </c>
      <c r="QJ24" s="1184"/>
      <c r="QK24" s="250">
        <f t="shared" ref="QK24" si="267">+QJ19</f>
        <v>0</v>
      </c>
      <c r="QL24" s="247"/>
      <c r="QM24" s="248"/>
      <c r="QN24" s="249">
        <f>+VLOOKUP(QH13,'Cost x Depart'!$A$2:$AL$72,QG24,0)</f>
        <v>0</v>
      </c>
      <c r="QO24" s="113"/>
      <c r="QS24" s="928">
        <f>+IF(QN24=0,0,QN24/QN$72)</f>
        <v>0</v>
      </c>
      <c r="QU24" s="95">
        <v>24</v>
      </c>
      <c r="QV24" s="1181" t="s">
        <v>1266</v>
      </c>
      <c r="QW24" s="1183" t="s">
        <v>1271</v>
      </c>
      <c r="QX24" s="1184"/>
      <c r="QY24" s="250">
        <f t="shared" ref="QY24" si="268">+QX19</f>
        <v>6</v>
      </c>
      <c r="QZ24" s="247"/>
      <c r="RA24" s="248"/>
      <c r="RB24" s="249">
        <f>+VLOOKUP(QV13,'Cost x Depart'!$A$2:$AL$72,QU24,0)</f>
        <v>114426422.90543877</v>
      </c>
      <c r="RC24" s="113"/>
      <c r="RG24" s="928">
        <f>+IF(RB24=0,0,RB24/RB$72)</f>
        <v>0.36691562689059998</v>
      </c>
      <c r="RI24" s="95">
        <v>24</v>
      </c>
      <c r="RJ24" s="1181" t="s">
        <v>1266</v>
      </c>
      <c r="RK24" s="1183" t="s">
        <v>1271</v>
      </c>
      <c r="RL24" s="1184"/>
      <c r="RM24" s="250">
        <f t="shared" ref="RM24" si="269">+RL19</f>
        <v>1</v>
      </c>
      <c r="RN24" s="247"/>
      <c r="RO24" s="248"/>
      <c r="RP24" s="249">
        <f>+VLOOKUP(RJ13,'Cost x Depart'!$A$2:$AL$72,RI24,0)</f>
        <v>24139626.122276265</v>
      </c>
      <c r="RQ24" s="113"/>
      <c r="RU24" s="928">
        <f>+IF(RP24=0,0,RP24/RP$72)</f>
        <v>0.40840648363180942</v>
      </c>
      <c r="RW24" s="95">
        <v>24</v>
      </c>
      <c r="RX24" s="1181" t="s">
        <v>1266</v>
      </c>
      <c r="RY24" s="1183" t="s">
        <v>1271</v>
      </c>
      <c r="RZ24" s="1184"/>
      <c r="SA24" s="250">
        <f t="shared" ref="SA24" si="270">+RZ19</f>
        <v>3.5</v>
      </c>
      <c r="SB24" s="247"/>
      <c r="SC24" s="248"/>
      <c r="SD24" s="249">
        <f>+VLOOKUP(RX13,'Cost x Depart'!$A$2:$AL$72,RW24,0)</f>
        <v>66748746.694839284</v>
      </c>
      <c r="SE24" s="113"/>
      <c r="SI24" s="928">
        <f>+IF(SD24=0,0,SD24/SD$72)</f>
        <v>0.36691562689059992</v>
      </c>
      <c r="SK24" s="95">
        <v>24</v>
      </c>
      <c r="SL24" s="1181" t="s">
        <v>1266</v>
      </c>
      <c r="SM24" s="1183" t="s">
        <v>1271</v>
      </c>
      <c r="SN24" s="1184"/>
      <c r="SO24" s="250">
        <f t="shared" ref="SO24" si="271">+SN19</f>
        <v>0</v>
      </c>
      <c r="SP24" s="247"/>
      <c r="SQ24" s="248"/>
      <c r="SR24" s="249">
        <f>+VLOOKUP(SL13,'Cost x Depart'!$A$2:$AL$72,SK24,0)</f>
        <v>0</v>
      </c>
      <c r="SS24" s="113"/>
      <c r="SW24" s="928">
        <f>+IF(SR24=0,0,SR24/SR$72)</f>
        <v>0</v>
      </c>
      <c r="SY24" s="95">
        <v>20</v>
      </c>
      <c r="SZ24" s="1181" t="s">
        <v>1266</v>
      </c>
      <c r="TA24" s="1183" t="s">
        <v>1271</v>
      </c>
      <c r="TB24" s="1184"/>
      <c r="TC24" s="250">
        <f t="shared" ref="TC24" si="272">+TB19</f>
        <v>150</v>
      </c>
      <c r="TD24" s="247"/>
      <c r="TE24" s="248"/>
      <c r="TF24" s="249">
        <f t="shared" ref="TF24:TF25" si="273">+H24+AX24+BL24+BZ24+CN24+DB24+DP24+ED24+ER24+FF24+FT24+GH24+HJ24+HX24+JN24+KB24+KP24+LD24+LR24+MF24+MT24+NH24+NV24+OJ24+OX24+PL24+PZ24+QN24+RB24+RP24+SD24+SR24</f>
        <v>658675551.28677726</v>
      </c>
      <c r="TG24" s="113"/>
      <c r="TK24" s="928">
        <f>+IF(TF24=0,0,TF24/TF$72)</f>
        <v>0.14017762197448647</v>
      </c>
      <c r="TM24" s="938"/>
      <c r="TN24" s="725"/>
    </row>
    <row r="25" spans="1:534" ht="18" customHeight="1" thickBot="1">
      <c r="A25" s="95">
        <v>25</v>
      </c>
      <c r="B25" s="1182"/>
      <c r="C25" s="1185" t="s">
        <v>1305</v>
      </c>
      <c r="D25" s="1186"/>
      <c r="E25" s="1186"/>
      <c r="F25" s="1186"/>
      <c r="G25" s="1187"/>
      <c r="H25" s="249">
        <f>+VLOOKUP(B13,'Cost x Depart'!$A$2:$AL$72,A25,0)</f>
        <v>2262477.7124257153</v>
      </c>
      <c r="I25" s="113"/>
      <c r="M25" s="929">
        <f>+IF(H25=0,0,H25/H$72)</f>
        <v>1.2287813910365439E-2</v>
      </c>
      <c r="O25" s="95">
        <v>25</v>
      </c>
      <c r="P25" s="1190"/>
      <c r="Q25" s="1185"/>
      <c r="R25" s="1186"/>
      <c r="S25" s="1186"/>
      <c r="T25" s="1186"/>
      <c r="U25" s="1187"/>
      <c r="V25" s="249"/>
      <c r="W25" s="113"/>
      <c r="AA25" s="929"/>
      <c r="AC25" s="95">
        <v>21</v>
      </c>
      <c r="AD25" s="1190"/>
      <c r="AE25" s="1185"/>
      <c r="AF25" s="1186"/>
      <c r="AG25" s="1186"/>
      <c r="AH25" s="1186"/>
      <c r="AI25" s="1187"/>
      <c r="AJ25" s="249"/>
      <c r="AK25" s="113"/>
      <c r="AO25" s="929"/>
      <c r="AQ25" s="95">
        <v>25</v>
      </c>
      <c r="AR25" s="1190"/>
      <c r="AS25" s="1185" t="s">
        <v>1305</v>
      </c>
      <c r="AT25" s="1186"/>
      <c r="AU25" s="1186"/>
      <c r="AV25" s="1186"/>
      <c r="AW25" s="1187"/>
      <c r="AX25" s="249">
        <f>+VLOOKUP(AR13,'Cost x Depart'!$A$2:$AL$72,AQ25,0)</f>
        <v>0</v>
      </c>
      <c r="AY25" s="113"/>
      <c r="BC25" s="929">
        <f>+IF(AX25=0,0,AX25/AX$72)</f>
        <v>0</v>
      </c>
      <c r="BE25" s="95">
        <v>25</v>
      </c>
      <c r="BF25" s="1190"/>
      <c r="BG25" s="1185" t="s">
        <v>1305</v>
      </c>
      <c r="BH25" s="1186"/>
      <c r="BI25" s="1186"/>
      <c r="BJ25" s="1186"/>
      <c r="BK25" s="1187"/>
      <c r="BL25" s="249">
        <f>+VLOOKUP(BF13,'Cost x Depart'!$A$2:$AL$72,BE25,0)</f>
        <v>4397169.441633191</v>
      </c>
      <c r="BM25" s="113"/>
      <c r="BQ25" s="929">
        <f>+IF(BL25=0,0,BL25/BL$72)</f>
        <v>9.446788966493631E-3</v>
      </c>
      <c r="BS25" s="95">
        <v>25</v>
      </c>
      <c r="BT25" s="1190"/>
      <c r="BU25" s="1185" t="s">
        <v>1305</v>
      </c>
      <c r="BV25" s="1186"/>
      <c r="BW25" s="1186"/>
      <c r="BX25" s="1186"/>
      <c r="BY25" s="1187"/>
      <c r="BZ25" s="249">
        <f>+VLOOKUP(BT13,'Cost x Depart'!$A$2:$AL$72,BS25,0)</f>
        <v>0</v>
      </c>
      <c r="CA25" s="113"/>
      <c r="CE25" s="929">
        <f>+IF(BZ25=0,0,BZ25/BZ$72)</f>
        <v>0</v>
      </c>
      <c r="CG25" s="95">
        <v>25</v>
      </c>
      <c r="CH25" s="1190"/>
      <c r="CI25" s="1185" t="s">
        <v>1305</v>
      </c>
      <c r="CJ25" s="1186"/>
      <c r="CK25" s="1186"/>
      <c r="CL25" s="1186"/>
      <c r="CM25" s="1187"/>
      <c r="CN25" s="249">
        <f>+VLOOKUP(CH13,'Cost x Depart'!$A$2:$AL$72,CG25,0)</f>
        <v>236640.42358905019</v>
      </c>
      <c r="CO25" s="113"/>
      <c r="CS25" s="929">
        <f>+IF(CN25=0,0,CN25/CN$72)</f>
        <v>9.1663342533534406E-3</v>
      </c>
      <c r="CU25" s="95">
        <v>25</v>
      </c>
      <c r="CV25" s="1190"/>
      <c r="CW25" s="1185" t="s">
        <v>1305</v>
      </c>
      <c r="CX25" s="1186"/>
      <c r="CY25" s="1186"/>
      <c r="CZ25" s="1186"/>
      <c r="DA25" s="1187"/>
      <c r="DB25" s="249">
        <f>+VLOOKUP(CV13,'Cost x Depart'!$A$2:$AL$72,CU25,0)</f>
        <v>9536488.5761187654</v>
      </c>
      <c r="DC25" s="113"/>
      <c r="DG25" s="929">
        <f>+IF(DB25=0,0,DB25/DB$72)</f>
        <v>2.5638312259298742E-2</v>
      </c>
      <c r="DI25" s="95">
        <v>25</v>
      </c>
      <c r="DJ25" s="1190"/>
      <c r="DK25" s="1185" t="s">
        <v>1305</v>
      </c>
      <c r="DL25" s="1186"/>
      <c r="DM25" s="1186"/>
      <c r="DN25" s="1186"/>
      <c r="DO25" s="1187"/>
      <c r="DP25" s="249">
        <f>+VLOOKUP(DJ13,'Cost x Depart'!$A$2:$AL$72,DI25,0)</f>
        <v>814608.60898937192</v>
      </c>
      <c r="DQ25" s="113"/>
      <c r="DU25" s="929">
        <f>+IF(DP25=0,0,DP25/DP$72)</f>
        <v>2.8023795763032492E-2</v>
      </c>
      <c r="DW25" s="95">
        <v>25</v>
      </c>
      <c r="DX25" s="1190"/>
      <c r="DY25" s="1185" t="s">
        <v>1305</v>
      </c>
      <c r="DZ25" s="1186"/>
      <c r="EA25" s="1186"/>
      <c r="EB25" s="1186"/>
      <c r="EC25" s="1187"/>
      <c r="ED25" s="249">
        <f>+VLOOKUP(DX13,'Cost x Depart'!$A$2:$AL$72,DW25,0)</f>
        <v>2558036.8666717256</v>
      </c>
      <c r="EE25" s="113"/>
      <c r="EI25" s="929">
        <f>+IF(ED25=0,0,ED25/ED$72)</f>
        <v>1.8696719064643964E-2</v>
      </c>
      <c r="EK25" s="95">
        <v>25</v>
      </c>
      <c r="EL25" s="1190"/>
      <c r="EM25" s="1185" t="s">
        <v>1305</v>
      </c>
      <c r="EN25" s="1186"/>
      <c r="EO25" s="1186"/>
      <c r="EP25" s="1186"/>
      <c r="EQ25" s="1187"/>
      <c r="ER25" s="249">
        <f>+VLOOKUP(EL13,'Cost x Depart'!$A$2:$AL$72,EK25,0)</f>
        <v>2198584.7208165955</v>
      </c>
      <c r="ES25" s="929">
        <f>+IF(EN25=0,0,EN25/EN$72)</f>
        <v>0</v>
      </c>
      <c r="EW25" s="929">
        <f>+IF(ER25=0,0,ER25/ER$72)</f>
        <v>9.446788966493631E-3</v>
      </c>
      <c r="EY25" s="95">
        <v>25</v>
      </c>
      <c r="EZ25" s="1190"/>
      <c r="FA25" s="1185" t="s">
        <v>1305</v>
      </c>
      <c r="FB25" s="1186"/>
      <c r="FC25" s="1186"/>
      <c r="FD25" s="1186"/>
      <c r="FE25" s="1187"/>
      <c r="FF25" s="249">
        <f>+VLOOKUP(EZ13,'Cost x Depart'!$A$2:$AL$72,EY25,0)</f>
        <v>0</v>
      </c>
      <c r="FG25" s="113"/>
      <c r="FK25" s="929">
        <f>+IF(FF25=0,0,FF25/FF$72)</f>
        <v>0</v>
      </c>
      <c r="FM25" s="95">
        <v>25</v>
      </c>
      <c r="FN25" s="1190"/>
      <c r="FO25" s="1185" t="s">
        <v>1305</v>
      </c>
      <c r="FP25" s="1186"/>
      <c r="FQ25" s="1186"/>
      <c r="FR25" s="1186"/>
      <c r="FS25" s="1187"/>
      <c r="FT25" s="249">
        <f>+VLOOKUP(FN13,'Cost x Depart'!$A$2:$AL$72,FM25,0)</f>
        <v>28077733.452986464</v>
      </c>
      <c r="FU25" s="113"/>
      <c r="FY25" s="929">
        <f>+IF(FT25=0,0,FT25/FT$72)</f>
        <v>8.8533397091125079E-2</v>
      </c>
      <c r="GA25" s="95">
        <v>25</v>
      </c>
      <c r="GB25" s="1190"/>
      <c r="GC25" s="1185" t="s">
        <v>1305</v>
      </c>
      <c r="GD25" s="1186"/>
      <c r="GE25" s="1186"/>
      <c r="GF25" s="1186"/>
      <c r="GG25" s="1187"/>
      <c r="GH25" s="249">
        <f>+VLOOKUP(GB13,'Cost x Depart'!$A$2:$AL$72,GA25,0)</f>
        <v>688510.32145132835</v>
      </c>
      <c r="GI25" s="113"/>
      <c r="GM25" s="929">
        <f>+IF(GH25=0,0,GH25/GH$72)</f>
        <v>4.5635978573107605E-3</v>
      </c>
      <c r="GO25" s="95">
        <v>25</v>
      </c>
      <c r="GP25" s="1190"/>
      <c r="GQ25" s="1185" t="s">
        <v>1305</v>
      </c>
      <c r="GR25" s="1186"/>
      <c r="GS25" s="1186"/>
      <c r="GT25" s="1186"/>
      <c r="GU25" s="1187"/>
      <c r="GV25" s="249">
        <f>+VLOOKUP(GP13,'Cost x Depart'!$A$2:$AL$72,GO25,0)</f>
        <v>0</v>
      </c>
      <c r="GW25" s="113"/>
      <c r="HA25" s="929">
        <f>+IF(GV25=0,0,GV25/GV$72)</f>
        <v>0</v>
      </c>
      <c r="HC25" s="95">
        <v>25</v>
      </c>
      <c r="HD25" s="1190"/>
      <c r="HE25" s="1185" t="s">
        <v>1305</v>
      </c>
      <c r="HF25" s="1186"/>
      <c r="HG25" s="1186"/>
      <c r="HH25" s="1186"/>
      <c r="HI25" s="1187"/>
      <c r="HJ25" s="249">
        <f>+VLOOKUP(HD13,'Cost x Depart'!$A$2:$AL$72,HC25,0)</f>
        <v>732861.57360553183</v>
      </c>
      <c r="HK25" s="113"/>
      <c r="HO25" s="929">
        <f>+IF(HJ25=0,0,HJ25/HJ$72)</f>
        <v>9.4467889664936345E-3</v>
      </c>
      <c r="HQ25" s="95">
        <v>25</v>
      </c>
      <c r="HR25" s="1190"/>
      <c r="HS25" s="1185" t="s">
        <v>1305</v>
      </c>
      <c r="HT25" s="1186"/>
      <c r="HU25" s="1186"/>
      <c r="HV25" s="1186"/>
      <c r="HW25" s="1187"/>
      <c r="HX25" s="249">
        <f>+VLOOKUP(HR13,'Cost x Depart'!$A$2:$AL$72,HQ25,0)</f>
        <v>4700510.5336265638</v>
      </c>
      <c r="HY25" s="929">
        <f t="shared" si="253"/>
        <v>0</v>
      </c>
      <c r="IC25" s="929">
        <f>+IF(HX25=0,0,HX25/HX$72)</f>
        <v>1.5891851874640133E-2</v>
      </c>
      <c r="IE25" s="95">
        <v>25</v>
      </c>
      <c r="IF25" s="1190"/>
      <c r="IG25" s="1185"/>
      <c r="IH25" s="1186"/>
      <c r="II25" s="1186"/>
      <c r="IJ25" s="1186"/>
      <c r="IK25" s="1187"/>
      <c r="IL25" s="249"/>
      <c r="IM25" s="113"/>
      <c r="IQ25" s="929"/>
      <c r="IS25" s="95">
        <v>25</v>
      </c>
      <c r="IT25" s="1190"/>
      <c r="IU25" s="1185"/>
      <c r="IV25" s="1186"/>
      <c r="IW25" s="1186"/>
      <c r="IX25" s="1186"/>
      <c r="IY25" s="1187"/>
      <c r="IZ25" s="249"/>
      <c r="JA25" s="113"/>
      <c r="JE25" s="929"/>
      <c r="JG25" s="95">
        <v>25</v>
      </c>
      <c r="JH25" s="1190"/>
      <c r="JI25" s="1185" t="s">
        <v>1305</v>
      </c>
      <c r="JJ25" s="1186"/>
      <c r="JK25" s="1186"/>
      <c r="JL25" s="1186"/>
      <c r="JM25" s="1187"/>
      <c r="JN25" s="249">
        <f>+VLOOKUP(JH13,'Cost x Depart'!$A$2:$AL$72,JG25,0)</f>
        <v>10892704.60430924</v>
      </c>
      <c r="JO25" s="113"/>
      <c r="JS25" s="929">
        <f>+IF(JN25=0,0,JN25/JN$72)</f>
        <v>2.5416800512108734E-2</v>
      </c>
      <c r="JU25" s="95">
        <v>25</v>
      </c>
      <c r="JV25" s="1190"/>
      <c r="JW25" s="1185" t="s">
        <v>1305</v>
      </c>
      <c r="JX25" s="1186"/>
      <c r="JY25" s="1186"/>
      <c r="JZ25" s="1186"/>
      <c r="KA25" s="1187"/>
      <c r="KB25" s="249">
        <f>+VLOOKUP(JV13,'Cost x Depart'!$A$2:$AL$72,JU25,0)</f>
        <v>3055891.6443145764</v>
      </c>
      <c r="KC25" s="113"/>
      <c r="KG25" s="929">
        <f>+IF(KB25=0,0,KB25/KB$72)</f>
        <v>1.7328967036312055E-2</v>
      </c>
      <c r="KI25" s="95">
        <v>25</v>
      </c>
      <c r="KJ25" s="1190"/>
      <c r="KK25" s="1185" t="s">
        <v>1305</v>
      </c>
      <c r="KL25" s="1186"/>
      <c r="KM25" s="1186"/>
      <c r="KN25" s="1186"/>
      <c r="KO25" s="1187"/>
      <c r="KP25" s="249">
        <f>+VLOOKUP(KJ13,'Cost x Depart'!$A$2:$AL$72,KI25,0)</f>
        <v>0</v>
      </c>
      <c r="KQ25" s="113"/>
      <c r="KU25" s="929">
        <f>+IF(KP25=0,0,KP25/KP$72)</f>
        <v>0</v>
      </c>
      <c r="KW25" s="95">
        <v>25</v>
      </c>
      <c r="KX25" s="1190"/>
      <c r="KY25" s="1185" t="s">
        <v>1305</v>
      </c>
      <c r="KZ25" s="1186"/>
      <c r="LA25" s="1186"/>
      <c r="LB25" s="1186"/>
      <c r="LC25" s="1187"/>
      <c r="LD25" s="249">
        <f>+VLOOKUP(KX13,'Cost x Depart'!$A$2:$AL$72,KW25,0)</f>
        <v>0</v>
      </c>
      <c r="LE25" s="113"/>
      <c r="LI25" s="929">
        <f>+IF(LD25=0,0,LD25/LD$72)</f>
        <v>0</v>
      </c>
      <c r="LK25" s="95">
        <v>25</v>
      </c>
      <c r="LL25" s="1190"/>
      <c r="LM25" s="1185" t="s">
        <v>1305</v>
      </c>
      <c r="LN25" s="1186"/>
      <c r="LO25" s="1186"/>
      <c r="LP25" s="1186"/>
      <c r="LQ25" s="1187"/>
      <c r="LR25" s="249">
        <f>+VLOOKUP(LL13,'Cost x Depart'!$A$2:$AL$72,LK25,0)</f>
        <v>0</v>
      </c>
      <c r="LS25" s="113"/>
      <c r="LW25" s="929">
        <f>+IF(LR25=0,0,LR25/LR$72)</f>
        <v>0</v>
      </c>
      <c r="LY25" s="95">
        <v>25</v>
      </c>
      <c r="LZ25" s="1190"/>
      <c r="MA25" s="1185" t="s">
        <v>1305</v>
      </c>
      <c r="MB25" s="1186"/>
      <c r="MC25" s="1186"/>
      <c r="MD25" s="1186"/>
      <c r="ME25" s="1187"/>
      <c r="MF25" s="249">
        <f>+VLOOKUP(LZ13,'Cost x Depart'!$A$2:$AL$72,LY25,0)</f>
        <v>2302233.1800045534</v>
      </c>
      <c r="MG25" s="113"/>
      <c r="MK25" s="929">
        <f>+IF(MF25=0,0,MF25/MF$72)</f>
        <v>1.8696719064643968E-2</v>
      </c>
      <c r="MM25" s="95">
        <v>25</v>
      </c>
      <c r="MN25" s="1190"/>
      <c r="MO25" s="1185" t="s">
        <v>1305</v>
      </c>
      <c r="MP25" s="1186"/>
      <c r="MQ25" s="1186"/>
      <c r="MR25" s="1186"/>
      <c r="MS25" s="1187"/>
      <c r="MT25" s="249">
        <f>+VLOOKUP(MN13,'Cost x Depart'!$A$2:$AL$72,MM25,0)</f>
        <v>2391816.2211895846</v>
      </c>
      <c r="MU25" s="113"/>
      <c r="MY25" s="929">
        <f>+IF(MT25=0,0,MT25/MT$72)</f>
        <v>1.4914660379771546E-2</v>
      </c>
      <c r="NA25" s="95">
        <v>25</v>
      </c>
      <c r="NB25" s="1190"/>
      <c r="NC25" s="1185" t="s">
        <v>1305</v>
      </c>
      <c r="ND25" s="1186"/>
      <c r="NE25" s="1186"/>
      <c r="NF25" s="1186"/>
      <c r="NG25" s="1187"/>
      <c r="NH25" s="249">
        <f>+VLOOKUP(NB13,'Cost x Depart'!$A$2:$AL$72,NA25,0)</f>
        <v>1196985.6096675042</v>
      </c>
      <c r="NI25" s="113"/>
      <c r="NM25" s="929">
        <f>+IF(NH25=0,0,NH25/NH$72)</f>
        <v>6.719798071545921E-3</v>
      </c>
      <c r="NO25" s="95">
        <v>25</v>
      </c>
      <c r="NP25" s="1190"/>
      <c r="NQ25" s="1185" t="s">
        <v>1305</v>
      </c>
      <c r="NR25" s="1186"/>
      <c r="NS25" s="1186"/>
      <c r="NT25" s="1186"/>
      <c r="NU25" s="1187"/>
      <c r="NV25" s="249">
        <f>+VLOOKUP(NP13,'Cost x Depart'!$A$2:$AL$72,NO25,0)</f>
        <v>39086135.968479589</v>
      </c>
      <c r="NW25" s="113"/>
      <c r="OA25" s="929">
        <f>+IF(NV25=0,0,NV25/NV$72)</f>
        <v>9.3999141877336434E-2</v>
      </c>
      <c r="OC25" s="95">
        <v>25</v>
      </c>
      <c r="OD25" s="1190"/>
      <c r="OE25" s="1185" t="s">
        <v>1305</v>
      </c>
      <c r="OF25" s="1186"/>
      <c r="OG25" s="1186"/>
      <c r="OH25" s="1186"/>
      <c r="OI25" s="1187"/>
      <c r="OJ25" s="249">
        <f>+VLOOKUP(OD13,'Cost x Depart'!$A$2:$AL$72,OC25,0)</f>
        <v>4769899.1567068994</v>
      </c>
      <c r="OK25" s="113"/>
      <c r="OO25" s="929">
        <f>+IF(OJ25=0,0,OJ25/OJ$72)</f>
        <v>6.29196075238969E-2</v>
      </c>
      <c r="OQ25" s="95">
        <v>25</v>
      </c>
      <c r="OR25" s="1190"/>
      <c r="OS25" s="1185" t="s">
        <v>1305</v>
      </c>
      <c r="OT25" s="1186"/>
      <c r="OU25" s="1186"/>
      <c r="OV25" s="1186"/>
      <c r="OW25" s="1187"/>
      <c r="OX25" s="249">
        <f>+VLOOKUP(OR13,'Cost x Depart'!$A$2:$AL$72,OQ25,0)</f>
        <v>9882327.1584208142</v>
      </c>
      <c r="OY25" s="113"/>
      <c r="PC25" s="929">
        <f>+IF(OX25=0,0,OX25/OX$72)</f>
        <v>3.2891274205535198E-2</v>
      </c>
      <c r="PE25" s="95">
        <v>25</v>
      </c>
      <c r="PF25" s="1190"/>
      <c r="PG25" s="1185" t="s">
        <v>1305</v>
      </c>
      <c r="PH25" s="1186"/>
      <c r="PI25" s="1186"/>
      <c r="PJ25" s="1186"/>
      <c r="PK25" s="1187"/>
      <c r="PL25" s="249">
        <f>+VLOOKUP(PF13,'Cost x Depart'!$A$2:$AL$72,PE25,0)</f>
        <v>0</v>
      </c>
      <c r="PM25" s="113"/>
      <c r="PQ25" s="929">
        <f>+IF(PL25=0,0,PL25/PL$72)</f>
        <v>0</v>
      </c>
      <c r="PS25" s="95">
        <v>25</v>
      </c>
      <c r="PT25" s="1190"/>
      <c r="PU25" s="1185" t="s">
        <v>1305</v>
      </c>
      <c r="PV25" s="1186"/>
      <c r="PW25" s="1186"/>
      <c r="PX25" s="1186"/>
      <c r="PY25" s="1187"/>
      <c r="PZ25" s="249">
        <f>+VLOOKUP(PT13,'Cost x Depart'!$A$2:$AL$72,PS25,0)</f>
        <v>0</v>
      </c>
      <c r="QA25" s="113"/>
      <c r="QE25" s="929">
        <f>+IF(PZ25=0,0,PZ25/PZ$72)</f>
        <v>0</v>
      </c>
      <c r="QG25" s="95">
        <v>25</v>
      </c>
      <c r="QH25" s="1190"/>
      <c r="QI25" s="1185" t="s">
        <v>1305</v>
      </c>
      <c r="QJ25" s="1186"/>
      <c r="QK25" s="1186"/>
      <c r="QL25" s="1186"/>
      <c r="QM25" s="1187"/>
      <c r="QN25" s="249">
        <f>+VLOOKUP(QH13,'Cost x Depart'!$A$2:$AL$72,QG25,0)</f>
        <v>0</v>
      </c>
      <c r="QO25" s="113"/>
      <c r="QS25" s="929">
        <f>+IF(QN25=0,0,QN25/QN$72)</f>
        <v>0</v>
      </c>
      <c r="QU25" s="95">
        <v>25</v>
      </c>
      <c r="QV25" s="1190"/>
      <c r="QW25" s="1185" t="s">
        <v>1305</v>
      </c>
      <c r="QX25" s="1186"/>
      <c r="QY25" s="1186"/>
      <c r="QZ25" s="1186"/>
      <c r="RA25" s="1187"/>
      <c r="RB25" s="249">
        <f>+VLOOKUP(QV13,'Cost x Depart'!$A$2:$AL$72,QU25,0)</f>
        <v>29314601.976359691</v>
      </c>
      <c r="RC25" s="113"/>
      <c r="RG25" s="929">
        <f>+IF(RB25=0,0,RB25/RB$72)</f>
        <v>9.3999141877336434E-2</v>
      </c>
      <c r="RI25" s="95">
        <v>25</v>
      </c>
      <c r="RJ25" s="1190"/>
      <c r="RK25" s="1185" t="s">
        <v>1305</v>
      </c>
      <c r="RL25" s="1186"/>
      <c r="RM25" s="1186"/>
      <c r="RN25" s="1186"/>
      <c r="RO25" s="1187"/>
      <c r="RP25" s="249">
        <f>+VLOOKUP(RJ13,'Cost x Depart'!$A$2:$AL$72,RI25,0)</f>
        <v>6152905.9055690663</v>
      </c>
      <c r="RQ25" s="113"/>
      <c r="RU25" s="929">
        <f>+IF(RP25=0,0,RP25/RP$72)</f>
        <v>0.10409799440480737</v>
      </c>
      <c r="RW25" s="95">
        <v>25</v>
      </c>
      <c r="RX25" s="1190"/>
      <c r="RY25" s="1185" t="s">
        <v>1305</v>
      </c>
      <c r="RZ25" s="1186"/>
      <c r="SA25" s="1186"/>
      <c r="SB25" s="1186"/>
      <c r="SC25" s="1187"/>
      <c r="SD25" s="249">
        <f>+VLOOKUP(RX13,'Cost x Depart'!$A$2:$AL$72,RW25,0)</f>
        <v>17100184.486209821</v>
      </c>
      <c r="SE25" s="113"/>
      <c r="SI25" s="929">
        <f>+IF(SD25=0,0,SD25/SD$72)</f>
        <v>9.3999141877336406E-2</v>
      </c>
      <c r="SK25" s="95">
        <v>25</v>
      </c>
      <c r="SL25" s="1190"/>
      <c r="SM25" s="1185" t="s">
        <v>1305</v>
      </c>
      <c r="SN25" s="1186"/>
      <c r="SO25" s="1186"/>
      <c r="SP25" s="1186"/>
      <c r="SQ25" s="1187"/>
      <c r="SR25" s="249">
        <f>+VLOOKUP(SL13,'Cost x Depart'!$A$2:$AL$72,SK25,0)</f>
        <v>0</v>
      </c>
      <c r="SS25" s="113"/>
      <c r="SW25" s="929">
        <f>+IF(SR25=0,0,SR25/SR$72)</f>
        <v>0</v>
      </c>
      <c r="SY25" s="95">
        <v>21</v>
      </c>
      <c r="SZ25" s="1190"/>
      <c r="TA25" s="1185" t="s">
        <v>1305</v>
      </c>
      <c r="TB25" s="1186"/>
      <c r="TC25" s="1186"/>
      <c r="TD25" s="1186"/>
      <c r="TE25" s="1187"/>
      <c r="TF25" s="249">
        <f t="shared" si="273"/>
        <v>182349308.14314565</v>
      </c>
      <c r="TG25" s="113"/>
      <c r="TK25" s="929">
        <f>+IF(TF25=0,0,TF25/TF$72)</f>
        <v>3.880710667681974E-2</v>
      </c>
      <c r="TM25" s="938"/>
      <c r="TN25" s="725"/>
    </row>
    <row r="26" spans="1:534" ht="18" customHeight="1" thickBot="1">
      <c r="B26" s="676" t="s">
        <v>1544</v>
      </c>
      <c r="C26" s="117"/>
      <c r="D26" s="117"/>
      <c r="E26" s="117"/>
      <c r="F26" s="117"/>
      <c r="G26" s="117"/>
      <c r="H26" s="233">
        <f>+H24+H25</f>
        <v>8008406.0621285765</v>
      </c>
      <c r="I26" s="119"/>
      <c r="M26" s="930">
        <f>SUM(M24:M25)</f>
        <v>4.3494706210640485E-2</v>
      </c>
      <c r="P26" s="676"/>
      <c r="Q26" s="117"/>
      <c r="R26" s="117"/>
      <c r="S26" s="117"/>
      <c r="T26" s="117"/>
      <c r="U26" s="117"/>
      <c r="V26" s="233"/>
      <c r="W26" s="119"/>
      <c r="AA26" s="930"/>
      <c r="AD26" s="676"/>
      <c r="AE26" s="117"/>
      <c r="AF26" s="117"/>
      <c r="AG26" s="117"/>
      <c r="AH26" s="117"/>
      <c r="AI26" s="117"/>
      <c r="AJ26" s="233"/>
      <c r="AK26" s="119"/>
      <c r="AO26" s="930"/>
      <c r="AR26" s="676" t="s">
        <v>1544</v>
      </c>
      <c r="AS26" s="117"/>
      <c r="AT26" s="117"/>
      <c r="AU26" s="117"/>
      <c r="AV26" s="117"/>
      <c r="AW26" s="117"/>
      <c r="AX26" s="233">
        <f t="shared" ref="AX26" si="274">+AX24+AX25</f>
        <v>0</v>
      </c>
      <c r="AY26" s="119"/>
      <c r="BC26" s="930">
        <f>SUM(BC24:BC25)</f>
        <v>0</v>
      </c>
      <c r="BF26" s="676" t="s">
        <v>1544</v>
      </c>
      <c r="BG26" s="117"/>
      <c r="BH26" s="117"/>
      <c r="BI26" s="117"/>
      <c r="BJ26" s="117"/>
      <c r="BK26" s="117"/>
      <c r="BL26" s="233">
        <f t="shared" ref="BL26" si="275">+BL24+BL25</f>
        <v>13489892.208165955</v>
      </c>
      <c r="BM26" s="119"/>
      <c r="BQ26" s="930">
        <f>SUM(BQ24:BQ25)</f>
        <v>2.898140873642531E-2</v>
      </c>
      <c r="BT26" s="676" t="s">
        <v>1544</v>
      </c>
      <c r="BU26" s="117"/>
      <c r="BV26" s="117"/>
      <c r="BW26" s="117"/>
      <c r="BX26" s="117"/>
      <c r="BY26" s="117"/>
      <c r="BZ26" s="233">
        <f t="shared" ref="BZ26:ED26" si="276">+BZ24+BZ25</f>
        <v>0</v>
      </c>
      <c r="CA26" s="119"/>
      <c r="CE26" s="930">
        <f>SUM(CE24:CE25)</f>
        <v>0</v>
      </c>
      <c r="CH26" s="676" t="s">
        <v>1544</v>
      </c>
      <c r="CI26" s="117"/>
      <c r="CJ26" s="117"/>
      <c r="CK26" s="117"/>
      <c r="CL26" s="117"/>
      <c r="CM26" s="117"/>
      <c r="CN26" s="233">
        <f t="shared" si="276"/>
        <v>711204.61794525094</v>
      </c>
      <c r="CO26" s="119"/>
      <c r="CS26" s="930">
        <f>SUM(CS24:CS25)</f>
        <v>2.7548713578774857E-2</v>
      </c>
      <c r="CV26" s="676" t="s">
        <v>1544</v>
      </c>
      <c r="CW26" s="117"/>
      <c r="CX26" s="117"/>
      <c r="CY26" s="117"/>
      <c r="CZ26" s="117"/>
      <c r="DA26" s="117"/>
      <c r="DB26" s="233">
        <f t="shared" si="276"/>
        <v>41546475.380593829</v>
      </c>
      <c r="DC26" s="119"/>
      <c r="DG26" s="930">
        <f>SUM(DG24:DG25)</f>
        <v>0.11169535836789604</v>
      </c>
      <c r="DJ26" s="676" t="s">
        <v>1544</v>
      </c>
      <c r="DK26" s="117"/>
      <c r="DL26" s="117"/>
      <c r="DM26" s="117"/>
      <c r="DN26" s="117"/>
      <c r="DO26" s="117"/>
      <c r="DP26" s="233">
        <f t="shared" si="276"/>
        <v>3601045.5449468596</v>
      </c>
      <c r="DQ26" s="119"/>
      <c r="DU26" s="930">
        <f>SUM(DU24:DU25)</f>
        <v>0.12388153497440567</v>
      </c>
      <c r="DX26" s="676" t="s">
        <v>1544</v>
      </c>
      <c r="DY26" s="117"/>
      <c r="DZ26" s="117"/>
      <c r="EA26" s="117"/>
      <c r="EB26" s="117"/>
      <c r="EC26" s="117"/>
      <c r="ED26" s="233">
        <f t="shared" si="276"/>
        <v>10430196.833358629</v>
      </c>
      <c r="EE26" s="119"/>
      <c r="EI26" s="930">
        <f>SUM(EI24:EI25)</f>
        <v>7.6234421216913276E-2</v>
      </c>
      <c r="EL26" s="676" t="s">
        <v>1544</v>
      </c>
      <c r="EM26" s="117"/>
      <c r="EN26" s="117"/>
      <c r="EO26" s="117"/>
      <c r="EP26" s="117"/>
      <c r="EQ26" s="117"/>
      <c r="ER26" s="233">
        <f t="shared" ref="ER26:GV26" si="277">+ER24+ER25</f>
        <v>6744946.1040829774</v>
      </c>
      <c r="ES26" s="930">
        <f>SUM(ES24:ES25)</f>
        <v>0</v>
      </c>
      <c r="EW26" s="930">
        <f>SUM(EW24:EW25)</f>
        <v>2.898140873642531E-2</v>
      </c>
      <c r="EZ26" s="676" t="s">
        <v>1544</v>
      </c>
      <c r="FA26" s="117"/>
      <c r="FB26" s="117"/>
      <c r="FC26" s="117"/>
      <c r="FD26" s="117"/>
      <c r="FE26" s="117"/>
      <c r="FF26" s="233">
        <f t="shared" si="277"/>
        <v>0</v>
      </c>
      <c r="FG26" s="119"/>
      <c r="FK26" s="930">
        <f>SUM(FK24:FK25)</f>
        <v>0</v>
      </c>
      <c r="FN26" s="676" t="s">
        <v>1544</v>
      </c>
      <c r="FO26" s="117"/>
      <c r="FP26" s="117"/>
      <c r="FQ26" s="117"/>
      <c r="FR26" s="117"/>
      <c r="FS26" s="117"/>
      <c r="FT26" s="233">
        <f t="shared" si="277"/>
        <v>137320683.51493233</v>
      </c>
      <c r="FU26" s="119"/>
      <c r="FY26" s="930">
        <f>SUM(FY24:FY25)</f>
        <v>0.43299316245767328</v>
      </c>
      <c r="GB26" s="676" t="s">
        <v>1544</v>
      </c>
      <c r="GC26" s="117"/>
      <c r="GD26" s="117"/>
      <c r="GE26" s="117"/>
      <c r="GF26" s="117"/>
      <c r="GG26" s="117"/>
      <c r="GH26" s="233">
        <f t="shared" si="277"/>
        <v>688510.32145132835</v>
      </c>
      <c r="GI26" s="119"/>
      <c r="GM26" s="930">
        <f>SUM(GM24:GM25)</f>
        <v>4.5635978573107605E-3</v>
      </c>
      <c r="GP26" s="676" t="s">
        <v>1544</v>
      </c>
      <c r="GQ26" s="117"/>
      <c r="GR26" s="117"/>
      <c r="GS26" s="117"/>
      <c r="GT26" s="117"/>
      <c r="GU26" s="117"/>
      <c r="GV26" s="233">
        <f t="shared" si="277"/>
        <v>0</v>
      </c>
      <c r="GW26" s="119"/>
      <c r="HA26" s="930">
        <f>SUM(HA24:HA25)</f>
        <v>0</v>
      </c>
      <c r="HD26" s="676" t="s">
        <v>1544</v>
      </c>
      <c r="HE26" s="117"/>
      <c r="HF26" s="117"/>
      <c r="HG26" s="117"/>
      <c r="HH26" s="117"/>
      <c r="HI26" s="117"/>
      <c r="HJ26" s="233">
        <f t="shared" ref="HJ26:KB26" si="278">+HJ24+HJ25</f>
        <v>2248315.3680276591</v>
      </c>
      <c r="HK26" s="119"/>
      <c r="HO26" s="930">
        <f>SUM(HO24:HO25)</f>
        <v>2.8981408736425317E-2</v>
      </c>
      <c r="HR26" s="676" t="s">
        <v>1544</v>
      </c>
      <c r="HS26" s="117"/>
      <c r="HT26" s="117"/>
      <c r="HU26" s="117"/>
      <c r="HV26" s="117"/>
      <c r="HW26" s="117"/>
      <c r="HX26" s="233">
        <f t="shared" si="278"/>
        <v>18310580.168132819</v>
      </c>
      <c r="HY26" s="930">
        <f>SUM(HY24:HY25)</f>
        <v>0</v>
      </c>
      <c r="IC26" s="930">
        <f>SUM(IC24:IC25)</f>
        <v>6.190583462987892E-2</v>
      </c>
      <c r="IF26" s="676"/>
      <c r="IG26" s="117"/>
      <c r="IH26" s="117"/>
      <c r="II26" s="117"/>
      <c r="IJ26" s="117"/>
      <c r="IK26" s="117"/>
      <c r="IL26" s="233"/>
      <c r="IM26" s="119"/>
      <c r="IQ26" s="930"/>
      <c r="IT26" s="676"/>
      <c r="IU26" s="117"/>
      <c r="IV26" s="117"/>
      <c r="IW26" s="117"/>
      <c r="IX26" s="117"/>
      <c r="IY26" s="117"/>
      <c r="IZ26" s="233"/>
      <c r="JA26" s="119"/>
      <c r="JE26" s="930"/>
      <c r="JH26" s="676" t="s">
        <v>1544</v>
      </c>
      <c r="JI26" s="117"/>
      <c r="JJ26" s="117"/>
      <c r="JK26" s="117"/>
      <c r="JL26" s="117"/>
      <c r="JM26" s="117"/>
      <c r="JN26" s="233">
        <f t="shared" ref="JN26" si="279">+JN24+JN25</f>
        <v>47383560.5215462</v>
      </c>
      <c r="JO26" s="119"/>
      <c r="JS26" s="930">
        <f>SUM(JS24:JS25)</f>
        <v>0.11056377172416158</v>
      </c>
      <c r="JV26" s="676" t="s">
        <v>1544</v>
      </c>
      <c r="JW26" s="117"/>
      <c r="JX26" s="117"/>
      <c r="JY26" s="117"/>
      <c r="JZ26" s="117"/>
      <c r="KA26" s="117"/>
      <c r="KB26" s="233">
        <f t="shared" si="278"/>
        <v>12211474.471572882</v>
      </c>
      <c r="KC26" s="119"/>
      <c r="KG26" s="930">
        <f>SUM(KG24:KG25)</f>
        <v>6.924729774903926E-2</v>
      </c>
      <c r="KJ26" s="676" t="s">
        <v>1544</v>
      </c>
      <c r="KK26" s="117"/>
      <c r="KL26" s="117"/>
      <c r="KM26" s="117"/>
      <c r="KN26" s="117"/>
      <c r="KO26" s="117"/>
      <c r="KP26" s="233">
        <f t="shared" ref="KP26:MT26" si="280">+KP24+KP25</f>
        <v>0</v>
      </c>
      <c r="KQ26" s="119"/>
      <c r="KU26" s="930">
        <f>SUM(KU24:KU25)</f>
        <v>0</v>
      </c>
      <c r="KX26" s="676" t="s">
        <v>1544</v>
      </c>
      <c r="KY26" s="117"/>
      <c r="KZ26" s="117"/>
      <c r="LA26" s="117"/>
      <c r="LB26" s="117"/>
      <c r="LC26" s="117"/>
      <c r="LD26" s="233">
        <f t="shared" si="280"/>
        <v>0</v>
      </c>
      <c r="LE26" s="119"/>
      <c r="LI26" s="930">
        <f>SUM(LI24:LI25)</f>
        <v>0</v>
      </c>
      <c r="LL26" s="676" t="s">
        <v>1544</v>
      </c>
      <c r="LM26" s="117"/>
      <c r="LN26" s="117"/>
      <c r="LO26" s="117"/>
      <c r="LP26" s="117"/>
      <c r="LQ26" s="117"/>
      <c r="LR26" s="233">
        <f t="shared" si="280"/>
        <v>0</v>
      </c>
      <c r="LS26" s="119"/>
      <c r="LW26" s="930">
        <f>SUM(LW24:LW25)</f>
        <v>0</v>
      </c>
      <c r="LZ26" s="676" t="s">
        <v>1544</v>
      </c>
      <c r="MA26" s="117"/>
      <c r="MB26" s="117"/>
      <c r="MC26" s="117"/>
      <c r="MD26" s="117"/>
      <c r="ME26" s="117"/>
      <c r="MF26" s="233">
        <f t="shared" si="280"/>
        <v>9387177.1500227675</v>
      </c>
      <c r="MG26" s="119"/>
      <c r="MK26" s="930">
        <f>SUM(MK24:MK25)</f>
        <v>7.6234421216913303E-2</v>
      </c>
      <c r="MN26" s="676" t="s">
        <v>1544</v>
      </c>
      <c r="MO26" s="117"/>
      <c r="MP26" s="117"/>
      <c r="MQ26" s="117"/>
      <c r="MR26" s="117"/>
      <c r="MS26" s="117"/>
      <c r="MT26" s="233">
        <f t="shared" si="280"/>
        <v>9127096.1059479229</v>
      </c>
      <c r="MU26" s="119"/>
      <c r="MY26" s="930">
        <f>SUM(MY24:MY25)</f>
        <v>5.691387886233365E-2</v>
      </c>
      <c r="NB26" s="676" t="s">
        <v>1544</v>
      </c>
      <c r="NC26" s="117"/>
      <c r="ND26" s="117"/>
      <c r="NE26" s="117"/>
      <c r="NF26" s="117"/>
      <c r="NG26" s="117"/>
      <c r="NH26" s="233">
        <f t="shared" ref="NH26:PL26" si="281">+NH24+NH25</f>
        <v>2680945.548337521</v>
      </c>
      <c r="NI26" s="119"/>
      <c r="NM26" s="930">
        <f>SUM(NM24:NM25)</f>
        <v>1.505065105222307E-2</v>
      </c>
      <c r="NP26" s="676" t="s">
        <v>1544</v>
      </c>
      <c r="NQ26" s="117"/>
      <c r="NR26" s="117"/>
      <c r="NS26" s="117"/>
      <c r="NT26" s="117"/>
      <c r="NU26" s="117"/>
      <c r="NV26" s="233">
        <f t="shared" si="281"/>
        <v>191654699.84239793</v>
      </c>
      <c r="NW26" s="119"/>
      <c r="OA26" s="930">
        <f>SUM(OA24:OA25)</f>
        <v>0.46091476876793641</v>
      </c>
      <c r="OD26" s="676" t="s">
        <v>1544</v>
      </c>
      <c r="OE26" s="117"/>
      <c r="OF26" s="117"/>
      <c r="OG26" s="117"/>
      <c r="OH26" s="117"/>
      <c r="OI26" s="117"/>
      <c r="OJ26" s="233">
        <f t="shared" si="281"/>
        <v>22905500.783534497</v>
      </c>
      <c r="OK26" s="119"/>
      <c r="OO26" s="930">
        <f>SUM(OO24:OO25)</f>
        <v>0.30214582574808568</v>
      </c>
      <c r="OR26" s="676" t="s">
        <v>1544</v>
      </c>
      <c r="OS26" s="117"/>
      <c r="OT26" s="117"/>
      <c r="OU26" s="117"/>
      <c r="OV26" s="117"/>
      <c r="OW26" s="117"/>
      <c r="OX26" s="233">
        <f t="shared" si="281"/>
        <v>44691660.792104073</v>
      </c>
      <c r="OY26" s="119"/>
      <c r="PC26" s="930">
        <f>SUM(PC24:PC25)</f>
        <v>0.14874691418825287</v>
      </c>
      <c r="PF26" s="676" t="s">
        <v>1544</v>
      </c>
      <c r="PG26" s="117"/>
      <c r="PH26" s="117"/>
      <c r="PI26" s="117"/>
      <c r="PJ26" s="117"/>
      <c r="PK26" s="117"/>
      <c r="PL26" s="233">
        <f t="shared" si="281"/>
        <v>0</v>
      </c>
      <c r="PM26" s="119"/>
      <c r="PQ26" s="930">
        <f>SUM(PQ24:PQ25)</f>
        <v>0</v>
      </c>
      <c r="PT26" s="676" t="s">
        <v>1544</v>
      </c>
      <c r="PU26" s="117"/>
      <c r="PV26" s="117"/>
      <c r="PW26" s="117"/>
      <c r="PX26" s="117"/>
      <c r="PY26" s="117"/>
      <c r="PZ26" s="233">
        <f t="shared" ref="PZ26:SD26" si="282">+PZ24+PZ25</f>
        <v>0</v>
      </c>
      <c r="QA26" s="119"/>
      <c r="QE26" s="930">
        <f>SUM(QE24:QE25)</f>
        <v>0</v>
      </c>
      <c r="QH26" s="676" t="s">
        <v>1544</v>
      </c>
      <c r="QI26" s="117"/>
      <c r="QJ26" s="117"/>
      <c r="QK26" s="117"/>
      <c r="QL26" s="117"/>
      <c r="QM26" s="117"/>
      <c r="QN26" s="233">
        <f t="shared" si="282"/>
        <v>0</v>
      </c>
      <c r="QO26" s="119"/>
      <c r="QS26" s="930">
        <f>SUM(QS24:QS25)</f>
        <v>0</v>
      </c>
      <c r="QV26" s="676" t="s">
        <v>1544</v>
      </c>
      <c r="QW26" s="117"/>
      <c r="QX26" s="117"/>
      <c r="QY26" s="117"/>
      <c r="QZ26" s="117"/>
      <c r="RA26" s="117"/>
      <c r="RB26" s="233">
        <f t="shared" si="282"/>
        <v>143741024.88179845</v>
      </c>
      <c r="RC26" s="119"/>
      <c r="RG26" s="930">
        <f>SUM(RG24:RG25)</f>
        <v>0.46091476876793641</v>
      </c>
      <c r="RJ26" s="676" t="s">
        <v>1544</v>
      </c>
      <c r="RK26" s="117"/>
      <c r="RL26" s="117"/>
      <c r="RM26" s="117"/>
      <c r="RN26" s="117"/>
      <c r="RO26" s="117"/>
      <c r="RP26" s="233">
        <f t="shared" si="282"/>
        <v>30292532.027845331</v>
      </c>
      <c r="RQ26" s="119"/>
      <c r="RU26" s="930">
        <f>SUM(RU24:RU25)</f>
        <v>0.51250447803661681</v>
      </c>
      <c r="RX26" s="676" t="s">
        <v>1544</v>
      </c>
      <c r="RY26" s="117"/>
      <c r="RZ26" s="117"/>
      <c r="SA26" s="117"/>
      <c r="SB26" s="117"/>
      <c r="SC26" s="117"/>
      <c r="SD26" s="233">
        <f t="shared" si="282"/>
        <v>83848931.181049109</v>
      </c>
      <c r="SE26" s="119"/>
      <c r="SI26" s="930">
        <f>SUM(SI24:SI25)</f>
        <v>0.46091476876793636</v>
      </c>
      <c r="SL26" s="676" t="s">
        <v>1544</v>
      </c>
      <c r="SM26" s="117"/>
      <c r="SN26" s="117"/>
      <c r="SO26" s="117"/>
      <c r="SP26" s="117"/>
      <c r="SQ26" s="117"/>
      <c r="SR26" s="233">
        <f t="shared" ref="SR26" si="283">+SR24+SR25</f>
        <v>0</v>
      </c>
      <c r="SS26" s="119"/>
      <c r="SW26" s="930">
        <f>SUM(SW24:SW25)</f>
        <v>0</v>
      </c>
      <c r="SZ26" s="676" t="s">
        <v>1544</v>
      </c>
      <c r="TA26" s="117"/>
      <c r="TB26" s="117"/>
      <c r="TC26" s="117"/>
      <c r="TD26" s="117"/>
      <c r="TE26" s="117"/>
      <c r="TF26" s="727">
        <f t="shared" ref="TF26" si="284">+TF24+TF25</f>
        <v>841024859.42992294</v>
      </c>
      <c r="TG26" s="119"/>
      <c r="TK26" s="930">
        <f>SUM(TK24:TK25)</f>
        <v>0.17898472865130621</v>
      </c>
      <c r="TM26" s="941">
        <f>+H26+AX26+BL26+BZ26+CN26+DB26+DP26+ED26+ER26+FF26+FT26+GH26+HJ26+HX26+JN26+KB26+KP26+LD26+LR26+MF26+MT26+NH26+NV26+OJ26+OX26+PL26+PZ26+QN26+RB26+RP26+SD26+SR26-TF26</f>
        <v>0</v>
      </c>
      <c r="TN26" s="726"/>
    </row>
    <row r="27" spans="1:534" ht="8.25" customHeight="1">
      <c r="B27" s="101"/>
      <c r="C27" s="101"/>
      <c r="P27" s="101"/>
      <c r="Q27" s="101"/>
      <c r="AD27" s="101"/>
      <c r="AE27" s="101"/>
      <c r="AR27" s="101"/>
      <c r="AS27" s="101"/>
      <c r="BF27" s="101"/>
      <c r="BG27" s="101"/>
      <c r="BT27" s="101"/>
      <c r="BU27" s="101"/>
      <c r="CH27" s="101"/>
      <c r="CI27" s="101"/>
      <c r="CV27" s="101"/>
      <c r="CW27" s="101"/>
      <c r="DJ27" s="101"/>
      <c r="DK27" s="101"/>
      <c r="DX27" s="101"/>
      <c r="DY27" s="101"/>
      <c r="EL27" s="101"/>
      <c r="EM27" s="101"/>
      <c r="ES27" s="667"/>
      <c r="EZ27" s="101"/>
      <c r="FA27" s="101"/>
      <c r="FN27" s="101"/>
      <c r="FO27" s="101"/>
      <c r="GB27" s="101"/>
      <c r="GC27" s="101"/>
      <c r="GP27" s="101"/>
      <c r="GQ27" s="101"/>
      <c r="HD27" s="101"/>
      <c r="HE27" s="101"/>
      <c r="HR27" s="101"/>
      <c r="HS27" s="101"/>
      <c r="HY27" s="667"/>
      <c r="IF27" s="101"/>
      <c r="IG27" s="101"/>
      <c r="IT27" s="101"/>
      <c r="IU27" s="101"/>
      <c r="JH27" s="101"/>
      <c r="JI27" s="101"/>
      <c r="JV27" s="101"/>
      <c r="JW27" s="101"/>
      <c r="KJ27" s="101"/>
      <c r="KK27" s="101"/>
      <c r="KX27" s="101"/>
      <c r="KY27" s="101"/>
      <c r="LL27" s="101"/>
      <c r="LM27" s="101"/>
      <c r="LZ27" s="101"/>
      <c r="MA27" s="101"/>
      <c r="MN27" s="101"/>
      <c r="MO27" s="101"/>
      <c r="NB27" s="101"/>
      <c r="NC27" s="101"/>
      <c r="NP27" s="101"/>
      <c r="NQ27" s="101"/>
      <c r="OD27" s="101"/>
      <c r="OE27" s="101"/>
      <c r="OR27" s="101"/>
      <c r="OS27" s="101"/>
      <c r="PF27" s="101"/>
      <c r="PG27" s="101"/>
      <c r="PT27" s="101"/>
      <c r="PU27" s="101"/>
      <c r="QH27" s="101"/>
      <c r="QI27" s="101"/>
      <c r="QV27" s="101"/>
      <c r="QW27" s="101"/>
      <c r="RJ27" s="101"/>
      <c r="RK27" s="101"/>
      <c r="RX27" s="101"/>
      <c r="RY27" s="101"/>
      <c r="SL27" s="101"/>
      <c r="SM27" s="101"/>
      <c r="SZ27" s="101"/>
      <c r="TA27" s="101"/>
      <c r="TF27" s="725"/>
      <c r="TM27" s="937"/>
      <c r="TN27" s="725"/>
    </row>
    <row r="28" spans="1:534" ht="6" customHeight="1" thickBot="1">
      <c r="B28" s="101"/>
      <c r="C28" s="101"/>
      <c r="I28" s="111"/>
      <c r="P28" s="101"/>
      <c r="Q28" s="101"/>
      <c r="W28" s="111"/>
      <c r="AD28" s="101"/>
      <c r="AE28" s="101"/>
      <c r="AK28" s="111"/>
      <c r="AR28" s="101"/>
      <c r="AS28" s="101"/>
      <c r="AY28" s="111"/>
      <c r="BF28" s="101"/>
      <c r="BG28" s="101"/>
      <c r="BM28" s="111"/>
      <c r="BT28" s="101"/>
      <c r="BU28" s="101"/>
      <c r="CA28" s="111"/>
      <c r="CH28" s="101"/>
      <c r="CI28" s="101"/>
      <c r="CO28" s="111"/>
      <c r="CV28" s="101"/>
      <c r="CW28" s="101"/>
      <c r="DC28" s="111"/>
      <c r="DJ28" s="101"/>
      <c r="DK28" s="101"/>
      <c r="DQ28" s="111"/>
      <c r="DX28" s="101"/>
      <c r="DY28" s="101"/>
      <c r="EE28" s="111"/>
      <c r="EL28" s="101"/>
      <c r="EM28" s="101"/>
      <c r="ES28" s="667"/>
      <c r="EZ28" s="101"/>
      <c r="FA28" s="101"/>
      <c r="FG28" s="111"/>
      <c r="FN28" s="101"/>
      <c r="FO28" s="101"/>
      <c r="FU28" s="111"/>
      <c r="GB28" s="101"/>
      <c r="GC28" s="101"/>
      <c r="GI28" s="111"/>
      <c r="GP28" s="101"/>
      <c r="GQ28" s="101"/>
      <c r="GW28" s="111"/>
      <c r="HD28" s="101"/>
      <c r="HE28" s="101"/>
      <c r="HK28" s="111"/>
      <c r="HR28" s="101"/>
      <c r="HS28" s="101"/>
      <c r="HY28" s="667"/>
      <c r="IF28" s="101"/>
      <c r="IG28" s="101"/>
      <c r="IM28" s="111"/>
      <c r="IT28" s="101"/>
      <c r="IU28" s="101"/>
      <c r="JA28" s="111"/>
      <c r="JH28" s="101"/>
      <c r="JI28" s="101"/>
      <c r="JO28" s="111"/>
      <c r="JV28" s="101"/>
      <c r="JW28" s="101"/>
      <c r="KC28" s="111"/>
      <c r="KJ28" s="101"/>
      <c r="KK28" s="101"/>
      <c r="KQ28" s="111"/>
      <c r="KX28" s="101"/>
      <c r="KY28" s="101"/>
      <c r="LE28" s="111"/>
      <c r="LL28" s="101"/>
      <c r="LM28" s="101"/>
      <c r="LS28" s="111"/>
      <c r="LZ28" s="101"/>
      <c r="MA28" s="101"/>
      <c r="MG28" s="111"/>
      <c r="MN28" s="101"/>
      <c r="MO28" s="101"/>
      <c r="MU28" s="111"/>
      <c r="NB28" s="101"/>
      <c r="NC28" s="101"/>
      <c r="NI28" s="111"/>
      <c r="NP28" s="101"/>
      <c r="NQ28" s="101"/>
      <c r="NW28" s="111"/>
      <c r="OD28" s="101"/>
      <c r="OE28" s="101"/>
      <c r="OK28" s="111"/>
      <c r="OR28" s="101"/>
      <c r="OS28" s="101"/>
      <c r="OY28" s="111"/>
      <c r="PF28" s="101"/>
      <c r="PG28" s="101"/>
      <c r="PM28" s="111"/>
      <c r="PT28" s="101"/>
      <c r="PU28" s="101"/>
      <c r="QA28" s="111"/>
      <c r="QH28" s="101"/>
      <c r="QI28" s="101"/>
      <c r="QO28" s="111"/>
      <c r="QV28" s="101"/>
      <c r="QW28" s="101"/>
      <c r="RC28" s="111"/>
      <c r="RJ28" s="101"/>
      <c r="RK28" s="101"/>
      <c r="RQ28" s="111"/>
      <c r="RX28" s="101"/>
      <c r="RY28" s="101"/>
      <c r="SE28" s="111"/>
      <c r="SL28" s="101"/>
      <c r="SM28" s="101"/>
      <c r="SS28" s="111"/>
      <c r="SZ28" s="101"/>
      <c r="TA28" s="101"/>
      <c r="TF28" s="725"/>
      <c r="TG28" s="111"/>
      <c r="TM28" s="937"/>
      <c r="TN28" s="725"/>
    </row>
    <row r="29" spans="1:534" ht="48.75" customHeight="1" thickBot="1">
      <c r="B29" s="99" t="s">
        <v>1220</v>
      </c>
      <c r="C29" s="1188" t="s">
        <v>1207</v>
      </c>
      <c r="D29" s="1189"/>
      <c r="E29" s="694" t="s">
        <v>1277</v>
      </c>
      <c r="F29" s="694" t="s">
        <v>1275</v>
      </c>
      <c r="G29" s="260" t="s">
        <v>1276</v>
      </c>
      <c r="H29" s="276" t="s">
        <v>1274</v>
      </c>
      <c r="I29" s="112"/>
      <c r="P29" s="99"/>
      <c r="Q29" s="1195"/>
      <c r="R29" s="1196"/>
      <c r="S29" s="651"/>
      <c r="T29" s="651"/>
      <c r="U29" s="260"/>
      <c r="V29" s="276"/>
      <c r="W29" s="112"/>
      <c r="AD29" s="99"/>
      <c r="AE29" s="1195"/>
      <c r="AF29" s="1196"/>
      <c r="AG29" s="689"/>
      <c r="AH29" s="689"/>
      <c r="AI29" s="260"/>
      <c r="AJ29" s="276"/>
      <c r="AK29" s="112"/>
      <c r="AR29" s="99" t="s">
        <v>1220</v>
      </c>
      <c r="AS29" s="1195" t="s">
        <v>1207</v>
      </c>
      <c r="AT29" s="1196"/>
      <c r="AU29" s="694" t="s">
        <v>1277</v>
      </c>
      <c r="AV29" s="694" t="s">
        <v>1275</v>
      </c>
      <c r="AW29" s="260" t="s">
        <v>1276</v>
      </c>
      <c r="AX29" s="276" t="s">
        <v>1274</v>
      </c>
      <c r="AY29" s="112"/>
      <c r="BF29" s="99" t="s">
        <v>1220</v>
      </c>
      <c r="BG29" s="1195" t="s">
        <v>1207</v>
      </c>
      <c r="BH29" s="1196"/>
      <c r="BI29" s="694" t="s">
        <v>1277</v>
      </c>
      <c r="BJ29" s="694" t="s">
        <v>1275</v>
      </c>
      <c r="BK29" s="260" t="s">
        <v>1276</v>
      </c>
      <c r="BL29" s="276" t="s">
        <v>1274</v>
      </c>
      <c r="BM29" s="112"/>
      <c r="BT29" s="99" t="s">
        <v>1220</v>
      </c>
      <c r="BU29" s="1195" t="s">
        <v>1207</v>
      </c>
      <c r="BV29" s="1196"/>
      <c r="BW29" s="694" t="s">
        <v>1277</v>
      </c>
      <c r="BX29" s="694" t="s">
        <v>1275</v>
      </c>
      <c r="BY29" s="260" t="s">
        <v>1276</v>
      </c>
      <c r="BZ29" s="276" t="s">
        <v>1274</v>
      </c>
      <c r="CA29" s="112"/>
      <c r="CH29" s="99" t="s">
        <v>1220</v>
      </c>
      <c r="CI29" s="1195" t="s">
        <v>1207</v>
      </c>
      <c r="CJ29" s="1196"/>
      <c r="CK29" s="694" t="s">
        <v>1277</v>
      </c>
      <c r="CL29" s="694" t="s">
        <v>1275</v>
      </c>
      <c r="CM29" s="260" t="s">
        <v>1276</v>
      </c>
      <c r="CN29" s="276" t="s">
        <v>1274</v>
      </c>
      <c r="CO29" s="112"/>
      <c r="CV29" s="99" t="s">
        <v>1220</v>
      </c>
      <c r="CW29" s="1195" t="s">
        <v>1207</v>
      </c>
      <c r="CX29" s="1196"/>
      <c r="CY29" s="694" t="s">
        <v>1277</v>
      </c>
      <c r="CZ29" s="694" t="s">
        <v>1275</v>
      </c>
      <c r="DA29" s="260" t="s">
        <v>1276</v>
      </c>
      <c r="DB29" s="276" t="s">
        <v>1274</v>
      </c>
      <c r="DC29" s="112"/>
      <c r="DJ29" s="99" t="s">
        <v>1220</v>
      </c>
      <c r="DK29" s="1195" t="s">
        <v>1207</v>
      </c>
      <c r="DL29" s="1196"/>
      <c r="DM29" s="694" t="s">
        <v>1277</v>
      </c>
      <c r="DN29" s="694" t="s">
        <v>1275</v>
      </c>
      <c r="DO29" s="260" t="s">
        <v>1276</v>
      </c>
      <c r="DP29" s="276" t="s">
        <v>1274</v>
      </c>
      <c r="DQ29" s="112"/>
      <c r="DX29" s="99" t="s">
        <v>1220</v>
      </c>
      <c r="DY29" s="1195" t="s">
        <v>1207</v>
      </c>
      <c r="DZ29" s="1196"/>
      <c r="EA29" s="694" t="s">
        <v>1277</v>
      </c>
      <c r="EB29" s="694" t="s">
        <v>1275</v>
      </c>
      <c r="EC29" s="260" t="s">
        <v>1276</v>
      </c>
      <c r="ED29" s="276" t="s">
        <v>1274</v>
      </c>
      <c r="EE29" s="112"/>
      <c r="EL29" s="99" t="s">
        <v>1220</v>
      </c>
      <c r="EM29" s="1195" t="s">
        <v>1207</v>
      </c>
      <c r="EN29" s="1196"/>
      <c r="EO29" s="694" t="s">
        <v>1277</v>
      </c>
      <c r="EP29" s="694" t="s">
        <v>1275</v>
      </c>
      <c r="EQ29" s="260" t="s">
        <v>1276</v>
      </c>
      <c r="ER29" s="276" t="s">
        <v>1274</v>
      </c>
      <c r="ES29" s="667"/>
      <c r="EZ29" s="99" t="s">
        <v>1220</v>
      </c>
      <c r="FA29" s="1195" t="s">
        <v>1207</v>
      </c>
      <c r="FB29" s="1196"/>
      <c r="FC29" s="694" t="s">
        <v>1277</v>
      </c>
      <c r="FD29" s="694" t="s">
        <v>1275</v>
      </c>
      <c r="FE29" s="260" t="s">
        <v>1276</v>
      </c>
      <c r="FF29" s="276" t="s">
        <v>1274</v>
      </c>
      <c r="FG29" s="112"/>
      <c r="FN29" s="99" t="s">
        <v>1220</v>
      </c>
      <c r="FO29" s="1195" t="s">
        <v>1207</v>
      </c>
      <c r="FP29" s="1196"/>
      <c r="FQ29" s="694" t="s">
        <v>1277</v>
      </c>
      <c r="FR29" s="694" t="s">
        <v>1275</v>
      </c>
      <c r="FS29" s="260" t="s">
        <v>1276</v>
      </c>
      <c r="FT29" s="276" t="s">
        <v>1274</v>
      </c>
      <c r="FU29" s="112"/>
      <c r="GB29" s="99" t="s">
        <v>1220</v>
      </c>
      <c r="GC29" s="1195" t="s">
        <v>1207</v>
      </c>
      <c r="GD29" s="1196"/>
      <c r="GE29" s="694" t="s">
        <v>1277</v>
      </c>
      <c r="GF29" s="694" t="s">
        <v>1275</v>
      </c>
      <c r="GG29" s="260" t="s">
        <v>1276</v>
      </c>
      <c r="GH29" s="276" t="s">
        <v>1274</v>
      </c>
      <c r="GI29" s="112"/>
      <c r="GP29" s="99" t="s">
        <v>1220</v>
      </c>
      <c r="GQ29" s="1195" t="s">
        <v>1207</v>
      </c>
      <c r="GR29" s="1196"/>
      <c r="GS29" s="694" t="s">
        <v>1277</v>
      </c>
      <c r="GT29" s="694" t="s">
        <v>1275</v>
      </c>
      <c r="GU29" s="260" t="s">
        <v>1276</v>
      </c>
      <c r="GV29" s="276" t="s">
        <v>1274</v>
      </c>
      <c r="GW29" s="112"/>
      <c r="HD29" s="99" t="s">
        <v>1220</v>
      </c>
      <c r="HE29" s="1195" t="s">
        <v>1207</v>
      </c>
      <c r="HF29" s="1196"/>
      <c r="HG29" s="694" t="s">
        <v>1277</v>
      </c>
      <c r="HH29" s="694" t="s">
        <v>1275</v>
      </c>
      <c r="HI29" s="260" t="s">
        <v>1276</v>
      </c>
      <c r="HJ29" s="276" t="s">
        <v>1274</v>
      </c>
      <c r="HK29" s="112"/>
      <c r="HR29" s="99" t="s">
        <v>1220</v>
      </c>
      <c r="HS29" s="1195" t="s">
        <v>1207</v>
      </c>
      <c r="HT29" s="1196"/>
      <c r="HU29" s="694" t="s">
        <v>1277</v>
      </c>
      <c r="HV29" s="694" t="s">
        <v>1275</v>
      </c>
      <c r="HW29" s="260" t="s">
        <v>1276</v>
      </c>
      <c r="HX29" s="276" t="s">
        <v>1274</v>
      </c>
      <c r="HY29" s="667"/>
      <c r="IF29" s="99"/>
      <c r="IG29" s="1195"/>
      <c r="IH29" s="1196"/>
      <c r="II29" s="694"/>
      <c r="IJ29" s="694"/>
      <c r="IK29" s="260"/>
      <c r="IL29" s="276"/>
      <c r="IM29" s="112"/>
      <c r="IT29" s="99"/>
      <c r="IU29" s="1195"/>
      <c r="IV29" s="1196"/>
      <c r="IW29" s="694"/>
      <c r="IX29" s="694"/>
      <c r="IY29" s="260"/>
      <c r="IZ29" s="276"/>
      <c r="JA29" s="112"/>
      <c r="JH29" s="99" t="s">
        <v>1220</v>
      </c>
      <c r="JI29" s="1195" t="s">
        <v>1207</v>
      </c>
      <c r="JJ29" s="1196"/>
      <c r="JK29" s="694" t="s">
        <v>1277</v>
      </c>
      <c r="JL29" s="694" t="s">
        <v>1275</v>
      </c>
      <c r="JM29" s="260" t="s">
        <v>1276</v>
      </c>
      <c r="JN29" s="276" t="s">
        <v>1274</v>
      </c>
      <c r="JO29" s="112"/>
      <c r="JV29" s="99" t="s">
        <v>1220</v>
      </c>
      <c r="JW29" s="1195" t="s">
        <v>1207</v>
      </c>
      <c r="JX29" s="1196"/>
      <c r="JY29" s="694" t="s">
        <v>1277</v>
      </c>
      <c r="JZ29" s="694" t="s">
        <v>1275</v>
      </c>
      <c r="KA29" s="260" t="s">
        <v>1276</v>
      </c>
      <c r="KB29" s="276" t="s">
        <v>1274</v>
      </c>
      <c r="KC29" s="112"/>
      <c r="KJ29" s="99" t="s">
        <v>1220</v>
      </c>
      <c r="KK29" s="1195" t="s">
        <v>1207</v>
      </c>
      <c r="KL29" s="1196"/>
      <c r="KM29" s="694" t="s">
        <v>1277</v>
      </c>
      <c r="KN29" s="694" t="s">
        <v>1275</v>
      </c>
      <c r="KO29" s="260" t="s">
        <v>1276</v>
      </c>
      <c r="KP29" s="276" t="s">
        <v>1274</v>
      </c>
      <c r="KQ29" s="112"/>
      <c r="KX29" s="99" t="s">
        <v>1220</v>
      </c>
      <c r="KY29" s="1195" t="s">
        <v>1207</v>
      </c>
      <c r="KZ29" s="1196"/>
      <c r="LA29" s="694" t="s">
        <v>1277</v>
      </c>
      <c r="LB29" s="694" t="s">
        <v>1275</v>
      </c>
      <c r="LC29" s="260" t="s">
        <v>1276</v>
      </c>
      <c r="LD29" s="276" t="s">
        <v>1274</v>
      </c>
      <c r="LE29" s="112"/>
      <c r="LL29" s="99" t="s">
        <v>1220</v>
      </c>
      <c r="LM29" s="1195" t="s">
        <v>1207</v>
      </c>
      <c r="LN29" s="1196"/>
      <c r="LO29" s="694" t="s">
        <v>1277</v>
      </c>
      <c r="LP29" s="694" t="s">
        <v>1275</v>
      </c>
      <c r="LQ29" s="260" t="s">
        <v>1276</v>
      </c>
      <c r="LR29" s="276" t="s">
        <v>1274</v>
      </c>
      <c r="LS29" s="112"/>
      <c r="LZ29" s="99" t="s">
        <v>1220</v>
      </c>
      <c r="MA29" s="1195" t="s">
        <v>1207</v>
      </c>
      <c r="MB29" s="1196"/>
      <c r="MC29" s="694" t="s">
        <v>1277</v>
      </c>
      <c r="MD29" s="694" t="s">
        <v>1275</v>
      </c>
      <c r="ME29" s="260" t="s">
        <v>1276</v>
      </c>
      <c r="MF29" s="276" t="s">
        <v>1274</v>
      </c>
      <c r="MG29" s="112"/>
      <c r="MN29" s="99" t="s">
        <v>1220</v>
      </c>
      <c r="MO29" s="1195" t="s">
        <v>1207</v>
      </c>
      <c r="MP29" s="1196"/>
      <c r="MQ29" s="694" t="s">
        <v>1277</v>
      </c>
      <c r="MR29" s="694" t="s">
        <v>1275</v>
      </c>
      <c r="MS29" s="260" t="s">
        <v>1276</v>
      </c>
      <c r="MT29" s="276" t="s">
        <v>1274</v>
      </c>
      <c r="MU29" s="112"/>
      <c r="NB29" s="99" t="s">
        <v>1220</v>
      </c>
      <c r="NC29" s="1195" t="s">
        <v>1207</v>
      </c>
      <c r="ND29" s="1196"/>
      <c r="NE29" s="694" t="s">
        <v>1277</v>
      </c>
      <c r="NF29" s="694" t="s">
        <v>1275</v>
      </c>
      <c r="NG29" s="260" t="s">
        <v>1276</v>
      </c>
      <c r="NH29" s="276" t="s">
        <v>1274</v>
      </c>
      <c r="NI29" s="112"/>
      <c r="NP29" s="99" t="s">
        <v>1220</v>
      </c>
      <c r="NQ29" s="1195" t="s">
        <v>1207</v>
      </c>
      <c r="NR29" s="1196"/>
      <c r="NS29" s="694" t="s">
        <v>1277</v>
      </c>
      <c r="NT29" s="694" t="s">
        <v>1275</v>
      </c>
      <c r="NU29" s="260" t="s">
        <v>1276</v>
      </c>
      <c r="NV29" s="276" t="s">
        <v>1274</v>
      </c>
      <c r="NW29" s="112"/>
      <c r="OD29" s="99" t="s">
        <v>1220</v>
      </c>
      <c r="OE29" s="1195" t="s">
        <v>1207</v>
      </c>
      <c r="OF29" s="1196"/>
      <c r="OG29" s="694" t="s">
        <v>1277</v>
      </c>
      <c r="OH29" s="694" t="s">
        <v>1275</v>
      </c>
      <c r="OI29" s="260" t="s">
        <v>1276</v>
      </c>
      <c r="OJ29" s="276" t="s">
        <v>1274</v>
      </c>
      <c r="OK29" s="112"/>
      <c r="OR29" s="99" t="s">
        <v>1220</v>
      </c>
      <c r="OS29" s="1195" t="s">
        <v>1207</v>
      </c>
      <c r="OT29" s="1196"/>
      <c r="OU29" s="694" t="s">
        <v>1277</v>
      </c>
      <c r="OV29" s="694" t="s">
        <v>1275</v>
      </c>
      <c r="OW29" s="260" t="s">
        <v>1276</v>
      </c>
      <c r="OX29" s="276" t="s">
        <v>1274</v>
      </c>
      <c r="OY29" s="112"/>
      <c r="PF29" s="99" t="s">
        <v>1220</v>
      </c>
      <c r="PG29" s="1195" t="s">
        <v>1207</v>
      </c>
      <c r="PH29" s="1196"/>
      <c r="PI29" s="694" t="s">
        <v>1277</v>
      </c>
      <c r="PJ29" s="694" t="s">
        <v>1275</v>
      </c>
      <c r="PK29" s="260" t="s">
        <v>1276</v>
      </c>
      <c r="PL29" s="276" t="s">
        <v>1274</v>
      </c>
      <c r="PM29" s="112"/>
      <c r="PT29" s="99" t="s">
        <v>1220</v>
      </c>
      <c r="PU29" s="1195" t="s">
        <v>1207</v>
      </c>
      <c r="PV29" s="1196"/>
      <c r="PW29" s="694" t="s">
        <v>1277</v>
      </c>
      <c r="PX29" s="694" t="s">
        <v>1275</v>
      </c>
      <c r="PY29" s="260" t="s">
        <v>1276</v>
      </c>
      <c r="PZ29" s="276" t="s">
        <v>1274</v>
      </c>
      <c r="QA29" s="112"/>
      <c r="QH29" s="99" t="s">
        <v>1220</v>
      </c>
      <c r="QI29" s="1195" t="s">
        <v>1207</v>
      </c>
      <c r="QJ29" s="1196"/>
      <c r="QK29" s="694" t="s">
        <v>1277</v>
      </c>
      <c r="QL29" s="694" t="s">
        <v>1275</v>
      </c>
      <c r="QM29" s="260" t="s">
        <v>1276</v>
      </c>
      <c r="QN29" s="276" t="s">
        <v>1274</v>
      </c>
      <c r="QO29" s="112"/>
      <c r="QV29" s="99" t="s">
        <v>1220</v>
      </c>
      <c r="QW29" s="1195" t="s">
        <v>1207</v>
      </c>
      <c r="QX29" s="1196"/>
      <c r="QY29" s="694" t="s">
        <v>1277</v>
      </c>
      <c r="QZ29" s="694" t="s">
        <v>1275</v>
      </c>
      <c r="RA29" s="260" t="s">
        <v>1276</v>
      </c>
      <c r="RB29" s="276" t="s">
        <v>1274</v>
      </c>
      <c r="RC29" s="112"/>
      <c r="RJ29" s="99" t="s">
        <v>1220</v>
      </c>
      <c r="RK29" s="1195" t="s">
        <v>1207</v>
      </c>
      <c r="RL29" s="1196"/>
      <c r="RM29" s="694" t="s">
        <v>1277</v>
      </c>
      <c r="RN29" s="694" t="s">
        <v>1275</v>
      </c>
      <c r="RO29" s="260" t="s">
        <v>1276</v>
      </c>
      <c r="RP29" s="276" t="s">
        <v>1274</v>
      </c>
      <c r="RQ29" s="112"/>
      <c r="RX29" s="99" t="s">
        <v>1220</v>
      </c>
      <c r="RY29" s="1195" t="s">
        <v>1207</v>
      </c>
      <c r="RZ29" s="1196"/>
      <c r="SA29" s="694" t="s">
        <v>1277</v>
      </c>
      <c r="SB29" s="694" t="s">
        <v>1275</v>
      </c>
      <c r="SC29" s="260" t="s">
        <v>1276</v>
      </c>
      <c r="SD29" s="276" t="s">
        <v>1274</v>
      </c>
      <c r="SE29" s="112"/>
      <c r="SL29" s="99" t="s">
        <v>1220</v>
      </c>
      <c r="SM29" s="1195" t="s">
        <v>1207</v>
      </c>
      <c r="SN29" s="1196"/>
      <c r="SO29" s="694" t="s">
        <v>1277</v>
      </c>
      <c r="SP29" s="694" t="s">
        <v>1275</v>
      </c>
      <c r="SQ29" s="260" t="s">
        <v>1276</v>
      </c>
      <c r="SR29" s="276" t="s">
        <v>1274</v>
      </c>
      <c r="SS29" s="112"/>
      <c r="SZ29" s="99" t="s">
        <v>1220</v>
      </c>
      <c r="TA29" s="1195" t="s">
        <v>1207</v>
      </c>
      <c r="TB29" s="1196"/>
      <c r="TC29" s="651" t="s">
        <v>1277</v>
      </c>
      <c r="TD29" s="651" t="s">
        <v>1275</v>
      </c>
      <c r="TE29" s="260" t="s">
        <v>1276</v>
      </c>
      <c r="TF29" s="728" t="s">
        <v>1274</v>
      </c>
      <c r="TG29" s="112"/>
      <c r="TM29" s="937"/>
      <c r="TN29" s="725"/>
    </row>
    <row r="30" spans="1:534" ht="18" customHeight="1">
      <c r="B30" s="1181" t="s">
        <v>1282</v>
      </c>
      <c r="C30" s="643" t="s">
        <v>1273</v>
      </c>
      <c r="D30" s="261"/>
      <c r="E30" s="278">
        <f>+SUM(D16:D18)</f>
        <v>0.7</v>
      </c>
      <c r="F30" s="282">
        <f>+'Parametros Generales'!$J$7</f>
        <v>40504</v>
      </c>
      <c r="G30" s="279">
        <v>0</v>
      </c>
      <c r="H30" s="218">
        <f>+F30*E30*E11</f>
        <v>184293.19999999998</v>
      </c>
      <c r="I30" s="113"/>
      <c r="M30" s="928">
        <f>+IF(H30=0,0,H30/H$72)</f>
        <v>1.0009205987350086E-3</v>
      </c>
      <c r="P30" s="1197"/>
      <c r="Q30" s="643"/>
      <c r="R30" s="261"/>
      <c r="S30" s="278"/>
      <c r="T30" s="282"/>
      <c r="U30" s="279"/>
      <c r="V30" s="218"/>
      <c r="W30" s="113"/>
      <c r="AA30" s="928"/>
      <c r="AD30" s="1197"/>
      <c r="AE30" s="643"/>
      <c r="AF30" s="261"/>
      <c r="AG30" s="278"/>
      <c r="AH30" s="282"/>
      <c r="AI30" s="279"/>
      <c r="AJ30" s="218"/>
      <c r="AK30" s="113"/>
      <c r="AO30" s="928"/>
      <c r="AR30" s="1197" t="s">
        <v>1282</v>
      </c>
      <c r="AS30" s="643" t="s">
        <v>1273</v>
      </c>
      <c r="AT30" s="261"/>
      <c r="AU30" s="278">
        <f t="shared" ref="AU30" si="285">+SUM(AT16:AT18)</f>
        <v>0</v>
      </c>
      <c r="AV30" s="282">
        <f>+'Parametros Generales'!$J$7</f>
        <v>40504</v>
      </c>
      <c r="AW30" s="279">
        <v>0</v>
      </c>
      <c r="AX30" s="218">
        <f t="shared" ref="AX30" si="286">+AV30*AU30*AU11</f>
        <v>0</v>
      </c>
      <c r="AY30" s="113"/>
      <c r="BC30" s="928">
        <f>+IF(AX30=0,0,AX30/AX$72)</f>
        <v>0</v>
      </c>
      <c r="BF30" s="1197" t="s">
        <v>1282</v>
      </c>
      <c r="BG30" s="643" t="s">
        <v>1273</v>
      </c>
      <c r="BH30" s="261"/>
      <c r="BI30" s="278">
        <f t="shared" ref="BI30" si="287">+SUM(BH16:BH18)</f>
        <v>1.8</v>
      </c>
      <c r="BJ30" s="282">
        <f>+'Parametros Generales'!$J$7</f>
        <v>40504</v>
      </c>
      <c r="BK30" s="279">
        <v>0</v>
      </c>
      <c r="BL30" s="218">
        <f t="shared" ref="BL30" si="288">+BJ30*BI30*BI11</f>
        <v>473896.8</v>
      </c>
      <c r="BM30" s="113"/>
      <c r="BQ30" s="928">
        <f>+IF(BL30=0,0,BL30/BL$72)</f>
        <v>1.0181102004188109E-3</v>
      </c>
      <c r="BT30" s="1197" t="s">
        <v>1282</v>
      </c>
      <c r="BU30" s="643" t="s">
        <v>1273</v>
      </c>
      <c r="BV30" s="261"/>
      <c r="BW30" s="278">
        <f t="shared" ref="BW30" si="289">+SUM(BV16:BV18)</f>
        <v>0</v>
      </c>
      <c r="BX30" s="282">
        <f>+'Parametros Generales'!$J$7</f>
        <v>40504</v>
      </c>
      <c r="BY30" s="279">
        <v>0</v>
      </c>
      <c r="BZ30" s="218">
        <f t="shared" ref="BZ30" si="290">+BX30*BW30*BW11</f>
        <v>0</v>
      </c>
      <c r="CA30" s="113"/>
      <c r="CE30" s="928">
        <f>+IF(BZ30=0,0,BZ30/BZ$72)</f>
        <v>0</v>
      </c>
      <c r="CH30" s="1197" t="s">
        <v>1282</v>
      </c>
      <c r="CI30" s="643" t="s">
        <v>1273</v>
      </c>
      <c r="CJ30" s="261"/>
      <c r="CK30" s="278">
        <f t="shared" ref="CK30" si="291">+SUM(CJ16:CJ18)</f>
        <v>0.1</v>
      </c>
      <c r="CL30" s="282">
        <f>+'Parametros Generales'!$J$7</f>
        <v>40504</v>
      </c>
      <c r="CM30" s="279">
        <v>0</v>
      </c>
      <c r="CN30" s="218">
        <f t="shared" ref="CN30" si="292">+CL30*CK30*CK11</f>
        <v>26327.600000000002</v>
      </c>
      <c r="CO30" s="113"/>
      <c r="CS30" s="928">
        <f>+IF(CN30=0,0,CN30/CN$72)</f>
        <v>1.019807089712101E-3</v>
      </c>
      <c r="CV30" s="1197" t="s">
        <v>1282</v>
      </c>
      <c r="CW30" s="643" t="s">
        <v>1273</v>
      </c>
      <c r="CX30" s="261"/>
      <c r="CY30" s="278">
        <f t="shared" ref="CY30" si="293">+SUM(CX16:CX18)</f>
        <v>1.3</v>
      </c>
      <c r="CZ30" s="282">
        <f>+'Parametros Generales'!$J$7</f>
        <v>40504</v>
      </c>
      <c r="DA30" s="279">
        <v>0</v>
      </c>
      <c r="DB30" s="218">
        <f t="shared" ref="DB30" si="294">+CZ30*CY30*CY11</f>
        <v>342258.80000000005</v>
      </c>
      <c r="DC30" s="113"/>
      <c r="DG30" s="928">
        <f>+IF(DB30=0,0,DB30/DB$72)</f>
        <v>9.2014350123241799E-4</v>
      </c>
      <c r="DJ30" s="1197" t="s">
        <v>1282</v>
      </c>
      <c r="DK30" s="643" t="s">
        <v>1273</v>
      </c>
      <c r="DL30" s="261"/>
      <c r="DM30" s="278">
        <f t="shared" ref="DM30" si="295">+SUM(DL16:DL18)</f>
        <v>0.1</v>
      </c>
      <c r="DN30" s="282">
        <f>+'Parametros Generales'!$J$7</f>
        <v>40504</v>
      </c>
      <c r="DO30" s="279">
        <v>0</v>
      </c>
      <c r="DP30" s="218">
        <f t="shared" ref="DP30" si="296">+DN30*DM30*DM11</f>
        <v>26327.600000000002</v>
      </c>
      <c r="DQ30" s="113"/>
      <c r="DU30" s="928">
        <f>+IF(DP30=0,0,DP30/DP$72)</f>
        <v>9.05710149867125E-4</v>
      </c>
      <c r="DX30" s="1197" t="s">
        <v>1282</v>
      </c>
      <c r="DY30" s="643" t="s">
        <v>1273</v>
      </c>
      <c r="DZ30" s="261"/>
      <c r="EA30" s="278">
        <f t="shared" ref="EA30" si="297">+SUM(DZ16:DZ18)</f>
        <v>0.5</v>
      </c>
      <c r="EB30" s="282">
        <f>+'Parametros Generales'!$J$7</f>
        <v>40504</v>
      </c>
      <c r="EC30" s="279">
        <v>0</v>
      </c>
      <c r="ED30" s="218">
        <f t="shared" ref="ED30" si="298">+EB30*EA30*EA11</f>
        <v>131638</v>
      </c>
      <c r="EE30" s="113"/>
      <c r="EI30" s="928">
        <f>+IF(ED30=0,0,ED30/ED$72)</f>
        <v>9.6214356262733604E-4</v>
      </c>
      <c r="EL30" s="1197" t="s">
        <v>1282</v>
      </c>
      <c r="EM30" s="643" t="s">
        <v>1273</v>
      </c>
      <c r="EN30" s="261"/>
      <c r="EO30" s="278">
        <f t="shared" ref="EO30" si="299">+SUM(EN16:EN18)</f>
        <v>0.9</v>
      </c>
      <c r="EP30" s="282">
        <f>+'Parametros Generales'!$J$7</f>
        <v>40504</v>
      </c>
      <c r="EQ30" s="279">
        <v>0</v>
      </c>
      <c r="ER30" s="218">
        <f t="shared" ref="ER30" si="300">+EP30*EO30*EO11</f>
        <v>236948.4</v>
      </c>
      <c r="ES30" s="928">
        <f>+IF(EN30=0,0,EN30/EN$72)</f>
        <v>0</v>
      </c>
      <c r="EW30" s="928">
        <f>+IF(ER30=0,0,ER30/ER$72)</f>
        <v>1.0181102004188109E-3</v>
      </c>
      <c r="EZ30" s="1197" t="s">
        <v>1282</v>
      </c>
      <c r="FA30" s="643" t="s">
        <v>1273</v>
      </c>
      <c r="FB30" s="261"/>
      <c r="FC30" s="278">
        <f t="shared" ref="FC30" si="301">+SUM(FB16:FB18)</f>
        <v>0</v>
      </c>
      <c r="FD30" s="282">
        <f>+'Parametros Generales'!$J$7</f>
        <v>40504</v>
      </c>
      <c r="FE30" s="279">
        <v>0</v>
      </c>
      <c r="FF30" s="218">
        <f t="shared" ref="FF30" si="302">+FD30*FC30*FC11</f>
        <v>0</v>
      </c>
      <c r="FG30" s="113"/>
      <c r="FK30" s="928">
        <f>+IF(FF30=0,0,FF30/FF$72)</f>
        <v>0</v>
      </c>
      <c r="FN30" s="1197" t="s">
        <v>1282</v>
      </c>
      <c r="FO30" s="643" t="s">
        <v>1273</v>
      </c>
      <c r="FP30" s="261"/>
      <c r="FQ30" s="278">
        <f t="shared" ref="FQ30" si="303">+SUM(FP16:FP18)</f>
        <v>0.65</v>
      </c>
      <c r="FR30" s="282">
        <f>+'Parametros Generales'!$J$7</f>
        <v>40504</v>
      </c>
      <c r="FS30" s="279">
        <v>0</v>
      </c>
      <c r="FT30" s="218">
        <f t="shared" ref="FT30" si="304">+FR30*FQ30*FQ11</f>
        <v>171129.40000000002</v>
      </c>
      <c r="FU30" s="113"/>
      <c r="FY30" s="928">
        <f>+IF(FT30=0,0,FT30/FT$72)</f>
        <v>5.3959722744481337E-4</v>
      </c>
      <c r="GB30" s="1197" t="s">
        <v>1282</v>
      </c>
      <c r="GC30" s="643" t="s">
        <v>1273</v>
      </c>
      <c r="GD30" s="261"/>
      <c r="GE30" s="278">
        <f t="shared" ref="GE30" si="305">+SUM(GD16:GD18)</f>
        <v>0.6</v>
      </c>
      <c r="GF30" s="282">
        <f>+'Parametros Generales'!$J$7</f>
        <v>40504</v>
      </c>
      <c r="GG30" s="279">
        <v>0</v>
      </c>
      <c r="GH30" s="218">
        <f t="shared" ref="GH30" si="306">+GF30*GE30*GE11</f>
        <v>157965.59999999998</v>
      </c>
      <c r="GI30" s="113"/>
      <c r="GM30" s="928">
        <f>+IF(GH30=0,0,GH30/GH$72)</f>
        <v>1.0470307433724788E-3</v>
      </c>
      <c r="GP30" s="1197" t="s">
        <v>1282</v>
      </c>
      <c r="GQ30" s="643" t="s">
        <v>1273</v>
      </c>
      <c r="GR30" s="261"/>
      <c r="GS30" s="278">
        <f t="shared" ref="GS30" si="307">+SUM(GR16:GR18)</f>
        <v>0</v>
      </c>
      <c r="GT30" s="282">
        <f>+'Parametros Generales'!$J$7</f>
        <v>40504</v>
      </c>
      <c r="GU30" s="279">
        <v>0</v>
      </c>
      <c r="GV30" s="218">
        <f t="shared" ref="GV30" si="308">+GT30*GS30*GS11</f>
        <v>0</v>
      </c>
      <c r="GW30" s="113"/>
      <c r="HA30" s="928">
        <f>+IF(GV30=0,0,GV30/GV$72)</f>
        <v>0</v>
      </c>
      <c r="HD30" s="1197" t="s">
        <v>1282</v>
      </c>
      <c r="HE30" s="643" t="s">
        <v>1273</v>
      </c>
      <c r="HF30" s="261"/>
      <c r="HG30" s="278">
        <f t="shared" ref="HG30" si="309">+SUM(HF16:HF18)</f>
        <v>0.3</v>
      </c>
      <c r="HH30" s="282">
        <f>+'Parametros Generales'!$J$7</f>
        <v>40504</v>
      </c>
      <c r="HI30" s="279">
        <v>0</v>
      </c>
      <c r="HJ30" s="218">
        <f t="shared" ref="HJ30" si="310">+HH30*HG30*HG11</f>
        <v>78982.799999999988</v>
      </c>
      <c r="HK30" s="113"/>
      <c r="HO30" s="928">
        <f>+IF(HJ30=0,0,HJ30/HJ$72)</f>
        <v>1.0181102004188111E-3</v>
      </c>
      <c r="HR30" s="1197" t="s">
        <v>1282</v>
      </c>
      <c r="HS30" s="643" t="s">
        <v>1273</v>
      </c>
      <c r="HT30" s="261"/>
      <c r="HU30" s="278">
        <f t="shared" ref="HU30" si="311">+SUM(HT16:HT18)</f>
        <v>1.1000000000000001</v>
      </c>
      <c r="HV30" s="282">
        <f>+'Parametros Generales'!$J$7</f>
        <v>40504</v>
      </c>
      <c r="HW30" s="279">
        <v>0</v>
      </c>
      <c r="HX30" s="218">
        <f t="shared" ref="HX30" si="312">+HV30*HU30*HU11</f>
        <v>289603.60000000003</v>
      </c>
      <c r="HY30" s="928">
        <f t="shared" ref="HY30:HY34" si="313">+IF(HT30=0,0,HT30/HT$70)</f>
        <v>0</v>
      </c>
      <c r="IC30" s="928">
        <f>+IF(HX30=0,0,HX30/HX$72)</f>
        <v>9.7911439207258003E-4</v>
      </c>
      <c r="IF30" s="1197"/>
      <c r="IG30" s="643"/>
      <c r="IH30" s="261"/>
      <c r="II30" s="278"/>
      <c r="IJ30" s="282"/>
      <c r="IK30" s="279"/>
      <c r="IL30" s="218"/>
      <c r="IM30" s="113"/>
      <c r="IQ30" s="928"/>
      <c r="IT30" s="1197"/>
      <c r="IU30" s="643"/>
      <c r="IV30" s="261"/>
      <c r="IW30" s="278"/>
      <c r="IX30" s="282"/>
      <c r="IY30" s="279"/>
      <c r="IZ30" s="218"/>
      <c r="JA30" s="113"/>
      <c r="JE30" s="928"/>
      <c r="JH30" s="1197" t="s">
        <v>1282</v>
      </c>
      <c r="JI30" s="643" t="s">
        <v>1273</v>
      </c>
      <c r="JJ30" s="261"/>
      <c r="JK30" s="278">
        <f t="shared" ref="JK30" si="314">+SUM(JJ16:JJ18)</f>
        <v>1.5</v>
      </c>
      <c r="JL30" s="282">
        <f>+'Parametros Generales'!$J$7</f>
        <v>40504</v>
      </c>
      <c r="JM30" s="279">
        <v>0</v>
      </c>
      <c r="JN30" s="218">
        <f t="shared" ref="JN30" si="315">+JL30*JK30*JK11</f>
        <v>394914</v>
      </c>
      <c r="JO30" s="113"/>
      <c r="JS30" s="928">
        <f>+IF(JN30=0,0,JN30/JN$72)</f>
        <v>9.2148375651975479E-4</v>
      </c>
      <c r="JV30" s="1197" t="s">
        <v>1282</v>
      </c>
      <c r="JW30" s="643" t="s">
        <v>1273</v>
      </c>
      <c r="JX30" s="261"/>
      <c r="JY30" s="278">
        <f t="shared" ref="JY30" si="316">+SUM(JX16:JX18)</f>
        <v>0.65</v>
      </c>
      <c r="JZ30" s="282">
        <f>+'Parametros Generales'!$J$7</f>
        <v>40504</v>
      </c>
      <c r="KA30" s="279">
        <v>0</v>
      </c>
      <c r="KB30" s="218">
        <f t="shared" ref="KB30" si="317">+JZ30*JY30*JY11</f>
        <v>171129.40000000002</v>
      </c>
      <c r="KC30" s="113"/>
      <c r="KG30" s="928">
        <f>+IF(KB30=0,0,KB30/KB$72)</f>
        <v>9.7041913677178458E-4</v>
      </c>
      <c r="KJ30" s="1197" t="s">
        <v>1282</v>
      </c>
      <c r="KK30" s="643" t="s">
        <v>1273</v>
      </c>
      <c r="KL30" s="261"/>
      <c r="KM30" s="278">
        <f t="shared" ref="KM30" si="318">+SUM(KL16:KL18)</f>
        <v>0</v>
      </c>
      <c r="KN30" s="282">
        <f>+'Parametros Generales'!$J$7</f>
        <v>40504</v>
      </c>
      <c r="KO30" s="279">
        <v>0</v>
      </c>
      <c r="KP30" s="218">
        <f t="shared" ref="KP30" si="319">+KN30*KM30*KM11</f>
        <v>0</v>
      </c>
      <c r="KQ30" s="113"/>
      <c r="KU30" s="928">
        <f>+IF(KP30=0,0,KP30/KP$72)</f>
        <v>0</v>
      </c>
      <c r="KX30" s="1197" t="s">
        <v>1282</v>
      </c>
      <c r="KY30" s="643" t="s">
        <v>1273</v>
      </c>
      <c r="KZ30" s="261"/>
      <c r="LA30" s="278">
        <f t="shared" ref="LA30" si="320">+SUM(KZ16:KZ18)</f>
        <v>0</v>
      </c>
      <c r="LB30" s="282">
        <f>+'Parametros Generales'!$J$7</f>
        <v>40504</v>
      </c>
      <c r="LC30" s="279">
        <v>0</v>
      </c>
      <c r="LD30" s="218">
        <f t="shared" ref="LD30" si="321">+LB30*LA30*LA11</f>
        <v>0</v>
      </c>
      <c r="LE30" s="113"/>
      <c r="LI30" s="928">
        <f>+IF(LD30=0,0,LD30/LD$72)</f>
        <v>0</v>
      </c>
      <c r="LL30" s="1197" t="s">
        <v>1282</v>
      </c>
      <c r="LM30" s="643" t="s">
        <v>1273</v>
      </c>
      <c r="LN30" s="261"/>
      <c r="LO30" s="278">
        <f t="shared" ref="LO30" si="322">+SUM(LN16:LN18)</f>
        <v>0</v>
      </c>
      <c r="LP30" s="282">
        <f>+'Parametros Generales'!$J$7</f>
        <v>40504</v>
      </c>
      <c r="LQ30" s="279">
        <v>0</v>
      </c>
      <c r="LR30" s="218">
        <f t="shared" ref="LR30" si="323">+LP30*LO30*LO11</f>
        <v>0</v>
      </c>
      <c r="LS30" s="113"/>
      <c r="LW30" s="928">
        <f>+IF(LR30=0,0,LR30/LR$72)</f>
        <v>0</v>
      </c>
      <c r="LZ30" s="1197" t="s">
        <v>1282</v>
      </c>
      <c r="MA30" s="643" t="s">
        <v>1273</v>
      </c>
      <c r="MB30" s="261"/>
      <c r="MC30" s="278">
        <f t="shared" ref="MC30" si="324">+SUM(MB16:MB18)</f>
        <v>0.45</v>
      </c>
      <c r="MD30" s="282">
        <f>+'Parametros Generales'!$J$7</f>
        <v>40504</v>
      </c>
      <c r="ME30" s="279">
        <v>0</v>
      </c>
      <c r="MF30" s="218">
        <f t="shared" ref="MF30" si="325">+MD30*MC30*MC11</f>
        <v>118474.2</v>
      </c>
      <c r="MG30" s="113"/>
      <c r="MK30" s="928">
        <f>+IF(MF30=0,0,MF30/MF$72)</f>
        <v>9.6214356262733615E-4</v>
      </c>
      <c r="MN30" s="1197" t="s">
        <v>1282</v>
      </c>
      <c r="MO30" s="643" t="s">
        <v>1273</v>
      </c>
      <c r="MP30" s="261"/>
      <c r="MQ30" s="278">
        <f t="shared" ref="MQ30" si="326">+SUM(MP16:MP18)</f>
        <v>0.6</v>
      </c>
      <c r="MR30" s="282">
        <f>+'Parametros Generales'!$J$7</f>
        <v>40504</v>
      </c>
      <c r="MS30" s="279">
        <v>0</v>
      </c>
      <c r="MT30" s="218">
        <f t="shared" ref="MT30" si="327">+MR30*MQ30*MQ11</f>
        <v>157965.59999999998</v>
      </c>
      <c r="MU30" s="113"/>
      <c r="MY30" s="928">
        <f>+IF(MT30=0,0,MT30/MT$72)</f>
        <v>9.8502688242287561E-4</v>
      </c>
      <c r="NB30" s="1197" t="s">
        <v>1282</v>
      </c>
      <c r="NC30" s="643" t="s">
        <v>1273</v>
      </c>
      <c r="ND30" s="261"/>
      <c r="NE30" s="278">
        <f t="shared" ref="NE30" si="328">+SUM(ND16:ND18)</f>
        <v>0.7</v>
      </c>
      <c r="NF30" s="282">
        <f>+'Parametros Generales'!$J$7</f>
        <v>40504</v>
      </c>
      <c r="NG30" s="279">
        <v>0</v>
      </c>
      <c r="NH30" s="218">
        <f t="shared" ref="NH30" si="329">+NF30*NE30*NE11</f>
        <v>184293.19999999998</v>
      </c>
      <c r="NI30" s="113"/>
      <c r="NM30" s="928">
        <f>+IF(NH30=0,0,NH30/NH$72)</f>
        <v>1.0346098398818929E-3</v>
      </c>
      <c r="NP30" s="1197" t="s">
        <v>1282</v>
      </c>
      <c r="NQ30" s="643" t="s">
        <v>1273</v>
      </c>
      <c r="NR30" s="261"/>
      <c r="NS30" s="278">
        <f t="shared" ref="NS30" si="330">+SUM(NR16:NR18)</f>
        <v>0.8</v>
      </c>
      <c r="NT30" s="282">
        <f>+'Parametros Generales'!$J$7</f>
        <v>40504</v>
      </c>
      <c r="NU30" s="279">
        <v>0</v>
      </c>
      <c r="NV30" s="218">
        <f t="shared" ref="NV30" si="331">+NT30*NS30*NS11</f>
        <v>210620.80000000002</v>
      </c>
      <c r="NW30" s="113"/>
      <c r="OA30" s="928">
        <f>+IF(NV30=0,0,NV30/NV$72)</f>
        <v>5.0652677659116863E-4</v>
      </c>
      <c r="OD30" s="1197" t="s">
        <v>1282</v>
      </c>
      <c r="OE30" s="643" t="s">
        <v>1273</v>
      </c>
      <c r="OF30" s="261"/>
      <c r="OG30" s="278">
        <f t="shared" ref="OG30" si="332">+SUM(OF16:OF18)</f>
        <v>0.2</v>
      </c>
      <c r="OH30" s="282">
        <f>+'Parametros Generales'!$J$7</f>
        <v>40504</v>
      </c>
      <c r="OI30" s="279">
        <v>0</v>
      </c>
      <c r="OJ30" s="218">
        <f t="shared" ref="OJ30" si="333">+OH30*OG30*OG11</f>
        <v>52655.200000000004</v>
      </c>
      <c r="OK30" s="113"/>
      <c r="OO30" s="928">
        <f>+IF(OJ30=0,0,OJ30/OJ$72)</f>
        <v>6.9457328325984915E-4</v>
      </c>
      <c r="OR30" s="1197" t="s">
        <v>1282</v>
      </c>
      <c r="OS30" s="643" t="s">
        <v>1273</v>
      </c>
      <c r="OT30" s="261"/>
      <c r="OU30" s="278">
        <f t="shared" ref="OU30" si="334">+SUM(OT16:OT18)</f>
        <v>1</v>
      </c>
      <c r="OV30" s="282">
        <f>+'Parametros Generales'!$J$7</f>
        <v>40504</v>
      </c>
      <c r="OW30" s="279">
        <v>0</v>
      </c>
      <c r="OX30" s="218">
        <f t="shared" ref="OX30" si="335">+OV30*OU30*OU11</f>
        <v>263276</v>
      </c>
      <c r="OY30" s="113"/>
      <c r="PC30" s="928">
        <f>+IF(OX30=0,0,OX30/OX$72)</f>
        <v>8.7625950536940756E-4</v>
      </c>
      <c r="PF30" s="1197" t="s">
        <v>1282</v>
      </c>
      <c r="PG30" s="643" t="s">
        <v>1273</v>
      </c>
      <c r="PH30" s="261"/>
      <c r="PI30" s="278">
        <f t="shared" ref="PI30" si="336">+SUM(PH16:PH18)</f>
        <v>0</v>
      </c>
      <c r="PJ30" s="282">
        <f>+'Parametros Generales'!$J$7</f>
        <v>40504</v>
      </c>
      <c r="PK30" s="279">
        <v>0</v>
      </c>
      <c r="PL30" s="218">
        <f t="shared" ref="PL30" si="337">+PJ30*PI30*PI11</f>
        <v>0</v>
      </c>
      <c r="PM30" s="113"/>
      <c r="PQ30" s="928">
        <f>+IF(PL30=0,0,PL30/PL$72)</f>
        <v>0</v>
      </c>
      <c r="PT30" s="1197" t="s">
        <v>1282</v>
      </c>
      <c r="PU30" s="643" t="s">
        <v>1273</v>
      </c>
      <c r="PV30" s="261"/>
      <c r="PW30" s="278">
        <f t="shared" ref="PW30" si="338">+SUM(PV16:PV18)</f>
        <v>0</v>
      </c>
      <c r="PX30" s="282">
        <f>+'Parametros Generales'!$J$7</f>
        <v>40504</v>
      </c>
      <c r="PY30" s="279">
        <v>0</v>
      </c>
      <c r="PZ30" s="218">
        <f t="shared" ref="PZ30" si="339">+PX30*PW30*PW11</f>
        <v>0</v>
      </c>
      <c r="QA30" s="113"/>
      <c r="QE30" s="928">
        <f>+IF(PZ30=0,0,PZ30/PZ$72)</f>
        <v>0</v>
      </c>
      <c r="QH30" s="1197" t="s">
        <v>1282</v>
      </c>
      <c r="QI30" s="643" t="s">
        <v>1273</v>
      </c>
      <c r="QJ30" s="261"/>
      <c r="QK30" s="278">
        <f t="shared" ref="QK30" si="340">+SUM(QJ16:QJ18)</f>
        <v>0</v>
      </c>
      <c r="QL30" s="282">
        <f>+'Parametros Generales'!$J$7</f>
        <v>40504</v>
      </c>
      <c r="QM30" s="279">
        <v>0</v>
      </c>
      <c r="QN30" s="218">
        <f t="shared" ref="QN30" si="341">+QL30*QK30*QK11</f>
        <v>0</v>
      </c>
      <c r="QO30" s="113"/>
      <c r="QS30" s="928">
        <f>+IF(QN30=0,0,QN30/QN$72)</f>
        <v>0</v>
      </c>
      <c r="QV30" s="1197" t="s">
        <v>1282</v>
      </c>
      <c r="QW30" s="643" t="s">
        <v>1273</v>
      </c>
      <c r="QX30" s="261"/>
      <c r="QY30" s="278">
        <f t="shared" ref="QY30" si="342">+SUM(QX16:QX18)</f>
        <v>0.6</v>
      </c>
      <c r="QZ30" s="282">
        <f>+'Parametros Generales'!$J$7</f>
        <v>40504</v>
      </c>
      <c r="RA30" s="279">
        <v>0</v>
      </c>
      <c r="RB30" s="218">
        <f t="shared" ref="RB30" si="343">+QZ30*QY30*QY11</f>
        <v>157965.59999999998</v>
      </c>
      <c r="RC30" s="113"/>
      <c r="RG30" s="928">
        <f>+IF(RB30=0,0,RB30/RB$72)</f>
        <v>5.0652677659116852E-4</v>
      </c>
      <c r="RJ30" s="1197" t="s">
        <v>1282</v>
      </c>
      <c r="RK30" s="643" t="s">
        <v>1273</v>
      </c>
      <c r="RL30" s="261"/>
      <c r="RM30" s="278">
        <f t="shared" ref="RM30" si="344">+SUM(RL16:RL18)</f>
        <v>0.1</v>
      </c>
      <c r="RN30" s="282">
        <f>+'Parametros Generales'!$J$7</f>
        <v>40504</v>
      </c>
      <c r="RO30" s="279">
        <v>0</v>
      </c>
      <c r="RP30" s="218">
        <f t="shared" ref="RP30" si="345">+RN30*RM30*RM11</f>
        <v>26327.600000000002</v>
      </c>
      <c r="RQ30" s="113"/>
      <c r="RU30" s="928">
        <f>+IF(RP30=0,0,RP30/RP$72)</f>
        <v>4.4542373953929842E-4</v>
      </c>
      <c r="RX30" s="1197" t="s">
        <v>1282</v>
      </c>
      <c r="RY30" s="643" t="s">
        <v>1273</v>
      </c>
      <c r="RZ30" s="261"/>
      <c r="SA30" s="278">
        <f t="shared" ref="SA30" si="346">+SUM(RZ16:RZ18)</f>
        <v>0.35</v>
      </c>
      <c r="SB30" s="282">
        <f>+'Parametros Generales'!$J$7</f>
        <v>40504</v>
      </c>
      <c r="SC30" s="279">
        <v>0</v>
      </c>
      <c r="SD30" s="218">
        <f t="shared" ref="SD30" si="347">+SB30*SA30*SA11</f>
        <v>92146.599999999991</v>
      </c>
      <c r="SE30" s="113"/>
      <c r="SI30" s="928">
        <f>+IF(SD30=0,0,SD30/SD$72)</f>
        <v>5.0652677659116842E-4</v>
      </c>
      <c r="SL30" s="1197" t="s">
        <v>1282</v>
      </c>
      <c r="SM30" s="643" t="s">
        <v>1273</v>
      </c>
      <c r="SN30" s="261"/>
      <c r="SO30" s="278">
        <f t="shared" ref="SO30" si="348">+SUM(SN16:SN18)</f>
        <v>0</v>
      </c>
      <c r="SP30" s="282">
        <f>+'Parametros Generales'!$J$7</f>
        <v>40504</v>
      </c>
      <c r="SQ30" s="279">
        <v>0</v>
      </c>
      <c r="SR30" s="218">
        <f t="shared" ref="SR30" si="349">+SP30*SO30*SO11</f>
        <v>0</v>
      </c>
      <c r="SS30" s="113"/>
      <c r="SW30" s="928">
        <f>+IF(SR30=0,0,SR30/SR$72)</f>
        <v>0</v>
      </c>
      <c r="SZ30" s="1197" t="s">
        <v>1282</v>
      </c>
      <c r="TA30" s="643" t="s">
        <v>1273</v>
      </c>
      <c r="TB30" s="261"/>
      <c r="TC30" s="115">
        <f t="shared" ref="TC30:TC34" si="350">+E30+AU30+BI30+BW30+CK30+CY30+DM30+EA30+EO30+FC30+FQ30+GE30+HG30+HU30+JK30+JY30+KM30+LA30+LO30+MC30+MQ30+NE30+NS30+OG30+OU30+PI30+PW30+QK30+QY30+RM30+SA30+SO30</f>
        <v>14.999999999999998</v>
      </c>
      <c r="TD30" s="282">
        <f>+'Parametros Generales'!$J$7</f>
        <v>40504</v>
      </c>
      <c r="TE30" s="279">
        <v>0</v>
      </c>
      <c r="TF30" s="729">
        <f t="shared" ref="TF30" si="351">+TD30*TC30*TC11</f>
        <v>3949139.9999999991</v>
      </c>
      <c r="TG30" s="113"/>
      <c r="TK30" s="928">
        <f>+IF(TF30=0,0,TF30/TF$72)</f>
        <v>8.4044572925601516E-4</v>
      </c>
      <c r="TM30" s="937"/>
      <c r="TN30" s="725"/>
    </row>
    <row r="31" spans="1:534" ht="18" customHeight="1">
      <c r="B31" s="1190"/>
      <c r="C31" s="644" t="s">
        <v>39</v>
      </c>
      <c r="D31" s="122"/>
      <c r="E31" s="312">
        <f>+SUM(D16:D20)</f>
        <v>7.7</v>
      </c>
      <c r="F31" s="283">
        <f>+'Parametros Generales'!$J$8</f>
        <v>36976</v>
      </c>
      <c r="G31" s="280">
        <v>0</v>
      </c>
      <c r="H31" s="171">
        <f>+F31*E31*E11</f>
        <v>1850648.8</v>
      </c>
      <c r="I31" s="113"/>
      <c r="M31" s="929">
        <f>+IF(H31=0,0,H31/H$72)</f>
        <v>1.0051116942699055E-2</v>
      </c>
      <c r="P31" s="1197"/>
      <c r="Q31" s="644"/>
      <c r="R31" s="122"/>
      <c r="S31" s="312"/>
      <c r="T31" s="283"/>
      <c r="U31" s="280"/>
      <c r="V31" s="171"/>
      <c r="W31" s="113"/>
      <c r="AA31" s="929"/>
      <c r="AD31" s="1197"/>
      <c r="AE31" s="644"/>
      <c r="AF31" s="122"/>
      <c r="AG31" s="312"/>
      <c r="AH31" s="283"/>
      <c r="AI31" s="280"/>
      <c r="AJ31" s="171"/>
      <c r="AK31" s="113"/>
      <c r="AO31" s="929"/>
      <c r="AR31" s="1197"/>
      <c r="AS31" s="644" t="s">
        <v>39</v>
      </c>
      <c r="AT31" s="122"/>
      <c r="AU31" s="312">
        <f t="shared" ref="AU31" si="352">+SUM(AT16:AT20)</f>
        <v>0</v>
      </c>
      <c r="AV31" s="283">
        <f>+'Parametros Generales'!$J$8</f>
        <v>36976</v>
      </c>
      <c r="AW31" s="280">
        <v>0</v>
      </c>
      <c r="AX31" s="171">
        <f t="shared" ref="AX31" si="353">+AV31*AU31*AU11</f>
        <v>0</v>
      </c>
      <c r="AY31" s="113"/>
      <c r="BC31" s="929">
        <f>+IF(AX31=0,0,AX31/AX$72)</f>
        <v>0</v>
      </c>
      <c r="BF31" s="1197"/>
      <c r="BG31" s="644" t="s">
        <v>39</v>
      </c>
      <c r="BH31" s="122"/>
      <c r="BI31" s="312">
        <f t="shared" ref="BI31" si="354">+SUM(BH16:BH20)</f>
        <v>19.8</v>
      </c>
      <c r="BJ31" s="283">
        <f>+'Parametros Generales'!$J$8</f>
        <v>36976</v>
      </c>
      <c r="BK31" s="280">
        <v>0</v>
      </c>
      <c r="BL31" s="171">
        <f t="shared" ref="BL31" si="355">+BJ31*BI31*BI11</f>
        <v>4758811.2</v>
      </c>
      <c r="BM31" s="113"/>
      <c r="BQ31" s="929">
        <f>+IF(BL31=0,0,BL31/BL$72)</f>
        <v>1.0223732729546353E-2</v>
      </c>
      <c r="BT31" s="1197"/>
      <c r="BU31" s="644" t="s">
        <v>39</v>
      </c>
      <c r="BV31" s="122"/>
      <c r="BW31" s="312">
        <f t="shared" ref="BW31" si="356">+SUM(BV16:BV20)</f>
        <v>0</v>
      </c>
      <c r="BX31" s="283">
        <f>+'Parametros Generales'!$J$8</f>
        <v>36976</v>
      </c>
      <c r="BY31" s="280">
        <v>0</v>
      </c>
      <c r="BZ31" s="171">
        <f t="shared" ref="BZ31" si="357">+BX31*BW31*BW11</f>
        <v>0</v>
      </c>
      <c r="CA31" s="113"/>
      <c r="CE31" s="929">
        <f>+IF(BZ31=0,0,BZ31/BZ$72)</f>
        <v>0</v>
      </c>
      <c r="CH31" s="1197"/>
      <c r="CI31" s="644" t="s">
        <v>39</v>
      </c>
      <c r="CJ31" s="122"/>
      <c r="CK31" s="312">
        <f t="shared" ref="CK31" si="358">+SUM(CJ16:CJ20)</f>
        <v>1.1000000000000001</v>
      </c>
      <c r="CL31" s="283">
        <f>+'Parametros Generales'!$J$8</f>
        <v>36976</v>
      </c>
      <c r="CM31" s="280">
        <v>0</v>
      </c>
      <c r="CN31" s="171">
        <f t="shared" ref="CN31" si="359">+CL31*CK31*CK11</f>
        <v>264378.40000000002</v>
      </c>
      <c r="CO31" s="113"/>
      <c r="CS31" s="929">
        <f>+IF(CN31=0,0,CN31/CN$72)</f>
        <v>1.0240772675319502E-2</v>
      </c>
      <c r="CV31" s="1197"/>
      <c r="CW31" s="644" t="s">
        <v>39</v>
      </c>
      <c r="CX31" s="122"/>
      <c r="CY31" s="312">
        <f t="shared" ref="CY31" si="360">+SUM(CX16:CX20)</f>
        <v>14.3</v>
      </c>
      <c r="CZ31" s="283">
        <f>+'Parametros Generales'!$J$8</f>
        <v>36976</v>
      </c>
      <c r="DA31" s="280">
        <v>0</v>
      </c>
      <c r="DB31" s="171">
        <f t="shared" ref="DB31" si="361">+CZ31*CY31*CY11</f>
        <v>3436919.2</v>
      </c>
      <c r="DC31" s="113"/>
      <c r="DG31" s="929">
        <f>+IF(DB31=0,0,DB31/DB$72)</f>
        <v>9.2399636361166493E-3</v>
      </c>
      <c r="DJ31" s="1197"/>
      <c r="DK31" s="644" t="s">
        <v>39</v>
      </c>
      <c r="DL31" s="122"/>
      <c r="DM31" s="312">
        <f t="shared" ref="DM31" si="362">+SUM(DL16:DL20)</f>
        <v>1.1000000000000001</v>
      </c>
      <c r="DN31" s="283">
        <f>+'Parametros Generales'!$J$8</f>
        <v>36976</v>
      </c>
      <c r="DO31" s="280">
        <v>0</v>
      </c>
      <c r="DP31" s="171">
        <f t="shared" ref="DP31" si="363">+DN31*DM31*DM11</f>
        <v>264378.40000000002</v>
      </c>
      <c r="DQ31" s="113"/>
      <c r="DU31" s="929">
        <f>+IF(DP31=0,0,DP31/DP$72)</f>
        <v>9.0950257632914019E-3</v>
      </c>
      <c r="DX31" s="1197"/>
      <c r="DY31" s="644" t="s">
        <v>39</v>
      </c>
      <c r="DZ31" s="122"/>
      <c r="EA31" s="312">
        <f t="shared" ref="EA31" si="364">+SUM(DZ16:DZ20)</f>
        <v>5.5</v>
      </c>
      <c r="EB31" s="283">
        <f>+'Parametros Generales'!$J$8</f>
        <v>36976</v>
      </c>
      <c r="EC31" s="280">
        <v>0</v>
      </c>
      <c r="ED31" s="171">
        <f t="shared" ref="ED31" si="365">+EB31*EA31*EA11</f>
        <v>1321892</v>
      </c>
      <c r="EE31" s="113"/>
      <c r="EI31" s="929">
        <f>+IF(ED31=0,0,ED31/ED$72)</f>
        <v>9.6617228937584485E-3</v>
      </c>
      <c r="EL31" s="1197"/>
      <c r="EM31" s="644" t="s">
        <v>39</v>
      </c>
      <c r="EN31" s="122"/>
      <c r="EO31" s="312">
        <f t="shared" ref="EO31" si="366">+SUM(EN16:EN20)</f>
        <v>9.9</v>
      </c>
      <c r="EP31" s="283">
        <f>+'Parametros Generales'!$J$8</f>
        <v>36976</v>
      </c>
      <c r="EQ31" s="280">
        <v>0</v>
      </c>
      <c r="ER31" s="171">
        <f t="shared" ref="ER31" si="367">+EP31*EO31*EO11</f>
        <v>2379405.6</v>
      </c>
      <c r="ES31" s="929">
        <f>+IF(EN31=0,0,EN31/EN$72)</f>
        <v>0</v>
      </c>
      <c r="EW31" s="929">
        <f>+IF(ER31=0,0,ER31/ER$72)</f>
        <v>1.0223732729546353E-2</v>
      </c>
      <c r="EZ31" s="1197"/>
      <c r="FA31" s="644" t="s">
        <v>39</v>
      </c>
      <c r="FB31" s="122"/>
      <c r="FC31" s="312">
        <f t="shared" ref="FC31" si="368">+SUM(FB16:FB20)</f>
        <v>0</v>
      </c>
      <c r="FD31" s="283">
        <f>+'Parametros Generales'!$J$8</f>
        <v>36976</v>
      </c>
      <c r="FE31" s="280">
        <v>0</v>
      </c>
      <c r="FF31" s="171">
        <f t="shared" ref="FF31" si="369">+FD31*FC31*FC11</f>
        <v>0</v>
      </c>
      <c r="FG31" s="113"/>
      <c r="FK31" s="929">
        <f>+IF(FF31=0,0,FF31/FF$72)</f>
        <v>0</v>
      </c>
      <c r="FN31" s="1197"/>
      <c r="FO31" s="644" t="s">
        <v>39</v>
      </c>
      <c r="FP31" s="122"/>
      <c r="FQ31" s="312">
        <f t="shared" ref="FQ31" si="370">+SUM(FP16:FP20)</f>
        <v>7.15</v>
      </c>
      <c r="FR31" s="283">
        <f>+'Parametros Generales'!$J$8</f>
        <v>36976</v>
      </c>
      <c r="FS31" s="280">
        <v>0</v>
      </c>
      <c r="FT31" s="171">
        <f t="shared" ref="FT31" si="371">+FR31*FQ31*FQ11</f>
        <v>1718459.6</v>
      </c>
      <c r="FU31" s="113"/>
      <c r="FY31" s="929">
        <f>+IF(FT31=0,0,FT31/FT$72)</f>
        <v>5.4185665095297653E-3</v>
      </c>
      <c r="GB31" s="1197"/>
      <c r="GC31" s="644" t="s">
        <v>39</v>
      </c>
      <c r="GD31" s="122"/>
      <c r="GE31" s="312">
        <f t="shared" ref="GE31" si="372">+SUM(GD16:GD20)</f>
        <v>6.6</v>
      </c>
      <c r="GF31" s="283">
        <f>+'Parametros Generales'!$J$8</f>
        <v>36976</v>
      </c>
      <c r="GG31" s="280">
        <v>0</v>
      </c>
      <c r="GH31" s="171">
        <f t="shared" ref="GH31" si="373">+GF31*GE31*GE11</f>
        <v>1586270.4</v>
      </c>
      <c r="GI31" s="113"/>
      <c r="GM31" s="929">
        <f>+IF(GH31=0,0,GH31/GH$72)</f>
        <v>1.0514149131847436E-2</v>
      </c>
      <c r="GP31" s="1197"/>
      <c r="GQ31" s="644" t="s">
        <v>39</v>
      </c>
      <c r="GR31" s="122"/>
      <c r="GS31" s="312">
        <f t="shared" ref="GS31" si="374">+SUM(GR16:GR20)</f>
        <v>0</v>
      </c>
      <c r="GT31" s="283">
        <f>+'Parametros Generales'!$J$8</f>
        <v>36976</v>
      </c>
      <c r="GU31" s="280">
        <v>0</v>
      </c>
      <c r="GV31" s="171">
        <f t="shared" ref="GV31" si="375">+GT31*GS31*GS11</f>
        <v>0</v>
      </c>
      <c r="GW31" s="113"/>
      <c r="HA31" s="929">
        <f>+IF(GV31=0,0,GV31/GV$72)</f>
        <v>0</v>
      </c>
      <c r="HD31" s="1197"/>
      <c r="HE31" s="644" t="s">
        <v>39</v>
      </c>
      <c r="HF31" s="122"/>
      <c r="HG31" s="312">
        <f t="shared" ref="HG31" si="376">+SUM(HF16:HF20)</f>
        <v>3.3</v>
      </c>
      <c r="HH31" s="283">
        <f>+'Parametros Generales'!$J$8</f>
        <v>36976</v>
      </c>
      <c r="HI31" s="280">
        <v>0</v>
      </c>
      <c r="HJ31" s="171">
        <f t="shared" ref="HJ31" si="377">+HH31*HG31*HG11</f>
        <v>793135.2</v>
      </c>
      <c r="HK31" s="113"/>
      <c r="HO31" s="929">
        <f>+IF(HJ31=0,0,HJ31/HJ$72)</f>
        <v>1.0223732729546357E-2</v>
      </c>
      <c r="HR31" s="1197"/>
      <c r="HS31" s="644" t="s">
        <v>39</v>
      </c>
      <c r="HT31" s="122"/>
      <c r="HU31" s="312">
        <f t="shared" ref="HU31" si="378">+SUM(HT16:HT20)</f>
        <v>12.1</v>
      </c>
      <c r="HV31" s="283">
        <f>+'Parametros Generales'!$J$8</f>
        <v>36976</v>
      </c>
      <c r="HW31" s="280">
        <v>0</v>
      </c>
      <c r="HX31" s="171">
        <f t="shared" ref="HX31" si="379">+HV31*HU31*HU11</f>
        <v>2908162.4</v>
      </c>
      <c r="HY31" s="929">
        <f t="shared" si="313"/>
        <v>0</v>
      </c>
      <c r="IC31" s="929">
        <f>+IF(HX31=0,0,HX31/HX$72)</f>
        <v>9.8321417976998046E-3</v>
      </c>
      <c r="IF31" s="1197"/>
      <c r="IG31" s="644"/>
      <c r="IH31" s="122"/>
      <c r="II31" s="312"/>
      <c r="IJ31" s="283"/>
      <c r="IK31" s="280"/>
      <c r="IL31" s="171"/>
      <c r="IM31" s="113"/>
      <c r="IQ31" s="929"/>
      <c r="IT31" s="1197"/>
      <c r="IU31" s="644"/>
      <c r="IV31" s="122"/>
      <c r="IW31" s="312"/>
      <c r="IX31" s="283"/>
      <c r="IY31" s="280"/>
      <c r="IZ31" s="171"/>
      <c r="JA31" s="113"/>
      <c r="JE31" s="929"/>
      <c r="JH31" s="1197"/>
      <c r="JI31" s="644" t="s">
        <v>39</v>
      </c>
      <c r="JJ31" s="122"/>
      <c r="JK31" s="312">
        <f t="shared" ref="JK31" si="380">+SUM(JJ16:JJ20)</f>
        <v>16.5</v>
      </c>
      <c r="JL31" s="283">
        <f>+'Parametros Generales'!$J$8</f>
        <v>36976</v>
      </c>
      <c r="JM31" s="280">
        <v>0</v>
      </c>
      <c r="JN31" s="171">
        <f t="shared" ref="JN31" si="381">+JL31*JK31*JK11</f>
        <v>3965676</v>
      </c>
      <c r="JO31" s="113"/>
      <c r="JS31" s="929">
        <f>+IF(JN31=0,0,JN31/JN$72)</f>
        <v>9.2534223087057822E-3</v>
      </c>
      <c r="JV31" s="1197"/>
      <c r="JW31" s="644" t="s">
        <v>39</v>
      </c>
      <c r="JX31" s="122"/>
      <c r="JY31" s="312">
        <f t="shared" ref="JY31" si="382">+SUM(JX16:JX20)</f>
        <v>7.15</v>
      </c>
      <c r="JZ31" s="283">
        <f>+'Parametros Generales'!$J$8</f>
        <v>36976</v>
      </c>
      <c r="KA31" s="280">
        <v>0</v>
      </c>
      <c r="KB31" s="171">
        <f t="shared" ref="KB31" si="383">+JZ31*JY31*JY11</f>
        <v>1718459.6</v>
      </c>
      <c r="KC31" s="113"/>
      <c r="KG31" s="929">
        <f>+IF(KB31=0,0,KB31/KB$72)</f>
        <v>9.7448251534171578E-3</v>
      </c>
      <c r="KJ31" s="1197"/>
      <c r="KK31" s="644" t="s">
        <v>39</v>
      </c>
      <c r="KL31" s="122"/>
      <c r="KM31" s="312">
        <f t="shared" ref="KM31" si="384">+SUM(KL16:KL20)</f>
        <v>0</v>
      </c>
      <c r="KN31" s="283">
        <f>+'Parametros Generales'!$J$8</f>
        <v>36976</v>
      </c>
      <c r="KO31" s="280">
        <v>0</v>
      </c>
      <c r="KP31" s="171">
        <f t="shared" ref="KP31" si="385">+KN31*KM31*KM11</f>
        <v>0</v>
      </c>
      <c r="KQ31" s="113"/>
      <c r="KU31" s="929">
        <f>+IF(KP31=0,0,KP31/KP$72)</f>
        <v>0</v>
      </c>
      <c r="KX31" s="1197"/>
      <c r="KY31" s="644" t="s">
        <v>39</v>
      </c>
      <c r="KZ31" s="122"/>
      <c r="LA31" s="312">
        <f t="shared" ref="LA31" si="386">+SUM(KZ16:KZ20)</f>
        <v>0</v>
      </c>
      <c r="LB31" s="283">
        <f>+'Parametros Generales'!$J$8</f>
        <v>36976</v>
      </c>
      <c r="LC31" s="280">
        <v>0</v>
      </c>
      <c r="LD31" s="171">
        <f t="shared" ref="LD31" si="387">+LB31*LA31*LA11</f>
        <v>0</v>
      </c>
      <c r="LE31" s="113"/>
      <c r="LI31" s="929">
        <f>+IF(LD31=0,0,LD31/LD$72)</f>
        <v>0</v>
      </c>
      <c r="LL31" s="1197"/>
      <c r="LM31" s="644" t="s">
        <v>39</v>
      </c>
      <c r="LN31" s="122"/>
      <c r="LO31" s="312">
        <f t="shared" ref="LO31" si="388">+SUM(LN16:LN20)</f>
        <v>0</v>
      </c>
      <c r="LP31" s="283">
        <f>+'Parametros Generales'!$J$8</f>
        <v>36976</v>
      </c>
      <c r="LQ31" s="280">
        <v>0</v>
      </c>
      <c r="LR31" s="171">
        <f t="shared" ref="LR31" si="389">+LP31*LO31*LO11</f>
        <v>0</v>
      </c>
      <c r="LS31" s="113"/>
      <c r="LW31" s="929">
        <f>+IF(LR31=0,0,LR31/LR$72)</f>
        <v>0</v>
      </c>
      <c r="LZ31" s="1197"/>
      <c r="MA31" s="644" t="s">
        <v>39</v>
      </c>
      <c r="MB31" s="122"/>
      <c r="MC31" s="312">
        <f t="shared" ref="MC31" si="390">+SUM(MB16:MB20)</f>
        <v>4.95</v>
      </c>
      <c r="MD31" s="283">
        <f>+'Parametros Generales'!$J$8</f>
        <v>36976</v>
      </c>
      <c r="ME31" s="280">
        <v>0</v>
      </c>
      <c r="MF31" s="171">
        <f t="shared" ref="MF31" si="391">+MD31*MC31*MC11</f>
        <v>1189702.8</v>
      </c>
      <c r="MG31" s="113"/>
      <c r="MK31" s="929">
        <f>+IF(MF31=0,0,MF31/MF$72)</f>
        <v>9.6617228937584503E-3</v>
      </c>
      <c r="MN31" s="1197"/>
      <c r="MO31" s="644" t="s">
        <v>39</v>
      </c>
      <c r="MP31" s="122"/>
      <c r="MQ31" s="312">
        <f t="shared" ref="MQ31" si="392">+SUM(MP16:MP20)</f>
        <v>6.6</v>
      </c>
      <c r="MR31" s="283">
        <f>+'Parametros Generales'!$J$8</f>
        <v>36976</v>
      </c>
      <c r="MS31" s="280">
        <v>0</v>
      </c>
      <c r="MT31" s="171">
        <f t="shared" ref="MT31" si="393">+MR31*MQ31*MQ11</f>
        <v>1586270.4</v>
      </c>
      <c r="MU31" s="113"/>
      <c r="MY31" s="929">
        <f>+IF(MT31=0,0,MT31/MT$72)</f>
        <v>9.8915142714090156E-3</v>
      </c>
      <c r="NB31" s="1197"/>
      <c r="NC31" s="644" t="s">
        <v>39</v>
      </c>
      <c r="ND31" s="122"/>
      <c r="NE31" s="312">
        <f t="shared" ref="NE31" si="394">+SUM(ND16:ND20)</f>
        <v>7.7</v>
      </c>
      <c r="NF31" s="283">
        <f>+'Parametros Generales'!$J$8</f>
        <v>36976</v>
      </c>
      <c r="NG31" s="280">
        <v>0</v>
      </c>
      <c r="NH31" s="171">
        <f t="shared" ref="NH31" si="395">+NF31*NE31*NE11</f>
        <v>1850648.8</v>
      </c>
      <c r="NI31" s="113"/>
      <c r="NM31" s="929">
        <f>+IF(NH31=0,0,NH31/NH$72)</f>
        <v>1.0389420003807073E-2</v>
      </c>
      <c r="NP31" s="1197"/>
      <c r="NQ31" s="644" t="s">
        <v>39</v>
      </c>
      <c r="NR31" s="122"/>
      <c r="NS31" s="312">
        <f t="shared" ref="NS31" si="396">+SUM(NR16:NR20)</f>
        <v>8.8000000000000007</v>
      </c>
      <c r="NT31" s="283">
        <f>+'Parametros Generales'!$J$8</f>
        <v>36976</v>
      </c>
      <c r="NU31" s="280">
        <v>0</v>
      </c>
      <c r="NV31" s="171">
        <f t="shared" ref="NV31" si="397">+NT31*NS31*NS11</f>
        <v>2115027.2000000002</v>
      </c>
      <c r="NW31" s="113"/>
      <c r="OA31" s="929">
        <f>+IF(NV31=0,0,NV31/NV$72)</f>
        <v>5.0864772615935609E-3</v>
      </c>
      <c r="OD31" s="1197"/>
      <c r="OE31" s="644" t="s">
        <v>39</v>
      </c>
      <c r="OF31" s="122"/>
      <c r="OG31" s="312">
        <f t="shared" ref="OG31" si="398">+SUM(OF16:OF20)</f>
        <v>2.2000000000000002</v>
      </c>
      <c r="OH31" s="283">
        <f>+'Parametros Generales'!$J$8</f>
        <v>36976</v>
      </c>
      <c r="OI31" s="280">
        <v>0</v>
      </c>
      <c r="OJ31" s="171">
        <f t="shared" ref="OJ31" si="399">+OH31*OG31*OG11</f>
        <v>528756.80000000005</v>
      </c>
      <c r="OK31" s="113"/>
      <c r="OO31" s="929">
        <f>+IF(OJ31=0,0,OJ31/OJ$72)</f>
        <v>6.9748162882672824E-3</v>
      </c>
      <c r="OR31" s="1197"/>
      <c r="OS31" s="644" t="s">
        <v>39</v>
      </c>
      <c r="OT31" s="122"/>
      <c r="OU31" s="312">
        <f t="shared" ref="OU31" si="400">+SUM(OT16:OT20)</f>
        <v>11</v>
      </c>
      <c r="OV31" s="283">
        <f>+'Parametros Generales'!$J$8</f>
        <v>36976</v>
      </c>
      <c r="OW31" s="280">
        <v>0</v>
      </c>
      <c r="OX31" s="171">
        <f t="shared" ref="OX31" si="401">+OV31*OU31*OU11</f>
        <v>2643784</v>
      </c>
      <c r="OY31" s="113"/>
      <c r="PC31" s="929">
        <f>+IF(OX31=0,0,OX31/OX$72)</f>
        <v>8.7992861489218678E-3</v>
      </c>
      <c r="PF31" s="1197"/>
      <c r="PG31" s="644" t="s">
        <v>39</v>
      </c>
      <c r="PH31" s="122"/>
      <c r="PI31" s="312">
        <f t="shared" ref="PI31" si="402">+SUM(PH16:PH20)</f>
        <v>0</v>
      </c>
      <c r="PJ31" s="283">
        <f>+'Parametros Generales'!$J$8</f>
        <v>36976</v>
      </c>
      <c r="PK31" s="280">
        <v>0</v>
      </c>
      <c r="PL31" s="171">
        <f t="shared" ref="PL31" si="403">+PJ31*PI31*PI11</f>
        <v>0</v>
      </c>
      <c r="PM31" s="113"/>
      <c r="PQ31" s="929">
        <f>+IF(PL31=0,0,PL31/PL$72)</f>
        <v>0</v>
      </c>
      <c r="PT31" s="1197"/>
      <c r="PU31" s="644" t="s">
        <v>39</v>
      </c>
      <c r="PV31" s="122"/>
      <c r="PW31" s="312">
        <f t="shared" ref="PW31" si="404">+SUM(PV16:PV20)</f>
        <v>0</v>
      </c>
      <c r="PX31" s="283">
        <f>+'Parametros Generales'!$J$8</f>
        <v>36976</v>
      </c>
      <c r="PY31" s="280">
        <v>0</v>
      </c>
      <c r="PZ31" s="171">
        <f t="shared" ref="PZ31" si="405">+PX31*PW31*PW11</f>
        <v>0</v>
      </c>
      <c r="QA31" s="113"/>
      <c r="QE31" s="929">
        <f>+IF(PZ31=0,0,PZ31/PZ$72)</f>
        <v>0</v>
      </c>
      <c r="QH31" s="1197"/>
      <c r="QI31" s="644" t="s">
        <v>39</v>
      </c>
      <c r="QJ31" s="122"/>
      <c r="QK31" s="312">
        <f t="shared" ref="QK31" si="406">+SUM(QJ16:QJ20)</f>
        <v>0</v>
      </c>
      <c r="QL31" s="283">
        <f>+'Parametros Generales'!$J$8</f>
        <v>36976</v>
      </c>
      <c r="QM31" s="280">
        <v>0</v>
      </c>
      <c r="QN31" s="171">
        <f t="shared" ref="QN31" si="407">+QL31*QK31*QK11</f>
        <v>0</v>
      </c>
      <c r="QO31" s="113"/>
      <c r="QS31" s="929">
        <f>+IF(QN31=0,0,QN31/QN$72)</f>
        <v>0</v>
      </c>
      <c r="QV31" s="1197"/>
      <c r="QW31" s="644" t="s">
        <v>39</v>
      </c>
      <c r="QX31" s="122"/>
      <c r="QY31" s="312">
        <f t="shared" ref="QY31" si="408">+SUM(QX16:QX20)</f>
        <v>6.6</v>
      </c>
      <c r="QZ31" s="283">
        <f>+'Parametros Generales'!$J$8</f>
        <v>36976</v>
      </c>
      <c r="RA31" s="280">
        <v>0</v>
      </c>
      <c r="RB31" s="171">
        <f t="shared" ref="RB31" si="409">+QZ31*QY31*QY11</f>
        <v>1586270.4</v>
      </c>
      <c r="RC31" s="113"/>
      <c r="RG31" s="929">
        <f>+IF(RB31=0,0,RB31/RB$72)</f>
        <v>5.08647726159356E-3</v>
      </c>
      <c r="RJ31" s="1197"/>
      <c r="RK31" s="644" t="s">
        <v>39</v>
      </c>
      <c r="RL31" s="122"/>
      <c r="RM31" s="312">
        <f t="shared" ref="RM31" si="410">+SUM(RL16:RL20)</f>
        <v>1.1000000000000001</v>
      </c>
      <c r="RN31" s="283">
        <f>+'Parametros Generales'!$J$8</f>
        <v>36976</v>
      </c>
      <c r="RO31" s="280">
        <v>0</v>
      </c>
      <c r="RP31" s="171">
        <f t="shared" ref="RP31" si="411">+RN31*RM31*RM11</f>
        <v>264378.40000000002</v>
      </c>
      <c r="RQ31" s="113"/>
      <c r="RU31" s="929">
        <f>+IF(RP31=0,0,RP31/RP$72)</f>
        <v>4.4728883597979479E-3</v>
      </c>
      <c r="RX31" s="1197"/>
      <c r="RY31" s="644" t="s">
        <v>39</v>
      </c>
      <c r="RZ31" s="122"/>
      <c r="SA31" s="312">
        <f t="shared" ref="SA31" si="412">+SUM(RZ16:RZ20)</f>
        <v>3.85</v>
      </c>
      <c r="SB31" s="283">
        <f>+'Parametros Generales'!$J$8</f>
        <v>36976</v>
      </c>
      <c r="SC31" s="280">
        <v>0</v>
      </c>
      <c r="SD31" s="171">
        <f t="shared" ref="SD31" si="413">+SB31*SA31*SA11</f>
        <v>925324.4</v>
      </c>
      <c r="SE31" s="113"/>
      <c r="SI31" s="929">
        <f>+IF(SD31=0,0,SD31/SD$72)</f>
        <v>5.0864772615935583E-3</v>
      </c>
      <c r="SL31" s="1197"/>
      <c r="SM31" s="644" t="s">
        <v>39</v>
      </c>
      <c r="SN31" s="122"/>
      <c r="SO31" s="312">
        <f t="shared" ref="SO31" si="414">+SUM(SN16:SN20)</f>
        <v>0</v>
      </c>
      <c r="SP31" s="283">
        <f>+'Parametros Generales'!$J$8</f>
        <v>36976</v>
      </c>
      <c r="SQ31" s="280">
        <v>0</v>
      </c>
      <c r="SR31" s="171">
        <f t="shared" ref="SR31" si="415">+SP31*SO31*SO11</f>
        <v>0</v>
      </c>
      <c r="SS31" s="113"/>
      <c r="SW31" s="929">
        <f>+IF(SR31=0,0,SR31/SR$72)</f>
        <v>0</v>
      </c>
      <c r="SZ31" s="1197"/>
      <c r="TA31" s="644" t="s">
        <v>39</v>
      </c>
      <c r="TB31" s="122"/>
      <c r="TC31" s="115">
        <f t="shared" si="350"/>
        <v>164.99999999999997</v>
      </c>
      <c r="TD31" s="283">
        <f>+'Parametros Generales'!$J$8</f>
        <v>36976</v>
      </c>
      <c r="TE31" s="280">
        <v>0</v>
      </c>
      <c r="TF31" s="730">
        <f t="shared" ref="TF31" si="416">+TD31*TC31*TC11</f>
        <v>39656759.999999993</v>
      </c>
      <c r="TG31" s="113"/>
      <c r="TK31" s="929">
        <f>+IF(TF31=0,0,TF31/TF$72)</f>
        <v>8.4396487787545584E-3</v>
      </c>
      <c r="TM31" s="937"/>
      <c r="TN31" s="725"/>
    </row>
    <row r="32" spans="1:534" ht="18" customHeight="1">
      <c r="A32" s="95">
        <v>13</v>
      </c>
      <c r="B32" s="1190"/>
      <c r="C32" s="644" t="s">
        <v>1278</v>
      </c>
      <c r="D32" s="122"/>
      <c r="E32" s="115">
        <f>+VLOOKUP(B13,'Cost x Depart'!$A$2:$AL$72,A32,0)</f>
        <v>28</v>
      </c>
      <c r="F32" s="283">
        <f>+'Parametros Generales'!$J$9</f>
        <v>133737</v>
      </c>
      <c r="G32" s="280">
        <v>0</v>
      </c>
      <c r="H32" s="171">
        <f>+E32*F32*E11</f>
        <v>24340134</v>
      </c>
      <c r="I32" s="113"/>
      <c r="M32" s="929">
        <f>+IF(H32=0,0,H32/H$72)</f>
        <v>0.13219446781851063</v>
      </c>
      <c r="O32" s="95">
        <v>13</v>
      </c>
      <c r="P32" s="1197"/>
      <c r="Q32" s="644"/>
      <c r="R32" s="122"/>
      <c r="S32" s="115"/>
      <c r="T32" s="283"/>
      <c r="U32" s="280"/>
      <c r="V32" s="171"/>
      <c r="W32" s="113"/>
      <c r="AA32" s="929"/>
      <c r="AC32" s="95">
        <v>9</v>
      </c>
      <c r="AD32" s="1197"/>
      <c r="AE32" s="644"/>
      <c r="AF32" s="122"/>
      <c r="AG32" s="115"/>
      <c r="AH32" s="283"/>
      <c r="AI32" s="280"/>
      <c r="AJ32" s="171"/>
      <c r="AK32" s="113"/>
      <c r="AO32" s="929"/>
      <c r="AQ32" s="95">
        <v>13</v>
      </c>
      <c r="AR32" s="1197"/>
      <c r="AS32" s="644" t="s">
        <v>1278</v>
      </c>
      <c r="AT32" s="122"/>
      <c r="AU32" s="115">
        <f>+VLOOKUP(AR13,'Cost x Depart'!$A$2:$AL$72,AQ32,0)</f>
        <v>0</v>
      </c>
      <c r="AV32" s="283">
        <f>+'Parametros Generales'!$J$9</f>
        <v>133737</v>
      </c>
      <c r="AW32" s="280">
        <v>0</v>
      </c>
      <c r="AX32" s="171">
        <f t="shared" ref="AX32" si="417">+AU32*AV32*AU11</f>
        <v>0</v>
      </c>
      <c r="AY32" s="113"/>
      <c r="BC32" s="929">
        <f>+IF(AX32=0,0,AX32/AX$72)</f>
        <v>0</v>
      </c>
      <c r="BE32" s="95">
        <v>13</v>
      </c>
      <c r="BF32" s="1197"/>
      <c r="BG32" s="644" t="s">
        <v>1278</v>
      </c>
      <c r="BH32" s="122"/>
      <c r="BI32" s="115">
        <f>+VLOOKUP(BF13,'Cost x Depart'!$A$2:$AL$72,BE32,0)</f>
        <v>72</v>
      </c>
      <c r="BJ32" s="283">
        <f>+'Parametros Generales'!$J$9</f>
        <v>133737</v>
      </c>
      <c r="BK32" s="280">
        <v>0</v>
      </c>
      <c r="BL32" s="171">
        <f t="shared" ref="BL32" si="418">+BI32*BJ32*BI11</f>
        <v>62588916</v>
      </c>
      <c r="BM32" s="113"/>
      <c r="BQ32" s="929">
        <f>+IF(BL32=0,0,BL32/BL$72)</f>
        <v>0.13446474804800565</v>
      </c>
      <c r="BS32" s="95">
        <v>13</v>
      </c>
      <c r="BT32" s="1197"/>
      <c r="BU32" s="644" t="s">
        <v>1278</v>
      </c>
      <c r="BV32" s="122"/>
      <c r="BW32" s="115">
        <f>+VLOOKUP(BT13,'Cost x Depart'!$A$2:$AL$72,BS32,0)</f>
        <v>0</v>
      </c>
      <c r="BX32" s="283">
        <f>+'Parametros Generales'!$J$9</f>
        <v>133737</v>
      </c>
      <c r="BY32" s="280">
        <v>0</v>
      </c>
      <c r="BZ32" s="171">
        <f t="shared" ref="BZ32" si="419">+BW32*BX32*BW11</f>
        <v>0</v>
      </c>
      <c r="CA32" s="113"/>
      <c r="CE32" s="929">
        <f>+IF(BZ32=0,0,BZ32/BZ$72)</f>
        <v>0</v>
      </c>
      <c r="CG32" s="95">
        <v>13</v>
      </c>
      <c r="CH32" s="1197"/>
      <c r="CI32" s="644" t="s">
        <v>1278</v>
      </c>
      <c r="CJ32" s="122"/>
      <c r="CK32" s="115">
        <f>+VLOOKUP(CH13,'Cost x Depart'!$A$2:$AL$72,CG32,0)</f>
        <v>4</v>
      </c>
      <c r="CL32" s="283">
        <f>+'Parametros Generales'!$J$9</f>
        <v>133737</v>
      </c>
      <c r="CM32" s="280">
        <v>0</v>
      </c>
      <c r="CN32" s="171">
        <f t="shared" ref="CN32" si="420">+CK32*CL32*CK11</f>
        <v>3477162</v>
      </c>
      <c r="CO32" s="113"/>
      <c r="CS32" s="929">
        <f>+IF(CN32=0,0,CN32/CN$72)</f>
        <v>0.13468886110688055</v>
      </c>
      <c r="CU32" s="95">
        <v>13</v>
      </c>
      <c r="CV32" s="1197"/>
      <c r="CW32" s="644" t="s">
        <v>1278</v>
      </c>
      <c r="CX32" s="122"/>
      <c r="CY32" s="115">
        <f>+VLOOKUP(CV13,'Cost x Depart'!$A$2:$AL$72,CU32,0)</f>
        <v>52</v>
      </c>
      <c r="CZ32" s="283">
        <f>+'Parametros Generales'!$J$9</f>
        <v>133737</v>
      </c>
      <c r="DA32" s="280">
        <v>0</v>
      </c>
      <c r="DB32" s="171">
        <f t="shared" ref="DB32" si="421">+CY32*CZ32*CY11</f>
        <v>45203106</v>
      </c>
      <c r="DC32" s="113"/>
      <c r="DG32" s="929">
        <f>+IF(DB32=0,0,DB32/DB$72)</f>
        <v>0.12152600377673303</v>
      </c>
      <c r="DI32" s="95">
        <v>13</v>
      </c>
      <c r="DJ32" s="1197"/>
      <c r="DK32" s="644" t="s">
        <v>1278</v>
      </c>
      <c r="DL32" s="122"/>
      <c r="DM32" s="115">
        <f>+VLOOKUP(DJ13,'Cost x Depart'!$A$2:$AL$72,DI32,0)</f>
        <v>4</v>
      </c>
      <c r="DN32" s="283">
        <f>+'Parametros Generales'!$J$9</f>
        <v>133737</v>
      </c>
      <c r="DO32" s="280">
        <v>0</v>
      </c>
      <c r="DP32" s="171">
        <f t="shared" ref="DP32" si="422">+DM32*DN32*DM11</f>
        <v>3477162</v>
      </c>
      <c r="DQ32" s="113"/>
      <c r="DU32" s="929">
        <f>+IF(DP32=0,0,DP32/DP$72)</f>
        <v>0.11961974946946444</v>
      </c>
      <c r="DW32" s="95">
        <v>13</v>
      </c>
      <c r="DX32" s="1197"/>
      <c r="DY32" s="644" t="s">
        <v>1278</v>
      </c>
      <c r="DZ32" s="122"/>
      <c r="EA32" s="115">
        <f>+VLOOKUP(DX13,'Cost x Depart'!$A$2:$AL$72,DW32,0)</f>
        <v>20</v>
      </c>
      <c r="EB32" s="283">
        <f>+'Parametros Generales'!$J$9</f>
        <v>133737</v>
      </c>
      <c r="EC32" s="280">
        <v>0</v>
      </c>
      <c r="ED32" s="171">
        <f t="shared" ref="ED32" si="423">+EA32*EB32*EA11</f>
        <v>17385810</v>
      </c>
      <c r="EE32" s="113"/>
      <c r="EI32" s="929">
        <f>+IF(ED32=0,0,ED32/ED$72)</f>
        <v>0.12707307291634609</v>
      </c>
      <c r="EK32" s="95">
        <v>13</v>
      </c>
      <c r="EL32" s="1197"/>
      <c r="EM32" s="644" t="s">
        <v>1278</v>
      </c>
      <c r="EN32" s="122"/>
      <c r="EO32" s="115">
        <f>+VLOOKUP(EL13,'Cost x Depart'!$A$2:$AL$72,EK32,0)</f>
        <v>36</v>
      </c>
      <c r="EP32" s="283">
        <f>+'Parametros Generales'!$J$9</f>
        <v>133737</v>
      </c>
      <c r="EQ32" s="280">
        <v>0</v>
      </c>
      <c r="ER32" s="171">
        <f t="shared" ref="ER32" si="424">+EO32*EP32*EO11</f>
        <v>31294458</v>
      </c>
      <c r="ES32" s="929">
        <f>+IF(EN32=0,0,EN32/EN$72)</f>
        <v>0</v>
      </c>
      <c r="EW32" s="929">
        <f>+IF(ER32=0,0,ER32/ER$72)</f>
        <v>0.13446474804800565</v>
      </c>
      <c r="EY32" s="95">
        <v>13</v>
      </c>
      <c r="EZ32" s="1197"/>
      <c r="FA32" s="644" t="s">
        <v>1278</v>
      </c>
      <c r="FB32" s="122"/>
      <c r="FC32" s="115">
        <f>+VLOOKUP(EZ13,'Cost x Depart'!$A$2:$AL$72,EY32,0)</f>
        <v>0</v>
      </c>
      <c r="FD32" s="283">
        <f>+'Parametros Generales'!$J$9</f>
        <v>133737</v>
      </c>
      <c r="FE32" s="280">
        <v>0</v>
      </c>
      <c r="FF32" s="171">
        <f t="shared" ref="FF32" si="425">+FC32*FD32*FC11</f>
        <v>0</v>
      </c>
      <c r="FG32" s="113"/>
      <c r="FK32" s="929">
        <f>+IF(FF32=0,0,FF32/FF$72)</f>
        <v>0</v>
      </c>
      <c r="FM32" s="95">
        <v>13</v>
      </c>
      <c r="FN32" s="1197"/>
      <c r="FO32" s="644" t="s">
        <v>1278</v>
      </c>
      <c r="FP32" s="122"/>
      <c r="FQ32" s="115">
        <f>+VLOOKUP(FN13,'Cost x Depart'!$A$2:$AL$72,FM32,0)</f>
        <v>26</v>
      </c>
      <c r="FR32" s="283">
        <f>+'Parametros Generales'!$J$9</f>
        <v>133737</v>
      </c>
      <c r="FS32" s="280">
        <v>0</v>
      </c>
      <c r="FT32" s="171">
        <f t="shared" ref="FT32" si="426">+FQ32*FR32*FQ11</f>
        <v>22601553</v>
      </c>
      <c r="FU32" s="113"/>
      <c r="FY32" s="929">
        <f>+IF(FT32=0,0,FT32/FT$72)</f>
        <v>7.1266160780947066E-2</v>
      </c>
      <c r="GA32" s="95">
        <v>13</v>
      </c>
      <c r="GB32" s="1197"/>
      <c r="GC32" s="644" t="s">
        <v>1278</v>
      </c>
      <c r="GD32" s="122"/>
      <c r="GE32" s="115">
        <f>+VLOOKUP(GB13,'Cost x Depart'!$A$2:$AL$72,GA32,0)</f>
        <v>24</v>
      </c>
      <c r="GF32" s="283">
        <f>+'Parametros Generales'!$J$9</f>
        <v>133737</v>
      </c>
      <c r="GG32" s="280">
        <v>0</v>
      </c>
      <c r="GH32" s="171">
        <f t="shared" ref="GH32" si="427">+GE32*GF32*GE11</f>
        <v>20862972</v>
      </c>
      <c r="GI32" s="113"/>
      <c r="GM32" s="929">
        <f>+IF(GH32=0,0,GH32/GH$72)</f>
        <v>0.13828436749595616</v>
      </c>
      <c r="GO32" s="95">
        <v>13</v>
      </c>
      <c r="GP32" s="1197"/>
      <c r="GQ32" s="644" t="s">
        <v>1278</v>
      </c>
      <c r="GR32" s="122"/>
      <c r="GS32" s="115">
        <f>+VLOOKUP(GP13,'Cost x Depart'!$A$2:$AL$72,GO32,0)</f>
        <v>0</v>
      </c>
      <c r="GT32" s="283">
        <f>+'Parametros Generales'!$J$9</f>
        <v>133737</v>
      </c>
      <c r="GU32" s="280">
        <v>0</v>
      </c>
      <c r="GV32" s="171">
        <f t="shared" ref="GV32" si="428">+GS32*GT32*GS11</f>
        <v>0</v>
      </c>
      <c r="GW32" s="113"/>
      <c r="HA32" s="929">
        <f>+IF(GV32=0,0,GV32/GV$72)</f>
        <v>0</v>
      </c>
      <c r="HC32" s="95">
        <v>13</v>
      </c>
      <c r="HD32" s="1197"/>
      <c r="HE32" s="644" t="s">
        <v>1278</v>
      </c>
      <c r="HF32" s="122"/>
      <c r="HG32" s="115">
        <f>+VLOOKUP(HD13,'Cost x Depart'!$A$2:$AL$72,HC32,0)</f>
        <v>12</v>
      </c>
      <c r="HH32" s="283">
        <f>+'Parametros Generales'!$J$9</f>
        <v>133737</v>
      </c>
      <c r="HI32" s="280">
        <v>0</v>
      </c>
      <c r="HJ32" s="171">
        <f t="shared" ref="HJ32" si="429">+HG32*HH32*HG11</f>
        <v>10431486</v>
      </c>
      <c r="HK32" s="113"/>
      <c r="HO32" s="929">
        <f>+IF(HJ32=0,0,HJ32/HJ$72)</f>
        <v>0.13446474804800571</v>
      </c>
      <c r="HQ32" s="95">
        <v>13</v>
      </c>
      <c r="HR32" s="1197"/>
      <c r="HS32" s="644" t="s">
        <v>1278</v>
      </c>
      <c r="HT32" s="122"/>
      <c r="HU32" s="115">
        <f>+VLOOKUP(HR13,'Cost x Depart'!$A$2:$AL$72,HQ32,0)</f>
        <v>44</v>
      </c>
      <c r="HV32" s="283">
        <f>+'Parametros Generales'!$J$9</f>
        <v>133737</v>
      </c>
      <c r="HW32" s="280">
        <v>0</v>
      </c>
      <c r="HX32" s="171">
        <f t="shared" ref="HX32" si="430">+HU32*HV32*HU11</f>
        <v>38248782</v>
      </c>
      <c r="HY32" s="929">
        <f t="shared" si="313"/>
        <v>0</v>
      </c>
      <c r="IC32" s="929">
        <f>+IF(HX32=0,0,HX32/HX$72)</f>
        <v>0.12931445926586077</v>
      </c>
      <c r="IE32" s="95">
        <v>13</v>
      </c>
      <c r="IF32" s="1197"/>
      <c r="IG32" s="644"/>
      <c r="IH32" s="122"/>
      <c r="II32" s="115"/>
      <c r="IJ32" s="283"/>
      <c r="IK32" s="280"/>
      <c r="IL32" s="171"/>
      <c r="IM32" s="113"/>
      <c r="IQ32" s="929"/>
      <c r="IS32" s="95">
        <v>13</v>
      </c>
      <c r="IT32" s="1197"/>
      <c r="IU32" s="644"/>
      <c r="IV32" s="122"/>
      <c r="IW32" s="115"/>
      <c r="IX32" s="283"/>
      <c r="IY32" s="280"/>
      <c r="IZ32" s="171"/>
      <c r="JA32" s="113"/>
      <c r="JE32" s="929"/>
      <c r="JG32" s="95">
        <v>13</v>
      </c>
      <c r="JH32" s="1197"/>
      <c r="JI32" s="644" t="s">
        <v>1278</v>
      </c>
      <c r="JJ32" s="122"/>
      <c r="JK32" s="115">
        <f>+VLOOKUP(JH13,'Cost x Depart'!$A$2:$AL$72,JG32,0)</f>
        <v>60</v>
      </c>
      <c r="JL32" s="283">
        <f>+'Parametros Generales'!$J$9</f>
        <v>133737</v>
      </c>
      <c r="JM32" s="280">
        <v>0</v>
      </c>
      <c r="JN32" s="171">
        <f t="shared" ref="JN32" si="431">+JK32*JL32*JK11</f>
        <v>52157430</v>
      </c>
      <c r="JO32" s="113"/>
      <c r="JS32" s="929">
        <f>+IF(JN32=0,0,JN32/JN$72)</f>
        <v>0.12170301515473282</v>
      </c>
      <c r="JU32" s="95">
        <v>13</v>
      </c>
      <c r="JV32" s="1197"/>
      <c r="JW32" s="644" t="s">
        <v>1278</v>
      </c>
      <c r="JX32" s="122"/>
      <c r="JY32" s="115">
        <f>+VLOOKUP(JV13,'Cost x Depart'!$A$2:$AL$72,JU32,0)</f>
        <v>26</v>
      </c>
      <c r="JZ32" s="283">
        <f>+'Parametros Generales'!$J$9</f>
        <v>133737</v>
      </c>
      <c r="KA32" s="280">
        <v>0</v>
      </c>
      <c r="KB32" s="171">
        <f t="shared" ref="KB32" si="432">+JY32*JZ32*JY11</f>
        <v>22601553</v>
      </c>
      <c r="KC32" s="113"/>
      <c r="KG32" s="929">
        <f>+IF(KB32=0,0,KB32/KB$72)</f>
        <v>0.12816605184124841</v>
      </c>
      <c r="KI32" s="95">
        <v>13</v>
      </c>
      <c r="KJ32" s="1197"/>
      <c r="KK32" s="644" t="s">
        <v>1278</v>
      </c>
      <c r="KL32" s="122"/>
      <c r="KM32" s="115">
        <f>+VLOOKUP(KJ13,'Cost x Depart'!$A$2:$AL$72,KI32,0)</f>
        <v>0</v>
      </c>
      <c r="KN32" s="283">
        <f>+'Parametros Generales'!$J$9</f>
        <v>133737</v>
      </c>
      <c r="KO32" s="280">
        <v>0</v>
      </c>
      <c r="KP32" s="171">
        <f t="shared" ref="KP32" si="433">+KM32*KN32*KM11</f>
        <v>0</v>
      </c>
      <c r="KQ32" s="113"/>
      <c r="KU32" s="929">
        <f>+IF(KP32=0,0,KP32/KP$72)</f>
        <v>0</v>
      </c>
      <c r="KW32" s="95">
        <v>13</v>
      </c>
      <c r="KX32" s="1197"/>
      <c r="KY32" s="644" t="s">
        <v>1278</v>
      </c>
      <c r="KZ32" s="122"/>
      <c r="LA32" s="115">
        <f>+VLOOKUP(KX13,'Cost x Depart'!$A$2:$AL$72,KW32,0)</f>
        <v>0</v>
      </c>
      <c r="LB32" s="283">
        <f>+'Parametros Generales'!$J$9</f>
        <v>133737</v>
      </c>
      <c r="LC32" s="280">
        <v>0</v>
      </c>
      <c r="LD32" s="171">
        <f t="shared" ref="LD32" si="434">+LA32*LB32*LA11</f>
        <v>0</v>
      </c>
      <c r="LE32" s="113"/>
      <c r="LI32" s="929">
        <f>+IF(LD32=0,0,LD32/LD$72)</f>
        <v>0</v>
      </c>
      <c r="LK32" s="95">
        <v>13</v>
      </c>
      <c r="LL32" s="1197"/>
      <c r="LM32" s="644" t="s">
        <v>1278</v>
      </c>
      <c r="LN32" s="122"/>
      <c r="LO32" s="115">
        <f>+VLOOKUP(LL13,'Cost x Depart'!$A$2:$AL$72,LK32,0)</f>
        <v>0</v>
      </c>
      <c r="LP32" s="283">
        <f>+'Parametros Generales'!$J$9</f>
        <v>133737</v>
      </c>
      <c r="LQ32" s="280">
        <v>0</v>
      </c>
      <c r="LR32" s="171">
        <f t="shared" ref="LR32" si="435">+LO32*LP32*LO11</f>
        <v>0</v>
      </c>
      <c r="LS32" s="113"/>
      <c r="LW32" s="929">
        <f>+IF(LR32=0,0,LR32/LR$72)</f>
        <v>0</v>
      </c>
      <c r="LY32" s="95">
        <v>13</v>
      </c>
      <c r="LZ32" s="1197"/>
      <c r="MA32" s="644" t="s">
        <v>1278</v>
      </c>
      <c r="MB32" s="122"/>
      <c r="MC32" s="115">
        <f>+VLOOKUP(LZ13,'Cost x Depart'!$A$2:$AL$72,LY32,0)</f>
        <v>18</v>
      </c>
      <c r="MD32" s="283">
        <f>+'Parametros Generales'!$J$9</f>
        <v>133737</v>
      </c>
      <c r="ME32" s="280">
        <v>0</v>
      </c>
      <c r="MF32" s="171">
        <f t="shared" ref="MF32" si="436">+MC32*MD32*MC11</f>
        <v>15647229</v>
      </c>
      <c r="MG32" s="113"/>
      <c r="MK32" s="929">
        <f>+IF(MF32=0,0,MF32/MF$72)</f>
        <v>0.12707307291634609</v>
      </c>
      <c r="MM32" s="95">
        <v>13</v>
      </c>
      <c r="MN32" s="1197"/>
      <c r="MO32" s="644" t="s">
        <v>1278</v>
      </c>
      <c r="MP32" s="122"/>
      <c r="MQ32" s="115">
        <f>+VLOOKUP(MN13,'Cost x Depart'!$A$2:$AL$72,MM32,0)</f>
        <v>24</v>
      </c>
      <c r="MR32" s="283">
        <f>+'Parametros Generales'!$J$9</f>
        <v>133737</v>
      </c>
      <c r="MS32" s="280">
        <v>0</v>
      </c>
      <c r="MT32" s="171">
        <f t="shared" ref="MT32" si="437">+MQ32*MR32*MQ11</f>
        <v>20862972</v>
      </c>
      <c r="MU32" s="113"/>
      <c r="MY32" s="929">
        <f>+IF(MT32=0,0,MT32/MT$72)</f>
        <v>0.13009533890439279</v>
      </c>
      <c r="NA32" s="95">
        <v>13</v>
      </c>
      <c r="NB32" s="1197"/>
      <c r="NC32" s="644" t="s">
        <v>1278</v>
      </c>
      <c r="ND32" s="122"/>
      <c r="NE32" s="115">
        <f>+VLOOKUP(NB13,'Cost x Depart'!$A$2:$AL$72,NA32,0)</f>
        <v>28</v>
      </c>
      <c r="NF32" s="283">
        <f>+'Parametros Generales'!$J$9</f>
        <v>133737</v>
      </c>
      <c r="NG32" s="280">
        <v>0</v>
      </c>
      <c r="NH32" s="171">
        <f t="shared" ref="NH32" si="438">+NE32*NF32*NE11</f>
        <v>24340134</v>
      </c>
      <c r="NI32" s="113"/>
      <c r="NM32" s="929">
        <f>+IF(NH32=0,0,NH32/NH$72)</f>
        <v>0.13664390297875245</v>
      </c>
      <c r="NO32" s="95">
        <v>13</v>
      </c>
      <c r="NP32" s="1197"/>
      <c r="NQ32" s="644" t="s">
        <v>1278</v>
      </c>
      <c r="NR32" s="122"/>
      <c r="NS32" s="115">
        <f>+VLOOKUP(NP13,'Cost x Depart'!$A$2:$AL$72,NO32,0)</f>
        <v>32</v>
      </c>
      <c r="NT32" s="283">
        <f>+'Parametros Generales'!$J$9</f>
        <v>133737</v>
      </c>
      <c r="NU32" s="280">
        <v>0</v>
      </c>
      <c r="NV32" s="171">
        <f t="shared" ref="NV32" si="439">+NS32*NT32*NS11</f>
        <v>27817296</v>
      </c>
      <c r="NW32" s="113"/>
      <c r="OA32" s="929">
        <f>+IF(NV32=0,0,NV32/NV$72)</f>
        <v>6.6898451037895629E-2</v>
      </c>
      <c r="OC32" s="95">
        <v>13</v>
      </c>
      <c r="OD32" s="1197"/>
      <c r="OE32" s="644" t="s">
        <v>1278</v>
      </c>
      <c r="OF32" s="122"/>
      <c r="OG32" s="115">
        <f>+VLOOKUP(OD13,'Cost x Depart'!$A$2:$AL$72,OC32,0)</f>
        <v>8</v>
      </c>
      <c r="OH32" s="283">
        <f>+'Parametros Generales'!$J$9</f>
        <v>133737</v>
      </c>
      <c r="OI32" s="280">
        <v>0</v>
      </c>
      <c r="OJ32" s="171">
        <f t="shared" ref="OJ32" si="440">+OG32*OH32*OG11</f>
        <v>6954324</v>
      </c>
      <c r="OK32" s="113"/>
      <c r="OO32" s="929">
        <f>+IF(OJ32=0,0,OJ32/OJ$72)</f>
        <v>9.1734295065497171E-2</v>
      </c>
      <c r="OQ32" s="95">
        <v>13</v>
      </c>
      <c r="OR32" s="1197"/>
      <c r="OS32" s="644" t="s">
        <v>1278</v>
      </c>
      <c r="OT32" s="122"/>
      <c r="OU32" s="115">
        <f>+VLOOKUP(OR13,'Cost x Depart'!$A$2:$AL$72,OQ32,0)</f>
        <v>40</v>
      </c>
      <c r="OV32" s="283">
        <f>+'Parametros Generales'!$J$9</f>
        <v>133737</v>
      </c>
      <c r="OW32" s="280">
        <v>0</v>
      </c>
      <c r="OX32" s="171">
        <f t="shared" ref="OX32" si="441">+OU32*OV32*OU11</f>
        <v>34771620</v>
      </c>
      <c r="OY32" s="113"/>
      <c r="PC32" s="929">
        <f>+IF(OX32=0,0,OX32/OX$72)</f>
        <v>0.11573011798300263</v>
      </c>
      <c r="PE32" s="95">
        <v>13</v>
      </c>
      <c r="PF32" s="1197"/>
      <c r="PG32" s="644" t="s">
        <v>1278</v>
      </c>
      <c r="PH32" s="122"/>
      <c r="PI32" s="115">
        <f>+VLOOKUP(PF13,'Cost x Depart'!$A$2:$AL$72,PE32,0)</f>
        <v>0</v>
      </c>
      <c r="PJ32" s="283">
        <f>+'Parametros Generales'!$J$9</f>
        <v>133737</v>
      </c>
      <c r="PK32" s="280">
        <v>0</v>
      </c>
      <c r="PL32" s="171">
        <f t="shared" ref="PL32" si="442">+PI32*PJ32*PI11</f>
        <v>0</v>
      </c>
      <c r="PM32" s="113"/>
      <c r="PQ32" s="929">
        <f>+IF(PL32=0,0,PL32/PL$72)</f>
        <v>0</v>
      </c>
      <c r="PS32" s="95">
        <v>13</v>
      </c>
      <c r="PT32" s="1197"/>
      <c r="PU32" s="644" t="s">
        <v>1278</v>
      </c>
      <c r="PV32" s="122"/>
      <c r="PW32" s="115">
        <f>+VLOOKUP(PT13,'Cost x Depart'!$A$2:$AL$72,PS32,0)</f>
        <v>0</v>
      </c>
      <c r="PX32" s="283">
        <f>+'Parametros Generales'!$J$9</f>
        <v>133737</v>
      </c>
      <c r="PY32" s="280">
        <v>0</v>
      </c>
      <c r="PZ32" s="171">
        <f t="shared" ref="PZ32" si="443">+PW32*PX32*PW11</f>
        <v>0</v>
      </c>
      <c r="QA32" s="113"/>
      <c r="QE32" s="929">
        <f>+IF(PZ32=0,0,PZ32/PZ$72)</f>
        <v>0</v>
      </c>
      <c r="QG32" s="95">
        <v>13</v>
      </c>
      <c r="QH32" s="1197"/>
      <c r="QI32" s="644" t="s">
        <v>1278</v>
      </c>
      <c r="QJ32" s="122"/>
      <c r="QK32" s="115">
        <f>+VLOOKUP(QH13,'Cost x Depart'!$A$2:$AL$72,QG32,0)</f>
        <v>0</v>
      </c>
      <c r="QL32" s="283">
        <f>+'Parametros Generales'!$J$9</f>
        <v>133737</v>
      </c>
      <c r="QM32" s="280">
        <v>0</v>
      </c>
      <c r="QN32" s="171">
        <f t="shared" ref="QN32" si="444">+QK32*QL32*QK11</f>
        <v>0</v>
      </c>
      <c r="QO32" s="113"/>
      <c r="QS32" s="929">
        <f>+IF(QN32=0,0,QN32/QN$72)</f>
        <v>0</v>
      </c>
      <c r="QU32" s="95">
        <v>13</v>
      </c>
      <c r="QV32" s="1197"/>
      <c r="QW32" s="644" t="s">
        <v>1278</v>
      </c>
      <c r="QX32" s="122"/>
      <c r="QY32" s="115">
        <f>+VLOOKUP(QV13,'Cost x Depart'!$A$2:$AL$72,QU32,0)</f>
        <v>24</v>
      </c>
      <c r="QZ32" s="283">
        <f>+'Parametros Generales'!$J$9</f>
        <v>133737</v>
      </c>
      <c r="RA32" s="280">
        <v>0</v>
      </c>
      <c r="RB32" s="171">
        <f t="shared" ref="RB32" si="445">+QY32*QZ32*QY11</f>
        <v>20862972</v>
      </c>
      <c r="RC32" s="113"/>
      <c r="RG32" s="929">
        <f>+IF(RB32=0,0,RB32/RB$72)</f>
        <v>6.6898451037895629E-2</v>
      </c>
      <c r="RI32" s="95">
        <v>13</v>
      </c>
      <c r="RJ32" s="1197"/>
      <c r="RK32" s="644" t="s">
        <v>1278</v>
      </c>
      <c r="RL32" s="122"/>
      <c r="RM32" s="115">
        <f>+VLOOKUP(RJ13,'Cost x Depart'!$A$2:$AL$72,RI32,0)</f>
        <v>4</v>
      </c>
      <c r="RN32" s="283">
        <f>+'Parametros Generales'!$J$9</f>
        <v>133737</v>
      </c>
      <c r="RO32" s="280">
        <v>0</v>
      </c>
      <c r="RP32" s="171">
        <f t="shared" ref="RP32" si="446">+RM32*RN32*RM11</f>
        <v>3477162</v>
      </c>
      <c r="RQ32" s="113"/>
      <c r="RU32" s="929">
        <f>+IF(RP32=0,0,RP32/RP$72)</f>
        <v>5.8828396854401686E-2</v>
      </c>
      <c r="RW32" s="95">
        <v>13</v>
      </c>
      <c r="RX32" s="1197"/>
      <c r="RY32" s="644" t="s">
        <v>1278</v>
      </c>
      <c r="RZ32" s="122"/>
      <c r="SA32" s="115">
        <f>+VLOOKUP(RX13,'Cost x Depart'!$A$2:$AL$72,RW32,0)</f>
        <v>14</v>
      </c>
      <c r="SB32" s="283">
        <f>+'Parametros Generales'!$J$9</f>
        <v>133737</v>
      </c>
      <c r="SC32" s="280">
        <v>0</v>
      </c>
      <c r="SD32" s="171">
        <f t="shared" ref="SD32" si="447">+SA32*SB32*SA11</f>
        <v>12170067</v>
      </c>
      <c r="SE32" s="113"/>
      <c r="SI32" s="929">
        <f>+IF(SD32=0,0,SD32/SD$72)</f>
        <v>6.6898451037895615E-2</v>
      </c>
      <c r="SK32" s="95">
        <v>13</v>
      </c>
      <c r="SL32" s="1197"/>
      <c r="SM32" s="644" t="s">
        <v>1278</v>
      </c>
      <c r="SN32" s="122"/>
      <c r="SO32" s="115">
        <f>+VLOOKUP(SL13,'Cost x Depart'!$A$2:$AL$72,SK32,0)</f>
        <v>0</v>
      </c>
      <c r="SP32" s="283">
        <f>+'Parametros Generales'!$J$9</f>
        <v>133737</v>
      </c>
      <c r="SQ32" s="280">
        <v>0</v>
      </c>
      <c r="SR32" s="171">
        <f t="shared" ref="SR32" si="448">+SO32*SP32*SO11</f>
        <v>0</v>
      </c>
      <c r="SS32" s="113"/>
      <c r="SW32" s="929">
        <f>+IF(SR32=0,0,SR32/SR$72)</f>
        <v>0</v>
      </c>
      <c r="SY32" s="95">
        <v>9</v>
      </c>
      <c r="SZ32" s="1197"/>
      <c r="TA32" s="644" t="s">
        <v>1278</v>
      </c>
      <c r="TB32" s="122"/>
      <c r="TC32" s="115">
        <f t="shared" si="350"/>
        <v>600</v>
      </c>
      <c r="TD32" s="283">
        <f>+'Parametros Generales'!$J$9</f>
        <v>133737</v>
      </c>
      <c r="TE32" s="280">
        <v>0</v>
      </c>
      <c r="TF32" s="730">
        <f t="shared" ref="TF32" si="449">+TC32*TD32*TC11</f>
        <v>521574300</v>
      </c>
      <c r="TG32" s="113"/>
      <c r="TK32" s="929">
        <f>+IF(TF32=0,0,TF32/TF$72)</f>
        <v>0.11100008936748146</v>
      </c>
      <c r="TM32" s="937"/>
      <c r="TN32" s="725"/>
    </row>
    <row r="33" spans="1:534" ht="18" customHeight="1">
      <c r="A33" s="95">
        <v>8</v>
      </c>
      <c r="B33" s="1190"/>
      <c r="C33" s="644" t="s">
        <v>1279</v>
      </c>
      <c r="D33" s="122"/>
      <c r="E33" s="281">
        <f>+VLOOKUP(B13,'Cost x Depart'!$A$2:$AL$72,A33,0)*'Parametros Generales'!$C$11</f>
        <v>8400</v>
      </c>
      <c r="F33" s="283">
        <v>0</v>
      </c>
      <c r="G33" s="419">
        <f>+'Parametros Generales'!$J$10</f>
        <v>1265.0544775353062</v>
      </c>
      <c r="H33" s="171">
        <f>+(('Res de Costos X Dept'!E11)*'Res de Costos X Dept'!E33)*G33</f>
        <v>69071974.473427713</v>
      </c>
      <c r="I33" s="113"/>
      <c r="M33" s="929">
        <f>+IF(H33=0,0,H33/H$72)</f>
        <v>0.37513897444806704</v>
      </c>
      <c r="O33" s="95">
        <v>8</v>
      </c>
      <c r="P33" s="1197"/>
      <c r="Q33" s="644"/>
      <c r="R33" s="122"/>
      <c r="S33" s="281"/>
      <c r="T33" s="283"/>
      <c r="U33" s="419"/>
      <c r="V33" s="171"/>
      <c r="W33" s="113"/>
      <c r="AA33" s="929"/>
      <c r="AC33" s="95">
        <v>8</v>
      </c>
      <c r="AD33" s="1197"/>
      <c r="AE33" s="644"/>
      <c r="AF33" s="122"/>
      <c r="AG33" s="281"/>
      <c r="AH33" s="283"/>
      <c r="AI33" s="419"/>
      <c r="AJ33" s="171"/>
      <c r="AK33" s="113"/>
      <c r="AO33" s="929"/>
      <c r="AQ33" s="95">
        <v>8</v>
      </c>
      <c r="AR33" s="1197"/>
      <c r="AS33" s="644" t="s">
        <v>1279</v>
      </c>
      <c r="AT33" s="122"/>
      <c r="AU33" s="281">
        <f>+VLOOKUP(AR13,'Cost x Depart'!$A$2:$AL$72,AQ33,0)*'Parametros Generales'!$C$11</f>
        <v>0</v>
      </c>
      <c r="AV33" s="283">
        <v>0</v>
      </c>
      <c r="AW33" s="419">
        <f>+'Parametros Generales'!$J$10</f>
        <v>1265.0544775353062</v>
      </c>
      <c r="AX33" s="171">
        <f>+(('Res de Costos X Dept'!AU11)*'Res de Costos X Dept'!AU33)*AW33</f>
        <v>0</v>
      </c>
      <c r="AY33" s="113"/>
      <c r="BC33" s="929">
        <f>+IF(AX33=0,0,AX33/AX$72)</f>
        <v>0</v>
      </c>
      <c r="BE33" s="95">
        <v>8</v>
      </c>
      <c r="BF33" s="1197"/>
      <c r="BG33" s="644" t="s">
        <v>1279</v>
      </c>
      <c r="BH33" s="122"/>
      <c r="BI33" s="281">
        <f>+VLOOKUP(BF13,'Cost x Depart'!$A$2:$AL$72,BE33,0)*'Parametros Generales'!$C$11</f>
        <v>21600</v>
      </c>
      <c r="BJ33" s="283">
        <v>0</v>
      </c>
      <c r="BK33" s="419">
        <f>+'Parametros Generales'!$J$10</f>
        <v>1265.0544775353062</v>
      </c>
      <c r="BL33" s="171">
        <f>+(('Res de Costos X Dept'!BI11)*'Res de Costos X Dept'!BI33)*BK33</f>
        <v>177613648.64595699</v>
      </c>
      <c r="BM33" s="113"/>
      <c r="BQ33" s="929">
        <f>+IF(BL33=0,0,BL33/BL$72)</f>
        <v>0.38158153298366132</v>
      </c>
      <c r="BS33" s="95">
        <v>8</v>
      </c>
      <c r="BT33" s="1197"/>
      <c r="BU33" s="644" t="s">
        <v>1279</v>
      </c>
      <c r="BV33" s="122"/>
      <c r="BW33" s="281">
        <f>+VLOOKUP(BT13,'Cost x Depart'!$A$2:$AL$72,BS33,0)*'Parametros Generales'!$C$11</f>
        <v>0</v>
      </c>
      <c r="BX33" s="283">
        <v>0</v>
      </c>
      <c r="BY33" s="419">
        <f>+'Parametros Generales'!$J$10</f>
        <v>1265.0544775353062</v>
      </c>
      <c r="BZ33" s="171">
        <f>+(('Res de Costos X Dept'!BW11)*'Res de Costos X Dept'!BW33)*BY33</f>
        <v>0</v>
      </c>
      <c r="CA33" s="113"/>
      <c r="CE33" s="929">
        <f>+IF(BZ33=0,0,BZ33/BZ$72)</f>
        <v>0</v>
      </c>
      <c r="CG33" s="95">
        <v>8</v>
      </c>
      <c r="CH33" s="1197"/>
      <c r="CI33" s="644" t="s">
        <v>1279</v>
      </c>
      <c r="CJ33" s="122"/>
      <c r="CK33" s="281">
        <f>+VLOOKUP(CH13,'Cost x Depart'!$A$2:$AL$72,CG33,0)*'Parametros Generales'!$C$11</f>
        <v>1200</v>
      </c>
      <c r="CL33" s="283">
        <v>0</v>
      </c>
      <c r="CM33" s="419">
        <f>+'Parametros Generales'!$J$10</f>
        <v>1265.0544775353062</v>
      </c>
      <c r="CN33" s="171">
        <f>+(('Res de Costos X Dept'!CK11)*'Res de Costos X Dept'!CK33)*CM33</f>
        <v>9867424.9247753881</v>
      </c>
      <c r="CO33" s="113"/>
      <c r="CS33" s="929">
        <f>+IF(CN33=0,0,CN33/CN$72)</f>
        <v>0.38221751680699473</v>
      </c>
      <c r="CU33" s="95">
        <v>8</v>
      </c>
      <c r="CV33" s="1197"/>
      <c r="CW33" s="644" t="s">
        <v>1279</v>
      </c>
      <c r="CX33" s="122"/>
      <c r="CY33" s="281">
        <f>+VLOOKUP(CV13,'Cost x Depart'!$A$2:$AL$72,CU33,0)*'Parametros Generales'!$C$11</f>
        <v>15600</v>
      </c>
      <c r="CZ33" s="283">
        <v>0</v>
      </c>
      <c r="DA33" s="419">
        <f>+'Parametros Generales'!$J$10</f>
        <v>1265.0544775353062</v>
      </c>
      <c r="DB33" s="171">
        <f>+(('Res de Costos X Dept'!CY11)*'Res de Costos X Dept'!CY33)*DA33</f>
        <v>128276524.02208005</v>
      </c>
      <c r="DC33" s="113"/>
      <c r="DG33" s="929">
        <f>+IF(DB33=0,0,DB33/DB$72)</f>
        <v>0.3448642078438921</v>
      </c>
      <c r="DI33" s="95">
        <v>8</v>
      </c>
      <c r="DJ33" s="1197"/>
      <c r="DK33" s="644" t="s">
        <v>1279</v>
      </c>
      <c r="DL33" s="122"/>
      <c r="DM33" s="281">
        <f>+VLOOKUP(DJ13,'Cost x Depart'!$A$2:$AL$72,DI33,0)*'Parametros Generales'!$C$11</f>
        <v>1200</v>
      </c>
      <c r="DN33" s="283">
        <v>0</v>
      </c>
      <c r="DO33" s="419">
        <f>+'Parametros Generales'!$J$10</f>
        <v>1265.0544775353062</v>
      </c>
      <c r="DP33" s="171">
        <f>+(('Res de Costos X Dept'!DM11)*'Res de Costos X Dept'!DM33)*DO33</f>
        <v>9867424.9247753881</v>
      </c>
      <c r="DQ33" s="113"/>
      <c r="DU33" s="929">
        <f>+IF(DP33=0,0,DP33/DP$72)</f>
        <v>0.33945467522375455</v>
      </c>
      <c r="DW33" s="95">
        <v>8</v>
      </c>
      <c r="DX33" s="1197"/>
      <c r="DY33" s="644" t="s">
        <v>1279</v>
      </c>
      <c r="DZ33" s="122"/>
      <c r="EA33" s="281">
        <f>+VLOOKUP(DX13,'Cost x Depart'!$A$2:$AL$72,DW33,0)*'Parametros Generales'!$C$11</f>
        <v>6000</v>
      </c>
      <c r="EB33" s="283">
        <v>0</v>
      </c>
      <c r="EC33" s="419">
        <f>+'Parametros Generales'!$J$10</f>
        <v>1265.0544775353062</v>
      </c>
      <c r="ED33" s="171">
        <f>+(('Res de Costos X Dept'!EA11)*'Res de Costos X Dept'!EA33)*EC33</f>
        <v>49337124.623876944</v>
      </c>
      <c r="EE33" s="113"/>
      <c r="EI33" s="929">
        <f>+IF(ED33=0,0,ED33/ED$72)</f>
        <v>0.3606055763184326</v>
      </c>
      <c r="EK33" s="95">
        <v>8</v>
      </c>
      <c r="EL33" s="1197"/>
      <c r="EM33" s="644" t="s">
        <v>1279</v>
      </c>
      <c r="EN33" s="122"/>
      <c r="EO33" s="281">
        <f>+VLOOKUP(EL13,'Cost x Depart'!$A$2:$AL$72,EK33,0)*'Parametros Generales'!$C$11</f>
        <v>10800</v>
      </c>
      <c r="EP33" s="283">
        <v>0</v>
      </c>
      <c r="EQ33" s="419">
        <f>+'Parametros Generales'!$J$10</f>
        <v>1265.0544775353062</v>
      </c>
      <c r="ER33" s="171">
        <f>+(('Res de Costos X Dept'!EO11)*'Res de Costos X Dept'!EO33)*EQ33</f>
        <v>88806824.322978497</v>
      </c>
      <c r="ES33" s="929">
        <f>+IF(EN33=0,0,EN33/EN$72)</f>
        <v>0</v>
      </c>
      <c r="EW33" s="929">
        <f>+IF(ER33=0,0,ER33/ER$72)</f>
        <v>0.38158153298366132</v>
      </c>
      <c r="EY33" s="95">
        <v>8</v>
      </c>
      <c r="EZ33" s="1197"/>
      <c r="FA33" s="644" t="s">
        <v>1279</v>
      </c>
      <c r="FB33" s="122"/>
      <c r="FC33" s="281">
        <f>+VLOOKUP(EZ13,'Cost x Depart'!$A$2:$AL$72,EY33,0)*'Parametros Generales'!$C$11</f>
        <v>0</v>
      </c>
      <c r="FD33" s="283">
        <v>0</v>
      </c>
      <c r="FE33" s="419">
        <f>+'Parametros Generales'!$J$10</f>
        <v>1265.0544775353062</v>
      </c>
      <c r="FF33" s="171">
        <f>+(('Res de Costos X Dept'!FC11)*'Res de Costos X Dept'!FC33)*FE33</f>
        <v>0</v>
      </c>
      <c r="FG33" s="113"/>
      <c r="FK33" s="929">
        <f>+IF(FF33=0,0,FF33/FF$72)</f>
        <v>0</v>
      </c>
      <c r="FM33" s="95">
        <v>8</v>
      </c>
      <c r="FN33" s="1197"/>
      <c r="FO33" s="644" t="s">
        <v>1279</v>
      </c>
      <c r="FP33" s="122"/>
      <c r="FQ33" s="281">
        <f>+VLOOKUP(FN13,'Cost x Depart'!$A$2:$AL$72,FM33,0)*'Parametros Generales'!$C$11</f>
        <v>7800</v>
      </c>
      <c r="FR33" s="283">
        <v>0</v>
      </c>
      <c r="FS33" s="419">
        <f>+'Parametros Generales'!$J$10</f>
        <v>1265.0544775353062</v>
      </c>
      <c r="FT33" s="171">
        <f>+(('Res de Costos X Dept'!FQ11)*'Res de Costos X Dept'!FQ33)*FS33</f>
        <v>64138262.011040024</v>
      </c>
      <c r="FU33" s="113"/>
      <c r="FY33" s="929">
        <f>+IF(FT33=0,0,FT33/FT$72)</f>
        <v>0.20223777068280607</v>
      </c>
      <c r="GA33" s="95">
        <v>8</v>
      </c>
      <c r="GB33" s="1197"/>
      <c r="GC33" s="644" t="s">
        <v>1279</v>
      </c>
      <c r="GD33" s="122"/>
      <c r="GE33" s="281">
        <f>+VLOOKUP(GB13,'Cost x Depart'!$A$2:$AL$72,GA33,0)*'Parametros Generales'!$C$11</f>
        <v>7200</v>
      </c>
      <c r="GF33" s="283">
        <v>0</v>
      </c>
      <c r="GG33" s="419">
        <f>+'Parametros Generales'!$J$10</f>
        <v>1265.0544775353062</v>
      </c>
      <c r="GH33" s="171">
        <f>+(('Res de Costos X Dept'!GE11)*'Res de Costos X Dept'!GE33)*GG33</f>
        <v>59204549.548652329</v>
      </c>
      <c r="GI33" s="113"/>
      <c r="GM33" s="929">
        <f>+IF(GH33=0,0,GH33/GH$72)</f>
        <v>0.39242077721325536</v>
      </c>
      <c r="GO33" s="95">
        <v>8</v>
      </c>
      <c r="GP33" s="1197"/>
      <c r="GQ33" s="644" t="s">
        <v>1279</v>
      </c>
      <c r="GR33" s="122"/>
      <c r="GS33" s="281">
        <f>+VLOOKUP(GP13,'Cost x Depart'!$A$2:$AL$72,GO33,0)*'Parametros Generales'!$C$11</f>
        <v>0</v>
      </c>
      <c r="GT33" s="283">
        <v>0</v>
      </c>
      <c r="GU33" s="419">
        <f>+'Parametros Generales'!$J$10</f>
        <v>1265.0544775353062</v>
      </c>
      <c r="GV33" s="171">
        <f>+(('Res de Costos X Dept'!GS11)*'Res de Costos X Dept'!GS33)*GU33</f>
        <v>0</v>
      </c>
      <c r="GW33" s="113"/>
      <c r="HA33" s="929">
        <f>+IF(GV33=0,0,GV33/GV$72)</f>
        <v>0</v>
      </c>
      <c r="HC33" s="95">
        <v>8</v>
      </c>
      <c r="HD33" s="1197"/>
      <c r="HE33" s="644" t="s">
        <v>1279</v>
      </c>
      <c r="HF33" s="122"/>
      <c r="HG33" s="281">
        <f>+VLOOKUP(HD13,'Cost x Depart'!$A$2:$AL$72,HC33,0)*'Parametros Generales'!$C$11</f>
        <v>3600</v>
      </c>
      <c r="HH33" s="283">
        <v>0</v>
      </c>
      <c r="HI33" s="419">
        <f>+'Parametros Generales'!$J$10</f>
        <v>1265.0544775353062</v>
      </c>
      <c r="HJ33" s="171">
        <f>+(('Res de Costos X Dept'!HG11)*'Res de Costos X Dept'!HG33)*HI33</f>
        <v>29602274.774326164</v>
      </c>
      <c r="HK33" s="113"/>
      <c r="HO33" s="929">
        <f>+IF(HJ33=0,0,HJ33/HJ$72)</f>
        <v>0.38158153298366143</v>
      </c>
      <c r="HQ33" s="95">
        <v>8</v>
      </c>
      <c r="HR33" s="1197"/>
      <c r="HS33" s="644" t="s">
        <v>1279</v>
      </c>
      <c r="HT33" s="122"/>
      <c r="HU33" s="281">
        <f>+VLOOKUP(HR13,'Cost x Depart'!$A$2:$AL$72,HQ33,0)*'Parametros Generales'!$C$11</f>
        <v>13200</v>
      </c>
      <c r="HV33" s="283">
        <v>0</v>
      </c>
      <c r="HW33" s="419">
        <f>+'Parametros Generales'!$J$10</f>
        <v>1265.0544775353062</v>
      </c>
      <c r="HX33" s="171">
        <f>+(('Res de Costos X Dept'!HU11)*'Res de Costos X Dept'!HU33)*HW33</f>
        <v>108541674.17252927</v>
      </c>
      <c r="HY33" s="929">
        <f t="shared" si="313"/>
        <v>0</v>
      </c>
      <c r="IC33" s="929">
        <f>+IF(HX33=0,0,HX33/HX$72)</f>
        <v>0.36696614034485775</v>
      </c>
      <c r="IE33" s="95">
        <v>8</v>
      </c>
      <c r="IF33" s="1197"/>
      <c r="IG33" s="644"/>
      <c r="IH33" s="122"/>
      <c r="II33" s="281"/>
      <c r="IJ33" s="283"/>
      <c r="IK33" s="419"/>
      <c r="IL33" s="171"/>
      <c r="IM33" s="113"/>
      <c r="IQ33" s="929"/>
      <c r="IS33" s="95">
        <v>8</v>
      </c>
      <c r="IT33" s="1197"/>
      <c r="IU33" s="644"/>
      <c r="IV33" s="122"/>
      <c r="IW33" s="281"/>
      <c r="IX33" s="283"/>
      <c r="IY33" s="419"/>
      <c r="IZ33" s="171"/>
      <c r="JA33" s="113"/>
      <c r="JE33" s="929"/>
      <c r="JG33" s="95">
        <v>8</v>
      </c>
      <c r="JH33" s="1197"/>
      <c r="JI33" s="644" t="s">
        <v>1279</v>
      </c>
      <c r="JJ33" s="122"/>
      <c r="JK33" s="281">
        <f>+VLOOKUP(JH13,'Cost x Depart'!$A$2:$AL$72,JG33,0)*'Parametros Generales'!$C$11</f>
        <v>18000</v>
      </c>
      <c r="JL33" s="283">
        <v>0</v>
      </c>
      <c r="JM33" s="419">
        <f>+'Parametros Generales'!$J$10</f>
        <v>1265.0544775353062</v>
      </c>
      <c r="JN33" s="171">
        <f>+(('Res de Costos X Dept'!JK11)*'Res de Costos X Dept'!JK33)*JM33</f>
        <v>148011373.87163082</v>
      </c>
      <c r="JO33" s="113"/>
      <c r="JS33" s="929">
        <f>+IF(JN33=0,0,JN33/JN$72)</f>
        <v>0.34536652740313145</v>
      </c>
      <c r="JU33" s="95">
        <v>8</v>
      </c>
      <c r="JV33" s="1197"/>
      <c r="JW33" s="644" t="s">
        <v>1279</v>
      </c>
      <c r="JX33" s="122"/>
      <c r="JY33" s="281">
        <f>+VLOOKUP(JV13,'Cost x Depart'!$A$2:$AL$72,JU33,0)*'Parametros Generales'!$C$11</f>
        <v>7800</v>
      </c>
      <c r="JZ33" s="283">
        <v>0</v>
      </c>
      <c r="KA33" s="419">
        <f>+'Parametros Generales'!$J$10</f>
        <v>1265.0544775353062</v>
      </c>
      <c r="KB33" s="171">
        <f>+(('Res de Costos X Dept'!JY11)*'Res de Costos X Dept'!JY33)*KA33</f>
        <v>64138262.011040024</v>
      </c>
      <c r="KC33" s="113"/>
      <c r="KG33" s="929">
        <f>+IF(KB33=0,0,KB33/KB$72)</f>
        <v>0.36370721135465905</v>
      </c>
      <c r="KI33" s="95">
        <v>8</v>
      </c>
      <c r="KJ33" s="1197"/>
      <c r="KK33" s="644" t="s">
        <v>1279</v>
      </c>
      <c r="KL33" s="122"/>
      <c r="KM33" s="281">
        <f>+VLOOKUP(KJ13,'Cost x Depart'!$A$2:$AL$72,KI33,0)*'Parametros Generales'!$C$11</f>
        <v>0</v>
      </c>
      <c r="KN33" s="283">
        <v>0</v>
      </c>
      <c r="KO33" s="419">
        <f>+'Parametros Generales'!$J$10</f>
        <v>1265.0544775353062</v>
      </c>
      <c r="KP33" s="171">
        <f>+(('Res de Costos X Dept'!KM11)*'Res de Costos X Dept'!KM33)*KO33</f>
        <v>0</v>
      </c>
      <c r="KQ33" s="113"/>
      <c r="KU33" s="929">
        <f>+IF(KP33=0,0,KP33/KP$72)</f>
        <v>0</v>
      </c>
      <c r="KW33" s="95">
        <v>8</v>
      </c>
      <c r="KX33" s="1197"/>
      <c r="KY33" s="644" t="s">
        <v>1279</v>
      </c>
      <c r="KZ33" s="122"/>
      <c r="LA33" s="281">
        <f>+VLOOKUP(KX13,'Cost x Depart'!$A$2:$AL$72,KW33,0)*'Parametros Generales'!$C$11</f>
        <v>0</v>
      </c>
      <c r="LB33" s="283">
        <v>0</v>
      </c>
      <c r="LC33" s="419">
        <f>+'Parametros Generales'!$J$10</f>
        <v>1265.0544775353062</v>
      </c>
      <c r="LD33" s="171">
        <f>+(('Res de Costos X Dept'!LA11)*'Res de Costos X Dept'!LA33)*LC33</f>
        <v>0</v>
      </c>
      <c r="LE33" s="113"/>
      <c r="LI33" s="929">
        <f>+IF(LD33=0,0,LD33/LD$72)</f>
        <v>0</v>
      </c>
      <c r="LK33" s="95">
        <v>8</v>
      </c>
      <c r="LL33" s="1197"/>
      <c r="LM33" s="644" t="s">
        <v>1279</v>
      </c>
      <c r="LN33" s="122"/>
      <c r="LO33" s="281">
        <f>+VLOOKUP(LL13,'Cost x Depart'!$A$2:$AL$72,LK33,0)*'Parametros Generales'!$C$11</f>
        <v>0</v>
      </c>
      <c r="LP33" s="283">
        <v>0</v>
      </c>
      <c r="LQ33" s="419">
        <f>+'Parametros Generales'!$J$10</f>
        <v>1265.0544775353062</v>
      </c>
      <c r="LR33" s="171">
        <f>+(('Res de Costos X Dept'!LO11)*'Res de Costos X Dept'!LO33)*LQ33</f>
        <v>0</v>
      </c>
      <c r="LS33" s="113"/>
      <c r="LW33" s="929">
        <f>+IF(LR33=0,0,LR33/LR$72)</f>
        <v>0</v>
      </c>
      <c r="LY33" s="95">
        <v>8</v>
      </c>
      <c r="LZ33" s="1197"/>
      <c r="MA33" s="644" t="s">
        <v>1279</v>
      </c>
      <c r="MB33" s="122"/>
      <c r="MC33" s="281">
        <f>+VLOOKUP(LZ13,'Cost x Depart'!$A$2:$AL$72,LY33,0)*'Parametros Generales'!$C$11</f>
        <v>5400</v>
      </c>
      <c r="MD33" s="283">
        <v>0</v>
      </c>
      <c r="ME33" s="419">
        <f>+'Parametros Generales'!$J$10</f>
        <v>1265.0544775353062</v>
      </c>
      <c r="MF33" s="171">
        <f>+(('Res de Costos X Dept'!MC11)*'Res de Costos X Dept'!MC33)*ME33</f>
        <v>44403412.161489248</v>
      </c>
      <c r="MG33" s="113"/>
      <c r="MK33" s="929">
        <f>+IF(MF33=0,0,MF33/MF$72)</f>
        <v>0.36060557631843265</v>
      </c>
      <c r="MM33" s="95">
        <v>8</v>
      </c>
      <c r="MN33" s="1197"/>
      <c r="MO33" s="644" t="s">
        <v>1279</v>
      </c>
      <c r="MP33" s="122"/>
      <c r="MQ33" s="281">
        <f>+VLOOKUP(MN13,'Cost x Depart'!$A$2:$AL$72,MM33,0)*'Parametros Generales'!$C$11</f>
        <v>7200</v>
      </c>
      <c r="MR33" s="283">
        <v>0</v>
      </c>
      <c r="MS33" s="419">
        <f>+'Parametros Generales'!$J$10</f>
        <v>1265.0544775353062</v>
      </c>
      <c r="MT33" s="171">
        <f>+(('Res de Costos X Dept'!MQ11)*'Res de Costos X Dept'!MQ33)*MS33</f>
        <v>59204549.548652329</v>
      </c>
      <c r="MU33" s="113"/>
      <c r="MY33" s="929">
        <f>+IF(MT33=0,0,MT33/MT$72)</f>
        <v>0.36918210589621842</v>
      </c>
      <c r="NA33" s="95">
        <v>8</v>
      </c>
      <c r="NB33" s="1197"/>
      <c r="NC33" s="644" t="s">
        <v>1279</v>
      </c>
      <c r="ND33" s="122"/>
      <c r="NE33" s="281">
        <f>+VLOOKUP(NB13,'Cost x Depart'!$A$2:$AL$72,NA33,0)*'Parametros Generales'!$C$11</f>
        <v>8400</v>
      </c>
      <c r="NF33" s="283">
        <v>0</v>
      </c>
      <c r="NG33" s="419">
        <f>+'Parametros Generales'!$J$10</f>
        <v>1265.0544775353062</v>
      </c>
      <c r="NH33" s="171">
        <f>+(('Res de Costos X Dept'!NE11)*'Res de Costos X Dept'!NE33)*NG33</f>
        <v>69071974.473427713</v>
      </c>
      <c r="NI33" s="113"/>
      <c r="NM33" s="929">
        <f>+IF(NH33=0,0,NH33/NH$72)</f>
        <v>0.38776549786036191</v>
      </c>
      <c r="NO33" s="95">
        <v>8</v>
      </c>
      <c r="NP33" s="1197"/>
      <c r="NQ33" s="644" t="s">
        <v>1279</v>
      </c>
      <c r="NR33" s="122"/>
      <c r="NS33" s="281">
        <f>+VLOOKUP(NP13,'Cost x Depart'!$A$2:$AL$72,NO33,0)*'Parametros Generales'!$C$11</f>
        <v>9600</v>
      </c>
      <c r="NT33" s="283">
        <v>0</v>
      </c>
      <c r="NU33" s="419">
        <f>+'Parametros Generales'!$J$10</f>
        <v>1265.0544775353062</v>
      </c>
      <c r="NV33" s="171">
        <f>+(('Res de Costos X Dept'!NS11)*'Res de Costos X Dept'!NS33)*NU33</f>
        <v>78939399.398203105</v>
      </c>
      <c r="NW33" s="113"/>
      <c r="OA33" s="929">
        <f>+IF(NV33=0,0,NV33/NV$72)</f>
        <v>0.18984316612231392</v>
      </c>
      <c r="OC33" s="95">
        <v>8</v>
      </c>
      <c r="OD33" s="1197"/>
      <c r="OE33" s="644" t="s">
        <v>1279</v>
      </c>
      <c r="OF33" s="122"/>
      <c r="OG33" s="281">
        <f>+VLOOKUP(OD13,'Cost x Depart'!$A$2:$AL$72,OC33,0)*'Parametros Generales'!$C$11</f>
        <v>2400</v>
      </c>
      <c r="OH33" s="283">
        <v>0</v>
      </c>
      <c r="OI33" s="419">
        <f>+'Parametros Generales'!$J$10</f>
        <v>1265.0544775353062</v>
      </c>
      <c r="OJ33" s="171">
        <f>+(('Res de Costos X Dept'!OG11)*'Res de Costos X Dept'!OG33)*OI33</f>
        <v>19734849.849550776</v>
      </c>
      <c r="OK33" s="113"/>
      <c r="OO33" s="929">
        <f>+IF(OJ33=0,0,OJ33/OJ$72)</f>
        <v>0.26032185718870349</v>
      </c>
      <c r="OQ33" s="95">
        <v>8</v>
      </c>
      <c r="OR33" s="1197"/>
      <c r="OS33" s="644" t="s">
        <v>1279</v>
      </c>
      <c r="OT33" s="122"/>
      <c r="OU33" s="281">
        <f>+VLOOKUP(OR13,'Cost x Depart'!$A$2:$AL$72,OQ33,0)*'Parametros Generales'!$C$11</f>
        <v>12000</v>
      </c>
      <c r="OV33" s="283">
        <v>0</v>
      </c>
      <c r="OW33" s="419">
        <f>+'Parametros Generales'!$J$10</f>
        <v>1265.0544775353062</v>
      </c>
      <c r="OX33" s="171">
        <f>+(('Res de Costos X Dept'!OU11)*'Res de Costos X Dept'!OU33)*OW33</f>
        <v>98674249.247753888</v>
      </c>
      <c r="OY33" s="113"/>
      <c r="PC33" s="929">
        <f>+IF(OX33=0,0,OX33/OX$72)</f>
        <v>0.32841675214806687</v>
      </c>
      <c r="PE33" s="95">
        <v>8</v>
      </c>
      <c r="PF33" s="1197"/>
      <c r="PG33" s="644" t="s">
        <v>1279</v>
      </c>
      <c r="PH33" s="122"/>
      <c r="PI33" s="281">
        <f>+VLOOKUP(PF13,'Cost x Depart'!$A$2:$AL$72,PE33,0)*'Parametros Generales'!$C$11</f>
        <v>0</v>
      </c>
      <c r="PJ33" s="283">
        <v>0</v>
      </c>
      <c r="PK33" s="419">
        <f>+'Parametros Generales'!$J$10</f>
        <v>1265.0544775353062</v>
      </c>
      <c r="PL33" s="171">
        <f>+(('Res de Costos X Dept'!PI11)*'Res de Costos X Dept'!PI33)*PK33</f>
        <v>0</v>
      </c>
      <c r="PM33" s="113"/>
      <c r="PQ33" s="929">
        <f>+IF(PL33=0,0,PL33/PL$72)</f>
        <v>0</v>
      </c>
      <c r="PS33" s="95">
        <v>8</v>
      </c>
      <c r="PT33" s="1197"/>
      <c r="PU33" s="644" t="s">
        <v>1279</v>
      </c>
      <c r="PV33" s="122"/>
      <c r="PW33" s="281">
        <f>+VLOOKUP(PT13,'Cost x Depart'!$A$2:$AL$72,PS33,0)*'Parametros Generales'!$C$11</f>
        <v>0</v>
      </c>
      <c r="PX33" s="283">
        <v>0</v>
      </c>
      <c r="PY33" s="419">
        <f>+'Parametros Generales'!$J$10</f>
        <v>1265.0544775353062</v>
      </c>
      <c r="PZ33" s="171">
        <f>+(('Res de Costos X Dept'!PW11)*'Res de Costos X Dept'!PW33)*PY33</f>
        <v>0</v>
      </c>
      <c r="QA33" s="113"/>
      <c r="QE33" s="929">
        <f>+IF(PZ33=0,0,PZ33/PZ$72)</f>
        <v>0</v>
      </c>
      <c r="QG33" s="95">
        <v>8</v>
      </c>
      <c r="QH33" s="1197"/>
      <c r="QI33" s="644" t="s">
        <v>1279</v>
      </c>
      <c r="QJ33" s="122"/>
      <c r="QK33" s="281">
        <f>+VLOOKUP(QH13,'Cost x Depart'!$A$2:$AL$72,QG33,0)*'Parametros Generales'!$C$11</f>
        <v>0</v>
      </c>
      <c r="QL33" s="283">
        <v>0</v>
      </c>
      <c r="QM33" s="419">
        <f>+'Parametros Generales'!$J$10</f>
        <v>1265.0544775353062</v>
      </c>
      <c r="QN33" s="171">
        <f>+(('Res de Costos X Dept'!QK11)*'Res de Costos X Dept'!QK33)*QM33</f>
        <v>0</v>
      </c>
      <c r="QO33" s="113"/>
      <c r="QS33" s="929">
        <f>+IF(QN33=0,0,QN33/QN$72)</f>
        <v>0</v>
      </c>
      <c r="QU33" s="95">
        <v>8</v>
      </c>
      <c r="QV33" s="1197"/>
      <c r="QW33" s="644" t="s">
        <v>1279</v>
      </c>
      <c r="QX33" s="122"/>
      <c r="QY33" s="281">
        <f>+VLOOKUP(QV13,'Cost x Depart'!$A$2:$AL$72,QU33,0)*'Parametros Generales'!$C$11</f>
        <v>7200</v>
      </c>
      <c r="QZ33" s="283">
        <v>0</v>
      </c>
      <c r="RA33" s="419">
        <f>+'Parametros Generales'!$J$10</f>
        <v>1265.0544775353062</v>
      </c>
      <c r="RB33" s="171">
        <f>+(('Res de Costos X Dept'!QY11)*'Res de Costos X Dept'!QY33)*RA33</f>
        <v>59204549.548652329</v>
      </c>
      <c r="RC33" s="113"/>
      <c r="RG33" s="929">
        <f>+IF(RB33=0,0,RB33/RB$72)</f>
        <v>0.18984316612231392</v>
      </c>
      <c r="RI33" s="95">
        <v>8</v>
      </c>
      <c r="RJ33" s="1197"/>
      <c r="RK33" s="644" t="s">
        <v>1279</v>
      </c>
      <c r="RL33" s="122"/>
      <c r="RM33" s="281">
        <f>+VLOOKUP(RJ13,'Cost x Depart'!$A$2:$AL$72,RI33,0)*'Parametros Generales'!$C$11</f>
        <v>1200</v>
      </c>
      <c r="RN33" s="283">
        <v>0</v>
      </c>
      <c r="RO33" s="419">
        <f>+'Parametros Generales'!$J$10</f>
        <v>1265.0544775353062</v>
      </c>
      <c r="RP33" s="171">
        <f>+(('Res de Costos X Dept'!RM11)*'Res de Costos X Dept'!RM33)*RO33</f>
        <v>9867424.9247753881</v>
      </c>
      <c r="RQ33" s="113"/>
      <c r="RU33" s="929">
        <f>+IF(RP33=0,0,RP33/RP$72)</f>
        <v>0.16694211814281337</v>
      </c>
      <c r="RW33" s="95">
        <v>8</v>
      </c>
      <c r="RX33" s="1197"/>
      <c r="RY33" s="644" t="s">
        <v>1279</v>
      </c>
      <c r="RZ33" s="122"/>
      <c r="SA33" s="281">
        <f>+VLOOKUP(RX13,'Cost x Depart'!$A$2:$AL$72,RW33,0)*'Parametros Generales'!$C$11</f>
        <v>4200</v>
      </c>
      <c r="SB33" s="283">
        <v>0</v>
      </c>
      <c r="SC33" s="419">
        <f>+'Parametros Generales'!$J$10</f>
        <v>1265.0544775353062</v>
      </c>
      <c r="SD33" s="171">
        <f>+(('Res de Costos X Dept'!SA11)*'Res de Costos X Dept'!SA33)*SC33</f>
        <v>34535987.236713856</v>
      </c>
      <c r="SE33" s="113"/>
      <c r="SI33" s="929">
        <f>+IF(SD33=0,0,SD33/SD$72)</f>
        <v>0.18984316612231383</v>
      </c>
      <c r="SK33" s="95">
        <v>8</v>
      </c>
      <c r="SL33" s="1197"/>
      <c r="SM33" s="644" t="s">
        <v>1279</v>
      </c>
      <c r="SN33" s="122"/>
      <c r="SO33" s="281">
        <f>+VLOOKUP(SL13,'Cost x Depart'!$A$2:$AL$72,SK33,0)*'Parametros Generales'!$C$11</f>
        <v>0</v>
      </c>
      <c r="SP33" s="283">
        <v>0</v>
      </c>
      <c r="SQ33" s="419">
        <f>+'Parametros Generales'!$J$10</f>
        <v>1265.0544775353062</v>
      </c>
      <c r="SR33" s="171">
        <f>+(('Res de Costos X Dept'!SO11)*'Res de Costos X Dept'!SO33)*SQ33</f>
        <v>0</v>
      </c>
      <c r="SS33" s="113"/>
      <c r="SW33" s="929">
        <f>+IF(SR33=0,0,SR33/SR$72)</f>
        <v>0</v>
      </c>
      <c r="SY33" s="95">
        <v>8</v>
      </c>
      <c r="SZ33" s="1197"/>
      <c r="TA33" s="644" t="s">
        <v>1279</v>
      </c>
      <c r="TB33" s="122"/>
      <c r="TC33" s="115">
        <f t="shared" si="350"/>
        <v>180000</v>
      </c>
      <c r="TD33" s="283">
        <v>0</v>
      </c>
      <c r="TE33" s="419">
        <f>+'Parametros Generales'!$J$10</f>
        <v>1265.0544775353062</v>
      </c>
      <c r="TF33" s="730">
        <f>+(('Res de Costos X Dept'!TC11)*'Res de Costos X Dept'!TC33)*TE33</f>
        <v>1480113738.7163084</v>
      </c>
      <c r="TG33" s="113"/>
      <c r="TK33" s="929">
        <f>+IF(TF33=0,0,TF33/TF$72)</f>
        <v>0.31499396590581119</v>
      </c>
      <c r="TM33" s="937"/>
      <c r="TN33" s="725"/>
    </row>
    <row r="34" spans="1:534" ht="18" customHeight="1" thickBot="1">
      <c r="B34" s="1182"/>
      <c r="C34" s="645" t="s">
        <v>1280</v>
      </c>
      <c r="D34" s="315"/>
      <c r="E34" s="320">
        <f>+E31</f>
        <v>7.7</v>
      </c>
      <c r="F34" s="321">
        <v>0</v>
      </c>
      <c r="G34" s="322">
        <f>+'Parametros Generales'!$J$11</f>
        <v>51376</v>
      </c>
      <c r="H34" s="323">
        <f>+E34*G34</f>
        <v>395595.2</v>
      </c>
      <c r="I34" s="113"/>
      <c r="M34" s="929">
        <f>+IF(H34=0,0,H34/H$72)</f>
        <v>2.1485295411914035E-3</v>
      </c>
      <c r="P34" s="1197"/>
      <c r="Q34" s="645"/>
      <c r="R34" s="315"/>
      <c r="S34" s="320"/>
      <c r="T34" s="321"/>
      <c r="U34" s="322"/>
      <c r="V34" s="323"/>
      <c r="W34" s="113"/>
      <c r="AA34" s="929"/>
      <c r="AD34" s="1197"/>
      <c r="AE34" s="645"/>
      <c r="AF34" s="315"/>
      <c r="AG34" s="320"/>
      <c r="AH34" s="321"/>
      <c r="AI34" s="322"/>
      <c r="AJ34" s="323"/>
      <c r="AK34" s="113"/>
      <c r="AO34" s="929"/>
      <c r="AR34" s="1197"/>
      <c r="AS34" s="645" t="s">
        <v>1280</v>
      </c>
      <c r="AT34" s="315"/>
      <c r="AU34" s="320">
        <f t="shared" ref="AU34" si="450">+AU31</f>
        <v>0</v>
      </c>
      <c r="AV34" s="321">
        <v>0</v>
      </c>
      <c r="AW34" s="322">
        <f>+'Parametros Generales'!$J$11</f>
        <v>51376</v>
      </c>
      <c r="AX34" s="323">
        <f t="shared" ref="AX34" si="451">+AU34*AW34</f>
        <v>0</v>
      </c>
      <c r="AY34" s="113"/>
      <c r="BC34" s="929">
        <f>+IF(AX34=0,0,AX34/AX$72)</f>
        <v>0</v>
      </c>
      <c r="BF34" s="1197"/>
      <c r="BG34" s="645" t="s">
        <v>1280</v>
      </c>
      <c r="BH34" s="315"/>
      <c r="BI34" s="320">
        <f t="shared" ref="BI34" si="452">+BI31</f>
        <v>19.8</v>
      </c>
      <c r="BJ34" s="321">
        <v>0</v>
      </c>
      <c r="BK34" s="322">
        <f>+'Parametros Generales'!$J$11</f>
        <v>51376</v>
      </c>
      <c r="BL34" s="323">
        <f t="shared" ref="BL34" si="453">+BI34*BK34</f>
        <v>1017244.8</v>
      </c>
      <c r="BM34" s="113"/>
      <c r="BQ34" s="929">
        <f>+IF(BL34=0,0,BL34/BL$72)</f>
        <v>2.1854279395914751E-3</v>
      </c>
      <c r="BT34" s="1197"/>
      <c r="BU34" s="645" t="s">
        <v>1280</v>
      </c>
      <c r="BV34" s="315"/>
      <c r="BW34" s="320">
        <f t="shared" ref="BW34:EA34" si="454">+BW31</f>
        <v>0</v>
      </c>
      <c r="BX34" s="321">
        <v>0</v>
      </c>
      <c r="BY34" s="322">
        <f>+'Parametros Generales'!$J$11</f>
        <v>51376</v>
      </c>
      <c r="BZ34" s="323">
        <f t="shared" ref="BZ34" si="455">+BW34*BY34</f>
        <v>0</v>
      </c>
      <c r="CA34" s="113"/>
      <c r="CE34" s="929">
        <f>+IF(BZ34=0,0,BZ34/BZ$72)</f>
        <v>0</v>
      </c>
      <c r="CH34" s="1197"/>
      <c r="CI34" s="645" t="s">
        <v>1280</v>
      </c>
      <c r="CJ34" s="315"/>
      <c r="CK34" s="320">
        <f t="shared" si="454"/>
        <v>1.1000000000000001</v>
      </c>
      <c r="CL34" s="321">
        <v>0</v>
      </c>
      <c r="CM34" s="322">
        <f>+'Parametros Generales'!$J$11</f>
        <v>51376</v>
      </c>
      <c r="CN34" s="323">
        <f t="shared" ref="CN34" si="456">+CK34*CM34</f>
        <v>56513.600000000006</v>
      </c>
      <c r="CO34" s="113"/>
      <c r="CS34" s="929">
        <f>+IF(CN34=0,0,CN34/CN$72)</f>
        <v>2.1890704031189241E-3</v>
      </c>
      <c r="CV34" s="1197"/>
      <c r="CW34" s="645" t="s">
        <v>1280</v>
      </c>
      <c r="CX34" s="315"/>
      <c r="CY34" s="320">
        <f t="shared" si="454"/>
        <v>14.3</v>
      </c>
      <c r="CZ34" s="321">
        <v>0</v>
      </c>
      <c r="DA34" s="322">
        <f>+'Parametros Generales'!$J$11</f>
        <v>51376</v>
      </c>
      <c r="DB34" s="323">
        <f t="shared" ref="DB34" si="457">+CY34*DA34</f>
        <v>734676.8</v>
      </c>
      <c r="DC34" s="113"/>
      <c r="DG34" s="929">
        <f>+IF(DB34=0,0,DB34/DB$72)</f>
        <v>1.9751371857384789E-3</v>
      </c>
      <c r="DJ34" s="1197"/>
      <c r="DK34" s="645" t="s">
        <v>1280</v>
      </c>
      <c r="DL34" s="315"/>
      <c r="DM34" s="320">
        <f t="shared" si="454"/>
        <v>1.1000000000000001</v>
      </c>
      <c r="DN34" s="321">
        <v>0</v>
      </c>
      <c r="DO34" s="322">
        <f>+'Parametros Generales'!$J$11</f>
        <v>51376</v>
      </c>
      <c r="DP34" s="323">
        <f t="shared" ref="DP34" si="458">+DM34*DO34</f>
        <v>56513.600000000006</v>
      </c>
      <c r="DQ34" s="113"/>
      <c r="DU34" s="929">
        <f>+IF(DP34=0,0,DP34/DP$72)</f>
        <v>1.9441552259047827E-3</v>
      </c>
      <c r="DX34" s="1197"/>
      <c r="DY34" s="645" t="s">
        <v>1280</v>
      </c>
      <c r="DZ34" s="315"/>
      <c r="EA34" s="320">
        <f t="shared" si="454"/>
        <v>5.5</v>
      </c>
      <c r="EB34" s="321">
        <v>0</v>
      </c>
      <c r="EC34" s="322">
        <f>+'Parametros Generales'!$J$11</f>
        <v>51376</v>
      </c>
      <c r="ED34" s="323">
        <f t="shared" ref="ED34" si="459">+EA34*EC34</f>
        <v>282568</v>
      </c>
      <c r="EE34" s="113"/>
      <c r="EI34" s="929">
        <f>+IF(ED34=0,0,ED34/ED$72)</f>
        <v>2.0652925614524763E-3</v>
      </c>
      <c r="EL34" s="1197"/>
      <c r="EM34" s="645" t="s">
        <v>1280</v>
      </c>
      <c r="EN34" s="315"/>
      <c r="EO34" s="320">
        <f t="shared" ref="EO34:GS34" si="460">+EO31</f>
        <v>9.9</v>
      </c>
      <c r="EP34" s="321">
        <v>0</v>
      </c>
      <c r="EQ34" s="322">
        <f>+'Parametros Generales'!$J$11</f>
        <v>51376</v>
      </c>
      <c r="ER34" s="323">
        <f t="shared" ref="ER34" si="461">+EO34*EQ34</f>
        <v>508622.4</v>
      </c>
      <c r="ES34" s="929">
        <f>+IF(EN34=0,0,EN34/EN$72)</f>
        <v>0</v>
      </c>
      <c r="EW34" s="929">
        <f>+IF(ER34=0,0,ER34/ER$72)</f>
        <v>2.1854279395914751E-3</v>
      </c>
      <c r="EZ34" s="1197"/>
      <c r="FA34" s="645" t="s">
        <v>1280</v>
      </c>
      <c r="FB34" s="315"/>
      <c r="FC34" s="320">
        <f t="shared" si="460"/>
        <v>0</v>
      </c>
      <c r="FD34" s="321">
        <v>0</v>
      </c>
      <c r="FE34" s="322">
        <f>+'Parametros Generales'!$J$11</f>
        <v>51376</v>
      </c>
      <c r="FF34" s="323">
        <f t="shared" ref="FF34" si="462">+FC34*FE34</f>
        <v>0</v>
      </c>
      <c r="FG34" s="113"/>
      <c r="FK34" s="929">
        <f>+IF(FF34=0,0,FF34/FF$72)</f>
        <v>0</v>
      </c>
      <c r="FN34" s="1197"/>
      <c r="FO34" s="645" t="s">
        <v>1280</v>
      </c>
      <c r="FP34" s="315"/>
      <c r="FQ34" s="320">
        <f t="shared" si="460"/>
        <v>7.15</v>
      </c>
      <c r="FR34" s="321">
        <v>0</v>
      </c>
      <c r="FS34" s="322">
        <f>+'Parametros Generales'!$J$11</f>
        <v>51376</v>
      </c>
      <c r="FT34" s="323">
        <f t="shared" ref="FT34" si="463">+FQ34*FS34</f>
        <v>367338.4</v>
      </c>
      <c r="FU34" s="113"/>
      <c r="FY34" s="929">
        <f>+IF(FT34=0,0,FT34/FT$72)</f>
        <v>1.1582742776753371E-3</v>
      </c>
      <c r="GB34" s="1197"/>
      <c r="GC34" s="645" t="s">
        <v>1280</v>
      </c>
      <c r="GD34" s="315"/>
      <c r="GE34" s="320">
        <f t="shared" si="460"/>
        <v>6.6</v>
      </c>
      <c r="GF34" s="321">
        <v>0</v>
      </c>
      <c r="GG34" s="322">
        <f>+'Parametros Generales'!$J$11</f>
        <v>51376</v>
      </c>
      <c r="GH34" s="323">
        <f t="shared" ref="GH34" si="464">+GE34*GG34</f>
        <v>339081.6</v>
      </c>
      <c r="GI34" s="113"/>
      <c r="GM34" s="929">
        <f>+IF(GH34=0,0,GH34/GH$72)</f>
        <v>2.2475074301742245E-3</v>
      </c>
      <c r="GP34" s="1197"/>
      <c r="GQ34" s="645" t="s">
        <v>1280</v>
      </c>
      <c r="GR34" s="315"/>
      <c r="GS34" s="320">
        <f t="shared" si="460"/>
        <v>0</v>
      </c>
      <c r="GT34" s="321">
        <v>0</v>
      </c>
      <c r="GU34" s="322">
        <f>+'Parametros Generales'!$J$11</f>
        <v>51376</v>
      </c>
      <c r="GV34" s="323">
        <f t="shared" ref="GV34" si="465">+GS34*GU34</f>
        <v>0</v>
      </c>
      <c r="GW34" s="113"/>
      <c r="HA34" s="929">
        <f>+IF(GV34=0,0,GV34/GV$72)</f>
        <v>0</v>
      </c>
      <c r="HD34" s="1197"/>
      <c r="HE34" s="645" t="s">
        <v>1280</v>
      </c>
      <c r="HF34" s="315"/>
      <c r="HG34" s="320">
        <f t="shared" ref="HG34:JY34" si="466">+HG31</f>
        <v>3.3</v>
      </c>
      <c r="HH34" s="321">
        <v>0</v>
      </c>
      <c r="HI34" s="322">
        <f>+'Parametros Generales'!$J$11</f>
        <v>51376</v>
      </c>
      <c r="HJ34" s="323">
        <f t="shared" ref="HJ34" si="467">+HG34*HI34</f>
        <v>169540.8</v>
      </c>
      <c r="HK34" s="113"/>
      <c r="HO34" s="929">
        <f>+IF(HJ34=0,0,HJ34/HJ$72)</f>
        <v>2.1854279395914756E-3</v>
      </c>
      <c r="HR34" s="1197"/>
      <c r="HS34" s="645" t="s">
        <v>1280</v>
      </c>
      <c r="HT34" s="315"/>
      <c r="HU34" s="320">
        <f t="shared" si="466"/>
        <v>12.1</v>
      </c>
      <c r="HV34" s="321">
        <v>0</v>
      </c>
      <c r="HW34" s="322">
        <f>+'Parametros Generales'!$J$11</f>
        <v>51376</v>
      </c>
      <c r="HX34" s="323">
        <f t="shared" ref="HX34" si="468">+HU34*HW34</f>
        <v>621649.6</v>
      </c>
      <c r="HY34" s="929">
        <f t="shared" si="313"/>
        <v>0</v>
      </c>
      <c r="IC34" s="929">
        <f>+IF(HX34=0,0,HX34/HX$72)</f>
        <v>2.1017213535541772E-3</v>
      </c>
      <c r="IF34" s="1197"/>
      <c r="IG34" s="645"/>
      <c r="IH34" s="315"/>
      <c r="II34" s="320"/>
      <c r="IJ34" s="321"/>
      <c r="IK34" s="322"/>
      <c r="IL34" s="323"/>
      <c r="IM34" s="113"/>
      <c r="IQ34" s="929"/>
      <c r="IT34" s="1197"/>
      <c r="IU34" s="645"/>
      <c r="IV34" s="315"/>
      <c r="IW34" s="320"/>
      <c r="IX34" s="321"/>
      <c r="IY34" s="322"/>
      <c r="IZ34" s="323"/>
      <c r="JA34" s="113"/>
      <c r="JE34" s="929"/>
      <c r="JH34" s="1197"/>
      <c r="JI34" s="645" t="s">
        <v>1280</v>
      </c>
      <c r="JJ34" s="315"/>
      <c r="JK34" s="320">
        <f t="shared" ref="JK34" si="469">+JK31</f>
        <v>16.5</v>
      </c>
      <c r="JL34" s="321">
        <v>0</v>
      </c>
      <c r="JM34" s="322">
        <f>+'Parametros Generales'!$J$11</f>
        <v>51376</v>
      </c>
      <c r="JN34" s="323">
        <f t="shared" ref="JN34" si="470">+JK34*JM34</f>
        <v>847704</v>
      </c>
      <c r="JO34" s="113"/>
      <c r="JS34" s="929">
        <f>+IF(JN34=0,0,JN34/JN$72)</f>
        <v>1.978014115318328E-3</v>
      </c>
      <c r="JV34" s="1197"/>
      <c r="JW34" s="645" t="s">
        <v>1280</v>
      </c>
      <c r="JX34" s="315"/>
      <c r="JY34" s="320">
        <f t="shared" si="466"/>
        <v>7.15</v>
      </c>
      <c r="JZ34" s="321">
        <v>0</v>
      </c>
      <c r="KA34" s="322">
        <f>+'Parametros Generales'!$J$11</f>
        <v>51376</v>
      </c>
      <c r="KB34" s="323">
        <f t="shared" ref="KB34" si="471">+JY34*KA34</f>
        <v>367338.4</v>
      </c>
      <c r="KC34" s="113"/>
      <c r="KG34" s="929">
        <f>+IF(KB34=0,0,KB34/KB$72)</f>
        <v>2.0830565234911621E-3</v>
      </c>
      <c r="KJ34" s="1197"/>
      <c r="KK34" s="645" t="s">
        <v>1280</v>
      </c>
      <c r="KL34" s="315"/>
      <c r="KM34" s="320">
        <f t="shared" ref="KM34:MQ34" si="472">+KM31</f>
        <v>0</v>
      </c>
      <c r="KN34" s="321">
        <v>0</v>
      </c>
      <c r="KO34" s="322">
        <f>+'Parametros Generales'!$J$11</f>
        <v>51376</v>
      </c>
      <c r="KP34" s="323">
        <f t="shared" ref="KP34" si="473">+KM34*KO34</f>
        <v>0</v>
      </c>
      <c r="KQ34" s="113"/>
      <c r="KU34" s="929">
        <f>+IF(KP34=0,0,KP34/KP$72)</f>
        <v>0</v>
      </c>
      <c r="KX34" s="1197"/>
      <c r="KY34" s="645" t="s">
        <v>1280</v>
      </c>
      <c r="KZ34" s="315"/>
      <c r="LA34" s="320">
        <f t="shared" si="472"/>
        <v>0</v>
      </c>
      <c r="LB34" s="321">
        <v>0</v>
      </c>
      <c r="LC34" s="322">
        <f>+'Parametros Generales'!$J$11</f>
        <v>51376</v>
      </c>
      <c r="LD34" s="323">
        <f t="shared" ref="LD34" si="474">+LA34*LC34</f>
        <v>0</v>
      </c>
      <c r="LE34" s="113"/>
      <c r="LI34" s="929">
        <f>+IF(LD34=0,0,LD34/LD$72)</f>
        <v>0</v>
      </c>
      <c r="LL34" s="1197"/>
      <c r="LM34" s="645" t="s">
        <v>1280</v>
      </c>
      <c r="LN34" s="315"/>
      <c r="LO34" s="320">
        <f t="shared" si="472"/>
        <v>0</v>
      </c>
      <c r="LP34" s="321">
        <v>0</v>
      </c>
      <c r="LQ34" s="322">
        <f>+'Parametros Generales'!$J$11</f>
        <v>51376</v>
      </c>
      <c r="LR34" s="323">
        <f t="shared" ref="LR34" si="475">+LO34*LQ34</f>
        <v>0</v>
      </c>
      <c r="LS34" s="113"/>
      <c r="LW34" s="929">
        <f>+IF(LR34=0,0,LR34/LR$72)</f>
        <v>0</v>
      </c>
      <c r="LZ34" s="1197"/>
      <c r="MA34" s="645" t="s">
        <v>1280</v>
      </c>
      <c r="MB34" s="315"/>
      <c r="MC34" s="320">
        <f t="shared" si="472"/>
        <v>4.95</v>
      </c>
      <c r="MD34" s="321">
        <v>0</v>
      </c>
      <c r="ME34" s="322">
        <f>+'Parametros Generales'!$J$11</f>
        <v>51376</v>
      </c>
      <c r="MF34" s="323">
        <f t="shared" ref="MF34" si="476">+MC34*ME34</f>
        <v>254311.2</v>
      </c>
      <c r="MG34" s="113"/>
      <c r="MK34" s="929">
        <f>+IF(MF34=0,0,MF34/MF$72)</f>
        <v>2.0652925614524768E-3</v>
      </c>
      <c r="MN34" s="1197"/>
      <c r="MO34" s="645" t="s">
        <v>1280</v>
      </c>
      <c r="MP34" s="315"/>
      <c r="MQ34" s="320">
        <f t="shared" si="472"/>
        <v>6.6</v>
      </c>
      <c r="MR34" s="321">
        <v>0</v>
      </c>
      <c r="MS34" s="322">
        <f>+'Parametros Generales'!$J$11</f>
        <v>51376</v>
      </c>
      <c r="MT34" s="323">
        <f t="shared" ref="MT34" si="477">+MQ34*MS34</f>
        <v>339081.6</v>
      </c>
      <c r="MU34" s="113"/>
      <c r="MY34" s="929">
        <f>+IF(MT34=0,0,MT34/MT$72)</f>
        <v>2.1144128299766568E-3</v>
      </c>
      <c r="NB34" s="1197"/>
      <c r="NC34" s="645" t="s">
        <v>1280</v>
      </c>
      <c r="ND34" s="315"/>
      <c r="NE34" s="320">
        <f t="shared" ref="NE34:PI34" si="478">+NE31</f>
        <v>7.7</v>
      </c>
      <c r="NF34" s="321">
        <v>0</v>
      </c>
      <c r="NG34" s="322">
        <f>+'Parametros Generales'!$J$11</f>
        <v>51376</v>
      </c>
      <c r="NH34" s="323">
        <f t="shared" ref="NH34" si="479">+NE34*NG34</f>
        <v>395595.2</v>
      </c>
      <c r="NI34" s="113"/>
      <c r="NM34" s="929">
        <f>+IF(NH34=0,0,NH34/NH$72)</f>
        <v>2.2208452972222823E-3</v>
      </c>
      <c r="NP34" s="1197"/>
      <c r="NQ34" s="645" t="s">
        <v>1280</v>
      </c>
      <c r="NR34" s="315"/>
      <c r="NS34" s="320">
        <f t="shared" si="478"/>
        <v>8.8000000000000007</v>
      </c>
      <c r="NT34" s="321">
        <v>0</v>
      </c>
      <c r="NU34" s="322">
        <f>+'Parametros Generales'!$J$11</f>
        <v>51376</v>
      </c>
      <c r="NV34" s="323">
        <f t="shared" ref="NV34" si="480">+NS34*NU34</f>
        <v>452108.80000000005</v>
      </c>
      <c r="NW34" s="113"/>
      <c r="OA34" s="929">
        <f>+IF(NV34=0,0,NV34/NV$72)</f>
        <v>1.0872867880688962E-3</v>
      </c>
      <c r="OD34" s="1197"/>
      <c r="OE34" s="645" t="s">
        <v>1280</v>
      </c>
      <c r="OF34" s="315"/>
      <c r="OG34" s="320">
        <f t="shared" si="478"/>
        <v>2.2000000000000002</v>
      </c>
      <c r="OH34" s="321">
        <v>0</v>
      </c>
      <c r="OI34" s="322">
        <f>+'Parametros Generales'!$J$11</f>
        <v>51376</v>
      </c>
      <c r="OJ34" s="323">
        <f t="shared" ref="OJ34" si="481">+OG34*OI34</f>
        <v>113027.20000000001</v>
      </c>
      <c r="OK34" s="113"/>
      <c r="OO34" s="929">
        <f>+IF(OJ34=0,0,OJ34/OJ$72)</f>
        <v>1.4909386613604662E-3</v>
      </c>
      <c r="OR34" s="1197"/>
      <c r="OS34" s="645" t="s">
        <v>1280</v>
      </c>
      <c r="OT34" s="315"/>
      <c r="OU34" s="320">
        <f t="shared" si="478"/>
        <v>11</v>
      </c>
      <c r="OV34" s="321">
        <v>0</v>
      </c>
      <c r="OW34" s="322">
        <f>+'Parametros Generales'!$J$11</f>
        <v>51376</v>
      </c>
      <c r="OX34" s="323">
        <f t="shared" ref="OX34" si="482">+OU34*OW34</f>
        <v>565136</v>
      </c>
      <c r="OY34" s="113"/>
      <c r="PC34" s="929">
        <f>+IF(OX34=0,0,OX34/OX$72)</f>
        <v>1.8809378440360896E-3</v>
      </c>
      <c r="PF34" s="1197"/>
      <c r="PG34" s="645" t="s">
        <v>1280</v>
      </c>
      <c r="PH34" s="315"/>
      <c r="PI34" s="320">
        <f t="shared" si="478"/>
        <v>0</v>
      </c>
      <c r="PJ34" s="321">
        <v>0</v>
      </c>
      <c r="PK34" s="322">
        <f>+'Parametros Generales'!$J$11</f>
        <v>51376</v>
      </c>
      <c r="PL34" s="323">
        <f t="shared" ref="PL34" si="483">+PI34*PK34</f>
        <v>0</v>
      </c>
      <c r="PM34" s="113"/>
      <c r="PQ34" s="929">
        <f>+IF(PL34=0,0,PL34/PL$72)</f>
        <v>0</v>
      </c>
      <c r="PT34" s="1197"/>
      <c r="PU34" s="645" t="s">
        <v>1280</v>
      </c>
      <c r="PV34" s="315"/>
      <c r="PW34" s="320">
        <f t="shared" ref="PW34:SA34" si="484">+PW31</f>
        <v>0</v>
      </c>
      <c r="PX34" s="321">
        <v>0</v>
      </c>
      <c r="PY34" s="322">
        <f>+'Parametros Generales'!$J$11</f>
        <v>51376</v>
      </c>
      <c r="PZ34" s="323">
        <f t="shared" ref="PZ34" si="485">+PW34*PY34</f>
        <v>0</v>
      </c>
      <c r="QA34" s="113"/>
      <c r="QE34" s="929">
        <f>+IF(PZ34=0,0,PZ34/PZ$72)</f>
        <v>0</v>
      </c>
      <c r="QH34" s="1197"/>
      <c r="QI34" s="645" t="s">
        <v>1280</v>
      </c>
      <c r="QJ34" s="315"/>
      <c r="QK34" s="320">
        <f t="shared" si="484"/>
        <v>0</v>
      </c>
      <c r="QL34" s="321">
        <v>0</v>
      </c>
      <c r="QM34" s="322">
        <f>+'Parametros Generales'!$J$11</f>
        <v>51376</v>
      </c>
      <c r="QN34" s="323">
        <f t="shared" ref="QN34" si="486">+QK34*QM34</f>
        <v>0</v>
      </c>
      <c r="QO34" s="113"/>
      <c r="QS34" s="929">
        <f>+IF(QN34=0,0,QN34/QN$72)</f>
        <v>0</v>
      </c>
      <c r="QV34" s="1197"/>
      <c r="QW34" s="645" t="s">
        <v>1280</v>
      </c>
      <c r="QX34" s="315"/>
      <c r="QY34" s="320">
        <f t="shared" si="484"/>
        <v>6.6</v>
      </c>
      <c r="QZ34" s="321">
        <v>0</v>
      </c>
      <c r="RA34" s="322">
        <f>+'Parametros Generales'!$J$11</f>
        <v>51376</v>
      </c>
      <c r="RB34" s="323">
        <f t="shared" ref="RB34" si="487">+QY34*RA34</f>
        <v>339081.6</v>
      </c>
      <c r="RC34" s="113"/>
      <c r="RG34" s="929">
        <f>+IF(RB34=0,0,RB34/RB$72)</f>
        <v>1.087286788068896E-3</v>
      </c>
      <c r="RJ34" s="1197"/>
      <c r="RK34" s="645" t="s">
        <v>1280</v>
      </c>
      <c r="RL34" s="315"/>
      <c r="RM34" s="320">
        <f t="shared" si="484"/>
        <v>1.1000000000000001</v>
      </c>
      <c r="RN34" s="321">
        <v>0</v>
      </c>
      <c r="RO34" s="322">
        <f>+'Parametros Generales'!$J$11</f>
        <v>51376</v>
      </c>
      <c r="RP34" s="323">
        <f t="shared" ref="RP34" si="488">+RM34*RO34</f>
        <v>56513.600000000006</v>
      </c>
      <c r="RQ34" s="113"/>
      <c r="RU34" s="929">
        <f>+IF(RP34=0,0,RP34/RP$72)</f>
        <v>9.561258544959698E-4</v>
      </c>
      <c r="RX34" s="1197"/>
      <c r="RY34" s="645" t="s">
        <v>1280</v>
      </c>
      <c r="RZ34" s="315"/>
      <c r="SA34" s="320">
        <f t="shared" si="484"/>
        <v>3.85</v>
      </c>
      <c r="SB34" s="321">
        <v>0</v>
      </c>
      <c r="SC34" s="322">
        <f>+'Parametros Generales'!$J$11</f>
        <v>51376</v>
      </c>
      <c r="SD34" s="323">
        <f t="shared" ref="SD34" si="489">+SA34*SC34</f>
        <v>197797.6</v>
      </c>
      <c r="SE34" s="113"/>
      <c r="SI34" s="929">
        <f>+IF(SD34=0,0,SD34/SD$72)</f>
        <v>1.0872867880688958E-3</v>
      </c>
      <c r="SL34" s="1197"/>
      <c r="SM34" s="645" t="s">
        <v>1280</v>
      </c>
      <c r="SN34" s="315"/>
      <c r="SO34" s="320">
        <f t="shared" ref="SO34" si="490">+SO31</f>
        <v>0</v>
      </c>
      <c r="SP34" s="321">
        <v>0</v>
      </c>
      <c r="SQ34" s="322">
        <f>+'Parametros Generales'!$J$11</f>
        <v>51376</v>
      </c>
      <c r="SR34" s="323">
        <f t="shared" ref="SR34" si="491">+SO34*SQ34</f>
        <v>0</v>
      </c>
      <c r="SS34" s="113"/>
      <c r="SW34" s="929">
        <f>+IF(SR34=0,0,SR34/SR$72)</f>
        <v>0</v>
      </c>
      <c r="SZ34" s="1197"/>
      <c r="TA34" s="645" t="s">
        <v>1280</v>
      </c>
      <c r="TB34" s="315"/>
      <c r="TC34" s="115">
        <f t="shared" si="350"/>
        <v>164.99999999999997</v>
      </c>
      <c r="TD34" s="321">
        <v>0</v>
      </c>
      <c r="TE34" s="322">
        <f>+'Parametros Generales'!$J$11</f>
        <v>51376</v>
      </c>
      <c r="TF34" s="731">
        <f t="shared" ref="TF34" si="492">+TC34*TE34</f>
        <v>8477039.9999999981</v>
      </c>
      <c r="TG34" s="113"/>
      <c r="TK34" s="929">
        <f>+IF(TF34=0,0,TF34/TF$72)</f>
        <v>1.8040616601924498E-3</v>
      </c>
      <c r="TM34" s="937"/>
      <c r="TN34" s="725"/>
    </row>
    <row r="35" spans="1:534" ht="18" customHeight="1" thickBot="1">
      <c r="B35" s="676" t="s">
        <v>1281</v>
      </c>
      <c r="C35" s="117"/>
      <c r="D35" s="117"/>
      <c r="E35" s="117"/>
      <c r="F35" s="117"/>
      <c r="G35" s="117"/>
      <c r="H35" s="233">
        <f>+SUM(H30:H34)</f>
        <v>95842645.673427716</v>
      </c>
      <c r="I35" s="119"/>
      <c r="M35" s="930">
        <f>SUM(M30:M34)</f>
        <v>0.52053400934920313</v>
      </c>
      <c r="P35" s="676"/>
      <c r="Q35" s="117"/>
      <c r="R35" s="117"/>
      <c r="S35" s="117"/>
      <c r="T35" s="117"/>
      <c r="U35" s="117"/>
      <c r="V35" s="233"/>
      <c r="W35" s="119"/>
      <c r="AA35" s="930"/>
      <c r="AD35" s="676"/>
      <c r="AE35" s="117"/>
      <c r="AF35" s="117"/>
      <c r="AG35" s="117"/>
      <c r="AH35" s="117"/>
      <c r="AI35" s="117"/>
      <c r="AJ35" s="233"/>
      <c r="AK35" s="119"/>
      <c r="AO35" s="930"/>
      <c r="AR35" s="676" t="s">
        <v>1281</v>
      </c>
      <c r="AS35" s="117"/>
      <c r="AT35" s="117"/>
      <c r="AU35" s="117"/>
      <c r="AV35" s="117"/>
      <c r="AW35" s="117"/>
      <c r="AX35" s="233">
        <f t="shared" ref="AX35" si="493">+SUM(AX30:AX34)</f>
        <v>0</v>
      </c>
      <c r="AY35" s="119"/>
      <c r="BC35" s="930">
        <f>SUM(BC30:BC34)</f>
        <v>0</v>
      </c>
      <c r="BF35" s="676" t="s">
        <v>1281</v>
      </c>
      <c r="BG35" s="117"/>
      <c r="BH35" s="117"/>
      <c r="BI35" s="117"/>
      <c r="BJ35" s="117"/>
      <c r="BK35" s="117"/>
      <c r="BL35" s="233">
        <f t="shared" ref="BL35" si="494">+SUM(BL30:BL34)</f>
        <v>246452517.44595701</v>
      </c>
      <c r="BM35" s="119"/>
      <c r="BQ35" s="930">
        <f>SUM(BQ30:BQ34)</f>
        <v>0.52947355190122358</v>
      </c>
      <c r="BT35" s="676" t="s">
        <v>1281</v>
      </c>
      <c r="BU35" s="117"/>
      <c r="BV35" s="117"/>
      <c r="BW35" s="117"/>
      <c r="BX35" s="117"/>
      <c r="BY35" s="117"/>
      <c r="BZ35" s="233">
        <f t="shared" ref="BZ35:ED35" si="495">+SUM(BZ30:BZ34)</f>
        <v>0</v>
      </c>
      <c r="CA35" s="119"/>
      <c r="CE35" s="930">
        <f>SUM(CE30:CE34)</f>
        <v>0</v>
      </c>
      <c r="CH35" s="676" t="s">
        <v>1281</v>
      </c>
      <c r="CI35" s="117"/>
      <c r="CJ35" s="117"/>
      <c r="CK35" s="117"/>
      <c r="CL35" s="117"/>
      <c r="CM35" s="117"/>
      <c r="CN35" s="233">
        <f t="shared" si="495"/>
        <v>13691806.524775388</v>
      </c>
      <c r="CO35" s="119"/>
      <c r="CS35" s="930">
        <f>SUM(CS30:CS34)</f>
        <v>0.53035602808202575</v>
      </c>
      <c r="CV35" s="676" t="s">
        <v>1281</v>
      </c>
      <c r="CW35" s="117"/>
      <c r="CX35" s="117"/>
      <c r="CY35" s="117"/>
      <c r="CZ35" s="117"/>
      <c r="DA35" s="117"/>
      <c r="DB35" s="233">
        <f t="shared" si="495"/>
        <v>177993484.82208008</v>
      </c>
      <c r="DC35" s="119"/>
      <c r="DG35" s="930">
        <f>SUM(DG30:DG34)</f>
        <v>0.47852545594371271</v>
      </c>
      <c r="DJ35" s="676" t="s">
        <v>1281</v>
      </c>
      <c r="DK35" s="117"/>
      <c r="DL35" s="117"/>
      <c r="DM35" s="117"/>
      <c r="DN35" s="117"/>
      <c r="DO35" s="117"/>
      <c r="DP35" s="233">
        <f t="shared" si="495"/>
        <v>13691806.524775388</v>
      </c>
      <c r="DQ35" s="119"/>
      <c r="DU35" s="930">
        <f>SUM(DU30:DU34)</f>
        <v>0.47101931583228235</v>
      </c>
      <c r="DX35" s="676" t="s">
        <v>1281</v>
      </c>
      <c r="DY35" s="117"/>
      <c r="DZ35" s="117"/>
      <c r="EA35" s="117"/>
      <c r="EB35" s="117"/>
      <c r="EC35" s="117"/>
      <c r="ED35" s="233">
        <f t="shared" si="495"/>
        <v>68459032.623876944</v>
      </c>
      <c r="EE35" s="119"/>
      <c r="EI35" s="930">
        <f>SUM(EI30:EI34)</f>
        <v>0.50036780825261695</v>
      </c>
      <c r="EL35" s="676" t="s">
        <v>1281</v>
      </c>
      <c r="EM35" s="117"/>
      <c r="EN35" s="117"/>
      <c r="EO35" s="117"/>
      <c r="EP35" s="117"/>
      <c r="EQ35" s="117"/>
      <c r="ER35" s="233">
        <f t="shared" ref="ER35:GV35" si="496">+SUM(ER30:ER34)</f>
        <v>123226258.7229785</v>
      </c>
      <c r="ES35" s="930">
        <f>SUM(ES30:ES34)</f>
        <v>0</v>
      </c>
      <c r="EW35" s="930">
        <f>SUM(EW30:EW34)</f>
        <v>0.52947355190122358</v>
      </c>
      <c r="EZ35" s="676" t="s">
        <v>1281</v>
      </c>
      <c r="FA35" s="117"/>
      <c r="FB35" s="117"/>
      <c r="FC35" s="117"/>
      <c r="FD35" s="117"/>
      <c r="FE35" s="117"/>
      <c r="FF35" s="233">
        <f t="shared" si="496"/>
        <v>0</v>
      </c>
      <c r="FG35" s="119"/>
      <c r="FK35" s="930">
        <f>SUM(FK30:FK34)</f>
        <v>0</v>
      </c>
      <c r="FN35" s="676" t="s">
        <v>1281</v>
      </c>
      <c r="FO35" s="117"/>
      <c r="FP35" s="117"/>
      <c r="FQ35" s="117"/>
      <c r="FR35" s="117"/>
      <c r="FS35" s="117"/>
      <c r="FT35" s="233">
        <f t="shared" si="496"/>
        <v>88996742.411040038</v>
      </c>
      <c r="FU35" s="119"/>
      <c r="FY35" s="930">
        <f>SUM(FY30:FY34)</f>
        <v>0.28062036947840308</v>
      </c>
      <c r="GB35" s="676" t="s">
        <v>1281</v>
      </c>
      <c r="GC35" s="117"/>
      <c r="GD35" s="117"/>
      <c r="GE35" s="117"/>
      <c r="GF35" s="117"/>
      <c r="GG35" s="117"/>
      <c r="GH35" s="233">
        <f t="shared" si="496"/>
        <v>82150839.148652315</v>
      </c>
      <c r="GI35" s="119"/>
      <c r="GM35" s="930">
        <f>SUM(GM30:GM34)</f>
        <v>0.54451383201460568</v>
      </c>
      <c r="GP35" s="676" t="s">
        <v>1281</v>
      </c>
      <c r="GQ35" s="117"/>
      <c r="GR35" s="117"/>
      <c r="GS35" s="117"/>
      <c r="GT35" s="117"/>
      <c r="GU35" s="117"/>
      <c r="GV35" s="233">
        <f t="shared" si="496"/>
        <v>0</v>
      </c>
      <c r="GW35" s="119"/>
      <c r="HA35" s="930">
        <f>SUM(HA30:HA34)</f>
        <v>0</v>
      </c>
      <c r="HD35" s="676" t="s">
        <v>1281</v>
      </c>
      <c r="HE35" s="117"/>
      <c r="HF35" s="117"/>
      <c r="HG35" s="117"/>
      <c r="HH35" s="117"/>
      <c r="HI35" s="117"/>
      <c r="HJ35" s="233">
        <f t="shared" ref="HJ35:KB35" si="497">+SUM(HJ30:HJ34)</f>
        <v>41075419.574326158</v>
      </c>
      <c r="HK35" s="119"/>
      <c r="HO35" s="930">
        <f>SUM(HO30:HO34)</f>
        <v>0.52947355190122369</v>
      </c>
      <c r="HR35" s="676" t="s">
        <v>1281</v>
      </c>
      <c r="HS35" s="117"/>
      <c r="HT35" s="117"/>
      <c r="HU35" s="117"/>
      <c r="HV35" s="117"/>
      <c r="HW35" s="117"/>
      <c r="HX35" s="233">
        <f t="shared" si="497"/>
        <v>150609871.77252927</v>
      </c>
      <c r="HY35" s="930">
        <f>SUM(HY30:HY34)</f>
        <v>0</v>
      </c>
      <c r="IC35" s="930">
        <f>SUM(IC30:IC34)</f>
        <v>0.50919357715404501</v>
      </c>
      <c r="IF35" s="676"/>
      <c r="IG35" s="117"/>
      <c r="IH35" s="117"/>
      <c r="II35" s="117"/>
      <c r="IJ35" s="117"/>
      <c r="IK35" s="117"/>
      <c r="IL35" s="233"/>
      <c r="IM35" s="119"/>
      <c r="IQ35" s="930"/>
      <c r="IT35" s="676"/>
      <c r="IU35" s="117"/>
      <c r="IV35" s="117"/>
      <c r="IW35" s="117"/>
      <c r="IX35" s="117"/>
      <c r="IY35" s="117"/>
      <c r="IZ35" s="233"/>
      <c r="JA35" s="119"/>
      <c r="JE35" s="930"/>
      <c r="JH35" s="676" t="s">
        <v>1281</v>
      </c>
      <c r="JI35" s="117"/>
      <c r="JJ35" s="117"/>
      <c r="JK35" s="117"/>
      <c r="JL35" s="117"/>
      <c r="JM35" s="117"/>
      <c r="JN35" s="233">
        <f t="shared" ref="JN35" si="498">+SUM(JN30:JN34)</f>
        <v>205377097.87163082</v>
      </c>
      <c r="JO35" s="119"/>
      <c r="JS35" s="930">
        <f>SUM(JS30:JS34)</f>
        <v>0.47922246273840813</v>
      </c>
      <c r="JV35" s="676" t="s">
        <v>1281</v>
      </c>
      <c r="JW35" s="117"/>
      <c r="JX35" s="117"/>
      <c r="JY35" s="117"/>
      <c r="JZ35" s="117"/>
      <c r="KA35" s="117"/>
      <c r="KB35" s="233">
        <f t="shared" si="497"/>
        <v>88996742.411040038</v>
      </c>
      <c r="KC35" s="119"/>
      <c r="KG35" s="930">
        <f>SUM(KG30:KG34)</f>
        <v>0.50467156400958757</v>
      </c>
      <c r="KJ35" s="676" t="s">
        <v>1281</v>
      </c>
      <c r="KK35" s="117"/>
      <c r="KL35" s="117"/>
      <c r="KM35" s="117"/>
      <c r="KN35" s="117"/>
      <c r="KO35" s="117"/>
      <c r="KP35" s="233">
        <f t="shared" ref="KP35:MT35" si="499">+SUM(KP30:KP34)</f>
        <v>0</v>
      </c>
      <c r="KQ35" s="119"/>
      <c r="KU35" s="930">
        <f>SUM(KU30:KU34)</f>
        <v>0</v>
      </c>
      <c r="KX35" s="676" t="s">
        <v>1281</v>
      </c>
      <c r="KY35" s="117"/>
      <c r="KZ35" s="117"/>
      <c r="LA35" s="117"/>
      <c r="LB35" s="117"/>
      <c r="LC35" s="117"/>
      <c r="LD35" s="233">
        <f t="shared" si="499"/>
        <v>0</v>
      </c>
      <c r="LE35" s="119"/>
      <c r="LI35" s="930">
        <f>SUM(LI30:LI34)</f>
        <v>0</v>
      </c>
      <c r="LL35" s="676" t="s">
        <v>1281</v>
      </c>
      <c r="LM35" s="117"/>
      <c r="LN35" s="117"/>
      <c r="LO35" s="117"/>
      <c r="LP35" s="117"/>
      <c r="LQ35" s="117"/>
      <c r="LR35" s="233">
        <f t="shared" si="499"/>
        <v>0</v>
      </c>
      <c r="LS35" s="119"/>
      <c r="LW35" s="930">
        <f>SUM(LW30:LW34)</f>
        <v>0</v>
      </c>
      <c r="LZ35" s="676" t="s">
        <v>1281</v>
      </c>
      <c r="MA35" s="117"/>
      <c r="MB35" s="117"/>
      <c r="MC35" s="117"/>
      <c r="MD35" s="117"/>
      <c r="ME35" s="117"/>
      <c r="MF35" s="233">
        <f t="shared" si="499"/>
        <v>61613129.361489251</v>
      </c>
      <c r="MG35" s="119"/>
      <c r="MK35" s="930">
        <f>SUM(MK30:MK34)</f>
        <v>0.50036780825261695</v>
      </c>
      <c r="MN35" s="676" t="s">
        <v>1281</v>
      </c>
      <c r="MO35" s="117"/>
      <c r="MP35" s="117"/>
      <c r="MQ35" s="117"/>
      <c r="MR35" s="117"/>
      <c r="MS35" s="117"/>
      <c r="MT35" s="233">
        <f t="shared" si="499"/>
        <v>82150839.148652315</v>
      </c>
      <c r="MU35" s="119"/>
      <c r="MY35" s="930">
        <f>SUM(MY30:MY34)</f>
        <v>0.51226839878441977</v>
      </c>
      <c r="NB35" s="676" t="s">
        <v>1281</v>
      </c>
      <c r="NC35" s="117"/>
      <c r="ND35" s="117"/>
      <c r="NE35" s="117"/>
      <c r="NF35" s="117"/>
      <c r="NG35" s="117"/>
      <c r="NH35" s="233">
        <f t="shared" ref="NH35:PL35" si="500">+SUM(NH30:NH34)</f>
        <v>95842645.673427716</v>
      </c>
      <c r="NI35" s="119"/>
      <c r="NM35" s="930">
        <f>SUM(NM30:NM34)</f>
        <v>0.53805427598002564</v>
      </c>
      <c r="NP35" s="676" t="s">
        <v>1281</v>
      </c>
      <c r="NQ35" s="117"/>
      <c r="NR35" s="117"/>
      <c r="NS35" s="117"/>
      <c r="NT35" s="117"/>
      <c r="NU35" s="117"/>
      <c r="NV35" s="233">
        <f t="shared" si="500"/>
        <v>109534452.1982031</v>
      </c>
      <c r="NW35" s="119"/>
      <c r="OA35" s="930">
        <f>SUM(OA30:OA34)</f>
        <v>0.2634219079864632</v>
      </c>
      <c r="OD35" s="676" t="s">
        <v>1281</v>
      </c>
      <c r="OE35" s="117"/>
      <c r="OF35" s="117"/>
      <c r="OG35" s="117"/>
      <c r="OH35" s="117"/>
      <c r="OI35" s="117"/>
      <c r="OJ35" s="233">
        <f t="shared" si="500"/>
        <v>27383613.049550775</v>
      </c>
      <c r="OK35" s="119"/>
      <c r="OO35" s="930">
        <f>SUM(OO30:OO34)</f>
        <v>0.36121648048708827</v>
      </c>
      <c r="OR35" s="676" t="s">
        <v>1281</v>
      </c>
      <c r="OS35" s="117"/>
      <c r="OT35" s="117"/>
      <c r="OU35" s="117"/>
      <c r="OV35" s="117"/>
      <c r="OW35" s="117"/>
      <c r="OX35" s="233">
        <f t="shared" si="500"/>
        <v>136918065.24775389</v>
      </c>
      <c r="OY35" s="119"/>
      <c r="PC35" s="930">
        <f>SUM(PC30:PC34)</f>
        <v>0.45570335362939685</v>
      </c>
      <c r="PF35" s="676" t="s">
        <v>1281</v>
      </c>
      <c r="PG35" s="117"/>
      <c r="PH35" s="117"/>
      <c r="PI35" s="117"/>
      <c r="PJ35" s="117"/>
      <c r="PK35" s="117"/>
      <c r="PL35" s="233">
        <f t="shared" si="500"/>
        <v>0</v>
      </c>
      <c r="PM35" s="119"/>
      <c r="PQ35" s="930">
        <f>SUM(PQ30:PQ34)</f>
        <v>0</v>
      </c>
      <c r="PT35" s="676" t="s">
        <v>1281</v>
      </c>
      <c r="PU35" s="117"/>
      <c r="PV35" s="117"/>
      <c r="PW35" s="117"/>
      <c r="PX35" s="117"/>
      <c r="PY35" s="117"/>
      <c r="PZ35" s="233">
        <f t="shared" ref="PZ35:SD35" si="501">+SUM(PZ30:PZ34)</f>
        <v>0</v>
      </c>
      <c r="QA35" s="119"/>
      <c r="QE35" s="930">
        <f>SUM(QE30:QE34)</f>
        <v>0</v>
      </c>
      <c r="QH35" s="676" t="s">
        <v>1281</v>
      </c>
      <c r="QI35" s="117"/>
      <c r="QJ35" s="117"/>
      <c r="QK35" s="117"/>
      <c r="QL35" s="117"/>
      <c r="QM35" s="117"/>
      <c r="QN35" s="233">
        <f t="shared" si="501"/>
        <v>0</v>
      </c>
      <c r="QO35" s="119"/>
      <c r="QS35" s="930">
        <f>SUM(QS30:QS34)</f>
        <v>0</v>
      </c>
      <c r="QV35" s="676" t="s">
        <v>1281</v>
      </c>
      <c r="QW35" s="117"/>
      <c r="QX35" s="117"/>
      <c r="QY35" s="117"/>
      <c r="QZ35" s="117"/>
      <c r="RA35" s="117"/>
      <c r="RB35" s="233">
        <f t="shared" si="501"/>
        <v>82150839.148652315</v>
      </c>
      <c r="RC35" s="119"/>
      <c r="RG35" s="930">
        <f>SUM(RG30:RG34)</f>
        <v>0.2634219079864632</v>
      </c>
      <c r="RJ35" s="676" t="s">
        <v>1281</v>
      </c>
      <c r="RK35" s="117"/>
      <c r="RL35" s="117"/>
      <c r="RM35" s="117"/>
      <c r="RN35" s="117"/>
      <c r="RO35" s="117"/>
      <c r="RP35" s="233">
        <f t="shared" si="501"/>
        <v>13691806.524775388</v>
      </c>
      <c r="RQ35" s="119"/>
      <c r="RU35" s="930">
        <f>SUM(RU30:RU34)</f>
        <v>0.23164495295104828</v>
      </c>
      <c r="RX35" s="676" t="s">
        <v>1281</v>
      </c>
      <c r="RY35" s="117"/>
      <c r="RZ35" s="117"/>
      <c r="SA35" s="117"/>
      <c r="SB35" s="117"/>
      <c r="SC35" s="117"/>
      <c r="SD35" s="233">
        <f t="shared" si="501"/>
        <v>47921322.836713858</v>
      </c>
      <c r="SE35" s="119"/>
      <c r="SI35" s="930">
        <f>SUM(SI30:SI34)</f>
        <v>0.26342190798646309</v>
      </c>
      <c r="SL35" s="676" t="s">
        <v>1281</v>
      </c>
      <c r="SM35" s="117"/>
      <c r="SN35" s="117"/>
      <c r="SO35" s="117"/>
      <c r="SP35" s="117"/>
      <c r="SQ35" s="117"/>
      <c r="SR35" s="233">
        <f t="shared" ref="SR35" si="502">+SUM(SR30:SR34)</f>
        <v>0</v>
      </c>
      <c r="SS35" s="119"/>
      <c r="SW35" s="930">
        <f>SUM(SW30:SW34)</f>
        <v>0</v>
      </c>
      <c r="SZ35" s="676" t="s">
        <v>1281</v>
      </c>
      <c r="TA35" s="117"/>
      <c r="TB35" s="117"/>
      <c r="TC35" s="117"/>
      <c r="TD35" s="117"/>
      <c r="TE35" s="117"/>
      <c r="TF35" s="727">
        <f t="shared" ref="TF35" si="503">+SUM(TF30:TF34)</f>
        <v>2053770978.7163084</v>
      </c>
      <c r="TG35" s="119"/>
      <c r="TK35" s="930">
        <f>SUM(TK30:TK34)</f>
        <v>0.43707821144149561</v>
      </c>
      <c r="TM35" s="941">
        <f>+H35+AX35+BL35+BZ35+CN35+DB35+DP35+ED35+ER35+FF35+FT35+GH35+HJ35+HX35+JN35+KB35+KP35+LD35+LR35+MF35+MT35+NH35+NV35+OJ35+OX35+PL35+PZ35+QN35+RB35+RP35+SD35+SR35-TF35</f>
        <v>0</v>
      </c>
      <c r="TN35" s="726"/>
    </row>
    <row r="36" spans="1:534" ht="6.75" customHeight="1" thickBot="1">
      <c r="B36" s="101"/>
      <c r="C36" s="101"/>
      <c r="P36" s="101"/>
      <c r="Q36" s="101"/>
      <c r="AD36" s="101"/>
      <c r="AE36" s="101"/>
      <c r="AR36" s="101"/>
      <c r="AS36" s="101"/>
      <c r="BF36" s="101"/>
      <c r="BG36" s="101"/>
      <c r="BT36" s="101"/>
      <c r="BU36" s="101"/>
      <c r="CH36" s="101"/>
      <c r="CI36" s="101"/>
      <c r="CV36" s="101"/>
      <c r="CW36" s="101"/>
      <c r="DJ36" s="101"/>
      <c r="DK36" s="101"/>
      <c r="DX36" s="101"/>
      <c r="DY36" s="101"/>
      <c r="EL36" s="101"/>
      <c r="EM36" s="101"/>
      <c r="ES36" s="667"/>
      <c r="EZ36" s="101"/>
      <c r="FA36" s="101"/>
      <c r="FN36" s="101"/>
      <c r="FO36" s="101"/>
      <c r="GB36" s="101"/>
      <c r="GC36" s="101"/>
      <c r="GP36" s="101"/>
      <c r="GQ36" s="101"/>
      <c r="HD36" s="101"/>
      <c r="HE36" s="101"/>
      <c r="HR36" s="101"/>
      <c r="HS36" s="101"/>
      <c r="HY36" s="667"/>
      <c r="IF36" s="101"/>
      <c r="IG36" s="101"/>
      <c r="IT36" s="101"/>
      <c r="IU36" s="101"/>
      <c r="JH36" s="101"/>
      <c r="JI36" s="101"/>
      <c r="JV36" s="101"/>
      <c r="JW36" s="101"/>
      <c r="KJ36" s="101"/>
      <c r="KK36" s="101"/>
      <c r="KX36" s="101"/>
      <c r="KY36" s="101"/>
      <c r="LL36" s="101"/>
      <c r="LM36" s="101"/>
      <c r="LZ36" s="101"/>
      <c r="MA36" s="101"/>
      <c r="MN36" s="101"/>
      <c r="MO36" s="101"/>
      <c r="NB36" s="101"/>
      <c r="NC36" s="101"/>
      <c r="NP36" s="101"/>
      <c r="NQ36" s="101"/>
      <c r="OD36" s="101"/>
      <c r="OE36" s="101"/>
      <c r="OR36" s="101"/>
      <c r="OS36" s="101"/>
      <c r="PF36" s="101"/>
      <c r="PG36" s="101"/>
      <c r="PT36" s="101"/>
      <c r="PU36" s="101"/>
      <c r="QH36" s="101"/>
      <c r="QI36" s="101"/>
      <c r="QV36" s="101"/>
      <c r="QW36" s="101"/>
      <c r="RJ36" s="101"/>
      <c r="RK36" s="101"/>
      <c r="RX36" s="101"/>
      <c r="RY36" s="101"/>
      <c r="SL36" s="101"/>
      <c r="SM36" s="101"/>
      <c r="SZ36" s="101"/>
      <c r="TA36" s="101"/>
      <c r="TF36" s="725"/>
      <c r="TM36" s="937"/>
      <c r="TN36" s="725"/>
    </row>
    <row r="37" spans="1:534" ht="15.75" customHeight="1" thickBot="1">
      <c r="B37" s="1169" t="s">
        <v>1546</v>
      </c>
      <c r="C37" s="1170"/>
      <c r="D37" s="1170"/>
      <c r="E37" s="102"/>
      <c r="F37" s="103"/>
      <c r="G37" s="103"/>
      <c r="H37" s="262">
        <f>+H21+H26+H35</f>
        <v>161448502.36596996</v>
      </c>
      <c r="I37" s="123"/>
      <c r="P37" s="1169"/>
      <c r="Q37" s="1170"/>
      <c r="R37" s="1170"/>
      <c r="S37" s="102"/>
      <c r="T37" s="103"/>
      <c r="U37" s="103"/>
      <c r="V37" s="262"/>
      <c r="W37" s="123"/>
      <c r="AD37" s="1169"/>
      <c r="AE37" s="1170"/>
      <c r="AF37" s="1170"/>
      <c r="AG37" s="102"/>
      <c r="AH37" s="103"/>
      <c r="AI37" s="103"/>
      <c r="AJ37" s="262"/>
      <c r="AK37" s="123"/>
      <c r="AR37" s="1169" t="s">
        <v>1546</v>
      </c>
      <c r="AS37" s="1170"/>
      <c r="AT37" s="1170"/>
      <c r="AU37" s="102"/>
      <c r="AV37" s="103"/>
      <c r="AW37" s="103"/>
      <c r="AX37" s="262">
        <f t="shared" ref="AX37" si="504">+AX21+AX26+AX35</f>
        <v>0</v>
      </c>
      <c r="AY37" s="123"/>
      <c r="BF37" s="1169" t="s">
        <v>1546</v>
      </c>
      <c r="BG37" s="1170"/>
      <c r="BH37" s="1170"/>
      <c r="BI37" s="102"/>
      <c r="BJ37" s="103"/>
      <c r="BK37" s="103"/>
      <c r="BL37" s="262">
        <f t="shared" ref="BL37" si="505">+BL21+BL26+BL35</f>
        <v>408050139.8466152</v>
      </c>
      <c r="BM37" s="123"/>
      <c r="BT37" s="1169" t="s">
        <v>1546</v>
      </c>
      <c r="BU37" s="1170"/>
      <c r="BV37" s="1170"/>
      <c r="BW37" s="102"/>
      <c r="BX37" s="103"/>
      <c r="BY37" s="103"/>
      <c r="BZ37" s="262">
        <f t="shared" ref="BZ37:ED37" si="506">+BZ21+BZ26+BZ35</f>
        <v>0</v>
      </c>
      <c r="CA37" s="123"/>
      <c r="CH37" s="1169" t="s">
        <v>1546</v>
      </c>
      <c r="CI37" s="1170"/>
      <c r="CJ37" s="1170"/>
      <c r="CK37" s="102"/>
      <c r="CL37" s="103"/>
      <c r="CM37" s="103"/>
      <c r="CN37" s="262">
        <f t="shared" si="506"/>
        <v>22631218.375636876</v>
      </c>
      <c r="CO37" s="123"/>
      <c r="CV37" s="1169" t="s">
        <v>1546</v>
      </c>
      <c r="CW37" s="1170"/>
      <c r="CX37" s="1170"/>
      <c r="CY37" s="102"/>
      <c r="CZ37" s="103"/>
      <c r="DA37" s="103"/>
      <c r="DB37" s="262">
        <f t="shared" si="506"/>
        <v>326506654.23058498</v>
      </c>
      <c r="DC37" s="123"/>
      <c r="DJ37" s="1169" t="s">
        <v>1546</v>
      </c>
      <c r="DK37" s="1170"/>
      <c r="DL37" s="1170"/>
      <c r="DM37" s="102"/>
      <c r="DN37" s="103"/>
      <c r="DO37" s="103"/>
      <c r="DP37" s="262">
        <f t="shared" si="506"/>
        <v>25521059.302638486</v>
      </c>
      <c r="DQ37" s="123"/>
      <c r="DX37" s="1169" t="s">
        <v>1546</v>
      </c>
      <c r="DY37" s="1170"/>
      <c r="DZ37" s="1170"/>
      <c r="EA37" s="102"/>
      <c r="EB37" s="103"/>
      <c r="EC37" s="103"/>
      <c r="ED37" s="262">
        <f t="shared" si="506"/>
        <v>120030265.62181675</v>
      </c>
      <c r="EE37" s="123"/>
      <c r="EL37" s="1169" t="s">
        <v>1546</v>
      </c>
      <c r="EM37" s="1170"/>
      <c r="EN37" s="1170"/>
      <c r="EO37" s="102"/>
      <c r="EP37" s="103"/>
      <c r="EQ37" s="103"/>
      <c r="ER37" s="262">
        <f t="shared" ref="ER37:GV37" si="507">+ER21+ER26+ER35</f>
        <v>204025069.9233076</v>
      </c>
      <c r="ES37" s="667"/>
      <c r="EZ37" s="1169" t="s">
        <v>1546</v>
      </c>
      <c r="FA37" s="1170"/>
      <c r="FB37" s="1170"/>
      <c r="FC37" s="102"/>
      <c r="FD37" s="103"/>
      <c r="FE37" s="103"/>
      <c r="FF37" s="262">
        <f t="shared" si="507"/>
        <v>0</v>
      </c>
      <c r="FG37" s="123"/>
      <c r="FN37" s="1169" t="s">
        <v>1546</v>
      </c>
      <c r="FO37" s="1170"/>
      <c r="FP37" s="1170"/>
      <c r="FQ37" s="102"/>
      <c r="FR37" s="103"/>
      <c r="FS37" s="103"/>
      <c r="FT37" s="262">
        <f t="shared" si="507"/>
        <v>279800772.93992794</v>
      </c>
      <c r="FU37" s="123"/>
      <c r="GB37" s="1169" t="s">
        <v>1546</v>
      </c>
      <c r="GC37" s="1170"/>
      <c r="GD37" s="1170"/>
      <c r="GE37" s="102"/>
      <c r="GF37" s="103"/>
      <c r="GG37" s="103"/>
      <c r="GH37" s="262">
        <f t="shared" si="507"/>
        <v>132208592.86760105</v>
      </c>
      <c r="GI37" s="123"/>
      <c r="GP37" s="1169" t="s">
        <v>1546</v>
      </c>
      <c r="GQ37" s="1170"/>
      <c r="GR37" s="1170"/>
      <c r="GS37" s="102"/>
      <c r="GT37" s="103"/>
      <c r="GU37" s="103"/>
      <c r="GV37" s="262">
        <f t="shared" si="507"/>
        <v>0</v>
      </c>
      <c r="GW37" s="123"/>
      <c r="HD37" s="1169" t="s">
        <v>1546</v>
      </c>
      <c r="HE37" s="1170"/>
      <c r="HF37" s="1170"/>
      <c r="HG37" s="102"/>
      <c r="HH37" s="103"/>
      <c r="HI37" s="103"/>
      <c r="HJ37" s="262">
        <f t="shared" ref="HJ37:KB37" si="508">+HJ21+HJ26+HJ35</f>
        <v>68008356.641102523</v>
      </c>
      <c r="HK37" s="123"/>
      <c r="HR37" s="1169" t="s">
        <v>1546</v>
      </c>
      <c r="HS37" s="1170"/>
      <c r="HT37" s="1170"/>
      <c r="HU37" s="102"/>
      <c r="HV37" s="103"/>
      <c r="HW37" s="103"/>
      <c r="HX37" s="262">
        <f t="shared" si="508"/>
        <v>259430731.50274068</v>
      </c>
      <c r="HY37" s="667"/>
      <c r="IF37" s="1169"/>
      <c r="IG37" s="1170"/>
      <c r="IH37" s="1170"/>
      <c r="II37" s="102"/>
      <c r="IJ37" s="103"/>
      <c r="IK37" s="103"/>
      <c r="IL37" s="262"/>
      <c r="IM37" s="123"/>
      <c r="IT37" s="1169"/>
      <c r="IU37" s="1170"/>
      <c r="IV37" s="1170"/>
      <c r="IW37" s="102"/>
      <c r="IX37" s="103"/>
      <c r="IY37" s="103"/>
      <c r="IZ37" s="262"/>
      <c r="JA37" s="123"/>
      <c r="JH37" s="1169" t="s">
        <v>1546</v>
      </c>
      <c r="JI37" s="1170"/>
      <c r="JJ37" s="1170"/>
      <c r="JK37" s="102"/>
      <c r="JL37" s="103"/>
      <c r="JM37" s="103"/>
      <c r="JN37" s="262">
        <f t="shared" ref="JN37" si="509">+JN21+JN26+JN35</f>
        <v>376183766.88692057</v>
      </c>
      <c r="JO37" s="123"/>
      <c r="JV37" s="1169" t="s">
        <v>1546</v>
      </c>
      <c r="JW37" s="1170"/>
      <c r="JX37" s="1170"/>
      <c r="JY37" s="102"/>
      <c r="JZ37" s="103"/>
      <c r="KA37" s="103"/>
      <c r="KB37" s="262">
        <f t="shared" si="508"/>
        <v>154691563.89656845</v>
      </c>
      <c r="KC37" s="123"/>
      <c r="KJ37" s="1169" t="s">
        <v>1546</v>
      </c>
      <c r="KK37" s="1170"/>
      <c r="KL37" s="1170"/>
      <c r="KM37" s="102"/>
      <c r="KN37" s="103"/>
      <c r="KO37" s="103"/>
      <c r="KP37" s="262">
        <f t="shared" ref="KP37:MT37" si="510">+KP21+KP26+KP35</f>
        <v>0</v>
      </c>
      <c r="KQ37" s="123"/>
      <c r="KX37" s="1169" t="s">
        <v>1546</v>
      </c>
      <c r="KY37" s="1170"/>
      <c r="KZ37" s="1170"/>
      <c r="LA37" s="102"/>
      <c r="LB37" s="103"/>
      <c r="LC37" s="103"/>
      <c r="LD37" s="262">
        <f t="shared" si="510"/>
        <v>0</v>
      </c>
      <c r="LE37" s="123"/>
      <c r="LL37" s="1169" t="s">
        <v>1546</v>
      </c>
      <c r="LM37" s="1170"/>
      <c r="LN37" s="1170"/>
      <c r="LO37" s="102"/>
      <c r="LP37" s="103"/>
      <c r="LQ37" s="103"/>
      <c r="LR37" s="262">
        <f t="shared" si="510"/>
        <v>0</v>
      </c>
      <c r="LS37" s="123"/>
      <c r="LZ37" s="1169" t="s">
        <v>1546</v>
      </c>
      <c r="MA37" s="1170"/>
      <c r="MB37" s="1170"/>
      <c r="MC37" s="102"/>
      <c r="MD37" s="103"/>
      <c r="ME37" s="103"/>
      <c r="MF37" s="262">
        <f t="shared" si="510"/>
        <v>108027239.05963507</v>
      </c>
      <c r="MG37" s="123"/>
      <c r="MN37" s="1169" t="s">
        <v>1546</v>
      </c>
      <c r="MO37" s="1170"/>
      <c r="MP37" s="1170"/>
      <c r="MQ37" s="102"/>
      <c r="MR37" s="103"/>
      <c r="MS37" s="103"/>
      <c r="MT37" s="262">
        <f t="shared" si="510"/>
        <v>140647178.65209764</v>
      </c>
      <c r="MU37" s="123"/>
      <c r="NB37" s="1169" t="s">
        <v>1546</v>
      </c>
      <c r="NC37" s="1170"/>
      <c r="ND37" s="1170"/>
      <c r="NE37" s="102"/>
      <c r="NF37" s="103"/>
      <c r="NG37" s="103"/>
      <c r="NH37" s="262">
        <f t="shared" ref="NH37:PL37" si="511">+NH21+NH26+NH35</f>
        <v>156121041.85217887</v>
      </c>
      <c r="NI37" s="123"/>
      <c r="NP37" s="1169" t="s">
        <v>1546</v>
      </c>
      <c r="NQ37" s="1170"/>
      <c r="NR37" s="1170"/>
      <c r="NS37" s="102"/>
      <c r="NT37" s="103"/>
      <c r="NU37" s="103"/>
      <c r="NV37" s="262">
        <f t="shared" si="511"/>
        <v>367014809.9039309</v>
      </c>
      <c r="NW37" s="123"/>
      <c r="OD37" s="1169" t="s">
        <v>1546</v>
      </c>
      <c r="OE37" s="1170"/>
      <c r="OF37" s="1170"/>
      <c r="OG37" s="102"/>
      <c r="OH37" s="103"/>
      <c r="OI37" s="103"/>
      <c r="OJ37" s="262">
        <f t="shared" si="511"/>
        <v>66745528.298917741</v>
      </c>
      <c r="OK37" s="123"/>
      <c r="OR37" s="1169" t="s">
        <v>1546</v>
      </c>
      <c r="OS37" s="1170"/>
      <c r="OT37" s="1170"/>
      <c r="OU37" s="102"/>
      <c r="OV37" s="103"/>
      <c r="OW37" s="103"/>
      <c r="OX37" s="262">
        <f t="shared" si="511"/>
        <v>263891798.36902031</v>
      </c>
      <c r="OY37" s="123"/>
      <c r="PF37" s="1169" t="s">
        <v>1546</v>
      </c>
      <c r="PG37" s="1170"/>
      <c r="PH37" s="1170"/>
      <c r="PI37" s="102"/>
      <c r="PJ37" s="103"/>
      <c r="PK37" s="103"/>
      <c r="PL37" s="262">
        <f t="shared" si="511"/>
        <v>0</v>
      </c>
      <c r="PM37" s="123"/>
      <c r="PT37" s="1169" t="s">
        <v>1546</v>
      </c>
      <c r="PU37" s="1170"/>
      <c r="PV37" s="1170"/>
      <c r="PW37" s="102"/>
      <c r="PX37" s="103"/>
      <c r="PY37" s="103"/>
      <c r="PZ37" s="262">
        <f t="shared" ref="PZ37:SD37" si="512">+PZ21+PZ26+PZ35</f>
        <v>0</v>
      </c>
      <c r="QA37" s="123"/>
      <c r="QH37" s="1169" t="s">
        <v>1546</v>
      </c>
      <c r="QI37" s="1170"/>
      <c r="QJ37" s="1170"/>
      <c r="QK37" s="102"/>
      <c r="QL37" s="103"/>
      <c r="QM37" s="103"/>
      <c r="QN37" s="262">
        <f t="shared" si="512"/>
        <v>0</v>
      </c>
      <c r="QO37" s="123"/>
      <c r="QV37" s="1169" t="s">
        <v>1546</v>
      </c>
      <c r="QW37" s="1170"/>
      <c r="QX37" s="1170"/>
      <c r="QY37" s="102"/>
      <c r="QZ37" s="103"/>
      <c r="RA37" s="103"/>
      <c r="RB37" s="262">
        <f t="shared" si="512"/>
        <v>275261107.42794818</v>
      </c>
      <c r="RC37" s="123"/>
      <c r="RJ37" s="1169" t="s">
        <v>1546</v>
      </c>
      <c r="RK37" s="1170"/>
      <c r="RL37" s="1170"/>
      <c r="RM37" s="102"/>
      <c r="RN37" s="103"/>
      <c r="RO37" s="103"/>
      <c r="RP37" s="262">
        <f t="shared" si="512"/>
        <v>52212545.785536952</v>
      </c>
      <c r="RQ37" s="123"/>
      <c r="RX37" s="1169" t="s">
        <v>1546</v>
      </c>
      <c r="RY37" s="1170"/>
      <c r="RZ37" s="1170"/>
      <c r="SA37" s="102"/>
      <c r="SB37" s="103"/>
      <c r="SC37" s="103"/>
      <c r="SD37" s="262">
        <f t="shared" si="512"/>
        <v>160568979.33296978</v>
      </c>
      <c r="SE37" s="123"/>
      <c r="SL37" s="1169" t="s">
        <v>1546</v>
      </c>
      <c r="SM37" s="1170"/>
      <c r="SN37" s="1170"/>
      <c r="SO37" s="102"/>
      <c r="SP37" s="103"/>
      <c r="SQ37" s="103"/>
      <c r="SR37" s="262">
        <f t="shared" ref="SR37" si="513">+SR21+SR26+SR35</f>
        <v>0</v>
      </c>
      <c r="SS37" s="123"/>
      <c r="SZ37" s="1169" t="s">
        <v>1546</v>
      </c>
      <c r="TA37" s="1170"/>
      <c r="TB37" s="1170"/>
      <c r="TC37" s="102"/>
      <c r="TD37" s="103"/>
      <c r="TE37" s="103"/>
      <c r="TF37" s="686">
        <f t="shared" ref="TF37" si="514">+TF21+TF26+TF35</f>
        <v>4129026923.0836668</v>
      </c>
      <c r="TG37" s="123"/>
      <c r="TM37" s="941">
        <f>+H37+AX37+BL37+BZ37+CN37+DB37+DP37+ED37+ER37+FF37+FT37+GH37+HJ37+HX37+JN37+KB37+KP37+LD37+LR37+MF37+MT37+NH37+NV37+OJ37+OX37+PL37+PZ37+QN37+RB37+RP37+SD37+SR37-TF37</f>
        <v>0</v>
      </c>
      <c r="TN37" s="725"/>
    </row>
    <row r="38" spans="1:534" ht="6.75" customHeight="1" thickBot="1">
      <c r="ES38" s="667"/>
      <c r="HY38" s="667"/>
      <c r="TF38" s="725"/>
      <c r="TM38" s="937"/>
      <c r="TN38" s="725"/>
    </row>
    <row r="39" spans="1:534" ht="28.5" customHeight="1" thickBot="1">
      <c r="B39" s="316" t="s">
        <v>1220</v>
      </c>
      <c r="C39" s="1174" t="s">
        <v>1207</v>
      </c>
      <c r="D39" s="1175"/>
      <c r="E39" s="1175"/>
      <c r="F39" s="1176"/>
      <c r="G39" s="317" t="s">
        <v>1299</v>
      </c>
      <c r="H39" s="318" t="s">
        <v>1274</v>
      </c>
      <c r="P39" s="316"/>
      <c r="Q39" s="1175"/>
      <c r="R39" s="1175"/>
      <c r="S39" s="1175"/>
      <c r="T39" s="1176"/>
      <c r="U39" s="317"/>
      <c r="V39" s="318"/>
      <c r="AD39" s="316"/>
      <c r="AE39" s="1175"/>
      <c r="AF39" s="1175"/>
      <c r="AG39" s="1175"/>
      <c r="AH39" s="1176"/>
      <c r="AI39" s="317"/>
      <c r="AJ39" s="318"/>
      <c r="AR39" s="316" t="s">
        <v>1220</v>
      </c>
      <c r="AS39" s="1175" t="s">
        <v>1207</v>
      </c>
      <c r="AT39" s="1175"/>
      <c r="AU39" s="1175"/>
      <c r="AV39" s="1176"/>
      <c r="AW39" s="317" t="s">
        <v>1299</v>
      </c>
      <c r="AX39" s="318" t="s">
        <v>1274</v>
      </c>
      <c r="BF39" s="316" t="s">
        <v>1220</v>
      </c>
      <c r="BG39" s="1175" t="s">
        <v>1207</v>
      </c>
      <c r="BH39" s="1175"/>
      <c r="BI39" s="1175"/>
      <c r="BJ39" s="1176"/>
      <c r="BK39" s="317" t="s">
        <v>1299</v>
      </c>
      <c r="BL39" s="318" t="s">
        <v>1274</v>
      </c>
      <c r="BT39" s="316" t="s">
        <v>1220</v>
      </c>
      <c r="BU39" s="1175" t="s">
        <v>1207</v>
      </c>
      <c r="BV39" s="1175"/>
      <c r="BW39" s="1175"/>
      <c r="BX39" s="1176"/>
      <c r="BY39" s="317" t="s">
        <v>1299</v>
      </c>
      <c r="BZ39" s="318" t="s">
        <v>1274</v>
      </c>
      <c r="CH39" s="316" t="s">
        <v>1220</v>
      </c>
      <c r="CI39" s="1175" t="s">
        <v>1207</v>
      </c>
      <c r="CJ39" s="1175"/>
      <c r="CK39" s="1175"/>
      <c r="CL39" s="1176"/>
      <c r="CM39" s="317" t="s">
        <v>1299</v>
      </c>
      <c r="CN39" s="318" t="s">
        <v>1274</v>
      </c>
      <c r="CV39" s="316" t="s">
        <v>1220</v>
      </c>
      <c r="CW39" s="1175" t="s">
        <v>1207</v>
      </c>
      <c r="CX39" s="1175"/>
      <c r="CY39" s="1175"/>
      <c r="CZ39" s="1176"/>
      <c r="DA39" s="317" t="s">
        <v>1299</v>
      </c>
      <c r="DB39" s="318" t="s">
        <v>1274</v>
      </c>
      <c r="DJ39" s="316" t="s">
        <v>1220</v>
      </c>
      <c r="DK39" s="1175" t="s">
        <v>1207</v>
      </c>
      <c r="DL39" s="1175"/>
      <c r="DM39" s="1175"/>
      <c r="DN39" s="1176"/>
      <c r="DO39" s="317" t="s">
        <v>1299</v>
      </c>
      <c r="DP39" s="318" t="s">
        <v>1274</v>
      </c>
      <c r="DX39" s="316" t="s">
        <v>1220</v>
      </c>
      <c r="DY39" s="1175" t="s">
        <v>1207</v>
      </c>
      <c r="DZ39" s="1175"/>
      <c r="EA39" s="1175"/>
      <c r="EB39" s="1176"/>
      <c r="EC39" s="317" t="s">
        <v>1299</v>
      </c>
      <c r="ED39" s="318" t="s">
        <v>1274</v>
      </c>
      <c r="EL39" s="316" t="s">
        <v>1220</v>
      </c>
      <c r="EM39" s="1175" t="s">
        <v>1207</v>
      </c>
      <c r="EN39" s="1175"/>
      <c r="EO39" s="1175"/>
      <c r="EP39" s="1176"/>
      <c r="EQ39" s="317" t="s">
        <v>1299</v>
      </c>
      <c r="ER39" s="318" t="s">
        <v>1274</v>
      </c>
      <c r="ES39" s="667"/>
      <c r="EZ39" s="316" t="s">
        <v>1220</v>
      </c>
      <c r="FA39" s="1175" t="s">
        <v>1207</v>
      </c>
      <c r="FB39" s="1175"/>
      <c r="FC39" s="1175"/>
      <c r="FD39" s="1176"/>
      <c r="FE39" s="317" t="s">
        <v>1299</v>
      </c>
      <c r="FF39" s="318" t="s">
        <v>1274</v>
      </c>
      <c r="FN39" s="316" t="s">
        <v>1220</v>
      </c>
      <c r="FO39" s="1175" t="s">
        <v>1207</v>
      </c>
      <c r="FP39" s="1175"/>
      <c r="FQ39" s="1175"/>
      <c r="FR39" s="1176"/>
      <c r="FS39" s="317" t="s">
        <v>1299</v>
      </c>
      <c r="FT39" s="318" t="s">
        <v>1274</v>
      </c>
      <c r="GB39" s="316" t="s">
        <v>1220</v>
      </c>
      <c r="GC39" s="1175" t="s">
        <v>1207</v>
      </c>
      <c r="GD39" s="1175"/>
      <c r="GE39" s="1175"/>
      <c r="GF39" s="1176"/>
      <c r="GG39" s="317" t="s">
        <v>1299</v>
      </c>
      <c r="GH39" s="318" t="s">
        <v>1274</v>
      </c>
      <c r="GP39" s="316" t="s">
        <v>1220</v>
      </c>
      <c r="GQ39" s="1175" t="s">
        <v>1207</v>
      </c>
      <c r="GR39" s="1175"/>
      <c r="GS39" s="1175"/>
      <c r="GT39" s="1176"/>
      <c r="GU39" s="317" t="s">
        <v>1299</v>
      </c>
      <c r="GV39" s="318" t="s">
        <v>1274</v>
      </c>
      <c r="HD39" s="316" t="s">
        <v>1220</v>
      </c>
      <c r="HE39" s="1175" t="s">
        <v>1207</v>
      </c>
      <c r="HF39" s="1175"/>
      <c r="HG39" s="1175"/>
      <c r="HH39" s="1176"/>
      <c r="HI39" s="317" t="s">
        <v>1299</v>
      </c>
      <c r="HJ39" s="318" t="s">
        <v>1274</v>
      </c>
      <c r="HR39" s="316" t="s">
        <v>1220</v>
      </c>
      <c r="HS39" s="1175" t="s">
        <v>1207</v>
      </c>
      <c r="HT39" s="1175"/>
      <c r="HU39" s="1175"/>
      <c r="HV39" s="1176"/>
      <c r="HW39" s="317" t="s">
        <v>1299</v>
      </c>
      <c r="HX39" s="318" t="s">
        <v>1274</v>
      </c>
      <c r="HY39" s="667"/>
      <c r="IF39" s="316"/>
      <c r="IG39" s="1175"/>
      <c r="IH39" s="1175"/>
      <c r="II39" s="1175"/>
      <c r="IJ39" s="1176"/>
      <c r="IK39" s="317"/>
      <c r="IL39" s="318"/>
      <c r="IT39" s="316"/>
      <c r="IU39" s="1175"/>
      <c r="IV39" s="1175"/>
      <c r="IW39" s="1175"/>
      <c r="IX39" s="1176"/>
      <c r="IY39" s="317"/>
      <c r="IZ39" s="318"/>
      <c r="JH39" s="316" t="s">
        <v>1220</v>
      </c>
      <c r="JI39" s="1175" t="s">
        <v>1207</v>
      </c>
      <c r="JJ39" s="1175"/>
      <c r="JK39" s="1175"/>
      <c r="JL39" s="1176"/>
      <c r="JM39" s="317" t="s">
        <v>1299</v>
      </c>
      <c r="JN39" s="318" t="s">
        <v>1274</v>
      </c>
      <c r="JV39" s="316" t="s">
        <v>1220</v>
      </c>
      <c r="JW39" s="1175" t="s">
        <v>1207</v>
      </c>
      <c r="JX39" s="1175"/>
      <c r="JY39" s="1175"/>
      <c r="JZ39" s="1176"/>
      <c r="KA39" s="317" t="s">
        <v>1299</v>
      </c>
      <c r="KB39" s="318" t="s">
        <v>1274</v>
      </c>
      <c r="KJ39" s="316" t="s">
        <v>1220</v>
      </c>
      <c r="KK39" s="1175" t="s">
        <v>1207</v>
      </c>
      <c r="KL39" s="1175"/>
      <c r="KM39" s="1175"/>
      <c r="KN39" s="1176"/>
      <c r="KO39" s="317" t="s">
        <v>1299</v>
      </c>
      <c r="KP39" s="318" t="s">
        <v>1274</v>
      </c>
      <c r="KX39" s="316" t="s">
        <v>1220</v>
      </c>
      <c r="KY39" s="1175" t="s">
        <v>1207</v>
      </c>
      <c r="KZ39" s="1175"/>
      <c r="LA39" s="1175"/>
      <c r="LB39" s="1176"/>
      <c r="LC39" s="317" t="s">
        <v>1299</v>
      </c>
      <c r="LD39" s="318" t="s">
        <v>1274</v>
      </c>
      <c r="LL39" s="316" t="s">
        <v>1220</v>
      </c>
      <c r="LM39" s="1175" t="s">
        <v>1207</v>
      </c>
      <c r="LN39" s="1175"/>
      <c r="LO39" s="1175"/>
      <c r="LP39" s="1176"/>
      <c r="LQ39" s="317" t="s">
        <v>1299</v>
      </c>
      <c r="LR39" s="318" t="s">
        <v>1274</v>
      </c>
      <c r="LZ39" s="316" t="s">
        <v>1220</v>
      </c>
      <c r="MA39" s="1175" t="s">
        <v>1207</v>
      </c>
      <c r="MB39" s="1175"/>
      <c r="MC39" s="1175"/>
      <c r="MD39" s="1176"/>
      <c r="ME39" s="317" t="s">
        <v>1299</v>
      </c>
      <c r="MF39" s="318" t="s">
        <v>1274</v>
      </c>
      <c r="MN39" s="316" t="s">
        <v>1220</v>
      </c>
      <c r="MO39" s="1175" t="s">
        <v>1207</v>
      </c>
      <c r="MP39" s="1175"/>
      <c r="MQ39" s="1175"/>
      <c r="MR39" s="1176"/>
      <c r="MS39" s="317" t="s">
        <v>1299</v>
      </c>
      <c r="MT39" s="318" t="s">
        <v>1274</v>
      </c>
      <c r="NB39" s="316" t="s">
        <v>1220</v>
      </c>
      <c r="NC39" s="1175" t="s">
        <v>1207</v>
      </c>
      <c r="ND39" s="1175"/>
      <c r="NE39" s="1175"/>
      <c r="NF39" s="1176"/>
      <c r="NG39" s="317" t="s">
        <v>1299</v>
      </c>
      <c r="NH39" s="318" t="s">
        <v>1274</v>
      </c>
      <c r="NP39" s="316" t="s">
        <v>1220</v>
      </c>
      <c r="NQ39" s="1175" t="s">
        <v>1207</v>
      </c>
      <c r="NR39" s="1175"/>
      <c r="NS39" s="1175"/>
      <c r="NT39" s="1176"/>
      <c r="NU39" s="317" t="s">
        <v>1299</v>
      </c>
      <c r="NV39" s="318" t="s">
        <v>1274</v>
      </c>
      <c r="OD39" s="316" t="s">
        <v>1220</v>
      </c>
      <c r="OE39" s="1175" t="s">
        <v>1207</v>
      </c>
      <c r="OF39" s="1175"/>
      <c r="OG39" s="1175"/>
      <c r="OH39" s="1176"/>
      <c r="OI39" s="317" t="s">
        <v>1299</v>
      </c>
      <c r="OJ39" s="318" t="s">
        <v>1274</v>
      </c>
      <c r="OR39" s="316" t="s">
        <v>1220</v>
      </c>
      <c r="OS39" s="1175" t="s">
        <v>1207</v>
      </c>
      <c r="OT39" s="1175"/>
      <c r="OU39" s="1175"/>
      <c r="OV39" s="1176"/>
      <c r="OW39" s="317" t="s">
        <v>1299</v>
      </c>
      <c r="OX39" s="318" t="s">
        <v>1274</v>
      </c>
      <c r="PF39" s="316" t="s">
        <v>1220</v>
      </c>
      <c r="PG39" s="1175" t="s">
        <v>1207</v>
      </c>
      <c r="PH39" s="1175"/>
      <c r="PI39" s="1175"/>
      <c r="PJ39" s="1176"/>
      <c r="PK39" s="317" t="s">
        <v>1299</v>
      </c>
      <c r="PL39" s="318" t="s">
        <v>1274</v>
      </c>
      <c r="PT39" s="316" t="s">
        <v>1220</v>
      </c>
      <c r="PU39" s="1175" t="s">
        <v>1207</v>
      </c>
      <c r="PV39" s="1175"/>
      <c r="PW39" s="1175"/>
      <c r="PX39" s="1176"/>
      <c r="PY39" s="317" t="s">
        <v>1299</v>
      </c>
      <c r="PZ39" s="318" t="s">
        <v>1274</v>
      </c>
      <c r="QH39" s="316" t="s">
        <v>1220</v>
      </c>
      <c r="QI39" s="1175" t="s">
        <v>1207</v>
      </c>
      <c r="QJ39" s="1175"/>
      <c r="QK39" s="1175"/>
      <c r="QL39" s="1176"/>
      <c r="QM39" s="317" t="s">
        <v>1299</v>
      </c>
      <c r="QN39" s="318" t="s">
        <v>1274</v>
      </c>
      <c r="QV39" s="316" t="s">
        <v>1220</v>
      </c>
      <c r="QW39" s="1175" t="s">
        <v>1207</v>
      </c>
      <c r="QX39" s="1175"/>
      <c r="QY39" s="1175"/>
      <c r="QZ39" s="1176"/>
      <c r="RA39" s="317" t="s">
        <v>1299</v>
      </c>
      <c r="RB39" s="318" t="s">
        <v>1274</v>
      </c>
      <c r="RJ39" s="316" t="s">
        <v>1220</v>
      </c>
      <c r="RK39" s="1175" t="s">
        <v>1207</v>
      </c>
      <c r="RL39" s="1175"/>
      <c r="RM39" s="1175"/>
      <c r="RN39" s="1176"/>
      <c r="RO39" s="317" t="s">
        <v>1299</v>
      </c>
      <c r="RP39" s="318" t="s">
        <v>1274</v>
      </c>
      <c r="RX39" s="316" t="s">
        <v>1220</v>
      </c>
      <c r="RY39" s="1175" t="s">
        <v>1207</v>
      </c>
      <c r="RZ39" s="1175"/>
      <c r="SA39" s="1175"/>
      <c r="SB39" s="1176"/>
      <c r="SC39" s="317" t="s">
        <v>1299</v>
      </c>
      <c r="SD39" s="318" t="s">
        <v>1274</v>
      </c>
      <c r="SL39" s="316" t="s">
        <v>1220</v>
      </c>
      <c r="SM39" s="1175" t="s">
        <v>1207</v>
      </c>
      <c r="SN39" s="1175"/>
      <c r="SO39" s="1175"/>
      <c r="SP39" s="1176"/>
      <c r="SQ39" s="317" t="s">
        <v>1299</v>
      </c>
      <c r="SR39" s="318" t="s">
        <v>1274</v>
      </c>
      <c r="SZ39" s="316" t="s">
        <v>1220</v>
      </c>
      <c r="TA39" s="1175" t="s">
        <v>1207</v>
      </c>
      <c r="TB39" s="1175"/>
      <c r="TC39" s="1175"/>
      <c r="TD39" s="1176"/>
      <c r="TE39" s="317" t="s">
        <v>1299</v>
      </c>
      <c r="TF39" s="732" t="s">
        <v>1274</v>
      </c>
      <c r="TM39" s="937"/>
      <c r="TN39" s="725"/>
    </row>
    <row r="40" spans="1:534" ht="18.75" customHeight="1" thickBot="1">
      <c r="B40" s="637" t="s">
        <v>1573</v>
      </c>
      <c r="C40" s="641" t="s">
        <v>1300</v>
      </c>
      <c r="D40" s="313"/>
      <c r="E40" s="134"/>
      <c r="F40" s="122"/>
      <c r="G40" s="657">
        <f>+'Res de Costos Pais'!$G$103</f>
        <v>0.08</v>
      </c>
      <c r="H40" s="319">
        <f>+H37*G40</f>
        <v>12915880.189277597</v>
      </c>
      <c r="M40" s="928">
        <f>+IF(H40=0,0,H40/H$72)</f>
        <v>7.0147843394337772E-2</v>
      </c>
      <c r="P40" s="637"/>
      <c r="Q40" s="641"/>
      <c r="R40" s="313"/>
      <c r="S40" s="134"/>
      <c r="T40" s="122"/>
      <c r="U40" s="657"/>
      <c r="V40" s="319"/>
      <c r="AA40" s="928"/>
      <c r="AD40" s="637"/>
      <c r="AE40" s="641"/>
      <c r="AF40" s="313"/>
      <c r="AG40" s="134"/>
      <c r="AH40" s="122"/>
      <c r="AI40" s="657"/>
      <c r="AJ40" s="319"/>
      <c r="AO40" s="928"/>
      <c r="AR40" s="637" t="s">
        <v>1573</v>
      </c>
      <c r="AS40" s="641" t="s">
        <v>1300</v>
      </c>
      <c r="AT40" s="313"/>
      <c r="AU40" s="134"/>
      <c r="AV40" s="122"/>
      <c r="AW40" s="657">
        <f>+'Res de Costos Pais'!$G$103</f>
        <v>0.08</v>
      </c>
      <c r="AX40" s="319">
        <f t="shared" ref="AX40" si="515">+AX37*AW40</f>
        <v>0</v>
      </c>
      <c r="BC40" s="928">
        <f>+IF(AX40=0,0,AX40/AX$72)</f>
        <v>0</v>
      </c>
      <c r="BF40" s="637" t="s">
        <v>1573</v>
      </c>
      <c r="BG40" s="641" t="s">
        <v>1300</v>
      </c>
      <c r="BH40" s="313"/>
      <c r="BI40" s="134"/>
      <c r="BJ40" s="122"/>
      <c r="BK40" s="657">
        <f>+'Res de Costos Pais'!$G$103</f>
        <v>0.08</v>
      </c>
      <c r="BL40" s="319">
        <f t="shared" ref="BL40" si="516">+BL37*BK40</f>
        <v>32644011.187729217</v>
      </c>
      <c r="BQ40" s="928">
        <f>+IF(BL40=0,0,BL40/BL$72)</f>
        <v>7.0131726512635037E-2</v>
      </c>
      <c r="BT40" s="637" t="s">
        <v>1573</v>
      </c>
      <c r="BU40" s="641" t="s">
        <v>1300</v>
      </c>
      <c r="BV40" s="313"/>
      <c r="BW40" s="134"/>
      <c r="BX40" s="122"/>
      <c r="BY40" s="657">
        <f>+'Res de Costos Pais'!$G$103</f>
        <v>0.08</v>
      </c>
      <c r="BZ40" s="319">
        <f t="shared" ref="BZ40" si="517">+BZ37*BY40</f>
        <v>0</v>
      </c>
      <c r="CE40" s="928">
        <f>+IF(BZ40=0,0,BZ40/BZ$72)</f>
        <v>0</v>
      </c>
      <c r="CH40" s="637" t="s">
        <v>1573</v>
      </c>
      <c r="CI40" s="641" t="s">
        <v>1300</v>
      </c>
      <c r="CJ40" s="313"/>
      <c r="CK40" s="134"/>
      <c r="CL40" s="122"/>
      <c r="CM40" s="657">
        <f>+'Res de Costos Pais'!$G$103</f>
        <v>0.08</v>
      </c>
      <c r="CN40" s="319">
        <f t="shared" ref="CN40" si="518">+CN37*CM40</f>
        <v>1810497.4700509501</v>
      </c>
      <c r="CS40" s="928">
        <f>+IF(CN40=0,0,CN40/CN$72)</f>
        <v>7.0130135518003192E-2</v>
      </c>
      <c r="CV40" s="637" t="s">
        <v>1573</v>
      </c>
      <c r="CW40" s="641" t="s">
        <v>1300</v>
      </c>
      <c r="CX40" s="313"/>
      <c r="CY40" s="134"/>
      <c r="CZ40" s="122"/>
      <c r="DA40" s="657">
        <f>+'Res de Costos Pais'!$G$103</f>
        <v>0.08</v>
      </c>
      <c r="DB40" s="319">
        <f t="shared" ref="DB40" si="519">+DB37*DA40</f>
        <v>26120532.3384468</v>
      </c>
      <c r="DG40" s="928">
        <f>+IF(DB40=0,0,DB40/DB$72)</f>
        <v>7.0223579583499493E-2</v>
      </c>
      <c r="DJ40" s="637" t="s">
        <v>1573</v>
      </c>
      <c r="DK40" s="641" t="s">
        <v>1300</v>
      </c>
      <c r="DL40" s="313"/>
      <c r="DM40" s="134"/>
      <c r="DN40" s="122"/>
      <c r="DO40" s="657">
        <f>+'Res de Costos Pais'!$G$103</f>
        <v>0.08</v>
      </c>
      <c r="DP40" s="319">
        <f t="shared" ref="DP40" si="520">+DP37*DO40</f>
        <v>2041684.7442110789</v>
      </c>
      <c r="DU40" s="928">
        <f>+IF(DP40=0,0,DP40/DP$72)</f>
        <v>7.0237112219147926E-2</v>
      </c>
      <c r="DX40" s="637" t="s">
        <v>1573</v>
      </c>
      <c r="DY40" s="641" t="s">
        <v>1300</v>
      </c>
      <c r="DZ40" s="313"/>
      <c r="EA40" s="134"/>
      <c r="EB40" s="122"/>
      <c r="EC40" s="657">
        <f>+'Res de Costos Pais'!$G$103</f>
        <v>0.08</v>
      </c>
      <c r="ED40" s="319">
        <f t="shared" ref="ED40" si="521">+ED37*EC40</f>
        <v>9602421.249745341</v>
      </c>
      <c r="EI40" s="928">
        <f>+IF(ED40=0,0,ED40/ED$72)</f>
        <v>7.0184200542992292E-2</v>
      </c>
      <c r="EL40" s="637" t="s">
        <v>1573</v>
      </c>
      <c r="EM40" s="641" t="s">
        <v>1300</v>
      </c>
      <c r="EN40" s="313"/>
      <c r="EO40" s="134"/>
      <c r="EP40" s="122"/>
      <c r="EQ40" s="657">
        <f>+'Res de Costos Pais'!$G$103</f>
        <v>0.08</v>
      </c>
      <c r="ER40" s="319">
        <f t="shared" ref="ER40" si="522">+ER37*EQ40</f>
        <v>16322005.593864609</v>
      </c>
      <c r="ES40" s="928">
        <f>+IF(EN40=0,0,EN40/EN$72)</f>
        <v>0</v>
      </c>
      <c r="EW40" s="928">
        <f>+IF(ER40=0,0,ER40/ER$72)</f>
        <v>7.0131726512635037E-2</v>
      </c>
      <c r="EZ40" s="637" t="s">
        <v>1573</v>
      </c>
      <c r="FA40" s="641" t="s">
        <v>1300</v>
      </c>
      <c r="FB40" s="313"/>
      <c r="FC40" s="134"/>
      <c r="FD40" s="122"/>
      <c r="FE40" s="657">
        <f>+'Res de Costos Pais'!$G$103</f>
        <v>0.08</v>
      </c>
      <c r="FF40" s="319">
        <f t="shared" ref="FF40" si="523">+FF37*FE40</f>
        <v>0</v>
      </c>
      <c r="FK40" s="928">
        <f>+IF(FF40=0,0,FF40/FF$72)</f>
        <v>0</v>
      </c>
      <c r="FN40" s="637" t="s">
        <v>1573</v>
      </c>
      <c r="FO40" s="641" t="s">
        <v>1300</v>
      </c>
      <c r="FP40" s="313"/>
      <c r="FQ40" s="134"/>
      <c r="FR40" s="122"/>
      <c r="FS40" s="657">
        <f>+'Res de Costos Pais'!$G$103</f>
        <v>0.08</v>
      </c>
      <c r="FT40" s="319">
        <f t="shared" ref="FT40" si="524">+FT37*FS40</f>
        <v>22384061.835194234</v>
      </c>
      <c r="FY40" s="928">
        <f>+IF(FT40=0,0,FT40/FT$72)</f>
        <v>7.0580377803136501E-2</v>
      </c>
      <c r="GB40" s="637" t="s">
        <v>1573</v>
      </c>
      <c r="GC40" s="641" t="s">
        <v>1300</v>
      </c>
      <c r="GD40" s="313"/>
      <c r="GE40" s="134"/>
      <c r="GF40" s="122"/>
      <c r="GG40" s="657">
        <f>+'Res de Costos Pais'!$G$103</f>
        <v>0.08</v>
      </c>
      <c r="GH40" s="319">
        <f t="shared" ref="GH40" si="525">+GH37*GG40</f>
        <v>10576687.429408085</v>
      </c>
      <c r="GM40" s="928">
        <f>+IF(GH40=0,0,GH40/GH$72)</f>
        <v>7.0104610761023284E-2</v>
      </c>
      <c r="GP40" s="637" t="s">
        <v>1573</v>
      </c>
      <c r="GQ40" s="641" t="s">
        <v>1300</v>
      </c>
      <c r="GR40" s="313"/>
      <c r="GS40" s="134"/>
      <c r="GT40" s="122"/>
      <c r="GU40" s="657">
        <f>+'Res de Costos Pais'!$G$103</f>
        <v>0.08</v>
      </c>
      <c r="GV40" s="319">
        <f t="shared" ref="GV40" si="526">+GV37*GU40</f>
        <v>0</v>
      </c>
      <c r="HA40" s="928">
        <f>+IF(GV40=0,0,GV40/GV$72)</f>
        <v>0</v>
      </c>
      <c r="HD40" s="637" t="s">
        <v>1573</v>
      </c>
      <c r="HE40" s="641" t="s">
        <v>1300</v>
      </c>
      <c r="HF40" s="313"/>
      <c r="HG40" s="134"/>
      <c r="HH40" s="122"/>
      <c r="HI40" s="657">
        <f>+'Res de Costos Pais'!$G$103</f>
        <v>0.08</v>
      </c>
      <c r="HJ40" s="319">
        <f t="shared" ref="HJ40" si="527">+HJ37*HI40</f>
        <v>5440668.5312882019</v>
      </c>
      <c r="HO40" s="928">
        <f>+IF(HJ40=0,0,HJ40/HJ$72)</f>
        <v>7.0131726512635051E-2</v>
      </c>
      <c r="HR40" s="637" t="s">
        <v>1573</v>
      </c>
      <c r="HS40" s="641" t="s">
        <v>1300</v>
      </c>
      <c r="HT40" s="313"/>
      <c r="HU40" s="134"/>
      <c r="HV40" s="122"/>
      <c r="HW40" s="657">
        <f>+'Res de Costos Pais'!$G$103</f>
        <v>0.08</v>
      </c>
      <c r="HX40" s="319">
        <f t="shared" ref="HX40" si="528">+HX37*HW40</f>
        <v>20754458.520219255</v>
      </c>
      <c r="HY40" s="928">
        <f t="shared" ref="HY40" si="529">+IF(HT40=0,0,HT40/HT$70)</f>
        <v>0</v>
      </c>
      <c r="IC40" s="928">
        <f>+IF(HX40=0,0,HX40/HX$72)</f>
        <v>7.0168288781009808E-2</v>
      </c>
      <c r="IF40" s="637"/>
      <c r="IG40" s="641"/>
      <c r="IH40" s="313"/>
      <c r="II40" s="134"/>
      <c r="IJ40" s="122"/>
      <c r="IK40" s="657"/>
      <c r="IL40" s="319"/>
      <c r="IQ40" s="928"/>
      <c r="IT40" s="637"/>
      <c r="IU40" s="641"/>
      <c r="IV40" s="313"/>
      <c r="IW40" s="134"/>
      <c r="IX40" s="122"/>
      <c r="IY40" s="657"/>
      <c r="IZ40" s="319"/>
      <c r="JE40" s="928"/>
      <c r="JH40" s="637" t="s">
        <v>1573</v>
      </c>
      <c r="JI40" s="641" t="s">
        <v>1300</v>
      </c>
      <c r="JJ40" s="313"/>
      <c r="JK40" s="134"/>
      <c r="JL40" s="122"/>
      <c r="JM40" s="657">
        <f>+'Res de Costos Pais'!$G$103</f>
        <v>0.08</v>
      </c>
      <c r="JN40" s="319">
        <f t="shared" ref="JN40" si="530">+JN37*JM40</f>
        <v>30094701.350953646</v>
      </c>
      <c r="JS40" s="928">
        <f>+IF(JN40=0,0,JN40/JN$72)</f>
        <v>7.022232296706854E-2</v>
      </c>
      <c r="JV40" s="637" t="s">
        <v>1573</v>
      </c>
      <c r="JW40" s="641" t="s">
        <v>1300</v>
      </c>
      <c r="JX40" s="313"/>
      <c r="JY40" s="134"/>
      <c r="JZ40" s="122"/>
      <c r="KA40" s="657">
        <f>+'Res de Costos Pais'!$G$103</f>
        <v>0.08</v>
      </c>
      <c r="KB40" s="319">
        <f t="shared" ref="KB40" si="531">+KB37*KA40</f>
        <v>12375325.111725476</v>
      </c>
      <c r="KG40" s="928">
        <f>+IF(KB40=0,0,KB40/KB$72)</f>
        <v>7.0176441407442683E-2</v>
      </c>
      <c r="KJ40" s="637" t="s">
        <v>1573</v>
      </c>
      <c r="KK40" s="641" t="s">
        <v>1300</v>
      </c>
      <c r="KL40" s="313"/>
      <c r="KM40" s="134"/>
      <c r="KN40" s="122"/>
      <c r="KO40" s="657">
        <f>+'Res de Costos Pais'!$G$103</f>
        <v>0.08</v>
      </c>
      <c r="KP40" s="319">
        <f t="shared" ref="KP40" si="532">+KP37*KO40</f>
        <v>0</v>
      </c>
      <c r="KU40" s="928">
        <f>+IF(KP40=0,0,KP40/KP$72)</f>
        <v>0</v>
      </c>
      <c r="KX40" s="637" t="s">
        <v>1573</v>
      </c>
      <c r="KY40" s="641" t="s">
        <v>1300</v>
      </c>
      <c r="KZ40" s="313"/>
      <c r="LA40" s="134"/>
      <c r="LB40" s="122"/>
      <c r="LC40" s="657">
        <f>+'Res de Costos Pais'!$G$103</f>
        <v>0.08</v>
      </c>
      <c r="LD40" s="319">
        <f t="shared" ref="LD40" si="533">+LD37*LC40</f>
        <v>0</v>
      </c>
      <c r="LI40" s="928">
        <f>+IF(LD40=0,0,LD40/LD$72)</f>
        <v>0</v>
      </c>
      <c r="LL40" s="637" t="s">
        <v>1573</v>
      </c>
      <c r="LM40" s="641" t="s">
        <v>1300</v>
      </c>
      <c r="LN40" s="313"/>
      <c r="LO40" s="134"/>
      <c r="LP40" s="122"/>
      <c r="LQ40" s="657">
        <f>+'Res de Costos Pais'!$G$103</f>
        <v>0.08</v>
      </c>
      <c r="LR40" s="319">
        <f t="shared" ref="LR40" si="534">+LR37*LQ40</f>
        <v>0</v>
      </c>
      <c r="LW40" s="928">
        <f>+IF(LR40=0,0,LR40/LR$72)</f>
        <v>0</v>
      </c>
      <c r="LZ40" s="637" t="s">
        <v>1573</v>
      </c>
      <c r="MA40" s="641" t="s">
        <v>1300</v>
      </c>
      <c r="MB40" s="313"/>
      <c r="MC40" s="134"/>
      <c r="MD40" s="122"/>
      <c r="ME40" s="657">
        <f>+'Res de Costos Pais'!$G$103</f>
        <v>0.08</v>
      </c>
      <c r="MF40" s="319">
        <f t="shared" ref="MF40" si="535">+MF37*ME40</f>
        <v>8642179.1247708052</v>
      </c>
      <c r="MK40" s="928">
        <f>+IF(MF40=0,0,MF40/MF$72)</f>
        <v>7.0184200542992292E-2</v>
      </c>
      <c r="MN40" s="637" t="s">
        <v>1573</v>
      </c>
      <c r="MO40" s="641" t="s">
        <v>1300</v>
      </c>
      <c r="MP40" s="313"/>
      <c r="MQ40" s="134"/>
      <c r="MR40" s="122"/>
      <c r="MS40" s="657">
        <f>+'Res de Costos Pais'!$G$103</f>
        <v>0.08</v>
      </c>
      <c r="MT40" s="319">
        <f t="shared" ref="MT40" si="536">+MT37*MS40</f>
        <v>11251774.292167811</v>
      </c>
      <c r="MY40" s="928">
        <f>+IF(MT40=0,0,MT40/MT$72)</f>
        <v>7.0162745260613182E-2</v>
      </c>
      <c r="NB40" s="637" t="s">
        <v>1573</v>
      </c>
      <c r="NC40" s="641" t="s">
        <v>1300</v>
      </c>
      <c r="ND40" s="313"/>
      <c r="NE40" s="134"/>
      <c r="NF40" s="122"/>
      <c r="NG40" s="657">
        <f>+'Res de Costos Pais'!$G$103</f>
        <v>0.08</v>
      </c>
      <c r="NH40" s="319">
        <f t="shared" ref="NH40" si="537">+NH37*NG40</f>
        <v>12489683.348174309</v>
      </c>
      <c r="NM40" s="928">
        <f>+IF(NH40=0,0,NH40/NH$72)</f>
        <v>7.0116256535944721E-2</v>
      </c>
      <c r="NP40" s="637" t="s">
        <v>1573</v>
      </c>
      <c r="NQ40" s="641" t="s">
        <v>1300</v>
      </c>
      <c r="NR40" s="313"/>
      <c r="NS40" s="134"/>
      <c r="NT40" s="122"/>
      <c r="NU40" s="657">
        <f>+'Res de Costos Pais'!$G$103</f>
        <v>0.08</v>
      </c>
      <c r="NV40" s="319">
        <f t="shared" ref="NV40" si="538">+NV37*NU40</f>
        <v>29361184.792314474</v>
      </c>
      <c r="OA40" s="928">
        <f>+IF(NV40=0,0,NV40/NV$72)</f>
        <v>7.0611384486948536E-2</v>
      </c>
      <c r="OD40" s="637" t="s">
        <v>1573</v>
      </c>
      <c r="OE40" s="641" t="s">
        <v>1300</v>
      </c>
      <c r="OF40" s="313"/>
      <c r="OG40" s="134"/>
      <c r="OH40" s="122"/>
      <c r="OI40" s="657">
        <f>+'Res de Costos Pais'!$G$103</f>
        <v>0.08</v>
      </c>
      <c r="OJ40" s="319">
        <f t="shared" ref="OJ40" si="539">+OJ37*OI40</f>
        <v>5339642.2639134191</v>
      </c>
      <c r="OO40" s="928">
        <f>+IF(OJ40=0,0,OJ40/OJ$72)</f>
        <v>7.0435073054121847E-2</v>
      </c>
      <c r="OR40" s="637" t="s">
        <v>1573</v>
      </c>
      <c r="OS40" s="641" t="s">
        <v>1300</v>
      </c>
      <c r="OT40" s="313"/>
      <c r="OU40" s="134"/>
      <c r="OV40" s="122"/>
      <c r="OW40" s="657">
        <f>+'Res de Costos Pais'!$G$103</f>
        <v>0.08</v>
      </c>
      <c r="OX40" s="319">
        <f t="shared" ref="OX40" si="540">+OX37*OW40</f>
        <v>21111343.869521625</v>
      </c>
      <c r="PC40" s="928">
        <f>+IF(OX40=0,0,OX40/OX$72)</f>
        <v>7.0264724991227809E-2</v>
      </c>
      <c r="PF40" s="637" t="s">
        <v>1573</v>
      </c>
      <c r="PG40" s="641" t="s">
        <v>1300</v>
      </c>
      <c r="PH40" s="313"/>
      <c r="PI40" s="134"/>
      <c r="PJ40" s="122"/>
      <c r="PK40" s="657">
        <f>+'Res de Costos Pais'!$G$103</f>
        <v>0.08</v>
      </c>
      <c r="PL40" s="319">
        <f t="shared" ref="PL40" si="541">+PL37*PK40</f>
        <v>0</v>
      </c>
      <c r="PQ40" s="928">
        <f>+IF(PL40=0,0,PL40/PL$72)</f>
        <v>0</v>
      </c>
      <c r="PT40" s="637" t="s">
        <v>1573</v>
      </c>
      <c r="PU40" s="641" t="s">
        <v>1300</v>
      </c>
      <c r="PV40" s="313"/>
      <c r="PW40" s="134"/>
      <c r="PX40" s="122"/>
      <c r="PY40" s="657">
        <f>+'Res de Costos Pais'!$G$103</f>
        <v>0.08</v>
      </c>
      <c r="PZ40" s="319">
        <f t="shared" ref="PZ40" si="542">+PZ37*PY40</f>
        <v>0</v>
      </c>
      <c r="QE40" s="928">
        <f>+IF(PZ40=0,0,PZ40/PZ$72)</f>
        <v>0</v>
      </c>
      <c r="QH40" s="637" t="s">
        <v>1573</v>
      </c>
      <c r="QI40" s="641" t="s">
        <v>1300</v>
      </c>
      <c r="QJ40" s="313"/>
      <c r="QK40" s="134"/>
      <c r="QL40" s="122"/>
      <c r="QM40" s="657">
        <f>+'Res de Costos Pais'!$G$103</f>
        <v>0.08</v>
      </c>
      <c r="QN40" s="319">
        <f t="shared" ref="QN40" si="543">+QN37*QM40</f>
        <v>0</v>
      </c>
      <c r="QS40" s="928">
        <f>+IF(QN40=0,0,QN40/QN$72)</f>
        <v>0</v>
      </c>
      <c r="QV40" s="637" t="s">
        <v>1573</v>
      </c>
      <c r="QW40" s="641" t="s">
        <v>1300</v>
      </c>
      <c r="QX40" s="313"/>
      <c r="QY40" s="134"/>
      <c r="QZ40" s="122"/>
      <c r="RA40" s="657">
        <f>+'Res de Costos Pais'!$G$103</f>
        <v>0.08</v>
      </c>
      <c r="RB40" s="319">
        <f t="shared" ref="RB40" si="544">+RB37*RA40</f>
        <v>22020888.594235856</v>
      </c>
      <c r="RG40" s="928">
        <f>+IF(RB40=0,0,RB40/RB$72)</f>
        <v>7.0611384486948536E-2</v>
      </c>
      <c r="RJ40" s="637" t="s">
        <v>1573</v>
      </c>
      <c r="RK40" s="641" t="s">
        <v>1300</v>
      </c>
      <c r="RL40" s="313"/>
      <c r="RM40" s="134"/>
      <c r="RN40" s="122"/>
      <c r="RO40" s="657">
        <f>+'Res de Costos Pais'!$G$103</f>
        <v>0.08</v>
      </c>
      <c r="RP40" s="319">
        <f t="shared" ref="RP40" si="545">+RP37*RO40</f>
        <v>4177003.6628429564</v>
      </c>
      <c r="RU40" s="928">
        <f>+IF(RP40=0,0,RP40/RP$72)</f>
        <v>7.0668674378707372E-2</v>
      </c>
      <c r="RX40" s="637" t="s">
        <v>1573</v>
      </c>
      <c r="RY40" s="641" t="s">
        <v>1300</v>
      </c>
      <c r="RZ40" s="313"/>
      <c r="SA40" s="134"/>
      <c r="SB40" s="122"/>
      <c r="SC40" s="657">
        <f>+'Res de Costos Pais'!$G$103</f>
        <v>0.08</v>
      </c>
      <c r="SD40" s="319">
        <f t="shared" ref="SD40" si="546">+SD37*SC40</f>
        <v>12845518.346637582</v>
      </c>
      <c r="SI40" s="928">
        <f>+IF(SD40=0,0,SD40/SD$72)</f>
        <v>7.0611384486948522E-2</v>
      </c>
      <c r="SL40" s="637" t="s">
        <v>1573</v>
      </c>
      <c r="SM40" s="641" t="s">
        <v>1300</v>
      </c>
      <c r="SN40" s="313"/>
      <c r="SO40" s="134"/>
      <c r="SP40" s="122"/>
      <c r="SQ40" s="657">
        <f>+'Res de Costos Pais'!$G$103</f>
        <v>0.08</v>
      </c>
      <c r="SR40" s="319">
        <f t="shared" ref="SR40" si="547">+SR37*SQ40</f>
        <v>0</v>
      </c>
      <c r="SW40" s="928">
        <f>+IF(SR40=0,0,SR40/SR$72)</f>
        <v>0</v>
      </c>
      <c r="SZ40" s="637" t="s">
        <v>1573</v>
      </c>
      <c r="TA40" s="641" t="s">
        <v>1300</v>
      </c>
      <c r="TB40" s="313"/>
      <c r="TC40" s="134"/>
      <c r="TD40" s="122"/>
      <c r="TE40" s="657">
        <f>+'Res de Costos Pais'!$G$103</f>
        <v>0.08</v>
      </c>
      <c r="TF40" s="733">
        <f t="shared" ref="TF40" si="548">+TF37*TE40</f>
        <v>330322153.84669334</v>
      </c>
      <c r="TK40" s="928">
        <f>+IF(TF40=0,0,TF40/TF$72)</f>
        <v>7.0298303802625861E-2</v>
      </c>
      <c r="TM40" s="937"/>
      <c r="TN40" s="725"/>
    </row>
    <row r="41" spans="1:534" ht="18" customHeight="1" thickBot="1">
      <c r="B41" s="676" t="s">
        <v>1572</v>
      </c>
      <c r="C41" s="117"/>
      <c r="D41" s="117"/>
      <c r="E41" s="117"/>
      <c r="F41" s="117"/>
      <c r="G41" s="117"/>
      <c r="H41" s="233">
        <f>+H40</f>
        <v>12915880.189277597</v>
      </c>
      <c r="I41" s="119"/>
      <c r="M41" s="930">
        <f>SUM(M40)</f>
        <v>7.0147843394337772E-2</v>
      </c>
      <c r="P41" s="676"/>
      <c r="Q41" s="117"/>
      <c r="R41" s="117"/>
      <c r="S41" s="117"/>
      <c r="T41" s="117"/>
      <c r="U41" s="117"/>
      <c r="V41" s="233"/>
      <c r="W41" s="119"/>
      <c r="AA41" s="930"/>
      <c r="AD41" s="676"/>
      <c r="AE41" s="117"/>
      <c r="AF41" s="117"/>
      <c r="AG41" s="117"/>
      <c r="AH41" s="117"/>
      <c r="AI41" s="117"/>
      <c r="AJ41" s="233"/>
      <c r="AK41" s="119"/>
      <c r="AO41" s="930"/>
      <c r="AR41" s="676" t="s">
        <v>1572</v>
      </c>
      <c r="AS41" s="117"/>
      <c r="AT41" s="117"/>
      <c r="AU41" s="117"/>
      <c r="AV41" s="117"/>
      <c r="AW41" s="117"/>
      <c r="AX41" s="233">
        <f t="shared" ref="AX41" si="549">+AX40</f>
        <v>0</v>
      </c>
      <c r="AY41" s="119"/>
      <c r="BC41" s="930">
        <f>SUM(BC40)</f>
        <v>0</v>
      </c>
      <c r="BF41" s="676" t="s">
        <v>1572</v>
      </c>
      <c r="BG41" s="117"/>
      <c r="BH41" s="117"/>
      <c r="BI41" s="117"/>
      <c r="BJ41" s="117"/>
      <c r="BK41" s="117"/>
      <c r="BL41" s="233">
        <f t="shared" ref="BL41" si="550">+BL40</f>
        <v>32644011.187729217</v>
      </c>
      <c r="BM41" s="119"/>
      <c r="BQ41" s="930">
        <f>SUM(BQ40)</f>
        <v>7.0131726512635037E-2</v>
      </c>
      <c r="BT41" s="676" t="s">
        <v>1572</v>
      </c>
      <c r="BU41" s="117"/>
      <c r="BV41" s="117"/>
      <c r="BW41" s="117"/>
      <c r="BX41" s="117"/>
      <c r="BY41" s="117"/>
      <c r="BZ41" s="233">
        <f t="shared" ref="BZ41:ED41" si="551">+BZ40</f>
        <v>0</v>
      </c>
      <c r="CA41" s="119"/>
      <c r="CE41" s="930">
        <f>SUM(CE40)</f>
        <v>0</v>
      </c>
      <c r="CH41" s="676" t="s">
        <v>1572</v>
      </c>
      <c r="CI41" s="117"/>
      <c r="CJ41" s="117"/>
      <c r="CK41" s="117"/>
      <c r="CL41" s="117"/>
      <c r="CM41" s="117"/>
      <c r="CN41" s="233">
        <f t="shared" si="551"/>
        <v>1810497.4700509501</v>
      </c>
      <c r="CO41" s="119"/>
      <c r="CS41" s="930">
        <f>SUM(CS40)</f>
        <v>7.0130135518003192E-2</v>
      </c>
      <c r="CV41" s="676" t="s">
        <v>1572</v>
      </c>
      <c r="CW41" s="117"/>
      <c r="CX41" s="117"/>
      <c r="CY41" s="117"/>
      <c r="CZ41" s="117"/>
      <c r="DA41" s="117"/>
      <c r="DB41" s="233">
        <f t="shared" si="551"/>
        <v>26120532.3384468</v>
      </c>
      <c r="DC41" s="119"/>
      <c r="DG41" s="930">
        <f>SUM(DG40)</f>
        <v>7.0223579583499493E-2</v>
      </c>
      <c r="DJ41" s="676" t="s">
        <v>1572</v>
      </c>
      <c r="DK41" s="117"/>
      <c r="DL41" s="117"/>
      <c r="DM41" s="117"/>
      <c r="DN41" s="117"/>
      <c r="DO41" s="117"/>
      <c r="DP41" s="233">
        <f t="shared" si="551"/>
        <v>2041684.7442110789</v>
      </c>
      <c r="DQ41" s="119"/>
      <c r="DU41" s="930">
        <f>SUM(DU40)</f>
        <v>7.0237112219147926E-2</v>
      </c>
      <c r="DX41" s="676" t="s">
        <v>1572</v>
      </c>
      <c r="DY41" s="117"/>
      <c r="DZ41" s="117"/>
      <c r="EA41" s="117"/>
      <c r="EB41" s="117"/>
      <c r="EC41" s="117"/>
      <c r="ED41" s="233">
        <f t="shared" si="551"/>
        <v>9602421.249745341</v>
      </c>
      <c r="EE41" s="119"/>
      <c r="EI41" s="930">
        <f>SUM(EI40)</f>
        <v>7.0184200542992292E-2</v>
      </c>
      <c r="EL41" s="676" t="s">
        <v>1572</v>
      </c>
      <c r="EM41" s="117"/>
      <c r="EN41" s="117"/>
      <c r="EO41" s="117"/>
      <c r="EP41" s="117"/>
      <c r="EQ41" s="117"/>
      <c r="ER41" s="233">
        <f t="shared" ref="ER41:GV41" si="552">+ER40</f>
        <v>16322005.593864609</v>
      </c>
      <c r="ES41" s="930">
        <f>SUM(ES40)</f>
        <v>0</v>
      </c>
      <c r="EW41" s="930">
        <f>SUM(EW40)</f>
        <v>7.0131726512635037E-2</v>
      </c>
      <c r="EZ41" s="676" t="s">
        <v>1572</v>
      </c>
      <c r="FA41" s="117"/>
      <c r="FB41" s="117"/>
      <c r="FC41" s="117"/>
      <c r="FD41" s="117"/>
      <c r="FE41" s="117"/>
      <c r="FF41" s="233">
        <f t="shared" si="552"/>
        <v>0</v>
      </c>
      <c r="FG41" s="119"/>
      <c r="FK41" s="930">
        <f>SUM(FK40)</f>
        <v>0</v>
      </c>
      <c r="FN41" s="676" t="s">
        <v>1572</v>
      </c>
      <c r="FO41" s="117"/>
      <c r="FP41" s="117"/>
      <c r="FQ41" s="117"/>
      <c r="FR41" s="117"/>
      <c r="FS41" s="117"/>
      <c r="FT41" s="233">
        <f t="shared" si="552"/>
        <v>22384061.835194234</v>
      </c>
      <c r="FU41" s="119"/>
      <c r="FY41" s="930">
        <f>SUM(FY40)</f>
        <v>7.0580377803136501E-2</v>
      </c>
      <c r="GB41" s="676" t="s">
        <v>1572</v>
      </c>
      <c r="GC41" s="117"/>
      <c r="GD41" s="117"/>
      <c r="GE41" s="117"/>
      <c r="GF41" s="117"/>
      <c r="GG41" s="117"/>
      <c r="GH41" s="233">
        <f t="shared" si="552"/>
        <v>10576687.429408085</v>
      </c>
      <c r="GI41" s="119"/>
      <c r="GM41" s="930">
        <f>SUM(GM40)</f>
        <v>7.0104610761023284E-2</v>
      </c>
      <c r="GP41" s="676" t="s">
        <v>1572</v>
      </c>
      <c r="GQ41" s="117"/>
      <c r="GR41" s="117"/>
      <c r="GS41" s="117"/>
      <c r="GT41" s="117"/>
      <c r="GU41" s="117"/>
      <c r="GV41" s="233">
        <f t="shared" si="552"/>
        <v>0</v>
      </c>
      <c r="GW41" s="119"/>
      <c r="HA41" s="930">
        <f>SUM(HA40)</f>
        <v>0</v>
      </c>
      <c r="HD41" s="676" t="s">
        <v>1572</v>
      </c>
      <c r="HE41" s="117"/>
      <c r="HF41" s="117"/>
      <c r="HG41" s="117"/>
      <c r="HH41" s="117"/>
      <c r="HI41" s="117"/>
      <c r="HJ41" s="233">
        <f t="shared" ref="HJ41:KB41" si="553">+HJ40</f>
        <v>5440668.5312882019</v>
      </c>
      <c r="HK41" s="119"/>
      <c r="HO41" s="930">
        <f>SUM(HO40)</f>
        <v>7.0131726512635051E-2</v>
      </c>
      <c r="HR41" s="676" t="s">
        <v>1572</v>
      </c>
      <c r="HS41" s="117"/>
      <c r="HT41" s="117"/>
      <c r="HU41" s="117"/>
      <c r="HV41" s="117"/>
      <c r="HW41" s="117"/>
      <c r="HX41" s="233">
        <f t="shared" si="553"/>
        <v>20754458.520219255</v>
      </c>
      <c r="HY41" s="930">
        <f>SUM(HY40)</f>
        <v>0</v>
      </c>
      <c r="IC41" s="930">
        <f>SUM(IC40)</f>
        <v>7.0168288781009808E-2</v>
      </c>
      <c r="IF41" s="676"/>
      <c r="IG41" s="117"/>
      <c r="IH41" s="117"/>
      <c r="II41" s="117"/>
      <c r="IJ41" s="117"/>
      <c r="IK41" s="117"/>
      <c r="IL41" s="233"/>
      <c r="IM41" s="119"/>
      <c r="IQ41" s="930"/>
      <c r="IT41" s="676"/>
      <c r="IU41" s="117"/>
      <c r="IV41" s="117"/>
      <c r="IW41" s="117"/>
      <c r="IX41" s="117"/>
      <c r="IY41" s="117"/>
      <c r="IZ41" s="233"/>
      <c r="JA41" s="119"/>
      <c r="JE41" s="930"/>
      <c r="JH41" s="676" t="s">
        <v>1572</v>
      </c>
      <c r="JI41" s="117"/>
      <c r="JJ41" s="117"/>
      <c r="JK41" s="117"/>
      <c r="JL41" s="117"/>
      <c r="JM41" s="117"/>
      <c r="JN41" s="233">
        <f t="shared" ref="JN41" si="554">+JN40</f>
        <v>30094701.350953646</v>
      </c>
      <c r="JO41" s="119"/>
      <c r="JS41" s="930">
        <f>SUM(JS40)</f>
        <v>7.022232296706854E-2</v>
      </c>
      <c r="JV41" s="676" t="s">
        <v>1572</v>
      </c>
      <c r="JW41" s="117"/>
      <c r="JX41" s="117"/>
      <c r="JY41" s="117"/>
      <c r="JZ41" s="117"/>
      <c r="KA41" s="117"/>
      <c r="KB41" s="233">
        <f t="shared" si="553"/>
        <v>12375325.111725476</v>
      </c>
      <c r="KC41" s="119"/>
      <c r="KG41" s="930">
        <f>SUM(KG40)</f>
        <v>7.0176441407442683E-2</v>
      </c>
      <c r="KJ41" s="676" t="s">
        <v>1572</v>
      </c>
      <c r="KK41" s="117"/>
      <c r="KL41" s="117"/>
      <c r="KM41" s="117"/>
      <c r="KN41" s="117"/>
      <c r="KO41" s="117"/>
      <c r="KP41" s="233">
        <f t="shared" ref="KP41:MT41" si="555">+KP40</f>
        <v>0</v>
      </c>
      <c r="KQ41" s="119"/>
      <c r="KU41" s="930">
        <f>SUM(KU40)</f>
        <v>0</v>
      </c>
      <c r="KX41" s="676" t="s">
        <v>1572</v>
      </c>
      <c r="KY41" s="117"/>
      <c r="KZ41" s="117"/>
      <c r="LA41" s="117"/>
      <c r="LB41" s="117"/>
      <c r="LC41" s="117"/>
      <c r="LD41" s="233">
        <f t="shared" si="555"/>
        <v>0</v>
      </c>
      <c r="LE41" s="119"/>
      <c r="LI41" s="930">
        <f>SUM(LI40)</f>
        <v>0</v>
      </c>
      <c r="LL41" s="676" t="s">
        <v>1572</v>
      </c>
      <c r="LM41" s="117"/>
      <c r="LN41" s="117"/>
      <c r="LO41" s="117"/>
      <c r="LP41" s="117"/>
      <c r="LQ41" s="117"/>
      <c r="LR41" s="233">
        <f t="shared" si="555"/>
        <v>0</v>
      </c>
      <c r="LS41" s="119"/>
      <c r="LW41" s="930">
        <f>SUM(LW40)</f>
        <v>0</v>
      </c>
      <c r="LZ41" s="676" t="s">
        <v>1572</v>
      </c>
      <c r="MA41" s="117"/>
      <c r="MB41" s="117"/>
      <c r="MC41" s="117"/>
      <c r="MD41" s="117"/>
      <c r="ME41" s="117"/>
      <c r="MF41" s="233">
        <f t="shared" si="555"/>
        <v>8642179.1247708052</v>
      </c>
      <c r="MG41" s="119"/>
      <c r="MK41" s="930">
        <f>SUM(MK40)</f>
        <v>7.0184200542992292E-2</v>
      </c>
      <c r="MN41" s="676" t="s">
        <v>1572</v>
      </c>
      <c r="MO41" s="117"/>
      <c r="MP41" s="117"/>
      <c r="MQ41" s="117"/>
      <c r="MR41" s="117"/>
      <c r="MS41" s="117"/>
      <c r="MT41" s="233">
        <f t="shared" si="555"/>
        <v>11251774.292167811</v>
      </c>
      <c r="MU41" s="119"/>
      <c r="MY41" s="930">
        <f>SUM(MY40)</f>
        <v>7.0162745260613182E-2</v>
      </c>
      <c r="NB41" s="676" t="s">
        <v>1572</v>
      </c>
      <c r="NC41" s="117"/>
      <c r="ND41" s="117"/>
      <c r="NE41" s="117"/>
      <c r="NF41" s="117"/>
      <c r="NG41" s="117"/>
      <c r="NH41" s="233">
        <f t="shared" ref="NH41:PL41" si="556">+NH40</f>
        <v>12489683.348174309</v>
      </c>
      <c r="NI41" s="119"/>
      <c r="NM41" s="930">
        <f>SUM(NM40)</f>
        <v>7.0116256535944721E-2</v>
      </c>
      <c r="NP41" s="676" t="s">
        <v>1572</v>
      </c>
      <c r="NQ41" s="117"/>
      <c r="NR41" s="117"/>
      <c r="NS41" s="117"/>
      <c r="NT41" s="117"/>
      <c r="NU41" s="117"/>
      <c r="NV41" s="233">
        <f t="shared" si="556"/>
        <v>29361184.792314474</v>
      </c>
      <c r="NW41" s="119"/>
      <c r="OA41" s="930">
        <f>SUM(OA40)</f>
        <v>7.0611384486948536E-2</v>
      </c>
      <c r="OD41" s="676" t="s">
        <v>1572</v>
      </c>
      <c r="OE41" s="117"/>
      <c r="OF41" s="117"/>
      <c r="OG41" s="117"/>
      <c r="OH41" s="117"/>
      <c r="OI41" s="117"/>
      <c r="OJ41" s="233">
        <f t="shared" si="556"/>
        <v>5339642.2639134191</v>
      </c>
      <c r="OK41" s="119"/>
      <c r="OO41" s="930">
        <f>SUM(OO40)</f>
        <v>7.0435073054121847E-2</v>
      </c>
      <c r="OR41" s="676" t="s">
        <v>1572</v>
      </c>
      <c r="OS41" s="117"/>
      <c r="OT41" s="117"/>
      <c r="OU41" s="117"/>
      <c r="OV41" s="117"/>
      <c r="OW41" s="117"/>
      <c r="OX41" s="233">
        <f t="shared" si="556"/>
        <v>21111343.869521625</v>
      </c>
      <c r="OY41" s="119"/>
      <c r="PC41" s="930">
        <f>SUM(PC40)</f>
        <v>7.0264724991227809E-2</v>
      </c>
      <c r="PF41" s="676" t="s">
        <v>1572</v>
      </c>
      <c r="PG41" s="117"/>
      <c r="PH41" s="117"/>
      <c r="PI41" s="117"/>
      <c r="PJ41" s="117"/>
      <c r="PK41" s="117"/>
      <c r="PL41" s="233">
        <f t="shared" si="556"/>
        <v>0</v>
      </c>
      <c r="PM41" s="119"/>
      <c r="PQ41" s="930">
        <f>SUM(PQ40)</f>
        <v>0</v>
      </c>
      <c r="PT41" s="676" t="s">
        <v>1572</v>
      </c>
      <c r="PU41" s="117"/>
      <c r="PV41" s="117"/>
      <c r="PW41" s="117"/>
      <c r="PX41" s="117"/>
      <c r="PY41" s="117"/>
      <c r="PZ41" s="233">
        <f t="shared" ref="PZ41:SD41" si="557">+PZ40</f>
        <v>0</v>
      </c>
      <c r="QA41" s="119"/>
      <c r="QE41" s="930">
        <f>SUM(QE40)</f>
        <v>0</v>
      </c>
      <c r="QH41" s="676" t="s">
        <v>1572</v>
      </c>
      <c r="QI41" s="117"/>
      <c r="QJ41" s="117"/>
      <c r="QK41" s="117"/>
      <c r="QL41" s="117"/>
      <c r="QM41" s="117"/>
      <c r="QN41" s="233">
        <f t="shared" si="557"/>
        <v>0</v>
      </c>
      <c r="QO41" s="119"/>
      <c r="QS41" s="930">
        <f>SUM(QS40)</f>
        <v>0</v>
      </c>
      <c r="QV41" s="676" t="s">
        <v>1572</v>
      </c>
      <c r="QW41" s="117"/>
      <c r="QX41" s="117"/>
      <c r="QY41" s="117"/>
      <c r="QZ41" s="117"/>
      <c r="RA41" s="117"/>
      <c r="RB41" s="233">
        <f t="shared" si="557"/>
        <v>22020888.594235856</v>
      </c>
      <c r="RC41" s="119"/>
      <c r="RG41" s="930">
        <f>SUM(RG40)</f>
        <v>7.0611384486948536E-2</v>
      </c>
      <c r="RJ41" s="676" t="s">
        <v>1572</v>
      </c>
      <c r="RK41" s="117"/>
      <c r="RL41" s="117"/>
      <c r="RM41" s="117"/>
      <c r="RN41" s="117"/>
      <c r="RO41" s="117"/>
      <c r="RP41" s="233">
        <f t="shared" si="557"/>
        <v>4177003.6628429564</v>
      </c>
      <c r="RQ41" s="119"/>
      <c r="RU41" s="930">
        <f>SUM(RU40)</f>
        <v>7.0668674378707372E-2</v>
      </c>
      <c r="RX41" s="676" t="s">
        <v>1572</v>
      </c>
      <c r="RY41" s="117"/>
      <c r="RZ41" s="117"/>
      <c r="SA41" s="117"/>
      <c r="SB41" s="117"/>
      <c r="SC41" s="117"/>
      <c r="SD41" s="233">
        <f t="shared" si="557"/>
        <v>12845518.346637582</v>
      </c>
      <c r="SE41" s="119"/>
      <c r="SI41" s="930">
        <f>SUM(SI40)</f>
        <v>7.0611384486948522E-2</v>
      </c>
      <c r="SL41" s="676" t="s">
        <v>1572</v>
      </c>
      <c r="SM41" s="117"/>
      <c r="SN41" s="117"/>
      <c r="SO41" s="117"/>
      <c r="SP41" s="117"/>
      <c r="SQ41" s="117"/>
      <c r="SR41" s="233">
        <f t="shared" ref="SR41" si="558">+SR40</f>
        <v>0</v>
      </c>
      <c r="SS41" s="119"/>
      <c r="SW41" s="930">
        <f>SUM(SW40)</f>
        <v>0</v>
      </c>
      <c r="SZ41" s="676" t="s">
        <v>1572</v>
      </c>
      <c r="TA41" s="117"/>
      <c r="TB41" s="117"/>
      <c r="TC41" s="117"/>
      <c r="TD41" s="117"/>
      <c r="TE41" s="117"/>
      <c r="TF41" s="727">
        <f t="shared" ref="TF41" si="559">+TF40</f>
        <v>330322153.84669334</v>
      </c>
      <c r="TG41" s="119"/>
      <c r="TK41" s="930">
        <f>SUM(TK40)</f>
        <v>7.0298303802625861E-2</v>
      </c>
      <c r="TM41" s="941">
        <f>+H41+AX41+BL41+BZ41+CN41+DB41+DP41+ED41+ER41+FF41+FT41+GH41+HJ41+HX41+JN41+KB41+KP41+LD41+LR41+MF41+MT41+NH41+NV41+OJ41+OX41+PL41+PZ41+QN41+RB41+RP41+SD41+SR41-TF41</f>
        <v>0</v>
      </c>
      <c r="TN41" s="726"/>
    </row>
    <row r="42" spans="1:534" ht="18.75" customHeight="1" thickBot="1">
      <c r="ES42" s="667"/>
      <c r="HY42" s="667"/>
      <c r="TF42" s="725"/>
      <c r="TM42" s="937"/>
      <c r="TN42" s="725"/>
    </row>
    <row r="43" spans="1:534" s="725" customFormat="1" ht="15.75" customHeight="1" thickBot="1">
      <c r="B43" s="1177" t="s">
        <v>1601</v>
      </c>
      <c r="C43" s="1178"/>
      <c r="D43" s="1178"/>
      <c r="E43" s="1178"/>
      <c r="F43" s="1178"/>
      <c r="G43" s="903"/>
      <c r="H43" s="686">
        <f>+H37+H41</f>
        <v>174364382.55524755</v>
      </c>
      <c r="I43" s="904"/>
      <c r="M43" s="905"/>
      <c r="P43" s="1177"/>
      <c r="Q43" s="1178"/>
      <c r="R43" s="1178"/>
      <c r="S43" s="1178"/>
      <c r="T43" s="1178"/>
      <c r="U43" s="903"/>
      <c r="V43" s="686"/>
      <c r="W43" s="904"/>
      <c r="AA43" s="905"/>
      <c r="AD43" s="1177"/>
      <c r="AE43" s="1178"/>
      <c r="AF43" s="1178"/>
      <c r="AG43" s="1178"/>
      <c r="AH43" s="1178"/>
      <c r="AI43" s="903"/>
      <c r="AJ43" s="686"/>
      <c r="AK43" s="904"/>
      <c r="AO43" s="905"/>
      <c r="AR43" s="1177" t="s">
        <v>1601</v>
      </c>
      <c r="AS43" s="1178"/>
      <c r="AT43" s="1178"/>
      <c r="AU43" s="1178"/>
      <c r="AV43" s="1178"/>
      <c r="AW43" s="903"/>
      <c r="AX43" s="686">
        <f t="shared" ref="AX43" si="560">+AX37+AX41</f>
        <v>0</v>
      </c>
      <c r="AY43" s="904"/>
      <c r="BC43" s="905"/>
      <c r="BF43" s="1177" t="s">
        <v>1601</v>
      </c>
      <c r="BG43" s="1178"/>
      <c r="BH43" s="1178"/>
      <c r="BI43" s="1178"/>
      <c r="BJ43" s="1178"/>
      <c r="BK43" s="903"/>
      <c r="BL43" s="686">
        <f t="shared" ref="BL43" si="561">+BL37+BL41</f>
        <v>440694151.03434443</v>
      </c>
      <c r="BM43" s="904"/>
      <c r="BQ43" s="905"/>
      <c r="BT43" s="1177" t="s">
        <v>1601</v>
      </c>
      <c r="BU43" s="1178"/>
      <c r="BV43" s="1178"/>
      <c r="BW43" s="1178"/>
      <c r="BX43" s="1178"/>
      <c r="BY43" s="903"/>
      <c r="BZ43" s="686">
        <f t="shared" ref="BZ43:ED43" si="562">+BZ37+BZ41</f>
        <v>0</v>
      </c>
      <c r="CA43" s="904"/>
      <c r="CE43" s="905"/>
      <c r="CH43" s="1177" t="s">
        <v>1601</v>
      </c>
      <c r="CI43" s="1178"/>
      <c r="CJ43" s="1178"/>
      <c r="CK43" s="1178"/>
      <c r="CL43" s="1178"/>
      <c r="CM43" s="903"/>
      <c r="CN43" s="686">
        <f t="shared" si="562"/>
        <v>24441715.845687825</v>
      </c>
      <c r="CO43" s="904"/>
      <c r="CS43" s="905"/>
      <c r="CV43" s="1177" t="s">
        <v>1601</v>
      </c>
      <c r="CW43" s="1178"/>
      <c r="CX43" s="1178"/>
      <c r="CY43" s="1178"/>
      <c r="CZ43" s="1178"/>
      <c r="DA43" s="903"/>
      <c r="DB43" s="686">
        <f t="shared" si="562"/>
        <v>352627186.56903177</v>
      </c>
      <c r="DC43" s="904"/>
      <c r="DG43" s="905"/>
      <c r="DJ43" s="1177" t="s">
        <v>1601</v>
      </c>
      <c r="DK43" s="1178"/>
      <c r="DL43" s="1178"/>
      <c r="DM43" s="1178"/>
      <c r="DN43" s="1178"/>
      <c r="DO43" s="903"/>
      <c r="DP43" s="686">
        <f t="shared" si="562"/>
        <v>27562744.046849564</v>
      </c>
      <c r="DQ43" s="904"/>
      <c r="DU43" s="905"/>
      <c r="DX43" s="1177" t="s">
        <v>1601</v>
      </c>
      <c r="DY43" s="1178"/>
      <c r="DZ43" s="1178"/>
      <c r="EA43" s="1178"/>
      <c r="EB43" s="1178"/>
      <c r="EC43" s="903"/>
      <c r="ED43" s="686">
        <f t="shared" si="562"/>
        <v>129632686.87156209</v>
      </c>
      <c r="EE43" s="904"/>
      <c r="EI43" s="905"/>
      <c r="EL43" s="1177" t="s">
        <v>1601</v>
      </c>
      <c r="EM43" s="1178"/>
      <c r="EN43" s="1178"/>
      <c r="EO43" s="1178"/>
      <c r="EP43" s="1178"/>
      <c r="EQ43" s="903"/>
      <c r="ER43" s="686">
        <f t="shared" ref="ER43:GV43" si="563">+ER37+ER41</f>
        <v>220347075.51717222</v>
      </c>
      <c r="ES43" s="905"/>
      <c r="EW43" s="905"/>
      <c r="EZ43" s="1177" t="s">
        <v>1601</v>
      </c>
      <c r="FA43" s="1178"/>
      <c r="FB43" s="1178"/>
      <c r="FC43" s="1178"/>
      <c r="FD43" s="1178"/>
      <c r="FE43" s="903"/>
      <c r="FF43" s="686">
        <f t="shared" si="563"/>
        <v>0</v>
      </c>
      <c r="FG43" s="904"/>
      <c r="FK43" s="905"/>
      <c r="FN43" s="1177" t="s">
        <v>1601</v>
      </c>
      <c r="FO43" s="1178"/>
      <c r="FP43" s="1178"/>
      <c r="FQ43" s="1178"/>
      <c r="FR43" s="1178"/>
      <c r="FS43" s="903"/>
      <c r="FT43" s="686">
        <f t="shared" si="563"/>
        <v>302184834.77512217</v>
      </c>
      <c r="FU43" s="904"/>
      <c r="FY43" s="905"/>
      <c r="GB43" s="1177" t="s">
        <v>1601</v>
      </c>
      <c r="GC43" s="1178"/>
      <c r="GD43" s="1178"/>
      <c r="GE43" s="1178"/>
      <c r="GF43" s="1178"/>
      <c r="GG43" s="903"/>
      <c r="GH43" s="686">
        <f t="shared" si="563"/>
        <v>142785280.29700914</v>
      </c>
      <c r="GI43" s="904"/>
      <c r="GM43" s="905"/>
      <c r="GP43" s="1177" t="s">
        <v>1601</v>
      </c>
      <c r="GQ43" s="1178"/>
      <c r="GR43" s="1178"/>
      <c r="GS43" s="1178"/>
      <c r="GT43" s="1178"/>
      <c r="GU43" s="903"/>
      <c r="GV43" s="686">
        <f t="shared" si="563"/>
        <v>0</v>
      </c>
      <c r="GW43" s="904"/>
      <c r="HA43" s="905"/>
      <c r="HD43" s="1177" t="s">
        <v>1601</v>
      </c>
      <c r="HE43" s="1178"/>
      <c r="HF43" s="1178"/>
      <c r="HG43" s="1178"/>
      <c r="HH43" s="1178"/>
      <c r="HI43" s="903"/>
      <c r="HJ43" s="686">
        <f t="shared" ref="HJ43:KB43" si="564">+HJ37+HJ41</f>
        <v>73449025.172390729</v>
      </c>
      <c r="HK43" s="904"/>
      <c r="HO43" s="905"/>
      <c r="HR43" s="1177" t="s">
        <v>1601</v>
      </c>
      <c r="HS43" s="1178"/>
      <c r="HT43" s="1178"/>
      <c r="HU43" s="1178"/>
      <c r="HV43" s="1178"/>
      <c r="HW43" s="903"/>
      <c r="HX43" s="686">
        <f t="shared" si="564"/>
        <v>280185190.02295995</v>
      </c>
      <c r="HY43" s="905"/>
      <c r="IC43" s="905"/>
      <c r="IF43" s="1177"/>
      <c r="IG43" s="1178"/>
      <c r="IH43" s="1178"/>
      <c r="II43" s="1178"/>
      <c r="IJ43" s="1178"/>
      <c r="IK43" s="903"/>
      <c r="IL43" s="686"/>
      <c r="IM43" s="904"/>
      <c r="IQ43" s="905"/>
      <c r="IT43" s="1177"/>
      <c r="IU43" s="1178"/>
      <c r="IV43" s="1178"/>
      <c r="IW43" s="1178"/>
      <c r="IX43" s="1178"/>
      <c r="IY43" s="903"/>
      <c r="IZ43" s="686"/>
      <c r="JA43" s="904"/>
      <c r="JE43" s="905"/>
      <c r="JH43" s="1177" t="s">
        <v>1601</v>
      </c>
      <c r="JI43" s="1178"/>
      <c r="JJ43" s="1178"/>
      <c r="JK43" s="1178"/>
      <c r="JL43" s="1178"/>
      <c r="JM43" s="903"/>
      <c r="JN43" s="686">
        <f t="shared" ref="JN43" si="565">+JN37+JN41</f>
        <v>406278468.23787421</v>
      </c>
      <c r="JO43" s="904"/>
      <c r="JS43" s="905"/>
      <c r="JV43" s="1177" t="s">
        <v>1601</v>
      </c>
      <c r="JW43" s="1178"/>
      <c r="JX43" s="1178"/>
      <c r="JY43" s="1178"/>
      <c r="JZ43" s="1178"/>
      <c r="KA43" s="903"/>
      <c r="KB43" s="686">
        <f t="shared" si="564"/>
        <v>167066889.00829393</v>
      </c>
      <c r="KC43" s="904"/>
      <c r="KG43" s="905"/>
      <c r="KJ43" s="1177" t="s">
        <v>1601</v>
      </c>
      <c r="KK43" s="1178"/>
      <c r="KL43" s="1178"/>
      <c r="KM43" s="1178"/>
      <c r="KN43" s="1178"/>
      <c r="KO43" s="903"/>
      <c r="KP43" s="686">
        <f t="shared" ref="KP43:MT43" si="566">+KP37+KP41</f>
        <v>0</v>
      </c>
      <c r="KQ43" s="904"/>
      <c r="KU43" s="905"/>
      <c r="KX43" s="1177" t="s">
        <v>1601</v>
      </c>
      <c r="KY43" s="1178"/>
      <c r="KZ43" s="1178"/>
      <c r="LA43" s="1178"/>
      <c r="LB43" s="1178"/>
      <c r="LC43" s="903"/>
      <c r="LD43" s="686">
        <f t="shared" si="566"/>
        <v>0</v>
      </c>
      <c r="LE43" s="904"/>
      <c r="LI43" s="905"/>
      <c r="LL43" s="1177" t="s">
        <v>1601</v>
      </c>
      <c r="LM43" s="1178"/>
      <c r="LN43" s="1178"/>
      <c r="LO43" s="1178"/>
      <c r="LP43" s="1178"/>
      <c r="LQ43" s="903"/>
      <c r="LR43" s="686">
        <f t="shared" si="566"/>
        <v>0</v>
      </c>
      <c r="LS43" s="904"/>
      <c r="LW43" s="905"/>
      <c r="LZ43" s="1177" t="s">
        <v>1601</v>
      </c>
      <c r="MA43" s="1178"/>
      <c r="MB43" s="1178"/>
      <c r="MC43" s="1178"/>
      <c r="MD43" s="1178"/>
      <c r="ME43" s="903"/>
      <c r="MF43" s="686">
        <f t="shared" si="566"/>
        <v>116669418.18440588</v>
      </c>
      <c r="MG43" s="904"/>
      <c r="MK43" s="905"/>
      <c r="MN43" s="1177" t="s">
        <v>1601</v>
      </c>
      <c r="MO43" s="1178"/>
      <c r="MP43" s="1178"/>
      <c r="MQ43" s="1178"/>
      <c r="MR43" s="1178"/>
      <c r="MS43" s="903"/>
      <c r="MT43" s="686">
        <f t="shared" si="566"/>
        <v>151898952.94426546</v>
      </c>
      <c r="MU43" s="904"/>
      <c r="MY43" s="905"/>
      <c r="NB43" s="1177" t="s">
        <v>1601</v>
      </c>
      <c r="NC43" s="1178"/>
      <c r="ND43" s="1178"/>
      <c r="NE43" s="1178"/>
      <c r="NF43" s="1178"/>
      <c r="NG43" s="903"/>
      <c r="NH43" s="686">
        <f t="shared" ref="NH43:PL43" si="567">+NH37+NH41</f>
        <v>168610725.20035318</v>
      </c>
      <c r="NI43" s="904"/>
      <c r="NM43" s="905"/>
      <c r="NP43" s="1177" t="s">
        <v>1601</v>
      </c>
      <c r="NQ43" s="1178"/>
      <c r="NR43" s="1178"/>
      <c r="NS43" s="1178"/>
      <c r="NT43" s="1178"/>
      <c r="NU43" s="903"/>
      <c r="NV43" s="686">
        <f t="shared" si="567"/>
        <v>396375994.69624537</v>
      </c>
      <c r="NW43" s="904"/>
      <c r="OA43" s="905"/>
      <c r="OD43" s="1177" t="s">
        <v>1601</v>
      </c>
      <c r="OE43" s="1178"/>
      <c r="OF43" s="1178"/>
      <c r="OG43" s="1178"/>
      <c r="OH43" s="1178"/>
      <c r="OI43" s="903"/>
      <c r="OJ43" s="686">
        <f t="shared" si="567"/>
        <v>72085170.562831163</v>
      </c>
      <c r="OK43" s="904"/>
      <c r="OO43" s="905"/>
      <c r="OR43" s="1177" t="s">
        <v>1601</v>
      </c>
      <c r="OS43" s="1178"/>
      <c r="OT43" s="1178"/>
      <c r="OU43" s="1178"/>
      <c r="OV43" s="1178"/>
      <c r="OW43" s="903"/>
      <c r="OX43" s="686">
        <f t="shared" si="567"/>
        <v>285003142.23854196</v>
      </c>
      <c r="OY43" s="904"/>
      <c r="PC43" s="905"/>
      <c r="PF43" s="1177" t="s">
        <v>1601</v>
      </c>
      <c r="PG43" s="1178"/>
      <c r="PH43" s="1178"/>
      <c r="PI43" s="1178"/>
      <c r="PJ43" s="1178"/>
      <c r="PK43" s="903"/>
      <c r="PL43" s="686">
        <f t="shared" si="567"/>
        <v>0</v>
      </c>
      <c r="PM43" s="904"/>
      <c r="PQ43" s="905"/>
      <c r="PT43" s="1177" t="s">
        <v>1601</v>
      </c>
      <c r="PU43" s="1178"/>
      <c r="PV43" s="1178"/>
      <c r="PW43" s="1178"/>
      <c r="PX43" s="1178"/>
      <c r="PY43" s="903"/>
      <c r="PZ43" s="686">
        <f t="shared" ref="PZ43:SD43" si="568">+PZ37+PZ41</f>
        <v>0</v>
      </c>
      <c r="QA43" s="904"/>
      <c r="QE43" s="905"/>
      <c r="QH43" s="1177" t="s">
        <v>1601</v>
      </c>
      <c r="QI43" s="1178"/>
      <c r="QJ43" s="1178"/>
      <c r="QK43" s="1178"/>
      <c r="QL43" s="1178"/>
      <c r="QM43" s="903"/>
      <c r="QN43" s="686">
        <f t="shared" si="568"/>
        <v>0</v>
      </c>
      <c r="QO43" s="904"/>
      <c r="QS43" s="905"/>
      <c r="QV43" s="1177" t="s">
        <v>1601</v>
      </c>
      <c r="QW43" s="1178"/>
      <c r="QX43" s="1178"/>
      <c r="QY43" s="1178"/>
      <c r="QZ43" s="1178"/>
      <c r="RA43" s="903"/>
      <c r="RB43" s="686">
        <f t="shared" si="568"/>
        <v>297281996.02218401</v>
      </c>
      <c r="RC43" s="904"/>
      <c r="RG43" s="905"/>
      <c r="RJ43" s="1177" t="s">
        <v>1601</v>
      </c>
      <c r="RK43" s="1178"/>
      <c r="RL43" s="1178"/>
      <c r="RM43" s="1178"/>
      <c r="RN43" s="1178"/>
      <c r="RO43" s="903"/>
      <c r="RP43" s="686">
        <f t="shared" si="568"/>
        <v>56389549.448379911</v>
      </c>
      <c r="RQ43" s="904"/>
      <c r="RU43" s="905"/>
      <c r="RX43" s="1177" t="s">
        <v>1601</v>
      </c>
      <c r="RY43" s="1178"/>
      <c r="RZ43" s="1178"/>
      <c r="SA43" s="1178"/>
      <c r="SB43" s="1178"/>
      <c r="SC43" s="903"/>
      <c r="SD43" s="686">
        <f t="shared" si="568"/>
        <v>173414497.67960736</v>
      </c>
      <c r="SE43" s="904"/>
      <c r="SI43" s="905"/>
      <c r="SL43" s="1177" t="s">
        <v>1601</v>
      </c>
      <c r="SM43" s="1178"/>
      <c r="SN43" s="1178"/>
      <c r="SO43" s="1178"/>
      <c r="SP43" s="1178"/>
      <c r="SQ43" s="903"/>
      <c r="SR43" s="686">
        <f t="shared" ref="SR43" si="569">+SR37+SR41</f>
        <v>0</v>
      </c>
      <c r="SS43" s="904"/>
      <c r="SW43" s="905"/>
      <c r="SZ43" s="1177" t="s">
        <v>1601</v>
      </c>
      <c r="TA43" s="1178"/>
      <c r="TB43" s="1178"/>
      <c r="TC43" s="1178"/>
      <c r="TD43" s="1178"/>
      <c r="TE43" s="903"/>
      <c r="TF43" s="686">
        <f t="shared" ref="TF43" si="570">+TF37+TF41</f>
        <v>4459349076.9303598</v>
      </c>
      <c r="TG43" s="904"/>
      <c r="TK43" s="905"/>
      <c r="TM43" s="941">
        <f>+H43+AX43+BL43+BZ43+CN43+DB43+DP43+ED43+ER43+FF43+FT43+GH43+HJ43+HX43+JN43+KB43+KP43+LD43+LR43+MF43+MT43+NH43+NV43+OJ43+OX43+PL43+PZ43+QN43+RB43+RP43+SD43+SR43-TF43</f>
        <v>0</v>
      </c>
    </row>
    <row r="44" spans="1:534" ht="18.75" customHeight="1" thickBot="1">
      <c r="ES44" s="667"/>
      <c r="HY44" s="667"/>
      <c r="TF44" s="725"/>
      <c r="TM44" s="937"/>
      <c r="TN44" s="725"/>
    </row>
    <row r="45" spans="1:534" ht="31.5" customHeight="1" thickBot="1">
      <c r="B45" s="316" t="s">
        <v>1220</v>
      </c>
      <c r="C45" s="1174" t="s">
        <v>1207</v>
      </c>
      <c r="D45" s="1175"/>
      <c r="E45" s="1175"/>
      <c r="F45" s="1176"/>
      <c r="G45" s="317" t="s">
        <v>1299</v>
      </c>
      <c r="H45" s="318" t="s">
        <v>1274</v>
      </c>
      <c r="P45" s="316"/>
      <c r="Q45" s="1175"/>
      <c r="R45" s="1175"/>
      <c r="S45" s="1175"/>
      <c r="T45" s="1176"/>
      <c r="U45" s="317"/>
      <c r="V45" s="318"/>
      <c r="AD45" s="316"/>
      <c r="AE45" s="1175"/>
      <c r="AF45" s="1175"/>
      <c r="AG45" s="1175"/>
      <c r="AH45" s="1176"/>
      <c r="AI45" s="317"/>
      <c r="AJ45" s="318"/>
      <c r="AR45" s="316" t="s">
        <v>1220</v>
      </c>
      <c r="AS45" s="1175" t="s">
        <v>1207</v>
      </c>
      <c r="AT45" s="1175"/>
      <c r="AU45" s="1175"/>
      <c r="AV45" s="1176"/>
      <c r="AW45" s="317" t="s">
        <v>1299</v>
      </c>
      <c r="AX45" s="318" t="s">
        <v>1274</v>
      </c>
      <c r="BF45" s="316" t="s">
        <v>1220</v>
      </c>
      <c r="BG45" s="1175" t="s">
        <v>1207</v>
      </c>
      <c r="BH45" s="1175"/>
      <c r="BI45" s="1175"/>
      <c r="BJ45" s="1176"/>
      <c r="BK45" s="317" t="s">
        <v>1299</v>
      </c>
      <c r="BL45" s="318" t="s">
        <v>1274</v>
      </c>
      <c r="BT45" s="316" t="s">
        <v>1220</v>
      </c>
      <c r="BU45" s="1175" t="s">
        <v>1207</v>
      </c>
      <c r="BV45" s="1175"/>
      <c r="BW45" s="1175"/>
      <c r="BX45" s="1176"/>
      <c r="BY45" s="317" t="s">
        <v>1299</v>
      </c>
      <c r="BZ45" s="318" t="s">
        <v>1274</v>
      </c>
      <c r="CH45" s="316" t="s">
        <v>1220</v>
      </c>
      <c r="CI45" s="1175" t="s">
        <v>1207</v>
      </c>
      <c r="CJ45" s="1175"/>
      <c r="CK45" s="1175"/>
      <c r="CL45" s="1176"/>
      <c r="CM45" s="317" t="s">
        <v>1299</v>
      </c>
      <c r="CN45" s="318" t="s">
        <v>1274</v>
      </c>
      <c r="CV45" s="316" t="s">
        <v>1220</v>
      </c>
      <c r="CW45" s="1175" t="s">
        <v>1207</v>
      </c>
      <c r="CX45" s="1175"/>
      <c r="CY45" s="1175"/>
      <c r="CZ45" s="1176"/>
      <c r="DA45" s="317" t="s">
        <v>1299</v>
      </c>
      <c r="DB45" s="318" t="s">
        <v>1274</v>
      </c>
      <c r="DJ45" s="316" t="s">
        <v>1220</v>
      </c>
      <c r="DK45" s="1175" t="s">
        <v>1207</v>
      </c>
      <c r="DL45" s="1175"/>
      <c r="DM45" s="1175"/>
      <c r="DN45" s="1176"/>
      <c r="DO45" s="317" t="s">
        <v>1299</v>
      </c>
      <c r="DP45" s="318" t="s">
        <v>1274</v>
      </c>
      <c r="DX45" s="316" t="s">
        <v>1220</v>
      </c>
      <c r="DY45" s="1175" t="s">
        <v>1207</v>
      </c>
      <c r="DZ45" s="1175"/>
      <c r="EA45" s="1175"/>
      <c r="EB45" s="1176"/>
      <c r="EC45" s="317" t="s">
        <v>1299</v>
      </c>
      <c r="ED45" s="318" t="s">
        <v>1274</v>
      </c>
      <c r="EL45" s="316" t="s">
        <v>1220</v>
      </c>
      <c r="EM45" s="1175" t="s">
        <v>1207</v>
      </c>
      <c r="EN45" s="1175"/>
      <c r="EO45" s="1175"/>
      <c r="EP45" s="1176"/>
      <c r="EQ45" s="317" t="s">
        <v>1299</v>
      </c>
      <c r="ER45" s="318" t="s">
        <v>1274</v>
      </c>
      <c r="ES45" s="667"/>
      <c r="EZ45" s="316" t="s">
        <v>1220</v>
      </c>
      <c r="FA45" s="1175" t="s">
        <v>1207</v>
      </c>
      <c r="FB45" s="1175"/>
      <c r="FC45" s="1175"/>
      <c r="FD45" s="1176"/>
      <c r="FE45" s="317" t="s">
        <v>1299</v>
      </c>
      <c r="FF45" s="318" t="s">
        <v>1274</v>
      </c>
      <c r="FN45" s="316" t="s">
        <v>1220</v>
      </c>
      <c r="FO45" s="1175" t="s">
        <v>1207</v>
      </c>
      <c r="FP45" s="1175"/>
      <c r="FQ45" s="1175"/>
      <c r="FR45" s="1176"/>
      <c r="FS45" s="317" t="s">
        <v>1299</v>
      </c>
      <c r="FT45" s="318" t="s">
        <v>1274</v>
      </c>
      <c r="GB45" s="316" t="s">
        <v>1220</v>
      </c>
      <c r="GC45" s="1175" t="s">
        <v>1207</v>
      </c>
      <c r="GD45" s="1175"/>
      <c r="GE45" s="1175"/>
      <c r="GF45" s="1176"/>
      <c r="GG45" s="317" t="s">
        <v>1299</v>
      </c>
      <c r="GH45" s="318" t="s">
        <v>1274</v>
      </c>
      <c r="GP45" s="316" t="s">
        <v>1220</v>
      </c>
      <c r="GQ45" s="1175" t="s">
        <v>1207</v>
      </c>
      <c r="GR45" s="1175"/>
      <c r="GS45" s="1175"/>
      <c r="GT45" s="1176"/>
      <c r="GU45" s="317" t="s">
        <v>1299</v>
      </c>
      <c r="GV45" s="318" t="s">
        <v>1274</v>
      </c>
      <c r="HD45" s="316" t="s">
        <v>1220</v>
      </c>
      <c r="HE45" s="1175" t="s">
        <v>1207</v>
      </c>
      <c r="HF45" s="1175"/>
      <c r="HG45" s="1175"/>
      <c r="HH45" s="1176"/>
      <c r="HI45" s="317" t="s">
        <v>1299</v>
      </c>
      <c r="HJ45" s="318" t="s">
        <v>1274</v>
      </c>
      <c r="HR45" s="316" t="s">
        <v>1220</v>
      </c>
      <c r="HS45" s="1175" t="s">
        <v>1207</v>
      </c>
      <c r="HT45" s="1175"/>
      <c r="HU45" s="1175"/>
      <c r="HV45" s="1176"/>
      <c r="HW45" s="317" t="s">
        <v>1299</v>
      </c>
      <c r="HX45" s="318" t="s">
        <v>1274</v>
      </c>
      <c r="HY45" s="667"/>
      <c r="IF45" s="316"/>
      <c r="IG45" s="1175"/>
      <c r="IH45" s="1175"/>
      <c r="II45" s="1175"/>
      <c r="IJ45" s="1176"/>
      <c r="IK45" s="317"/>
      <c r="IL45" s="318"/>
      <c r="IT45" s="316"/>
      <c r="IU45" s="1175"/>
      <c r="IV45" s="1175"/>
      <c r="IW45" s="1175"/>
      <c r="IX45" s="1176"/>
      <c r="IY45" s="317"/>
      <c r="IZ45" s="318"/>
      <c r="JH45" s="316" t="s">
        <v>1220</v>
      </c>
      <c r="JI45" s="1175" t="s">
        <v>1207</v>
      </c>
      <c r="JJ45" s="1175"/>
      <c r="JK45" s="1175"/>
      <c r="JL45" s="1176"/>
      <c r="JM45" s="317" t="s">
        <v>1299</v>
      </c>
      <c r="JN45" s="318" t="s">
        <v>1274</v>
      </c>
      <c r="JV45" s="316" t="s">
        <v>1220</v>
      </c>
      <c r="JW45" s="1175" t="s">
        <v>1207</v>
      </c>
      <c r="JX45" s="1175"/>
      <c r="JY45" s="1175"/>
      <c r="JZ45" s="1176"/>
      <c r="KA45" s="317" t="s">
        <v>1299</v>
      </c>
      <c r="KB45" s="318" t="s">
        <v>1274</v>
      </c>
      <c r="KJ45" s="316" t="s">
        <v>1220</v>
      </c>
      <c r="KK45" s="1175" t="s">
        <v>1207</v>
      </c>
      <c r="KL45" s="1175"/>
      <c r="KM45" s="1175"/>
      <c r="KN45" s="1176"/>
      <c r="KO45" s="317" t="s">
        <v>1299</v>
      </c>
      <c r="KP45" s="318" t="s">
        <v>1274</v>
      </c>
      <c r="KX45" s="316" t="s">
        <v>1220</v>
      </c>
      <c r="KY45" s="1175" t="s">
        <v>1207</v>
      </c>
      <c r="KZ45" s="1175"/>
      <c r="LA45" s="1175"/>
      <c r="LB45" s="1176"/>
      <c r="LC45" s="317" t="s">
        <v>1299</v>
      </c>
      <c r="LD45" s="318" t="s">
        <v>1274</v>
      </c>
      <c r="LL45" s="316" t="s">
        <v>1220</v>
      </c>
      <c r="LM45" s="1175" t="s">
        <v>1207</v>
      </c>
      <c r="LN45" s="1175"/>
      <c r="LO45" s="1175"/>
      <c r="LP45" s="1176"/>
      <c r="LQ45" s="317" t="s">
        <v>1299</v>
      </c>
      <c r="LR45" s="318" t="s">
        <v>1274</v>
      </c>
      <c r="LZ45" s="316" t="s">
        <v>1220</v>
      </c>
      <c r="MA45" s="1175" t="s">
        <v>1207</v>
      </c>
      <c r="MB45" s="1175"/>
      <c r="MC45" s="1175"/>
      <c r="MD45" s="1176"/>
      <c r="ME45" s="317" t="s">
        <v>1299</v>
      </c>
      <c r="MF45" s="318" t="s">
        <v>1274</v>
      </c>
      <c r="MN45" s="316" t="s">
        <v>1220</v>
      </c>
      <c r="MO45" s="1175" t="s">
        <v>1207</v>
      </c>
      <c r="MP45" s="1175"/>
      <c r="MQ45" s="1175"/>
      <c r="MR45" s="1176"/>
      <c r="MS45" s="317" t="s">
        <v>1299</v>
      </c>
      <c r="MT45" s="318" t="s">
        <v>1274</v>
      </c>
      <c r="NB45" s="316" t="s">
        <v>1220</v>
      </c>
      <c r="NC45" s="1175" t="s">
        <v>1207</v>
      </c>
      <c r="ND45" s="1175"/>
      <c r="NE45" s="1175"/>
      <c r="NF45" s="1176"/>
      <c r="NG45" s="317" t="s">
        <v>1299</v>
      </c>
      <c r="NH45" s="318" t="s">
        <v>1274</v>
      </c>
      <c r="NP45" s="316" t="s">
        <v>1220</v>
      </c>
      <c r="NQ45" s="1175" t="s">
        <v>1207</v>
      </c>
      <c r="NR45" s="1175"/>
      <c r="NS45" s="1175"/>
      <c r="NT45" s="1176"/>
      <c r="NU45" s="317" t="s">
        <v>1299</v>
      </c>
      <c r="NV45" s="318" t="s">
        <v>1274</v>
      </c>
      <c r="OD45" s="316" t="s">
        <v>1220</v>
      </c>
      <c r="OE45" s="1175" t="s">
        <v>1207</v>
      </c>
      <c r="OF45" s="1175"/>
      <c r="OG45" s="1175"/>
      <c r="OH45" s="1176"/>
      <c r="OI45" s="317" t="s">
        <v>1299</v>
      </c>
      <c r="OJ45" s="318" t="s">
        <v>1274</v>
      </c>
      <c r="OR45" s="316" t="s">
        <v>1220</v>
      </c>
      <c r="OS45" s="1175" t="s">
        <v>1207</v>
      </c>
      <c r="OT45" s="1175"/>
      <c r="OU45" s="1175"/>
      <c r="OV45" s="1176"/>
      <c r="OW45" s="317" t="s">
        <v>1299</v>
      </c>
      <c r="OX45" s="318" t="s">
        <v>1274</v>
      </c>
      <c r="PF45" s="316" t="s">
        <v>1220</v>
      </c>
      <c r="PG45" s="1175" t="s">
        <v>1207</v>
      </c>
      <c r="PH45" s="1175"/>
      <c r="PI45" s="1175"/>
      <c r="PJ45" s="1176"/>
      <c r="PK45" s="317" t="s">
        <v>1299</v>
      </c>
      <c r="PL45" s="318" t="s">
        <v>1274</v>
      </c>
      <c r="PT45" s="316" t="s">
        <v>1220</v>
      </c>
      <c r="PU45" s="1175" t="s">
        <v>1207</v>
      </c>
      <c r="PV45" s="1175"/>
      <c r="PW45" s="1175"/>
      <c r="PX45" s="1176"/>
      <c r="PY45" s="317" t="s">
        <v>1299</v>
      </c>
      <c r="PZ45" s="318" t="s">
        <v>1274</v>
      </c>
      <c r="QH45" s="316" t="s">
        <v>1220</v>
      </c>
      <c r="QI45" s="1175" t="s">
        <v>1207</v>
      </c>
      <c r="QJ45" s="1175"/>
      <c r="QK45" s="1175"/>
      <c r="QL45" s="1176"/>
      <c r="QM45" s="317" t="s">
        <v>1299</v>
      </c>
      <c r="QN45" s="318" t="s">
        <v>1274</v>
      </c>
      <c r="QV45" s="316" t="s">
        <v>1220</v>
      </c>
      <c r="QW45" s="1175" t="s">
        <v>1207</v>
      </c>
      <c r="QX45" s="1175"/>
      <c r="QY45" s="1175"/>
      <c r="QZ45" s="1176"/>
      <c r="RA45" s="317" t="s">
        <v>1299</v>
      </c>
      <c r="RB45" s="318" t="s">
        <v>1274</v>
      </c>
      <c r="RJ45" s="316" t="s">
        <v>1220</v>
      </c>
      <c r="RK45" s="1175" t="s">
        <v>1207</v>
      </c>
      <c r="RL45" s="1175"/>
      <c r="RM45" s="1175"/>
      <c r="RN45" s="1176"/>
      <c r="RO45" s="317" t="s">
        <v>1299</v>
      </c>
      <c r="RP45" s="318" t="s">
        <v>1274</v>
      </c>
      <c r="RX45" s="316" t="s">
        <v>1220</v>
      </c>
      <c r="RY45" s="1175" t="s">
        <v>1207</v>
      </c>
      <c r="RZ45" s="1175"/>
      <c r="SA45" s="1175"/>
      <c r="SB45" s="1176"/>
      <c r="SC45" s="317" t="s">
        <v>1299</v>
      </c>
      <c r="SD45" s="318" t="s">
        <v>1274</v>
      </c>
      <c r="SL45" s="316" t="s">
        <v>1220</v>
      </c>
      <c r="SM45" s="1175" t="s">
        <v>1207</v>
      </c>
      <c r="SN45" s="1175"/>
      <c r="SO45" s="1175"/>
      <c r="SP45" s="1176"/>
      <c r="SQ45" s="317" t="s">
        <v>1299</v>
      </c>
      <c r="SR45" s="318" t="s">
        <v>1274</v>
      </c>
      <c r="SZ45" s="316" t="s">
        <v>1220</v>
      </c>
      <c r="TA45" s="1175" t="s">
        <v>1207</v>
      </c>
      <c r="TB45" s="1175"/>
      <c r="TC45" s="1175"/>
      <c r="TD45" s="1176"/>
      <c r="TE45" s="317" t="s">
        <v>1299</v>
      </c>
      <c r="TF45" s="732" t="s">
        <v>1274</v>
      </c>
      <c r="TM45" s="937"/>
      <c r="TN45" s="725"/>
    </row>
    <row r="46" spans="1:534" ht="18.75" customHeight="1">
      <c r="B46" s="1179" t="s">
        <v>1302</v>
      </c>
      <c r="C46" s="641" t="s">
        <v>1565</v>
      </c>
      <c r="D46" s="313"/>
      <c r="E46" s="134"/>
      <c r="F46" s="122"/>
      <c r="G46" s="330">
        <f>+'Res de Costos Pais'!$G$109</f>
        <v>9.6600000000000002E-3</v>
      </c>
      <c r="H46" s="319">
        <f>+H43*G46</f>
        <v>1684359.9354836913</v>
      </c>
      <c r="M46" s="928">
        <f>+IF(H46=0,0,H46/H$72)</f>
        <v>9.1479802570555886E-3</v>
      </c>
      <c r="P46" s="1179"/>
      <c r="Q46" s="641"/>
      <c r="R46" s="313"/>
      <c r="S46" s="134"/>
      <c r="T46" s="122"/>
      <c r="U46" s="330"/>
      <c r="V46" s="319"/>
      <c r="AA46" s="928"/>
      <c r="AD46" s="1179"/>
      <c r="AE46" s="641"/>
      <c r="AF46" s="313"/>
      <c r="AG46" s="134"/>
      <c r="AH46" s="122"/>
      <c r="AI46" s="330"/>
      <c r="AJ46" s="319"/>
      <c r="AO46" s="928"/>
      <c r="AR46" s="1179" t="s">
        <v>1302</v>
      </c>
      <c r="AS46" s="641" t="s">
        <v>1565</v>
      </c>
      <c r="AT46" s="313"/>
      <c r="AU46" s="134"/>
      <c r="AV46" s="122"/>
      <c r="AW46" s="330">
        <f>+'Res de Costos Pais'!$G$109</f>
        <v>9.6600000000000002E-3</v>
      </c>
      <c r="AX46" s="319">
        <f t="shared" ref="AX46" si="571">+AX43*AW46</f>
        <v>0</v>
      </c>
      <c r="BC46" s="928">
        <f>+IF(AX46=0,0,AX46/AX$72)</f>
        <v>0</v>
      </c>
      <c r="BF46" s="1179" t="s">
        <v>1302</v>
      </c>
      <c r="BG46" s="641" t="s">
        <v>1565</v>
      </c>
      <c r="BH46" s="313"/>
      <c r="BI46" s="134"/>
      <c r="BJ46" s="122"/>
      <c r="BK46" s="330">
        <f>+'Res de Costos Pais'!$G$109</f>
        <v>9.6600000000000002E-3</v>
      </c>
      <c r="BL46" s="319">
        <f t="shared" ref="BL46" si="572">+BL43*BK46</f>
        <v>4257105.4989917669</v>
      </c>
      <c r="BQ46" s="928">
        <f>+IF(BL46=0,0,BL46/BL$72)</f>
        <v>9.1458784545127344E-3</v>
      </c>
      <c r="BT46" s="1179" t="s">
        <v>1302</v>
      </c>
      <c r="BU46" s="641" t="s">
        <v>1565</v>
      </c>
      <c r="BV46" s="313"/>
      <c r="BW46" s="134"/>
      <c r="BX46" s="122"/>
      <c r="BY46" s="330">
        <f>+'Res de Costos Pais'!$G$109</f>
        <v>9.6600000000000002E-3</v>
      </c>
      <c r="BZ46" s="319">
        <f t="shared" ref="BZ46" si="573">+BZ43*BY46</f>
        <v>0</v>
      </c>
      <c r="CE46" s="928">
        <f>+IF(BZ46=0,0,BZ46/BZ$72)</f>
        <v>0</v>
      </c>
      <c r="CH46" s="1179" t="s">
        <v>1302</v>
      </c>
      <c r="CI46" s="641" t="s">
        <v>1565</v>
      </c>
      <c r="CJ46" s="313"/>
      <c r="CK46" s="134"/>
      <c r="CL46" s="122"/>
      <c r="CM46" s="330">
        <f>+'Res de Costos Pais'!$G$109</f>
        <v>9.6600000000000002E-3</v>
      </c>
      <c r="CN46" s="319">
        <f t="shared" ref="CN46" si="574">+CN43*CM46</f>
        <v>236106.97506934439</v>
      </c>
      <c r="CS46" s="928">
        <f>+IF(CN46=0,0,CN46/CN$72)</f>
        <v>9.1456709729027964E-3</v>
      </c>
      <c r="CV46" s="1179" t="s">
        <v>1302</v>
      </c>
      <c r="CW46" s="641" t="s">
        <v>1565</v>
      </c>
      <c r="CX46" s="313"/>
      <c r="CY46" s="134"/>
      <c r="CZ46" s="122"/>
      <c r="DA46" s="330">
        <f>+'Res de Costos Pais'!$G$109</f>
        <v>9.6600000000000002E-3</v>
      </c>
      <c r="DB46" s="319">
        <f t="shared" ref="DB46" si="575">+DB43*DA46</f>
        <v>3406378.6222568471</v>
      </c>
      <c r="DG46" s="928">
        <f>+IF(DB46=0,0,DB46/DB$72)</f>
        <v>9.1578570134841688E-3</v>
      </c>
      <c r="DJ46" s="1179" t="s">
        <v>1302</v>
      </c>
      <c r="DK46" s="641" t="s">
        <v>1565</v>
      </c>
      <c r="DL46" s="313"/>
      <c r="DM46" s="134"/>
      <c r="DN46" s="122"/>
      <c r="DO46" s="330">
        <f>+'Res de Costos Pais'!$G$109</f>
        <v>9.6600000000000002E-3</v>
      </c>
      <c r="DP46" s="319">
        <f t="shared" ref="DP46" si="576">+DP43*DO46</f>
        <v>266256.10749256681</v>
      </c>
      <c r="DU46" s="928">
        <f>+IF(DP46=0,0,DP46/DP$72)</f>
        <v>9.1596218044990817E-3</v>
      </c>
      <c r="DX46" s="1179" t="s">
        <v>1302</v>
      </c>
      <c r="DY46" s="641" t="s">
        <v>1565</v>
      </c>
      <c r="DZ46" s="313"/>
      <c r="EA46" s="134"/>
      <c r="EB46" s="122"/>
      <c r="EC46" s="330">
        <f>+'Res de Costos Pais'!$G$109</f>
        <v>9.6600000000000002E-3</v>
      </c>
      <c r="ED46" s="319">
        <f t="shared" ref="ED46" si="577">+ED43*EC46</f>
        <v>1252251.75517929</v>
      </c>
      <c r="EI46" s="928">
        <f>+IF(ED46=0,0,ED46/ED$72)</f>
        <v>9.1527215928116253E-3</v>
      </c>
      <c r="EL46" s="1179" t="s">
        <v>1302</v>
      </c>
      <c r="EM46" s="641" t="s">
        <v>1565</v>
      </c>
      <c r="EN46" s="313"/>
      <c r="EO46" s="134"/>
      <c r="EP46" s="122"/>
      <c r="EQ46" s="330">
        <f>+'Res de Costos Pais'!$G$109</f>
        <v>9.6600000000000002E-3</v>
      </c>
      <c r="ER46" s="319">
        <f t="shared" ref="ER46" si="578">+ER43*EQ46</f>
        <v>2128552.7494958835</v>
      </c>
      <c r="ES46" s="928">
        <f>+IF(EN46=0,0,EN46/EN$72)</f>
        <v>0</v>
      </c>
      <c r="EW46" s="928">
        <f>+IF(ER46=0,0,ER46/ER$72)</f>
        <v>9.1458784545127344E-3</v>
      </c>
      <c r="EZ46" s="1179" t="s">
        <v>1302</v>
      </c>
      <c r="FA46" s="641" t="s">
        <v>1565</v>
      </c>
      <c r="FB46" s="313"/>
      <c r="FC46" s="134"/>
      <c r="FD46" s="122"/>
      <c r="FE46" s="330">
        <f>+'Res de Costos Pais'!$G$109</f>
        <v>9.6600000000000002E-3</v>
      </c>
      <c r="FF46" s="319">
        <f t="shared" ref="FF46" si="579">+FF43*FE46</f>
        <v>0</v>
      </c>
      <c r="FK46" s="928">
        <f>+IF(FF46=0,0,FF46/FF$72)</f>
        <v>0</v>
      </c>
      <c r="FN46" s="1179" t="s">
        <v>1302</v>
      </c>
      <c r="FO46" s="641" t="s">
        <v>1565</v>
      </c>
      <c r="FP46" s="313"/>
      <c r="FQ46" s="134"/>
      <c r="FR46" s="122"/>
      <c r="FS46" s="330">
        <f>+'Res de Costos Pais'!$G$109</f>
        <v>9.6600000000000002E-3</v>
      </c>
      <c r="FT46" s="319">
        <f t="shared" ref="FT46" si="580">+FT43*FS46</f>
        <v>2919105.5039276802</v>
      </c>
      <c r="FY46" s="928">
        <f>+IF(FT46=0,0,FT46/FT$72)</f>
        <v>9.204387069307032E-3</v>
      </c>
      <c r="GB46" s="1179" t="s">
        <v>1302</v>
      </c>
      <c r="GC46" s="641" t="s">
        <v>1565</v>
      </c>
      <c r="GD46" s="313"/>
      <c r="GE46" s="134"/>
      <c r="GF46" s="122"/>
      <c r="GG46" s="330">
        <f>+'Res de Costos Pais'!$G$109</f>
        <v>9.6600000000000002E-3</v>
      </c>
      <c r="GH46" s="319">
        <f t="shared" ref="GH46" si="581">+GH43*GG46</f>
        <v>1379305.8076691083</v>
      </c>
      <c r="GM46" s="928">
        <f>+IF(GH46=0,0,GH46/GH$72)</f>
        <v>9.1423422893450457E-3</v>
      </c>
      <c r="GP46" s="1179" t="s">
        <v>1302</v>
      </c>
      <c r="GQ46" s="641" t="s">
        <v>1565</v>
      </c>
      <c r="GR46" s="313"/>
      <c r="GS46" s="134"/>
      <c r="GT46" s="122"/>
      <c r="GU46" s="330">
        <f>+'Res de Costos Pais'!$G$109</f>
        <v>9.6600000000000002E-3</v>
      </c>
      <c r="GV46" s="319">
        <f t="shared" ref="GV46" si="582">+GV43*GU46</f>
        <v>0</v>
      </c>
      <c r="HA46" s="928">
        <f>+IF(GV46=0,0,GV46/GV$72)</f>
        <v>0</v>
      </c>
      <c r="HD46" s="1179" t="s">
        <v>1302</v>
      </c>
      <c r="HE46" s="641" t="s">
        <v>1565</v>
      </c>
      <c r="HF46" s="313"/>
      <c r="HG46" s="134"/>
      <c r="HH46" s="122"/>
      <c r="HI46" s="330">
        <f>+'Res de Costos Pais'!$G$109</f>
        <v>9.6600000000000002E-3</v>
      </c>
      <c r="HJ46" s="319">
        <f t="shared" ref="HJ46" si="583">+HJ43*HI46</f>
        <v>709517.58316529449</v>
      </c>
      <c r="HO46" s="928">
        <f>+IF(HJ46=0,0,HJ46/HJ$72)</f>
        <v>9.1458784545127379E-3</v>
      </c>
      <c r="HR46" s="1179" t="s">
        <v>1302</v>
      </c>
      <c r="HS46" s="641" t="s">
        <v>1565</v>
      </c>
      <c r="HT46" s="313"/>
      <c r="HU46" s="134"/>
      <c r="HV46" s="122"/>
      <c r="HW46" s="330">
        <f>+'Res de Costos Pais'!$G$109</f>
        <v>9.6600000000000002E-3</v>
      </c>
      <c r="HX46" s="319">
        <f t="shared" ref="HX46" si="584">+HX43*HW46</f>
        <v>2706588.9356217929</v>
      </c>
      <c r="HY46" s="928">
        <f t="shared" ref="HY46:HY47" si="585">+IF(HT46=0,0,HT46/HT$70)</f>
        <v>0</v>
      </c>
      <c r="IC46" s="928">
        <f>+IF(HX46=0,0,HX46/HX$72)</f>
        <v>9.1506465399314885E-3</v>
      </c>
      <c r="IF46" s="1179"/>
      <c r="IG46" s="641"/>
      <c r="IH46" s="313"/>
      <c r="II46" s="134"/>
      <c r="IJ46" s="122"/>
      <c r="IK46" s="330"/>
      <c r="IL46" s="319"/>
      <c r="IQ46" s="928"/>
      <c r="IT46" s="1179"/>
      <c r="IU46" s="641"/>
      <c r="IV46" s="313"/>
      <c r="IW46" s="134"/>
      <c r="IX46" s="122"/>
      <c r="IY46" s="330"/>
      <c r="IZ46" s="319"/>
      <c r="JE46" s="928"/>
      <c r="JH46" s="1179" t="s">
        <v>1302</v>
      </c>
      <c r="JI46" s="641" t="s">
        <v>1565</v>
      </c>
      <c r="JJ46" s="313"/>
      <c r="JK46" s="134"/>
      <c r="JL46" s="122"/>
      <c r="JM46" s="330">
        <f>+'Res de Costos Pais'!$G$109</f>
        <v>9.6600000000000002E-3</v>
      </c>
      <c r="JN46" s="319">
        <f t="shared" ref="JN46" si="586">+JN43*JM46</f>
        <v>3924650.0031778649</v>
      </c>
      <c r="JS46" s="928">
        <f>+IF(JN46=0,0,JN46/JN$72)</f>
        <v>9.1576931381354091E-3</v>
      </c>
      <c r="JV46" s="1179" t="s">
        <v>1302</v>
      </c>
      <c r="JW46" s="641" t="s">
        <v>1565</v>
      </c>
      <c r="JX46" s="313"/>
      <c r="JY46" s="134"/>
      <c r="JZ46" s="122"/>
      <c r="KA46" s="330">
        <f>+'Res de Costos Pais'!$G$109</f>
        <v>9.6600000000000002E-3</v>
      </c>
      <c r="KB46" s="319">
        <f t="shared" ref="KB46" si="587">+KB43*KA46</f>
        <v>1613866.1478201193</v>
      </c>
      <c r="KG46" s="928">
        <f>+IF(KB46=0,0,KB46/KB$72)</f>
        <v>9.1517097239446014E-3</v>
      </c>
      <c r="KJ46" s="1179" t="s">
        <v>1302</v>
      </c>
      <c r="KK46" s="641" t="s">
        <v>1565</v>
      </c>
      <c r="KL46" s="313"/>
      <c r="KM46" s="134"/>
      <c r="KN46" s="122"/>
      <c r="KO46" s="330">
        <f>+'Res de Costos Pais'!$G$109</f>
        <v>9.6600000000000002E-3</v>
      </c>
      <c r="KP46" s="319">
        <f t="shared" ref="KP46" si="588">+KP43*KO46</f>
        <v>0</v>
      </c>
      <c r="KU46" s="928">
        <f>+IF(KP46=0,0,KP46/KP$72)</f>
        <v>0</v>
      </c>
      <c r="KX46" s="1179" t="s">
        <v>1302</v>
      </c>
      <c r="KY46" s="641" t="s">
        <v>1565</v>
      </c>
      <c r="KZ46" s="313"/>
      <c r="LA46" s="134"/>
      <c r="LB46" s="122"/>
      <c r="LC46" s="330">
        <f>+'Res de Costos Pais'!$G$109</f>
        <v>9.6600000000000002E-3</v>
      </c>
      <c r="LD46" s="319">
        <f t="shared" ref="LD46" si="589">+LD43*LC46</f>
        <v>0</v>
      </c>
      <c r="LI46" s="928">
        <f>+IF(LD46=0,0,LD46/LD$72)</f>
        <v>0</v>
      </c>
      <c r="LL46" s="1179" t="s">
        <v>1302</v>
      </c>
      <c r="LM46" s="641" t="s">
        <v>1565</v>
      </c>
      <c r="LN46" s="313"/>
      <c r="LO46" s="134"/>
      <c r="LP46" s="122"/>
      <c r="LQ46" s="330">
        <f>+'Res de Costos Pais'!$G$109</f>
        <v>9.6600000000000002E-3</v>
      </c>
      <c r="LR46" s="319">
        <f t="shared" ref="LR46" si="590">+LR43*LQ46</f>
        <v>0</v>
      </c>
      <c r="LW46" s="928">
        <f>+IF(LR46=0,0,LR46/LR$72)</f>
        <v>0</v>
      </c>
      <c r="LZ46" s="1179" t="s">
        <v>1302</v>
      </c>
      <c r="MA46" s="641" t="s">
        <v>1565</v>
      </c>
      <c r="MB46" s="313"/>
      <c r="MC46" s="134"/>
      <c r="MD46" s="122"/>
      <c r="ME46" s="330">
        <f>+'Res de Costos Pais'!$G$109</f>
        <v>9.6600000000000002E-3</v>
      </c>
      <c r="MF46" s="319">
        <f t="shared" ref="MF46" si="591">+MF43*ME46</f>
        <v>1127026.5796613607</v>
      </c>
      <c r="MK46" s="928">
        <f>+IF(MF46=0,0,MF46/MF$72)</f>
        <v>9.1527215928116235E-3</v>
      </c>
      <c r="MN46" s="1179" t="s">
        <v>1302</v>
      </c>
      <c r="MO46" s="641" t="s">
        <v>1565</v>
      </c>
      <c r="MP46" s="313"/>
      <c r="MQ46" s="134"/>
      <c r="MR46" s="122"/>
      <c r="MS46" s="330">
        <f>+'Res de Costos Pais'!$G$109</f>
        <v>9.6600000000000002E-3</v>
      </c>
      <c r="MT46" s="319">
        <f t="shared" ref="MT46" si="592">+MT43*MS46</f>
        <v>1467343.8854416043</v>
      </c>
      <c r="MY46" s="928">
        <f>+IF(MT46=0,0,MT46/MT$72)</f>
        <v>9.1499236094365662E-3</v>
      </c>
      <c r="NB46" s="1179" t="s">
        <v>1302</v>
      </c>
      <c r="NC46" s="641" t="s">
        <v>1565</v>
      </c>
      <c r="ND46" s="313"/>
      <c r="NE46" s="134"/>
      <c r="NF46" s="122"/>
      <c r="NG46" s="330">
        <f>+'Res de Costos Pais'!$G$109</f>
        <v>9.6600000000000002E-3</v>
      </c>
      <c r="NH46" s="319">
        <f t="shared" ref="NH46" si="593">+NH43*NG46</f>
        <v>1628779.6054354117</v>
      </c>
      <c r="NM46" s="928">
        <f>+IF(NH46=0,0,NH46/NH$72)</f>
        <v>9.1438610148525511E-3</v>
      </c>
      <c r="NP46" s="1179" t="s">
        <v>1302</v>
      </c>
      <c r="NQ46" s="641" t="s">
        <v>1565</v>
      </c>
      <c r="NR46" s="313"/>
      <c r="NS46" s="134"/>
      <c r="NT46" s="122"/>
      <c r="NU46" s="330">
        <f>+'Res de Costos Pais'!$G$109</f>
        <v>9.6600000000000002E-3</v>
      </c>
      <c r="NV46" s="319">
        <f t="shared" ref="NV46" si="594">+NV43*NU46</f>
        <v>3828992.1087657302</v>
      </c>
      <c r="OA46" s="928">
        <f>+IF(NV46=0,0,NV46/NV$72)</f>
        <v>9.2084306509429593E-3</v>
      </c>
      <c r="OD46" s="1179" t="s">
        <v>1302</v>
      </c>
      <c r="OE46" s="641" t="s">
        <v>1565</v>
      </c>
      <c r="OF46" s="313"/>
      <c r="OG46" s="134"/>
      <c r="OH46" s="122"/>
      <c r="OI46" s="330">
        <f>+'Res de Costos Pais'!$G$109</f>
        <v>9.6600000000000002E-3</v>
      </c>
      <c r="OJ46" s="319">
        <f t="shared" ref="OJ46" si="595">+OJ43*OI46</f>
        <v>696342.74763694906</v>
      </c>
      <c r="OO46" s="928">
        <f>+IF(OJ46=0,0,OJ46/OJ$72)</f>
        <v>9.185437876988032E-3</v>
      </c>
      <c r="OR46" s="1179" t="s">
        <v>1302</v>
      </c>
      <c r="OS46" s="641" t="s">
        <v>1565</v>
      </c>
      <c r="OT46" s="313"/>
      <c r="OU46" s="134"/>
      <c r="OV46" s="122"/>
      <c r="OW46" s="330">
        <f>+'Res de Costos Pais'!$G$109</f>
        <v>9.6600000000000002E-3</v>
      </c>
      <c r="OX46" s="319">
        <f t="shared" ref="OX46" si="596">+OX43*OW46</f>
        <v>2753130.3540243153</v>
      </c>
      <c r="PC46" s="928">
        <f>+IF(OX46=0,0,OX46/OX$72)</f>
        <v>9.1632227861060192E-3</v>
      </c>
      <c r="PF46" s="1179" t="s">
        <v>1302</v>
      </c>
      <c r="PG46" s="641" t="s">
        <v>1565</v>
      </c>
      <c r="PH46" s="313"/>
      <c r="PI46" s="134"/>
      <c r="PJ46" s="122"/>
      <c r="PK46" s="330">
        <f>+'Res de Costos Pais'!$G$109</f>
        <v>9.6600000000000002E-3</v>
      </c>
      <c r="PL46" s="319">
        <f t="shared" ref="PL46" si="597">+PL43*PK46</f>
        <v>0</v>
      </c>
      <c r="PQ46" s="928">
        <f>+IF(PL46=0,0,PL46/PL$72)</f>
        <v>0</v>
      </c>
      <c r="PT46" s="1179" t="s">
        <v>1302</v>
      </c>
      <c r="PU46" s="641" t="s">
        <v>1565</v>
      </c>
      <c r="PV46" s="313"/>
      <c r="PW46" s="134"/>
      <c r="PX46" s="122"/>
      <c r="PY46" s="330">
        <f>+'Res de Costos Pais'!$G$109</f>
        <v>9.6600000000000002E-3</v>
      </c>
      <c r="PZ46" s="319">
        <f t="shared" ref="PZ46" si="598">+PZ43*PY46</f>
        <v>0</v>
      </c>
      <c r="QE46" s="928">
        <f>+IF(PZ46=0,0,PZ46/PZ$72)</f>
        <v>0</v>
      </c>
      <c r="QH46" s="1179" t="s">
        <v>1302</v>
      </c>
      <c r="QI46" s="641" t="s">
        <v>1565</v>
      </c>
      <c r="QJ46" s="313"/>
      <c r="QK46" s="134"/>
      <c r="QL46" s="122"/>
      <c r="QM46" s="330">
        <f>+'Res de Costos Pais'!$G$109</f>
        <v>9.6600000000000002E-3</v>
      </c>
      <c r="QN46" s="319">
        <f t="shared" ref="QN46" si="599">+QN43*QM46</f>
        <v>0</v>
      </c>
      <c r="QS46" s="928">
        <f>+IF(QN46=0,0,QN46/QN$72)</f>
        <v>0</v>
      </c>
      <c r="QV46" s="1179" t="s">
        <v>1302</v>
      </c>
      <c r="QW46" s="641" t="s">
        <v>1565</v>
      </c>
      <c r="QX46" s="313"/>
      <c r="QY46" s="134"/>
      <c r="QZ46" s="122"/>
      <c r="RA46" s="330">
        <f>+'Res de Costos Pais'!$G$109</f>
        <v>9.6600000000000002E-3</v>
      </c>
      <c r="RB46" s="319">
        <f t="shared" ref="RB46" si="600">+RB43*RA46</f>
        <v>2871744.0815742975</v>
      </c>
      <c r="RG46" s="928">
        <f>+IF(RB46=0,0,RB46/RB$72)</f>
        <v>9.2084306509429576E-3</v>
      </c>
      <c r="RJ46" s="1179" t="s">
        <v>1302</v>
      </c>
      <c r="RK46" s="641" t="s">
        <v>1565</v>
      </c>
      <c r="RL46" s="313"/>
      <c r="RM46" s="134"/>
      <c r="RN46" s="122"/>
      <c r="RO46" s="330">
        <f>+'Res de Costos Pais'!$G$109</f>
        <v>9.6600000000000002E-3</v>
      </c>
      <c r="RP46" s="319">
        <f t="shared" ref="RP46" si="601">+RP43*RO46</f>
        <v>544723.04767134995</v>
      </c>
      <c r="RU46" s="928">
        <f>+IF(RP46=0,0,RP46/RP$72)</f>
        <v>9.2159018257272282E-3</v>
      </c>
      <c r="RX46" s="1179" t="s">
        <v>1302</v>
      </c>
      <c r="RY46" s="641" t="s">
        <v>1565</v>
      </c>
      <c r="RZ46" s="313"/>
      <c r="SA46" s="134"/>
      <c r="SB46" s="122"/>
      <c r="SC46" s="330">
        <f>+'Res de Costos Pais'!$G$109</f>
        <v>9.6600000000000002E-3</v>
      </c>
      <c r="SD46" s="319">
        <f t="shared" ref="SD46" si="602">+SD43*SC46</f>
        <v>1675184.047585007</v>
      </c>
      <c r="SI46" s="928">
        <f>+IF(SD46=0,0,SD46/SD$72)</f>
        <v>9.2084306509429559E-3</v>
      </c>
      <c r="SL46" s="1179" t="s">
        <v>1302</v>
      </c>
      <c r="SM46" s="641" t="s">
        <v>1565</v>
      </c>
      <c r="SN46" s="313"/>
      <c r="SO46" s="134"/>
      <c r="SP46" s="122"/>
      <c r="SQ46" s="330">
        <f>+'Res de Costos Pais'!$G$109</f>
        <v>9.6600000000000002E-3</v>
      </c>
      <c r="SR46" s="319">
        <f t="shared" ref="SR46" si="603">+SR43*SQ46</f>
        <v>0</v>
      </c>
      <c r="SW46" s="928">
        <f>+IF(SR46=0,0,SR46/SR$72)</f>
        <v>0</v>
      </c>
      <c r="SZ46" s="1179" t="s">
        <v>1302</v>
      </c>
      <c r="TA46" s="641" t="s">
        <v>1565</v>
      </c>
      <c r="TB46" s="313"/>
      <c r="TC46" s="134"/>
      <c r="TD46" s="122"/>
      <c r="TE46" s="330">
        <f>+'Res de Costos Pais'!$G$109</f>
        <v>9.6600000000000002E-3</v>
      </c>
      <c r="TF46" s="733">
        <f t="shared" ref="TF46" si="604">+TF43*TE46</f>
        <v>43077312.08314728</v>
      </c>
      <c r="TK46" s="928">
        <f>+IF(TF46=0,0,TF46/TF$72)</f>
        <v>9.167601798900438E-3</v>
      </c>
      <c r="TM46" s="937"/>
      <c r="TN46" s="725"/>
    </row>
    <row r="47" spans="1:534" ht="18.75" customHeight="1" thickBot="1">
      <c r="B47" s="1180"/>
      <c r="C47" s="642" t="s">
        <v>1284</v>
      </c>
      <c r="D47" s="314"/>
      <c r="E47" s="109"/>
      <c r="F47" s="324"/>
      <c r="G47" s="331">
        <f>+'Res de Costos Pais'!$G$110</f>
        <v>0</v>
      </c>
      <c r="H47" s="325">
        <f>+H43*G47</f>
        <v>0</v>
      </c>
      <c r="M47" s="929">
        <f>+IF(H47=0,0,H47/H$72)</f>
        <v>0</v>
      </c>
      <c r="P47" s="1180"/>
      <c r="Q47" s="642"/>
      <c r="R47" s="314"/>
      <c r="S47" s="109"/>
      <c r="T47" s="324"/>
      <c r="U47" s="331"/>
      <c r="V47" s="325"/>
      <c r="AA47" s="929"/>
      <c r="AD47" s="1180"/>
      <c r="AE47" s="642"/>
      <c r="AF47" s="314"/>
      <c r="AG47" s="109"/>
      <c r="AH47" s="324"/>
      <c r="AI47" s="331"/>
      <c r="AJ47" s="325"/>
      <c r="AO47" s="929"/>
      <c r="AR47" s="1180"/>
      <c r="AS47" s="642" t="s">
        <v>1284</v>
      </c>
      <c r="AT47" s="314"/>
      <c r="AU47" s="109"/>
      <c r="AV47" s="324"/>
      <c r="AW47" s="331">
        <f>+'Res de Costos Pais'!$G$110</f>
        <v>0</v>
      </c>
      <c r="AX47" s="325">
        <f t="shared" ref="AX47" si="605">+AX43*AW47</f>
        <v>0</v>
      </c>
      <c r="BC47" s="929">
        <f>+IF(AX47=0,0,AX47/AX$72)</f>
        <v>0</v>
      </c>
      <c r="BF47" s="1180"/>
      <c r="BG47" s="642" t="s">
        <v>1284</v>
      </c>
      <c r="BH47" s="314"/>
      <c r="BI47" s="109"/>
      <c r="BJ47" s="324"/>
      <c r="BK47" s="331">
        <f>+'Res de Costos Pais'!$G$110</f>
        <v>0</v>
      </c>
      <c r="BL47" s="325">
        <f t="shared" ref="BL47" si="606">+BL43*BK47</f>
        <v>0</v>
      </c>
      <c r="BQ47" s="929">
        <f>+IF(BL47=0,0,BL47/BL$72)</f>
        <v>0</v>
      </c>
      <c r="BT47" s="1180"/>
      <c r="BU47" s="642" t="s">
        <v>1284</v>
      </c>
      <c r="BV47" s="314"/>
      <c r="BW47" s="109"/>
      <c r="BX47" s="324"/>
      <c r="BY47" s="331">
        <f>+'Res de Costos Pais'!$G$110</f>
        <v>0</v>
      </c>
      <c r="BZ47" s="325">
        <f t="shared" ref="BZ47" si="607">+BZ43*BY47</f>
        <v>0</v>
      </c>
      <c r="CE47" s="929">
        <f>+IF(BZ47=0,0,BZ47/BZ$72)</f>
        <v>0</v>
      </c>
      <c r="CH47" s="1180"/>
      <c r="CI47" s="642" t="s">
        <v>1284</v>
      </c>
      <c r="CJ47" s="314"/>
      <c r="CK47" s="109"/>
      <c r="CL47" s="324"/>
      <c r="CM47" s="331">
        <f>+'Res de Costos Pais'!$G$110</f>
        <v>0</v>
      </c>
      <c r="CN47" s="325">
        <f t="shared" ref="CN47" si="608">+CN43*CM47</f>
        <v>0</v>
      </c>
      <c r="CS47" s="929">
        <f>+IF(CN47=0,0,CN47/CN$72)</f>
        <v>0</v>
      </c>
      <c r="CV47" s="1180"/>
      <c r="CW47" s="642" t="s">
        <v>1284</v>
      </c>
      <c r="CX47" s="314"/>
      <c r="CY47" s="109"/>
      <c r="CZ47" s="324"/>
      <c r="DA47" s="331">
        <f>+'Res de Costos Pais'!$G$110</f>
        <v>0</v>
      </c>
      <c r="DB47" s="325">
        <f t="shared" ref="DB47" si="609">+DB43*DA47</f>
        <v>0</v>
      </c>
      <c r="DG47" s="929">
        <f>+IF(DB47=0,0,DB47/DB$72)</f>
        <v>0</v>
      </c>
      <c r="DJ47" s="1180"/>
      <c r="DK47" s="642" t="s">
        <v>1284</v>
      </c>
      <c r="DL47" s="314"/>
      <c r="DM47" s="109"/>
      <c r="DN47" s="324"/>
      <c r="DO47" s="331">
        <f>+'Res de Costos Pais'!$G$110</f>
        <v>0</v>
      </c>
      <c r="DP47" s="325">
        <f t="shared" ref="DP47" si="610">+DP43*DO47</f>
        <v>0</v>
      </c>
      <c r="DU47" s="929">
        <f>+IF(DP47=0,0,DP47/DP$72)</f>
        <v>0</v>
      </c>
      <c r="DX47" s="1180"/>
      <c r="DY47" s="642" t="s">
        <v>1284</v>
      </c>
      <c r="DZ47" s="314"/>
      <c r="EA47" s="109"/>
      <c r="EB47" s="324"/>
      <c r="EC47" s="331">
        <f>+'Res de Costos Pais'!$G$110</f>
        <v>0</v>
      </c>
      <c r="ED47" s="325">
        <f t="shared" ref="ED47" si="611">+ED43*EC47</f>
        <v>0</v>
      </c>
      <c r="EI47" s="929">
        <f>+IF(ED47=0,0,ED47/ED$72)</f>
        <v>0</v>
      </c>
      <c r="EL47" s="1180"/>
      <c r="EM47" s="642" t="s">
        <v>1284</v>
      </c>
      <c r="EN47" s="314"/>
      <c r="EO47" s="109"/>
      <c r="EP47" s="324"/>
      <c r="EQ47" s="331">
        <f>+'Res de Costos Pais'!$G$110</f>
        <v>0</v>
      </c>
      <c r="ER47" s="325">
        <f t="shared" ref="ER47" si="612">+ER43*EQ47</f>
        <v>0</v>
      </c>
      <c r="ES47" s="929">
        <f>+IF(EN47=0,0,EN47/EN$72)</f>
        <v>0</v>
      </c>
      <c r="EW47" s="929">
        <f>+IF(ER47=0,0,ER47/ER$72)</f>
        <v>0</v>
      </c>
      <c r="EZ47" s="1180"/>
      <c r="FA47" s="642" t="s">
        <v>1284</v>
      </c>
      <c r="FB47" s="314"/>
      <c r="FC47" s="109"/>
      <c r="FD47" s="324"/>
      <c r="FE47" s="331">
        <f>+'Res de Costos Pais'!$G$110</f>
        <v>0</v>
      </c>
      <c r="FF47" s="325">
        <f t="shared" ref="FF47" si="613">+FF43*FE47</f>
        <v>0</v>
      </c>
      <c r="FK47" s="929">
        <f>+IF(FF47=0,0,FF47/FF$72)</f>
        <v>0</v>
      </c>
      <c r="FN47" s="1180"/>
      <c r="FO47" s="642" t="s">
        <v>1284</v>
      </c>
      <c r="FP47" s="314"/>
      <c r="FQ47" s="109"/>
      <c r="FR47" s="324"/>
      <c r="FS47" s="331">
        <f>+'Res de Costos Pais'!$G$110</f>
        <v>0</v>
      </c>
      <c r="FT47" s="325">
        <f t="shared" ref="FT47" si="614">+FT43*FS47</f>
        <v>0</v>
      </c>
      <c r="FY47" s="929">
        <f>+IF(FT47=0,0,FT47/FT$72)</f>
        <v>0</v>
      </c>
      <c r="GB47" s="1180"/>
      <c r="GC47" s="642" t="s">
        <v>1284</v>
      </c>
      <c r="GD47" s="314"/>
      <c r="GE47" s="109"/>
      <c r="GF47" s="324"/>
      <c r="GG47" s="331">
        <f>+'Res de Costos Pais'!$G$110</f>
        <v>0</v>
      </c>
      <c r="GH47" s="325">
        <f t="shared" ref="GH47" si="615">+GH43*GG47</f>
        <v>0</v>
      </c>
      <c r="GM47" s="929">
        <f>+IF(GH47=0,0,GH47/GH$72)</f>
        <v>0</v>
      </c>
      <c r="GP47" s="1180"/>
      <c r="GQ47" s="642" t="s">
        <v>1284</v>
      </c>
      <c r="GR47" s="314"/>
      <c r="GS47" s="109"/>
      <c r="GT47" s="324"/>
      <c r="GU47" s="331">
        <f>+'Res de Costos Pais'!$G$110</f>
        <v>0</v>
      </c>
      <c r="GV47" s="325">
        <f t="shared" ref="GV47" si="616">+GV43*GU47</f>
        <v>0</v>
      </c>
      <c r="HA47" s="929">
        <f>+IF(GV47=0,0,GV47/GV$72)</f>
        <v>0</v>
      </c>
      <c r="HD47" s="1180"/>
      <c r="HE47" s="642" t="s">
        <v>1284</v>
      </c>
      <c r="HF47" s="314"/>
      <c r="HG47" s="109"/>
      <c r="HH47" s="324"/>
      <c r="HI47" s="331">
        <f>+'Res de Costos Pais'!$G$110</f>
        <v>0</v>
      </c>
      <c r="HJ47" s="325">
        <f t="shared" ref="HJ47" si="617">+HJ43*HI47</f>
        <v>0</v>
      </c>
      <c r="HO47" s="929">
        <f>+IF(HJ47=0,0,HJ47/HJ$72)</f>
        <v>0</v>
      </c>
      <c r="HR47" s="1180"/>
      <c r="HS47" s="642" t="s">
        <v>1284</v>
      </c>
      <c r="HT47" s="314"/>
      <c r="HU47" s="109"/>
      <c r="HV47" s="324"/>
      <c r="HW47" s="331">
        <f>+'Res de Costos Pais'!$G$110</f>
        <v>0</v>
      </c>
      <c r="HX47" s="325">
        <f t="shared" ref="HX47" si="618">+HX43*HW47</f>
        <v>0</v>
      </c>
      <c r="HY47" s="929">
        <f t="shared" si="585"/>
        <v>0</v>
      </c>
      <c r="IC47" s="929">
        <f>+IF(HX47=0,0,HX47/HX$72)</f>
        <v>0</v>
      </c>
      <c r="IF47" s="1180"/>
      <c r="IG47" s="642"/>
      <c r="IH47" s="314"/>
      <c r="II47" s="109"/>
      <c r="IJ47" s="324"/>
      <c r="IK47" s="331"/>
      <c r="IL47" s="325"/>
      <c r="IQ47" s="929"/>
      <c r="IT47" s="1180"/>
      <c r="IU47" s="642"/>
      <c r="IV47" s="314"/>
      <c r="IW47" s="109"/>
      <c r="IX47" s="324"/>
      <c r="IY47" s="331"/>
      <c r="IZ47" s="325"/>
      <c r="JE47" s="929"/>
      <c r="JH47" s="1180"/>
      <c r="JI47" s="642" t="s">
        <v>1284</v>
      </c>
      <c r="JJ47" s="314"/>
      <c r="JK47" s="109"/>
      <c r="JL47" s="324"/>
      <c r="JM47" s="331">
        <f>+'Res de Costos Pais'!$G$110</f>
        <v>0</v>
      </c>
      <c r="JN47" s="325">
        <f t="shared" ref="JN47" si="619">+JN43*JM47</f>
        <v>0</v>
      </c>
      <c r="JS47" s="929">
        <f>+IF(JN47=0,0,JN47/JN$72)</f>
        <v>0</v>
      </c>
      <c r="JV47" s="1180"/>
      <c r="JW47" s="642" t="s">
        <v>1284</v>
      </c>
      <c r="JX47" s="314"/>
      <c r="JY47" s="109"/>
      <c r="JZ47" s="324"/>
      <c r="KA47" s="331">
        <f>+'Res de Costos Pais'!$G$110</f>
        <v>0</v>
      </c>
      <c r="KB47" s="325">
        <f t="shared" ref="KB47" si="620">+KB43*KA47</f>
        <v>0</v>
      </c>
      <c r="KG47" s="929">
        <f>+IF(KB47=0,0,KB47/KB$72)</f>
        <v>0</v>
      </c>
      <c r="KJ47" s="1180"/>
      <c r="KK47" s="642" t="s">
        <v>1284</v>
      </c>
      <c r="KL47" s="314"/>
      <c r="KM47" s="109"/>
      <c r="KN47" s="324"/>
      <c r="KO47" s="331">
        <f>+'Res de Costos Pais'!$G$110</f>
        <v>0</v>
      </c>
      <c r="KP47" s="325">
        <f t="shared" ref="KP47" si="621">+KP43*KO47</f>
        <v>0</v>
      </c>
      <c r="KU47" s="929">
        <f>+IF(KP47=0,0,KP47/KP$72)</f>
        <v>0</v>
      </c>
      <c r="KX47" s="1180"/>
      <c r="KY47" s="642" t="s">
        <v>1284</v>
      </c>
      <c r="KZ47" s="314"/>
      <c r="LA47" s="109"/>
      <c r="LB47" s="324"/>
      <c r="LC47" s="331">
        <f>+'Res de Costos Pais'!$G$110</f>
        <v>0</v>
      </c>
      <c r="LD47" s="325">
        <f t="shared" ref="LD47" si="622">+LD43*LC47</f>
        <v>0</v>
      </c>
      <c r="LI47" s="929">
        <f>+IF(LD47=0,0,LD47/LD$72)</f>
        <v>0</v>
      </c>
      <c r="LL47" s="1180"/>
      <c r="LM47" s="642" t="s">
        <v>1284</v>
      </c>
      <c r="LN47" s="314"/>
      <c r="LO47" s="109"/>
      <c r="LP47" s="324"/>
      <c r="LQ47" s="331">
        <f>+'Res de Costos Pais'!$G$110</f>
        <v>0</v>
      </c>
      <c r="LR47" s="325">
        <f t="shared" ref="LR47" si="623">+LR43*LQ47</f>
        <v>0</v>
      </c>
      <c r="LW47" s="929">
        <f>+IF(LR47=0,0,LR47/LR$72)</f>
        <v>0</v>
      </c>
      <c r="LZ47" s="1180"/>
      <c r="MA47" s="642" t="s">
        <v>1284</v>
      </c>
      <c r="MB47" s="314"/>
      <c r="MC47" s="109"/>
      <c r="MD47" s="324"/>
      <c r="ME47" s="331">
        <f>+'Res de Costos Pais'!$G$110</f>
        <v>0</v>
      </c>
      <c r="MF47" s="325">
        <f t="shared" ref="MF47" si="624">+MF43*ME47</f>
        <v>0</v>
      </c>
      <c r="MK47" s="929">
        <f>+IF(MF47=0,0,MF47/MF$72)</f>
        <v>0</v>
      </c>
      <c r="MN47" s="1180"/>
      <c r="MO47" s="642" t="s">
        <v>1284</v>
      </c>
      <c r="MP47" s="314"/>
      <c r="MQ47" s="109"/>
      <c r="MR47" s="324"/>
      <c r="MS47" s="331">
        <f>+'Res de Costos Pais'!$G$110</f>
        <v>0</v>
      </c>
      <c r="MT47" s="325">
        <f t="shared" ref="MT47" si="625">+MT43*MS47</f>
        <v>0</v>
      </c>
      <c r="MY47" s="929">
        <f>+IF(MT47=0,0,MT47/MT$72)</f>
        <v>0</v>
      </c>
      <c r="NB47" s="1180"/>
      <c r="NC47" s="642" t="s">
        <v>1284</v>
      </c>
      <c r="ND47" s="314"/>
      <c r="NE47" s="109"/>
      <c r="NF47" s="324"/>
      <c r="NG47" s="331">
        <f>+'Res de Costos Pais'!$G$110</f>
        <v>0</v>
      </c>
      <c r="NH47" s="325">
        <f t="shared" ref="NH47" si="626">+NH43*NG47</f>
        <v>0</v>
      </c>
      <c r="NM47" s="929">
        <f>+IF(NH47=0,0,NH47/NH$72)</f>
        <v>0</v>
      </c>
      <c r="NP47" s="1180"/>
      <c r="NQ47" s="642" t="s">
        <v>1284</v>
      </c>
      <c r="NR47" s="314"/>
      <c r="NS47" s="109"/>
      <c r="NT47" s="324"/>
      <c r="NU47" s="331">
        <f>+'Res de Costos Pais'!$G$110</f>
        <v>0</v>
      </c>
      <c r="NV47" s="325">
        <f t="shared" ref="NV47" si="627">+NV43*NU47</f>
        <v>0</v>
      </c>
      <c r="OA47" s="929">
        <f>+IF(NV47=0,0,NV47/NV$72)</f>
        <v>0</v>
      </c>
      <c r="OD47" s="1180"/>
      <c r="OE47" s="642" t="s">
        <v>1284</v>
      </c>
      <c r="OF47" s="314"/>
      <c r="OG47" s="109"/>
      <c r="OH47" s="324"/>
      <c r="OI47" s="331">
        <f>+'Res de Costos Pais'!$G$110</f>
        <v>0</v>
      </c>
      <c r="OJ47" s="325">
        <f t="shared" ref="OJ47" si="628">+OJ43*OI47</f>
        <v>0</v>
      </c>
      <c r="OO47" s="929">
        <f>+IF(OJ47=0,0,OJ47/OJ$72)</f>
        <v>0</v>
      </c>
      <c r="OR47" s="1180"/>
      <c r="OS47" s="642" t="s">
        <v>1284</v>
      </c>
      <c r="OT47" s="314"/>
      <c r="OU47" s="109"/>
      <c r="OV47" s="324"/>
      <c r="OW47" s="331">
        <f>+'Res de Costos Pais'!$G$110</f>
        <v>0</v>
      </c>
      <c r="OX47" s="325">
        <f t="shared" ref="OX47" si="629">+OX43*OW47</f>
        <v>0</v>
      </c>
      <c r="PC47" s="929">
        <f>+IF(OX47=0,0,OX47/OX$72)</f>
        <v>0</v>
      </c>
      <c r="PF47" s="1180"/>
      <c r="PG47" s="642" t="s">
        <v>1284</v>
      </c>
      <c r="PH47" s="314"/>
      <c r="PI47" s="109"/>
      <c r="PJ47" s="324"/>
      <c r="PK47" s="331">
        <f>+'Res de Costos Pais'!$G$110</f>
        <v>0</v>
      </c>
      <c r="PL47" s="325">
        <f t="shared" ref="PL47" si="630">+PL43*PK47</f>
        <v>0</v>
      </c>
      <c r="PQ47" s="929">
        <f>+IF(PL47=0,0,PL47/PL$72)</f>
        <v>0</v>
      </c>
      <c r="PT47" s="1180"/>
      <c r="PU47" s="642" t="s">
        <v>1284</v>
      </c>
      <c r="PV47" s="314"/>
      <c r="PW47" s="109"/>
      <c r="PX47" s="324"/>
      <c r="PY47" s="331">
        <f>+'Res de Costos Pais'!$G$110</f>
        <v>0</v>
      </c>
      <c r="PZ47" s="325">
        <f t="shared" ref="PZ47" si="631">+PZ43*PY47</f>
        <v>0</v>
      </c>
      <c r="QE47" s="929">
        <f>+IF(PZ47=0,0,PZ47/PZ$72)</f>
        <v>0</v>
      </c>
      <c r="QH47" s="1180"/>
      <c r="QI47" s="642" t="s">
        <v>1284</v>
      </c>
      <c r="QJ47" s="314"/>
      <c r="QK47" s="109"/>
      <c r="QL47" s="324"/>
      <c r="QM47" s="331">
        <f>+'Res de Costos Pais'!$G$110</f>
        <v>0</v>
      </c>
      <c r="QN47" s="325">
        <f t="shared" ref="QN47" si="632">+QN43*QM47</f>
        <v>0</v>
      </c>
      <c r="QS47" s="929">
        <f>+IF(QN47=0,0,QN47/QN$72)</f>
        <v>0</v>
      </c>
      <c r="QV47" s="1180"/>
      <c r="QW47" s="642" t="s">
        <v>1284</v>
      </c>
      <c r="QX47" s="314"/>
      <c r="QY47" s="109"/>
      <c r="QZ47" s="324"/>
      <c r="RA47" s="331">
        <f>+'Res de Costos Pais'!$G$110</f>
        <v>0</v>
      </c>
      <c r="RB47" s="325">
        <f t="shared" ref="RB47" si="633">+RB43*RA47</f>
        <v>0</v>
      </c>
      <c r="RG47" s="929">
        <f>+IF(RB47=0,0,RB47/RB$72)</f>
        <v>0</v>
      </c>
      <c r="RJ47" s="1180"/>
      <c r="RK47" s="642" t="s">
        <v>1284</v>
      </c>
      <c r="RL47" s="314"/>
      <c r="RM47" s="109"/>
      <c r="RN47" s="324"/>
      <c r="RO47" s="331">
        <f>+'Res de Costos Pais'!$G$110</f>
        <v>0</v>
      </c>
      <c r="RP47" s="325">
        <f t="shared" ref="RP47" si="634">+RP43*RO47</f>
        <v>0</v>
      </c>
      <c r="RU47" s="929">
        <f>+IF(RP47=0,0,RP47/RP$72)</f>
        <v>0</v>
      </c>
      <c r="RX47" s="1180"/>
      <c r="RY47" s="642" t="s">
        <v>1284</v>
      </c>
      <c r="RZ47" s="314"/>
      <c r="SA47" s="109"/>
      <c r="SB47" s="324"/>
      <c r="SC47" s="331">
        <f>+'Res de Costos Pais'!$G$110</f>
        <v>0</v>
      </c>
      <c r="SD47" s="325">
        <f t="shared" ref="SD47" si="635">+SD43*SC47</f>
        <v>0</v>
      </c>
      <c r="SI47" s="929">
        <f>+IF(SD47=0,0,SD47/SD$72)</f>
        <v>0</v>
      </c>
      <c r="SL47" s="1180"/>
      <c r="SM47" s="642" t="s">
        <v>1284</v>
      </c>
      <c r="SN47" s="314"/>
      <c r="SO47" s="109"/>
      <c r="SP47" s="324"/>
      <c r="SQ47" s="331">
        <f>+'Res de Costos Pais'!$G$110</f>
        <v>0</v>
      </c>
      <c r="SR47" s="325">
        <f t="shared" ref="SR47" si="636">+SR43*SQ47</f>
        <v>0</v>
      </c>
      <c r="SW47" s="929">
        <f>+IF(SR47=0,0,SR47/SR$72)</f>
        <v>0</v>
      </c>
      <c r="SZ47" s="1180"/>
      <c r="TA47" s="642" t="s">
        <v>1284</v>
      </c>
      <c r="TB47" s="314"/>
      <c r="TC47" s="109"/>
      <c r="TD47" s="324"/>
      <c r="TE47" s="331">
        <f>+'Res de Costos Pais'!$G$110</f>
        <v>0</v>
      </c>
      <c r="TF47" s="734">
        <f t="shared" ref="TF47" si="637">+TF43*TE47</f>
        <v>0</v>
      </c>
      <c r="TK47" s="929">
        <f>+IF(TF47=0,0,TF47/TF$72)</f>
        <v>0</v>
      </c>
      <c r="TM47" s="937"/>
      <c r="TN47" s="725"/>
    </row>
    <row r="48" spans="1:534" ht="18" customHeight="1" thickBot="1">
      <c r="B48" s="676" t="s">
        <v>1303</v>
      </c>
      <c r="C48" s="117"/>
      <c r="D48" s="117"/>
      <c r="E48" s="117"/>
      <c r="F48" s="117"/>
      <c r="G48" s="117"/>
      <c r="H48" s="233">
        <f>+H46+H47</f>
        <v>1684359.9354836913</v>
      </c>
      <c r="I48" s="119"/>
      <c r="M48" s="930">
        <f>SUM(M46:M47)</f>
        <v>9.1479802570555886E-3</v>
      </c>
      <c r="P48" s="676"/>
      <c r="Q48" s="117"/>
      <c r="R48" s="117"/>
      <c r="S48" s="117"/>
      <c r="T48" s="117"/>
      <c r="U48" s="117"/>
      <c r="V48" s="233"/>
      <c r="W48" s="119"/>
      <c r="AA48" s="930"/>
      <c r="AD48" s="676"/>
      <c r="AE48" s="117"/>
      <c r="AF48" s="117"/>
      <c r="AG48" s="117"/>
      <c r="AH48" s="117"/>
      <c r="AI48" s="117"/>
      <c r="AJ48" s="233"/>
      <c r="AK48" s="119"/>
      <c r="AO48" s="930"/>
      <c r="AR48" s="676" t="s">
        <v>1303</v>
      </c>
      <c r="AS48" s="117"/>
      <c r="AT48" s="117"/>
      <c r="AU48" s="117"/>
      <c r="AV48" s="117"/>
      <c r="AW48" s="117"/>
      <c r="AX48" s="233">
        <f t="shared" ref="AX48" si="638">+AX46+AX47</f>
        <v>0</v>
      </c>
      <c r="AY48" s="119"/>
      <c r="BC48" s="930">
        <f>SUM(BC46:BC47)</f>
        <v>0</v>
      </c>
      <c r="BF48" s="676" t="s">
        <v>1303</v>
      </c>
      <c r="BG48" s="117"/>
      <c r="BH48" s="117"/>
      <c r="BI48" s="117"/>
      <c r="BJ48" s="117"/>
      <c r="BK48" s="117"/>
      <c r="BL48" s="233">
        <f t="shared" ref="BL48" si="639">+BL46+BL47</f>
        <v>4257105.4989917669</v>
      </c>
      <c r="BM48" s="119"/>
      <c r="BQ48" s="930">
        <f>SUM(BQ46:BQ47)</f>
        <v>9.1458784545127344E-3</v>
      </c>
      <c r="BT48" s="676" t="s">
        <v>1303</v>
      </c>
      <c r="BU48" s="117"/>
      <c r="BV48" s="117"/>
      <c r="BW48" s="117"/>
      <c r="BX48" s="117"/>
      <c r="BY48" s="117"/>
      <c r="BZ48" s="233">
        <f t="shared" ref="BZ48:ED48" si="640">+BZ46+BZ47</f>
        <v>0</v>
      </c>
      <c r="CA48" s="119"/>
      <c r="CE48" s="930">
        <f>SUM(CE46:CE47)</f>
        <v>0</v>
      </c>
      <c r="CH48" s="676" t="s">
        <v>1303</v>
      </c>
      <c r="CI48" s="117"/>
      <c r="CJ48" s="117"/>
      <c r="CK48" s="117"/>
      <c r="CL48" s="117"/>
      <c r="CM48" s="117"/>
      <c r="CN48" s="233">
        <f t="shared" si="640"/>
        <v>236106.97506934439</v>
      </c>
      <c r="CO48" s="119"/>
      <c r="CS48" s="930">
        <f>SUM(CS46:CS47)</f>
        <v>9.1456709729027964E-3</v>
      </c>
      <c r="CV48" s="676" t="s">
        <v>1303</v>
      </c>
      <c r="CW48" s="117"/>
      <c r="CX48" s="117"/>
      <c r="CY48" s="117"/>
      <c r="CZ48" s="117"/>
      <c r="DA48" s="117"/>
      <c r="DB48" s="233">
        <f t="shared" si="640"/>
        <v>3406378.6222568471</v>
      </c>
      <c r="DC48" s="119"/>
      <c r="DG48" s="930">
        <f>SUM(DG46:DG47)</f>
        <v>9.1578570134841688E-3</v>
      </c>
      <c r="DJ48" s="676" t="s">
        <v>1303</v>
      </c>
      <c r="DK48" s="117"/>
      <c r="DL48" s="117"/>
      <c r="DM48" s="117"/>
      <c r="DN48" s="117"/>
      <c r="DO48" s="117"/>
      <c r="DP48" s="233">
        <f t="shared" si="640"/>
        <v>266256.10749256681</v>
      </c>
      <c r="DQ48" s="119"/>
      <c r="DU48" s="930">
        <f>SUM(DU46:DU47)</f>
        <v>9.1596218044990817E-3</v>
      </c>
      <c r="DX48" s="676" t="s">
        <v>1303</v>
      </c>
      <c r="DY48" s="117"/>
      <c r="DZ48" s="117"/>
      <c r="EA48" s="117"/>
      <c r="EB48" s="117"/>
      <c r="EC48" s="117"/>
      <c r="ED48" s="233">
        <f t="shared" si="640"/>
        <v>1252251.75517929</v>
      </c>
      <c r="EE48" s="119"/>
      <c r="EI48" s="930">
        <f>SUM(EI46:EI47)</f>
        <v>9.1527215928116253E-3</v>
      </c>
      <c r="EL48" s="676" t="s">
        <v>1303</v>
      </c>
      <c r="EM48" s="117"/>
      <c r="EN48" s="117"/>
      <c r="EO48" s="117"/>
      <c r="EP48" s="117"/>
      <c r="EQ48" s="117"/>
      <c r="ER48" s="233">
        <f t="shared" ref="ER48:GV48" si="641">+ER46+ER47</f>
        <v>2128552.7494958835</v>
      </c>
      <c r="ES48" s="930">
        <f>SUM(ES46:ES47)</f>
        <v>0</v>
      </c>
      <c r="EW48" s="930">
        <f>SUM(EW46:EW47)</f>
        <v>9.1458784545127344E-3</v>
      </c>
      <c r="EZ48" s="676" t="s">
        <v>1303</v>
      </c>
      <c r="FA48" s="117"/>
      <c r="FB48" s="117"/>
      <c r="FC48" s="117"/>
      <c r="FD48" s="117"/>
      <c r="FE48" s="117"/>
      <c r="FF48" s="233">
        <f t="shared" si="641"/>
        <v>0</v>
      </c>
      <c r="FG48" s="119"/>
      <c r="FK48" s="930">
        <f>SUM(FK46:FK47)</f>
        <v>0</v>
      </c>
      <c r="FN48" s="676" t="s">
        <v>1303</v>
      </c>
      <c r="FO48" s="117"/>
      <c r="FP48" s="117"/>
      <c r="FQ48" s="117"/>
      <c r="FR48" s="117"/>
      <c r="FS48" s="117"/>
      <c r="FT48" s="233">
        <f t="shared" si="641"/>
        <v>2919105.5039276802</v>
      </c>
      <c r="FU48" s="119"/>
      <c r="FY48" s="930">
        <f>SUM(FY46:FY47)</f>
        <v>9.204387069307032E-3</v>
      </c>
      <c r="GB48" s="676" t="s">
        <v>1303</v>
      </c>
      <c r="GC48" s="117"/>
      <c r="GD48" s="117"/>
      <c r="GE48" s="117"/>
      <c r="GF48" s="117"/>
      <c r="GG48" s="117"/>
      <c r="GH48" s="233">
        <f t="shared" si="641"/>
        <v>1379305.8076691083</v>
      </c>
      <c r="GI48" s="119"/>
      <c r="GM48" s="930">
        <f>SUM(GM46:GM47)</f>
        <v>9.1423422893450457E-3</v>
      </c>
      <c r="GP48" s="676" t="s">
        <v>1303</v>
      </c>
      <c r="GQ48" s="117"/>
      <c r="GR48" s="117"/>
      <c r="GS48" s="117"/>
      <c r="GT48" s="117"/>
      <c r="GU48" s="117"/>
      <c r="GV48" s="233">
        <f t="shared" si="641"/>
        <v>0</v>
      </c>
      <c r="GW48" s="119"/>
      <c r="HA48" s="930">
        <f>SUM(HA46:HA47)</f>
        <v>0</v>
      </c>
      <c r="HD48" s="676" t="s">
        <v>1303</v>
      </c>
      <c r="HE48" s="117"/>
      <c r="HF48" s="117"/>
      <c r="HG48" s="117"/>
      <c r="HH48" s="117"/>
      <c r="HI48" s="117"/>
      <c r="HJ48" s="233">
        <f t="shared" ref="HJ48:KB48" si="642">+HJ46+HJ47</f>
        <v>709517.58316529449</v>
      </c>
      <c r="HK48" s="119"/>
      <c r="HO48" s="930">
        <f>SUM(HO46:HO47)</f>
        <v>9.1458784545127379E-3</v>
      </c>
      <c r="HR48" s="676" t="s">
        <v>1303</v>
      </c>
      <c r="HS48" s="117"/>
      <c r="HT48" s="117"/>
      <c r="HU48" s="117"/>
      <c r="HV48" s="117"/>
      <c r="HW48" s="117"/>
      <c r="HX48" s="233">
        <f t="shared" si="642"/>
        <v>2706588.9356217929</v>
      </c>
      <c r="HY48" s="930">
        <f>SUM(HY46:HY47)</f>
        <v>0</v>
      </c>
      <c r="IC48" s="930">
        <f>SUM(IC46:IC47)</f>
        <v>9.1506465399314885E-3</v>
      </c>
      <c r="IF48" s="676"/>
      <c r="IG48" s="117"/>
      <c r="IH48" s="117"/>
      <c r="II48" s="117"/>
      <c r="IJ48" s="117"/>
      <c r="IK48" s="117"/>
      <c r="IL48" s="233"/>
      <c r="IM48" s="119"/>
      <c r="IQ48" s="930"/>
      <c r="IT48" s="676"/>
      <c r="IU48" s="117"/>
      <c r="IV48" s="117"/>
      <c r="IW48" s="117"/>
      <c r="IX48" s="117"/>
      <c r="IY48" s="117"/>
      <c r="IZ48" s="233"/>
      <c r="JA48" s="119"/>
      <c r="JE48" s="930"/>
      <c r="JH48" s="676" t="s">
        <v>1303</v>
      </c>
      <c r="JI48" s="117"/>
      <c r="JJ48" s="117"/>
      <c r="JK48" s="117"/>
      <c r="JL48" s="117"/>
      <c r="JM48" s="117"/>
      <c r="JN48" s="233">
        <f t="shared" ref="JN48" si="643">+JN46+JN47</f>
        <v>3924650.0031778649</v>
      </c>
      <c r="JO48" s="119"/>
      <c r="JS48" s="930">
        <f>SUM(JS46:JS47)</f>
        <v>9.1576931381354091E-3</v>
      </c>
      <c r="JV48" s="676" t="s">
        <v>1303</v>
      </c>
      <c r="JW48" s="117"/>
      <c r="JX48" s="117"/>
      <c r="JY48" s="117"/>
      <c r="JZ48" s="117"/>
      <c r="KA48" s="117"/>
      <c r="KB48" s="233">
        <f t="shared" si="642"/>
        <v>1613866.1478201193</v>
      </c>
      <c r="KC48" s="119"/>
      <c r="KG48" s="930">
        <f>SUM(KG46:KG47)</f>
        <v>9.1517097239446014E-3</v>
      </c>
      <c r="KJ48" s="676" t="s">
        <v>1303</v>
      </c>
      <c r="KK48" s="117"/>
      <c r="KL48" s="117"/>
      <c r="KM48" s="117"/>
      <c r="KN48" s="117"/>
      <c r="KO48" s="117"/>
      <c r="KP48" s="233">
        <f t="shared" ref="KP48:MT48" si="644">+KP46+KP47</f>
        <v>0</v>
      </c>
      <c r="KQ48" s="119"/>
      <c r="KU48" s="930">
        <f>SUM(KU46:KU47)</f>
        <v>0</v>
      </c>
      <c r="KX48" s="676" t="s">
        <v>1303</v>
      </c>
      <c r="KY48" s="117"/>
      <c r="KZ48" s="117"/>
      <c r="LA48" s="117"/>
      <c r="LB48" s="117"/>
      <c r="LC48" s="117"/>
      <c r="LD48" s="233">
        <f t="shared" si="644"/>
        <v>0</v>
      </c>
      <c r="LE48" s="119"/>
      <c r="LI48" s="930">
        <f>SUM(LI46:LI47)</f>
        <v>0</v>
      </c>
      <c r="LL48" s="676" t="s">
        <v>1303</v>
      </c>
      <c r="LM48" s="117"/>
      <c r="LN48" s="117"/>
      <c r="LO48" s="117"/>
      <c r="LP48" s="117"/>
      <c r="LQ48" s="117"/>
      <c r="LR48" s="233">
        <f t="shared" si="644"/>
        <v>0</v>
      </c>
      <c r="LS48" s="119"/>
      <c r="LW48" s="930">
        <f>SUM(LW46:LW47)</f>
        <v>0</v>
      </c>
      <c r="LZ48" s="676" t="s">
        <v>1303</v>
      </c>
      <c r="MA48" s="117"/>
      <c r="MB48" s="117"/>
      <c r="MC48" s="117"/>
      <c r="MD48" s="117"/>
      <c r="ME48" s="117"/>
      <c r="MF48" s="233">
        <f t="shared" si="644"/>
        <v>1127026.5796613607</v>
      </c>
      <c r="MG48" s="119"/>
      <c r="MK48" s="930">
        <f>SUM(MK46:MK47)</f>
        <v>9.1527215928116235E-3</v>
      </c>
      <c r="MN48" s="676" t="s">
        <v>1303</v>
      </c>
      <c r="MO48" s="117"/>
      <c r="MP48" s="117"/>
      <c r="MQ48" s="117"/>
      <c r="MR48" s="117"/>
      <c r="MS48" s="117"/>
      <c r="MT48" s="233">
        <f t="shared" si="644"/>
        <v>1467343.8854416043</v>
      </c>
      <c r="MU48" s="119"/>
      <c r="MY48" s="930">
        <f>SUM(MY46:MY47)</f>
        <v>9.1499236094365662E-3</v>
      </c>
      <c r="NB48" s="676" t="s">
        <v>1303</v>
      </c>
      <c r="NC48" s="117"/>
      <c r="ND48" s="117"/>
      <c r="NE48" s="117"/>
      <c r="NF48" s="117"/>
      <c r="NG48" s="117"/>
      <c r="NH48" s="233">
        <f t="shared" ref="NH48:PL48" si="645">+NH46+NH47</f>
        <v>1628779.6054354117</v>
      </c>
      <c r="NI48" s="119"/>
      <c r="NM48" s="930">
        <f>SUM(NM46:NM47)</f>
        <v>9.1438610148525511E-3</v>
      </c>
      <c r="NP48" s="676" t="s">
        <v>1303</v>
      </c>
      <c r="NQ48" s="117"/>
      <c r="NR48" s="117"/>
      <c r="NS48" s="117"/>
      <c r="NT48" s="117"/>
      <c r="NU48" s="117"/>
      <c r="NV48" s="233">
        <f t="shared" si="645"/>
        <v>3828992.1087657302</v>
      </c>
      <c r="NW48" s="119"/>
      <c r="OA48" s="930">
        <f>SUM(OA46:OA47)</f>
        <v>9.2084306509429593E-3</v>
      </c>
      <c r="OD48" s="676" t="s">
        <v>1303</v>
      </c>
      <c r="OE48" s="117"/>
      <c r="OF48" s="117"/>
      <c r="OG48" s="117"/>
      <c r="OH48" s="117"/>
      <c r="OI48" s="117"/>
      <c r="OJ48" s="233">
        <f t="shared" si="645"/>
        <v>696342.74763694906</v>
      </c>
      <c r="OK48" s="119"/>
      <c r="OO48" s="930">
        <f>SUM(OO46:OO47)</f>
        <v>9.185437876988032E-3</v>
      </c>
      <c r="OR48" s="676" t="s">
        <v>1303</v>
      </c>
      <c r="OS48" s="117"/>
      <c r="OT48" s="117"/>
      <c r="OU48" s="117"/>
      <c r="OV48" s="117"/>
      <c r="OW48" s="117"/>
      <c r="OX48" s="233">
        <f t="shared" si="645"/>
        <v>2753130.3540243153</v>
      </c>
      <c r="OY48" s="119"/>
      <c r="PC48" s="930">
        <f>SUM(PC46:PC47)</f>
        <v>9.1632227861060192E-3</v>
      </c>
      <c r="PF48" s="676" t="s">
        <v>1303</v>
      </c>
      <c r="PG48" s="117"/>
      <c r="PH48" s="117"/>
      <c r="PI48" s="117"/>
      <c r="PJ48" s="117"/>
      <c r="PK48" s="117"/>
      <c r="PL48" s="233">
        <f t="shared" si="645"/>
        <v>0</v>
      </c>
      <c r="PM48" s="119"/>
      <c r="PQ48" s="930">
        <f>SUM(PQ46:PQ47)</f>
        <v>0</v>
      </c>
      <c r="PT48" s="676" t="s">
        <v>1303</v>
      </c>
      <c r="PU48" s="117"/>
      <c r="PV48" s="117"/>
      <c r="PW48" s="117"/>
      <c r="PX48" s="117"/>
      <c r="PY48" s="117"/>
      <c r="PZ48" s="233">
        <f t="shared" ref="PZ48:SD48" si="646">+PZ46+PZ47</f>
        <v>0</v>
      </c>
      <c r="QA48" s="119"/>
      <c r="QE48" s="930">
        <f>SUM(QE46:QE47)</f>
        <v>0</v>
      </c>
      <c r="QH48" s="676" t="s">
        <v>1303</v>
      </c>
      <c r="QI48" s="117"/>
      <c r="QJ48" s="117"/>
      <c r="QK48" s="117"/>
      <c r="QL48" s="117"/>
      <c r="QM48" s="117"/>
      <c r="QN48" s="233">
        <f t="shared" si="646"/>
        <v>0</v>
      </c>
      <c r="QO48" s="119"/>
      <c r="QS48" s="930">
        <f>SUM(QS46:QS47)</f>
        <v>0</v>
      </c>
      <c r="QV48" s="676" t="s">
        <v>1303</v>
      </c>
      <c r="QW48" s="117"/>
      <c r="QX48" s="117"/>
      <c r="QY48" s="117"/>
      <c r="QZ48" s="117"/>
      <c r="RA48" s="117"/>
      <c r="RB48" s="233">
        <f t="shared" si="646"/>
        <v>2871744.0815742975</v>
      </c>
      <c r="RC48" s="119"/>
      <c r="RG48" s="930">
        <f>SUM(RG46:RG47)</f>
        <v>9.2084306509429576E-3</v>
      </c>
      <c r="RJ48" s="676" t="s">
        <v>1303</v>
      </c>
      <c r="RK48" s="117"/>
      <c r="RL48" s="117"/>
      <c r="RM48" s="117"/>
      <c r="RN48" s="117"/>
      <c r="RO48" s="117"/>
      <c r="RP48" s="233">
        <f t="shared" si="646"/>
        <v>544723.04767134995</v>
      </c>
      <c r="RQ48" s="119"/>
      <c r="RU48" s="930">
        <f>SUM(RU46:RU47)</f>
        <v>9.2159018257272282E-3</v>
      </c>
      <c r="RX48" s="676" t="s">
        <v>1303</v>
      </c>
      <c r="RY48" s="117"/>
      <c r="RZ48" s="117"/>
      <c r="SA48" s="117"/>
      <c r="SB48" s="117"/>
      <c r="SC48" s="117"/>
      <c r="SD48" s="233">
        <f t="shared" si="646"/>
        <v>1675184.047585007</v>
      </c>
      <c r="SE48" s="119"/>
      <c r="SI48" s="930">
        <f>SUM(SI46:SI47)</f>
        <v>9.2084306509429559E-3</v>
      </c>
      <c r="SL48" s="676" t="s">
        <v>1303</v>
      </c>
      <c r="SM48" s="117"/>
      <c r="SN48" s="117"/>
      <c r="SO48" s="117"/>
      <c r="SP48" s="117"/>
      <c r="SQ48" s="117"/>
      <c r="SR48" s="233">
        <f t="shared" ref="SR48" si="647">+SR46+SR47</f>
        <v>0</v>
      </c>
      <c r="SS48" s="119"/>
      <c r="SW48" s="930">
        <f>SUM(SW46:SW47)</f>
        <v>0</v>
      </c>
      <c r="SZ48" s="676" t="s">
        <v>1303</v>
      </c>
      <c r="TA48" s="117"/>
      <c r="TB48" s="117"/>
      <c r="TC48" s="117"/>
      <c r="TD48" s="117"/>
      <c r="TE48" s="117"/>
      <c r="TF48" s="727">
        <f t="shared" ref="TF48" si="648">+TF46+TF47</f>
        <v>43077312.08314728</v>
      </c>
      <c r="TG48" s="119"/>
      <c r="TK48" s="930">
        <f>SUM(TK46:TK47)</f>
        <v>9.167601798900438E-3</v>
      </c>
      <c r="TM48" s="939"/>
      <c r="TN48" s="726"/>
    </row>
    <row r="49" spans="2:534" ht="18.75" customHeight="1" thickBot="1">
      <c r="B49" s="326"/>
      <c r="C49" s="314"/>
      <c r="D49" s="314"/>
      <c r="E49" s="109"/>
      <c r="F49" s="109"/>
      <c r="G49" s="327"/>
      <c r="H49" s="328"/>
      <c r="P49" s="326"/>
      <c r="Q49" s="314"/>
      <c r="R49" s="314"/>
      <c r="S49" s="109"/>
      <c r="T49" s="109"/>
      <c r="U49" s="327"/>
      <c r="V49" s="328"/>
      <c r="AD49" s="326"/>
      <c r="AE49" s="314"/>
      <c r="AF49" s="314"/>
      <c r="AG49" s="109"/>
      <c r="AH49" s="109"/>
      <c r="AI49" s="327"/>
      <c r="AJ49" s="328"/>
      <c r="AR49" s="326"/>
      <c r="AS49" s="314"/>
      <c r="AT49" s="314"/>
      <c r="AU49" s="109"/>
      <c r="AV49" s="109"/>
      <c r="AW49" s="327"/>
      <c r="AX49" s="328"/>
      <c r="BF49" s="326"/>
      <c r="BG49" s="314"/>
      <c r="BH49" s="314"/>
      <c r="BI49" s="109"/>
      <c r="BJ49" s="109"/>
      <c r="BK49" s="327"/>
      <c r="BL49" s="328"/>
      <c r="BT49" s="326"/>
      <c r="BU49" s="314"/>
      <c r="BV49" s="314"/>
      <c r="BW49" s="109"/>
      <c r="BX49" s="109"/>
      <c r="BY49" s="327"/>
      <c r="BZ49" s="328"/>
      <c r="CH49" s="326"/>
      <c r="CI49" s="314"/>
      <c r="CJ49" s="314"/>
      <c r="CK49" s="109"/>
      <c r="CL49" s="109"/>
      <c r="CM49" s="327"/>
      <c r="CN49" s="328"/>
      <c r="CV49" s="326"/>
      <c r="CW49" s="314"/>
      <c r="CX49" s="314"/>
      <c r="CY49" s="109"/>
      <c r="CZ49" s="109"/>
      <c r="DA49" s="327"/>
      <c r="DB49" s="328"/>
      <c r="DJ49" s="326"/>
      <c r="DK49" s="314"/>
      <c r="DL49" s="314"/>
      <c r="DM49" s="109"/>
      <c r="DN49" s="109"/>
      <c r="DO49" s="327"/>
      <c r="DP49" s="328"/>
      <c r="DX49" s="326"/>
      <c r="DY49" s="314"/>
      <c r="DZ49" s="314"/>
      <c r="EA49" s="109"/>
      <c r="EB49" s="109"/>
      <c r="EC49" s="327"/>
      <c r="ED49" s="328"/>
      <c r="EL49" s="326"/>
      <c r="EM49" s="314"/>
      <c r="EN49" s="314"/>
      <c r="EO49" s="109"/>
      <c r="EP49" s="109"/>
      <c r="EQ49" s="327"/>
      <c r="ER49" s="328"/>
      <c r="ES49" s="667"/>
      <c r="EZ49" s="326"/>
      <c r="FA49" s="314"/>
      <c r="FB49" s="314"/>
      <c r="FC49" s="109"/>
      <c r="FD49" s="109"/>
      <c r="FE49" s="327"/>
      <c r="FF49" s="328"/>
      <c r="FN49" s="326"/>
      <c r="FO49" s="314"/>
      <c r="FP49" s="314"/>
      <c r="FQ49" s="109"/>
      <c r="FR49" s="109"/>
      <c r="FS49" s="327"/>
      <c r="FT49" s="328"/>
      <c r="GB49" s="326"/>
      <c r="GC49" s="314"/>
      <c r="GD49" s="314"/>
      <c r="GE49" s="109"/>
      <c r="GF49" s="109"/>
      <c r="GG49" s="327"/>
      <c r="GH49" s="328"/>
      <c r="GP49" s="326"/>
      <c r="GQ49" s="314"/>
      <c r="GR49" s="314"/>
      <c r="GS49" s="109"/>
      <c r="GT49" s="109"/>
      <c r="GU49" s="327"/>
      <c r="GV49" s="328"/>
      <c r="HD49" s="326"/>
      <c r="HE49" s="314"/>
      <c r="HF49" s="314"/>
      <c r="HG49" s="109"/>
      <c r="HH49" s="109"/>
      <c r="HI49" s="327"/>
      <c r="HJ49" s="328"/>
      <c r="HR49" s="326"/>
      <c r="HS49" s="314"/>
      <c r="HT49" s="314"/>
      <c r="HU49" s="109"/>
      <c r="HV49" s="109"/>
      <c r="HW49" s="327"/>
      <c r="HX49" s="328"/>
      <c r="HY49" s="667"/>
      <c r="IF49" s="326"/>
      <c r="IG49" s="314"/>
      <c r="IH49" s="314"/>
      <c r="II49" s="109"/>
      <c r="IJ49" s="109"/>
      <c r="IK49" s="327"/>
      <c r="IL49" s="328"/>
      <c r="IT49" s="326"/>
      <c r="IU49" s="314"/>
      <c r="IV49" s="314"/>
      <c r="IW49" s="109"/>
      <c r="IX49" s="109"/>
      <c r="IY49" s="327"/>
      <c r="IZ49" s="328"/>
      <c r="JH49" s="326"/>
      <c r="JI49" s="314"/>
      <c r="JJ49" s="314"/>
      <c r="JK49" s="109"/>
      <c r="JL49" s="109"/>
      <c r="JM49" s="327"/>
      <c r="JN49" s="328"/>
      <c r="JV49" s="326"/>
      <c r="JW49" s="314"/>
      <c r="JX49" s="314"/>
      <c r="JY49" s="109"/>
      <c r="JZ49" s="109"/>
      <c r="KA49" s="327"/>
      <c r="KB49" s="328"/>
      <c r="KJ49" s="326"/>
      <c r="KK49" s="314"/>
      <c r="KL49" s="314"/>
      <c r="KM49" s="109"/>
      <c r="KN49" s="109"/>
      <c r="KO49" s="327"/>
      <c r="KP49" s="328"/>
      <c r="KX49" s="326"/>
      <c r="KY49" s="314"/>
      <c r="KZ49" s="314"/>
      <c r="LA49" s="109"/>
      <c r="LB49" s="109"/>
      <c r="LC49" s="327"/>
      <c r="LD49" s="328"/>
      <c r="LL49" s="326"/>
      <c r="LM49" s="314"/>
      <c r="LN49" s="314"/>
      <c r="LO49" s="109"/>
      <c r="LP49" s="109"/>
      <c r="LQ49" s="327"/>
      <c r="LR49" s="328"/>
      <c r="LZ49" s="326"/>
      <c r="MA49" s="314"/>
      <c r="MB49" s="314"/>
      <c r="MC49" s="109"/>
      <c r="MD49" s="109"/>
      <c r="ME49" s="327"/>
      <c r="MF49" s="328"/>
      <c r="MN49" s="326"/>
      <c r="MO49" s="314"/>
      <c r="MP49" s="314"/>
      <c r="MQ49" s="109"/>
      <c r="MR49" s="109"/>
      <c r="MS49" s="327"/>
      <c r="MT49" s="328"/>
      <c r="NB49" s="326"/>
      <c r="NC49" s="314"/>
      <c r="ND49" s="314"/>
      <c r="NE49" s="109"/>
      <c r="NF49" s="109"/>
      <c r="NG49" s="327"/>
      <c r="NH49" s="328"/>
      <c r="NP49" s="326"/>
      <c r="NQ49" s="314"/>
      <c r="NR49" s="314"/>
      <c r="NS49" s="109"/>
      <c r="NT49" s="109"/>
      <c r="NU49" s="327"/>
      <c r="NV49" s="328"/>
      <c r="OD49" s="326"/>
      <c r="OE49" s="314"/>
      <c r="OF49" s="314"/>
      <c r="OG49" s="109"/>
      <c r="OH49" s="109"/>
      <c r="OI49" s="327"/>
      <c r="OJ49" s="328"/>
      <c r="OR49" s="326"/>
      <c r="OS49" s="314"/>
      <c r="OT49" s="314"/>
      <c r="OU49" s="109"/>
      <c r="OV49" s="109"/>
      <c r="OW49" s="327"/>
      <c r="OX49" s="328"/>
      <c r="PF49" s="326"/>
      <c r="PG49" s="314"/>
      <c r="PH49" s="314"/>
      <c r="PI49" s="109"/>
      <c r="PJ49" s="109"/>
      <c r="PK49" s="327"/>
      <c r="PL49" s="328"/>
      <c r="PT49" s="326"/>
      <c r="PU49" s="314"/>
      <c r="PV49" s="314"/>
      <c r="PW49" s="109"/>
      <c r="PX49" s="109"/>
      <c r="PY49" s="327"/>
      <c r="PZ49" s="328"/>
      <c r="QH49" s="326"/>
      <c r="QI49" s="314"/>
      <c r="QJ49" s="314"/>
      <c r="QK49" s="109"/>
      <c r="QL49" s="109"/>
      <c r="QM49" s="327"/>
      <c r="QN49" s="328"/>
      <c r="QV49" s="326"/>
      <c r="QW49" s="314"/>
      <c r="QX49" s="314"/>
      <c r="QY49" s="109"/>
      <c r="QZ49" s="109"/>
      <c r="RA49" s="327"/>
      <c r="RB49" s="328"/>
      <c r="RJ49" s="326"/>
      <c r="RK49" s="314"/>
      <c r="RL49" s="314"/>
      <c r="RM49" s="109"/>
      <c r="RN49" s="109"/>
      <c r="RO49" s="327"/>
      <c r="RP49" s="328"/>
      <c r="RX49" s="326"/>
      <c r="RY49" s="314"/>
      <c r="RZ49" s="314"/>
      <c r="SA49" s="109"/>
      <c r="SB49" s="109"/>
      <c r="SC49" s="327"/>
      <c r="SD49" s="328"/>
      <c r="SL49" s="326"/>
      <c r="SM49" s="314"/>
      <c r="SN49" s="314"/>
      <c r="SO49" s="109"/>
      <c r="SP49" s="109"/>
      <c r="SQ49" s="327"/>
      <c r="SR49" s="328"/>
      <c r="SZ49" s="326"/>
      <c r="TA49" s="314"/>
      <c r="TB49" s="314"/>
      <c r="TC49" s="109"/>
      <c r="TD49" s="109"/>
      <c r="TE49" s="327"/>
      <c r="TF49" s="735"/>
      <c r="TM49" s="937"/>
      <c r="TN49" s="725"/>
    </row>
    <row r="50" spans="2:534" ht="15.75" customHeight="1" thickBot="1">
      <c r="B50" s="1169" t="s">
        <v>1547</v>
      </c>
      <c r="C50" s="1170"/>
      <c r="D50" s="1170"/>
      <c r="E50" s="102"/>
      <c r="F50" s="103"/>
      <c r="G50" s="103"/>
      <c r="H50" s="262">
        <f>+H43+H48</f>
        <v>176048742.49073124</v>
      </c>
      <c r="I50" s="123"/>
      <c r="P50" s="1169"/>
      <c r="Q50" s="1170"/>
      <c r="R50" s="1170"/>
      <c r="S50" s="102"/>
      <c r="T50" s="103"/>
      <c r="U50" s="103"/>
      <c r="V50" s="262"/>
      <c r="W50" s="123"/>
      <c r="AD50" s="1169"/>
      <c r="AE50" s="1170"/>
      <c r="AF50" s="1170"/>
      <c r="AG50" s="102"/>
      <c r="AH50" s="103"/>
      <c r="AI50" s="103"/>
      <c r="AJ50" s="262"/>
      <c r="AK50" s="123"/>
      <c r="AR50" s="1169" t="s">
        <v>1547</v>
      </c>
      <c r="AS50" s="1170"/>
      <c r="AT50" s="1170"/>
      <c r="AU50" s="102"/>
      <c r="AV50" s="103"/>
      <c r="AW50" s="103"/>
      <c r="AX50" s="262">
        <f t="shared" ref="AX50" si="649">+AX43+AX48</f>
        <v>0</v>
      </c>
      <c r="AY50" s="123"/>
      <c r="BF50" s="1169" t="s">
        <v>1547</v>
      </c>
      <c r="BG50" s="1170"/>
      <c r="BH50" s="1170"/>
      <c r="BI50" s="102"/>
      <c r="BJ50" s="103"/>
      <c r="BK50" s="103"/>
      <c r="BL50" s="262">
        <f t="shared" ref="BL50" si="650">+BL43+BL48</f>
        <v>444951256.53333622</v>
      </c>
      <c r="BM50" s="123"/>
      <c r="BT50" s="1169" t="s">
        <v>1547</v>
      </c>
      <c r="BU50" s="1170"/>
      <c r="BV50" s="1170"/>
      <c r="BW50" s="102"/>
      <c r="BX50" s="103"/>
      <c r="BY50" s="103"/>
      <c r="BZ50" s="262">
        <f t="shared" ref="BZ50:ED50" si="651">+BZ43+BZ48</f>
        <v>0</v>
      </c>
      <c r="CA50" s="123"/>
      <c r="CH50" s="1169" t="s">
        <v>1547</v>
      </c>
      <c r="CI50" s="1170"/>
      <c r="CJ50" s="1170"/>
      <c r="CK50" s="102"/>
      <c r="CL50" s="103"/>
      <c r="CM50" s="103"/>
      <c r="CN50" s="262">
        <f t="shared" si="651"/>
        <v>24677822.820757169</v>
      </c>
      <c r="CO50" s="123"/>
      <c r="CV50" s="1169" t="s">
        <v>1547</v>
      </c>
      <c r="CW50" s="1170"/>
      <c r="CX50" s="1170"/>
      <c r="CY50" s="102"/>
      <c r="CZ50" s="103"/>
      <c r="DA50" s="103"/>
      <c r="DB50" s="262">
        <f t="shared" si="651"/>
        <v>356033565.19128865</v>
      </c>
      <c r="DC50" s="123"/>
      <c r="DJ50" s="1169" t="s">
        <v>1547</v>
      </c>
      <c r="DK50" s="1170"/>
      <c r="DL50" s="1170"/>
      <c r="DM50" s="102"/>
      <c r="DN50" s="103"/>
      <c r="DO50" s="103"/>
      <c r="DP50" s="262">
        <f t="shared" si="651"/>
        <v>27829000.15434213</v>
      </c>
      <c r="DQ50" s="123"/>
      <c r="DX50" s="1169" t="s">
        <v>1547</v>
      </c>
      <c r="DY50" s="1170"/>
      <c r="DZ50" s="1170"/>
      <c r="EA50" s="102"/>
      <c r="EB50" s="103"/>
      <c r="EC50" s="103"/>
      <c r="ED50" s="262">
        <f t="shared" si="651"/>
        <v>130884938.62674138</v>
      </c>
      <c r="EE50" s="123"/>
      <c r="EL50" s="1169" t="s">
        <v>1547</v>
      </c>
      <c r="EM50" s="1170"/>
      <c r="EN50" s="1170"/>
      <c r="EO50" s="102"/>
      <c r="EP50" s="103"/>
      <c r="EQ50" s="103"/>
      <c r="ER50" s="262">
        <f t="shared" ref="ER50:GV50" si="652">+ER43+ER48</f>
        <v>222475628.26666811</v>
      </c>
      <c r="ES50" s="667"/>
      <c r="EZ50" s="1169" t="s">
        <v>1547</v>
      </c>
      <c r="FA50" s="1170"/>
      <c r="FB50" s="1170"/>
      <c r="FC50" s="102"/>
      <c r="FD50" s="103"/>
      <c r="FE50" s="103"/>
      <c r="FF50" s="262">
        <f t="shared" si="652"/>
        <v>0</v>
      </c>
      <c r="FG50" s="123"/>
      <c r="FN50" s="1169" t="s">
        <v>1547</v>
      </c>
      <c r="FO50" s="1170"/>
      <c r="FP50" s="1170"/>
      <c r="FQ50" s="102"/>
      <c r="FR50" s="103"/>
      <c r="FS50" s="103"/>
      <c r="FT50" s="262">
        <f t="shared" si="652"/>
        <v>305103940.27904987</v>
      </c>
      <c r="FU50" s="123"/>
      <c r="GB50" s="1169" t="s">
        <v>1547</v>
      </c>
      <c r="GC50" s="1170"/>
      <c r="GD50" s="1170"/>
      <c r="GE50" s="102"/>
      <c r="GF50" s="103"/>
      <c r="GG50" s="103"/>
      <c r="GH50" s="262">
        <f t="shared" si="652"/>
        <v>144164586.10467824</v>
      </c>
      <c r="GI50" s="123"/>
      <c r="GP50" s="1169" t="s">
        <v>1547</v>
      </c>
      <c r="GQ50" s="1170"/>
      <c r="GR50" s="1170"/>
      <c r="GS50" s="102"/>
      <c r="GT50" s="103"/>
      <c r="GU50" s="103"/>
      <c r="GV50" s="262">
        <f t="shared" si="652"/>
        <v>0</v>
      </c>
      <c r="GW50" s="123"/>
      <c r="HD50" s="1169" t="s">
        <v>1547</v>
      </c>
      <c r="HE50" s="1170"/>
      <c r="HF50" s="1170"/>
      <c r="HG50" s="102"/>
      <c r="HH50" s="103"/>
      <c r="HI50" s="103"/>
      <c r="HJ50" s="262">
        <f t="shared" ref="HJ50:KB50" si="653">+HJ43+HJ48</f>
        <v>74158542.755556017</v>
      </c>
      <c r="HK50" s="123"/>
      <c r="HR50" s="1169" t="s">
        <v>1547</v>
      </c>
      <c r="HS50" s="1170"/>
      <c r="HT50" s="1170"/>
      <c r="HU50" s="102"/>
      <c r="HV50" s="103"/>
      <c r="HW50" s="103"/>
      <c r="HX50" s="262">
        <f t="shared" si="653"/>
        <v>282891778.95858175</v>
      </c>
      <c r="HY50" s="667"/>
      <c r="IF50" s="1169"/>
      <c r="IG50" s="1170"/>
      <c r="IH50" s="1170"/>
      <c r="II50" s="102"/>
      <c r="IJ50" s="103"/>
      <c r="IK50" s="103"/>
      <c r="IL50" s="262"/>
      <c r="IM50" s="123"/>
      <c r="IT50" s="1169"/>
      <c r="IU50" s="1170"/>
      <c r="IV50" s="1170"/>
      <c r="IW50" s="102"/>
      <c r="IX50" s="103"/>
      <c r="IY50" s="103"/>
      <c r="IZ50" s="262"/>
      <c r="JA50" s="123"/>
      <c r="JH50" s="1169" t="s">
        <v>1547</v>
      </c>
      <c r="JI50" s="1170"/>
      <c r="JJ50" s="1170"/>
      <c r="JK50" s="102"/>
      <c r="JL50" s="103"/>
      <c r="JM50" s="103"/>
      <c r="JN50" s="262">
        <f t="shared" ref="JN50" si="654">+JN43+JN48</f>
        <v>410203118.24105209</v>
      </c>
      <c r="JO50" s="123"/>
      <c r="JV50" s="1169" t="s">
        <v>1547</v>
      </c>
      <c r="JW50" s="1170"/>
      <c r="JX50" s="1170"/>
      <c r="JY50" s="102"/>
      <c r="JZ50" s="103"/>
      <c r="KA50" s="103"/>
      <c r="KB50" s="262">
        <f t="shared" si="653"/>
        <v>168680755.15611404</v>
      </c>
      <c r="KC50" s="123"/>
      <c r="KJ50" s="1169" t="s">
        <v>1547</v>
      </c>
      <c r="KK50" s="1170"/>
      <c r="KL50" s="1170"/>
      <c r="KM50" s="102"/>
      <c r="KN50" s="103"/>
      <c r="KO50" s="103"/>
      <c r="KP50" s="262">
        <f t="shared" ref="KP50:MT50" si="655">+KP43+KP48</f>
        <v>0</v>
      </c>
      <c r="KQ50" s="123"/>
      <c r="KX50" s="1169" t="s">
        <v>1547</v>
      </c>
      <c r="KY50" s="1170"/>
      <c r="KZ50" s="1170"/>
      <c r="LA50" s="102"/>
      <c r="LB50" s="103"/>
      <c r="LC50" s="103"/>
      <c r="LD50" s="262">
        <f t="shared" si="655"/>
        <v>0</v>
      </c>
      <c r="LE50" s="123"/>
      <c r="LL50" s="1169" t="s">
        <v>1547</v>
      </c>
      <c r="LM50" s="1170"/>
      <c r="LN50" s="1170"/>
      <c r="LO50" s="102"/>
      <c r="LP50" s="103"/>
      <c r="LQ50" s="103"/>
      <c r="LR50" s="262">
        <f t="shared" si="655"/>
        <v>0</v>
      </c>
      <c r="LS50" s="123"/>
      <c r="LZ50" s="1169" t="s">
        <v>1547</v>
      </c>
      <c r="MA50" s="1170"/>
      <c r="MB50" s="1170"/>
      <c r="MC50" s="102"/>
      <c r="MD50" s="103"/>
      <c r="ME50" s="103"/>
      <c r="MF50" s="262">
        <f t="shared" si="655"/>
        <v>117796444.76406723</v>
      </c>
      <c r="MG50" s="123"/>
      <c r="MN50" s="1169" t="s">
        <v>1547</v>
      </c>
      <c r="MO50" s="1170"/>
      <c r="MP50" s="1170"/>
      <c r="MQ50" s="102"/>
      <c r="MR50" s="103"/>
      <c r="MS50" s="103"/>
      <c r="MT50" s="262">
        <f t="shared" si="655"/>
        <v>153366296.82970706</v>
      </c>
      <c r="MU50" s="123"/>
      <c r="NB50" s="1169" t="s">
        <v>1547</v>
      </c>
      <c r="NC50" s="1170"/>
      <c r="ND50" s="1170"/>
      <c r="NE50" s="102"/>
      <c r="NF50" s="103"/>
      <c r="NG50" s="103"/>
      <c r="NH50" s="262">
        <f t="shared" ref="NH50:PL50" si="656">+NH43+NH48</f>
        <v>170239504.80578858</v>
      </c>
      <c r="NI50" s="123"/>
      <c r="NP50" s="1169" t="s">
        <v>1547</v>
      </c>
      <c r="NQ50" s="1170"/>
      <c r="NR50" s="1170"/>
      <c r="NS50" s="102"/>
      <c r="NT50" s="103"/>
      <c r="NU50" s="103"/>
      <c r="NV50" s="262">
        <f t="shared" si="656"/>
        <v>400204986.80501109</v>
      </c>
      <c r="NW50" s="123"/>
      <c r="OD50" s="1169" t="s">
        <v>1547</v>
      </c>
      <c r="OE50" s="1170"/>
      <c r="OF50" s="1170"/>
      <c r="OG50" s="102"/>
      <c r="OH50" s="103"/>
      <c r="OI50" s="103"/>
      <c r="OJ50" s="262">
        <f t="shared" si="656"/>
        <v>72781513.310468107</v>
      </c>
      <c r="OK50" s="123"/>
      <c r="OR50" s="1169" t="s">
        <v>1547</v>
      </c>
      <c r="OS50" s="1170"/>
      <c r="OT50" s="1170"/>
      <c r="OU50" s="102"/>
      <c r="OV50" s="103"/>
      <c r="OW50" s="103"/>
      <c r="OX50" s="262">
        <f t="shared" si="656"/>
        <v>287756272.59256625</v>
      </c>
      <c r="OY50" s="123"/>
      <c r="PF50" s="1169" t="s">
        <v>1547</v>
      </c>
      <c r="PG50" s="1170"/>
      <c r="PH50" s="1170"/>
      <c r="PI50" s="102"/>
      <c r="PJ50" s="103"/>
      <c r="PK50" s="103"/>
      <c r="PL50" s="262">
        <f t="shared" si="656"/>
        <v>0</v>
      </c>
      <c r="PM50" s="123"/>
      <c r="PT50" s="1169" t="s">
        <v>1547</v>
      </c>
      <c r="PU50" s="1170"/>
      <c r="PV50" s="1170"/>
      <c r="PW50" s="102"/>
      <c r="PX50" s="103"/>
      <c r="PY50" s="103"/>
      <c r="PZ50" s="262">
        <f t="shared" ref="PZ50:SD50" si="657">+PZ43+PZ48</f>
        <v>0</v>
      </c>
      <c r="QA50" s="123"/>
      <c r="QH50" s="1169" t="s">
        <v>1547</v>
      </c>
      <c r="QI50" s="1170"/>
      <c r="QJ50" s="1170"/>
      <c r="QK50" s="102"/>
      <c r="QL50" s="103"/>
      <c r="QM50" s="103"/>
      <c r="QN50" s="262">
        <f t="shared" si="657"/>
        <v>0</v>
      </c>
      <c r="QO50" s="123"/>
      <c r="QV50" s="1169" t="s">
        <v>1547</v>
      </c>
      <c r="QW50" s="1170"/>
      <c r="QX50" s="1170"/>
      <c r="QY50" s="102"/>
      <c r="QZ50" s="103"/>
      <c r="RA50" s="103"/>
      <c r="RB50" s="262">
        <f t="shared" si="657"/>
        <v>300153740.10375834</v>
      </c>
      <c r="RC50" s="123"/>
      <c r="RJ50" s="1169" t="s">
        <v>1547</v>
      </c>
      <c r="RK50" s="1170"/>
      <c r="RL50" s="1170"/>
      <c r="RM50" s="102"/>
      <c r="RN50" s="103"/>
      <c r="RO50" s="103"/>
      <c r="RP50" s="262">
        <f t="shared" si="657"/>
        <v>56934272.496051259</v>
      </c>
      <c r="RQ50" s="123"/>
      <c r="RX50" s="1169" t="s">
        <v>1547</v>
      </c>
      <c r="RY50" s="1170"/>
      <c r="RZ50" s="1170"/>
      <c r="SA50" s="102"/>
      <c r="SB50" s="103"/>
      <c r="SC50" s="103"/>
      <c r="SD50" s="262">
        <f t="shared" si="657"/>
        <v>175089681.72719237</v>
      </c>
      <c r="SE50" s="123"/>
      <c r="SL50" s="1169" t="s">
        <v>1547</v>
      </c>
      <c r="SM50" s="1170"/>
      <c r="SN50" s="1170"/>
      <c r="SO50" s="102"/>
      <c r="SP50" s="103"/>
      <c r="SQ50" s="103"/>
      <c r="SR50" s="262">
        <f t="shared" ref="SR50" si="658">+SR43+SR48</f>
        <v>0</v>
      </c>
      <c r="SS50" s="123"/>
      <c r="SZ50" s="1169" t="s">
        <v>1547</v>
      </c>
      <c r="TA50" s="1170"/>
      <c r="TB50" s="1170"/>
      <c r="TC50" s="102"/>
      <c r="TD50" s="103"/>
      <c r="TE50" s="103"/>
      <c r="TF50" s="686">
        <f t="shared" ref="TF50" si="659">+TF43+TF48</f>
        <v>4502426389.0135069</v>
      </c>
      <c r="TG50" s="123"/>
      <c r="TM50" s="941">
        <f>+H50+AX50+BL50+BZ50+CN50+DB50+DP50+ED50+ER50+FF50+FT50+GH50+HJ50+HX50+JN50+KB50+KP50+LD50+LR50+MF50+MT50+NH50+NV50+OJ50+OX50+PL50+PZ50+QN50+RB50+RP50+SD50+SR50-TF50</f>
        <v>0</v>
      </c>
      <c r="TN50" s="726"/>
    </row>
    <row r="51" spans="2:534" ht="18.75" customHeight="1" thickBot="1">
      <c r="ES51" s="667"/>
      <c r="HY51" s="667"/>
      <c r="TF51" s="725"/>
      <c r="TM51" s="937"/>
      <c r="TN51" s="725"/>
    </row>
    <row r="52" spans="2:534" ht="30" customHeight="1" thickBot="1">
      <c r="B52" s="316" t="s">
        <v>1220</v>
      </c>
      <c r="C52" s="271" t="s">
        <v>1207</v>
      </c>
      <c r="D52" s="272" t="s">
        <v>1208</v>
      </c>
      <c r="E52" s="273" t="s">
        <v>1209</v>
      </c>
      <c r="F52" s="273" t="s">
        <v>1210</v>
      </c>
      <c r="G52" s="274" t="s">
        <v>1218</v>
      </c>
      <c r="H52" s="275" t="s">
        <v>1196</v>
      </c>
      <c r="I52" s="124"/>
      <c r="P52" s="316"/>
      <c r="Q52" s="271"/>
      <c r="R52" s="272"/>
      <c r="S52" s="273"/>
      <c r="T52" s="273"/>
      <c r="U52" s="274"/>
      <c r="V52" s="275"/>
      <c r="W52" s="124"/>
      <c r="AD52" s="316"/>
      <c r="AE52" s="271"/>
      <c r="AF52" s="272"/>
      <c r="AG52" s="273"/>
      <c r="AH52" s="273"/>
      <c r="AI52" s="274"/>
      <c r="AJ52" s="275"/>
      <c r="AK52" s="124"/>
      <c r="AR52" s="316" t="s">
        <v>1220</v>
      </c>
      <c r="AS52" s="271" t="s">
        <v>1207</v>
      </c>
      <c r="AT52" s="272" t="s">
        <v>1208</v>
      </c>
      <c r="AU52" s="273" t="s">
        <v>1209</v>
      </c>
      <c r="AV52" s="273" t="s">
        <v>1210</v>
      </c>
      <c r="AW52" s="274" t="s">
        <v>1218</v>
      </c>
      <c r="AX52" s="275" t="s">
        <v>1196</v>
      </c>
      <c r="AY52" s="124"/>
      <c r="BF52" s="316" t="s">
        <v>1220</v>
      </c>
      <c r="BG52" s="271" t="s">
        <v>1207</v>
      </c>
      <c r="BH52" s="272" t="s">
        <v>1208</v>
      </c>
      <c r="BI52" s="273" t="s">
        <v>1209</v>
      </c>
      <c r="BJ52" s="273" t="s">
        <v>1210</v>
      </c>
      <c r="BK52" s="274" t="s">
        <v>1218</v>
      </c>
      <c r="BL52" s="275" t="s">
        <v>1196</v>
      </c>
      <c r="BM52" s="124"/>
      <c r="BT52" s="316" t="s">
        <v>1220</v>
      </c>
      <c r="BU52" s="271" t="s">
        <v>1207</v>
      </c>
      <c r="BV52" s="272" t="s">
        <v>1208</v>
      </c>
      <c r="BW52" s="273" t="s">
        <v>1209</v>
      </c>
      <c r="BX52" s="273" t="s">
        <v>1210</v>
      </c>
      <c r="BY52" s="274" t="s">
        <v>1218</v>
      </c>
      <c r="BZ52" s="275" t="s">
        <v>1196</v>
      </c>
      <c r="CA52" s="124"/>
      <c r="CH52" s="316" t="s">
        <v>1220</v>
      </c>
      <c r="CI52" s="271" t="s">
        <v>1207</v>
      </c>
      <c r="CJ52" s="272" t="s">
        <v>1208</v>
      </c>
      <c r="CK52" s="273" t="s">
        <v>1209</v>
      </c>
      <c r="CL52" s="273" t="s">
        <v>1210</v>
      </c>
      <c r="CM52" s="274" t="s">
        <v>1218</v>
      </c>
      <c r="CN52" s="275" t="s">
        <v>1196</v>
      </c>
      <c r="CO52" s="124"/>
      <c r="CV52" s="316" t="s">
        <v>1220</v>
      </c>
      <c r="CW52" s="271" t="s">
        <v>1207</v>
      </c>
      <c r="CX52" s="272" t="s">
        <v>1208</v>
      </c>
      <c r="CY52" s="273" t="s">
        <v>1209</v>
      </c>
      <c r="CZ52" s="273" t="s">
        <v>1210</v>
      </c>
      <c r="DA52" s="274" t="s">
        <v>1218</v>
      </c>
      <c r="DB52" s="275" t="s">
        <v>1196</v>
      </c>
      <c r="DC52" s="124"/>
      <c r="DJ52" s="316" t="s">
        <v>1220</v>
      </c>
      <c r="DK52" s="271" t="s">
        <v>1207</v>
      </c>
      <c r="DL52" s="272" t="s">
        <v>1208</v>
      </c>
      <c r="DM52" s="273" t="s">
        <v>1209</v>
      </c>
      <c r="DN52" s="273" t="s">
        <v>1210</v>
      </c>
      <c r="DO52" s="274" t="s">
        <v>1218</v>
      </c>
      <c r="DP52" s="275" t="s">
        <v>1196</v>
      </c>
      <c r="DQ52" s="124"/>
      <c r="DX52" s="316" t="s">
        <v>1220</v>
      </c>
      <c r="DY52" s="271" t="s">
        <v>1207</v>
      </c>
      <c r="DZ52" s="272" t="s">
        <v>1208</v>
      </c>
      <c r="EA52" s="273" t="s">
        <v>1209</v>
      </c>
      <c r="EB52" s="273" t="s">
        <v>1210</v>
      </c>
      <c r="EC52" s="274" t="s">
        <v>1218</v>
      </c>
      <c r="ED52" s="275" t="s">
        <v>1196</v>
      </c>
      <c r="EE52" s="124"/>
      <c r="EL52" s="316" t="s">
        <v>1220</v>
      </c>
      <c r="EM52" s="271" t="s">
        <v>1207</v>
      </c>
      <c r="EN52" s="272" t="s">
        <v>1208</v>
      </c>
      <c r="EO52" s="273" t="s">
        <v>1209</v>
      </c>
      <c r="EP52" s="273" t="s">
        <v>1210</v>
      </c>
      <c r="EQ52" s="274" t="s">
        <v>1218</v>
      </c>
      <c r="ER52" s="275" t="s">
        <v>1196</v>
      </c>
      <c r="ES52" s="667"/>
      <c r="EZ52" s="316" t="s">
        <v>1220</v>
      </c>
      <c r="FA52" s="271" t="s">
        <v>1207</v>
      </c>
      <c r="FB52" s="272" t="s">
        <v>1208</v>
      </c>
      <c r="FC52" s="273" t="s">
        <v>1209</v>
      </c>
      <c r="FD52" s="273" t="s">
        <v>1210</v>
      </c>
      <c r="FE52" s="274" t="s">
        <v>1218</v>
      </c>
      <c r="FF52" s="275" t="s">
        <v>1196</v>
      </c>
      <c r="FG52" s="124"/>
      <c r="FN52" s="316" t="s">
        <v>1220</v>
      </c>
      <c r="FO52" s="271" t="s">
        <v>1207</v>
      </c>
      <c r="FP52" s="272" t="s">
        <v>1208</v>
      </c>
      <c r="FQ52" s="273" t="s">
        <v>1209</v>
      </c>
      <c r="FR52" s="273" t="s">
        <v>1210</v>
      </c>
      <c r="FS52" s="274" t="s">
        <v>1218</v>
      </c>
      <c r="FT52" s="275" t="s">
        <v>1196</v>
      </c>
      <c r="FU52" s="124"/>
      <c r="GB52" s="316" t="s">
        <v>1220</v>
      </c>
      <c r="GC52" s="271" t="s">
        <v>1207</v>
      </c>
      <c r="GD52" s="272" t="s">
        <v>1208</v>
      </c>
      <c r="GE52" s="273" t="s">
        <v>1209</v>
      </c>
      <c r="GF52" s="273" t="s">
        <v>1210</v>
      </c>
      <c r="GG52" s="274" t="s">
        <v>1218</v>
      </c>
      <c r="GH52" s="275" t="s">
        <v>1196</v>
      </c>
      <c r="GI52" s="124"/>
      <c r="GP52" s="316" t="s">
        <v>1220</v>
      </c>
      <c r="GQ52" s="271" t="s">
        <v>1207</v>
      </c>
      <c r="GR52" s="272" t="s">
        <v>1208</v>
      </c>
      <c r="GS52" s="273" t="s">
        <v>1209</v>
      </c>
      <c r="GT52" s="273" t="s">
        <v>1210</v>
      </c>
      <c r="GU52" s="274" t="s">
        <v>1218</v>
      </c>
      <c r="GV52" s="275" t="s">
        <v>1196</v>
      </c>
      <c r="GW52" s="124"/>
      <c r="HD52" s="316" t="s">
        <v>1220</v>
      </c>
      <c r="HE52" s="271" t="s">
        <v>1207</v>
      </c>
      <c r="HF52" s="272" t="s">
        <v>1208</v>
      </c>
      <c r="HG52" s="273" t="s">
        <v>1209</v>
      </c>
      <c r="HH52" s="273" t="s">
        <v>1210</v>
      </c>
      <c r="HI52" s="274" t="s">
        <v>1218</v>
      </c>
      <c r="HJ52" s="275" t="s">
        <v>1196</v>
      </c>
      <c r="HK52" s="124"/>
      <c r="HR52" s="316" t="s">
        <v>1220</v>
      </c>
      <c r="HS52" s="271" t="s">
        <v>1207</v>
      </c>
      <c r="HT52" s="272" t="s">
        <v>1208</v>
      </c>
      <c r="HU52" s="273" t="s">
        <v>1209</v>
      </c>
      <c r="HV52" s="273" t="s">
        <v>1210</v>
      </c>
      <c r="HW52" s="274" t="s">
        <v>1218</v>
      </c>
      <c r="HX52" s="275" t="s">
        <v>1196</v>
      </c>
      <c r="HY52" s="667"/>
      <c r="IF52" s="316"/>
      <c r="IG52" s="271"/>
      <c r="IH52" s="272"/>
      <c r="II52" s="273"/>
      <c r="IJ52" s="273"/>
      <c r="IK52" s="274"/>
      <c r="IL52" s="275"/>
      <c r="IM52" s="124"/>
      <c r="IT52" s="316"/>
      <c r="IU52" s="271"/>
      <c r="IV52" s="272"/>
      <c r="IW52" s="273"/>
      <c r="IX52" s="273"/>
      <c r="IY52" s="274"/>
      <c r="IZ52" s="275"/>
      <c r="JA52" s="124"/>
      <c r="JH52" s="316" t="s">
        <v>1220</v>
      </c>
      <c r="JI52" s="271" t="s">
        <v>1207</v>
      </c>
      <c r="JJ52" s="272" t="s">
        <v>1208</v>
      </c>
      <c r="JK52" s="273" t="s">
        <v>1209</v>
      </c>
      <c r="JL52" s="273" t="s">
        <v>1210</v>
      </c>
      <c r="JM52" s="274" t="s">
        <v>1218</v>
      </c>
      <c r="JN52" s="275" t="s">
        <v>1196</v>
      </c>
      <c r="JO52" s="124"/>
      <c r="JV52" s="316" t="s">
        <v>1220</v>
      </c>
      <c r="JW52" s="271" t="s">
        <v>1207</v>
      </c>
      <c r="JX52" s="272" t="s">
        <v>1208</v>
      </c>
      <c r="JY52" s="273" t="s">
        <v>1209</v>
      </c>
      <c r="JZ52" s="273" t="s">
        <v>1210</v>
      </c>
      <c r="KA52" s="274" t="s">
        <v>1218</v>
      </c>
      <c r="KB52" s="275" t="s">
        <v>1196</v>
      </c>
      <c r="KC52" s="124"/>
      <c r="KJ52" s="316" t="s">
        <v>1220</v>
      </c>
      <c r="KK52" s="271" t="s">
        <v>1207</v>
      </c>
      <c r="KL52" s="272" t="s">
        <v>1208</v>
      </c>
      <c r="KM52" s="273" t="s">
        <v>1209</v>
      </c>
      <c r="KN52" s="273" t="s">
        <v>1210</v>
      </c>
      <c r="KO52" s="274" t="s">
        <v>1218</v>
      </c>
      <c r="KP52" s="275" t="s">
        <v>1196</v>
      </c>
      <c r="KQ52" s="124"/>
      <c r="KX52" s="316" t="s">
        <v>1220</v>
      </c>
      <c r="KY52" s="271" t="s">
        <v>1207</v>
      </c>
      <c r="KZ52" s="272" t="s">
        <v>1208</v>
      </c>
      <c r="LA52" s="273" t="s">
        <v>1209</v>
      </c>
      <c r="LB52" s="273" t="s">
        <v>1210</v>
      </c>
      <c r="LC52" s="274" t="s">
        <v>1218</v>
      </c>
      <c r="LD52" s="275" t="s">
        <v>1196</v>
      </c>
      <c r="LE52" s="124"/>
      <c r="LL52" s="316" t="s">
        <v>1220</v>
      </c>
      <c r="LM52" s="271" t="s">
        <v>1207</v>
      </c>
      <c r="LN52" s="272" t="s">
        <v>1208</v>
      </c>
      <c r="LO52" s="273" t="s">
        <v>1209</v>
      </c>
      <c r="LP52" s="273" t="s">
        <v>1210</v>
      </c>
      <c r="LQ52" s="274" t="s">
        <v>1218</v>
      </c>
      <c r="LR52" s="275" t="s">
        <v>1196</v>
      </c>
      <c r="LS52" s="124"/>
      <c r="LZ52" s="316" t="s">
        <v>1220</v>
      </c>
      <c r="MA52" s="271" t="s">
        <v>1207</v>
      </c>
      <c r="MB52" s="272" t="s">
        <v>1208</v>
      </c>
      <c r="MC52" s="273" t="s">
        <v>1209</v>
      </c>
      <c r="MD52" s="273" t="s">
        <v>1210</v>
      </c>
      <c r="ME52" s="274" t="s">
        <v>1218</v>
      </c>
      <c r="MF52" s="275" t="s">
        <v>1196</v>
      </c>
      <c r="MG52" s="124"/>
      <c r="MN52" s="316" t="s">
        <v>1220</v>
      </c>
      <c r="MO52" s="271" t="s">
        <v>1207</v>
      </c>
      <c r="MP52" s="272" t="s">
        <v>1208</v>
      </c>
      <c r="MQ52" s="273" t="s">
        <v>1209</v>
      </c>
      <c r="MR52" s="273" t="s">
        <v>1210</v>
      </c>
      <c r="MS52" s="274" t="s">
        <v>1218</v>
      </c>
      <c r="MT52" s="275" t="s">
        <v>1196</v>
      </c>
      <c r="MU52" s="124"/>
      <c r="NB52" s="316" t="s">
        <v>1220</v>
      </c>
      <c r="NC52" s="271" t="s">
        <v>1207</v>
      </c>
      <c r="ND52" s="272" t="s">
        <v>1208</v>
      </c>
      <c r="NE52" s="273" t="s">
        <v>1209</v>
      </c>
      <c r="NF52" s="273" t="s">
        <v>1210</v>
      </c>
      <c r="NG52" s="274" t="s">
        <v>1218</v>
      </c>
      <c r="NH52" s="275" t="s">
        <v>1196</v>
      </c>
      <c r="NI52" s="124"/>
      <c r="NP52" s="316" t="s">
        <v>1220</v>
      </c>
      <c r="NQ52" s="271" t="s">
        <v>1207</v>
      </c>
      <c r="NR52" s="272" t="s">
        <v>1208</v>
      </c>
      <c r="NS52" s="273" t="s">
        <v>1209</v>
      </c>
      <c r="NT52" s="273" t="s">
        <v>1210</v>
      </c>
      <c r="NU52" s="274" t="s">
        <v>1218</v>
      </c>
      <c r="NV52" s="275" t="s">
        <v>1196</v>
      </c>
      <c r="NW52" s="124"/>
      <c r="OD52" s="316" t="s">
        <v>1220</v>
      </c>
      <c r="OE52" s="271" t="s">
        <v>1207</v>
      </c>
      <c r="OF52" s="272" t="s">
        <v>1208</v>
      </c>
      <c r="OG52" s="273" t="s">
        <v>1209</v>
      </c>
      <c r="OH52" s="273" t="s">
        <v>1210</v>
      </c>
      <c r="OI52" s="274" t="s">
        <v>1218</v>
      </c>
      <c r="OJ52" s="275" t="s">
        <v>1196</v>
      </c>
      <c r="OK52" s="124"/>
      <c r="OR52" s="316" t="s">
        <v>1220</v>
      </c>
      <c r="OS52" s="271" t="s">
        <v>1207</v>
      </c>
      <c r="OT52" s="272" t="s">
        <v>1208</v>
      </c>
      <c r="OU52" s="273" t="s">
        <v>1209</v>
      </c>
      <c r="OV52" s="273" t="s">
        <v>1210</v>
      </c>
      <c r="OW52" s="274" t="s">
        <v>1218</v>
      </c>
      <c r="OX52" s="275" t="s">
        <v>1196</v>
      </c>
      <c r="OY52" s="124"/>
      <c r="PF52" s="316" t="s">
        <v>1220</v>
      </c>
      <c r="PG52" s="271" t="s">
        <v>1207</v>
      </c>
      <c r="PH52" s="272" t="s">
        <v>1208</v>
      </c>
      <c r="PI52" s="273" t="s">
        <v>1209</v>
      </c>
      <c r="PJ52" s="273" t="s">
        <v>1210</v>
      </c>
      <c r="PK52" s="274" t="s">
        <v>1218</v>
      </c>
      <c r="PL52" s="275" t="s">
        <v>1196</v>
      </c>
      <c r="PM52" s="124"/>
      <c r="PT52" s="316" t="s">
        <v>1220</v>
      </c>
      <c r="PU52" s="271" t="s">
        <v>1207</v>
      </c>
      <c r="PV52" s="272" t="s">
        <v>1208</v>
      </c>
      <c r="PW52" s="273" t="s">
        <v>1209</v>
      </c>
      <c r="PX52" s="273" t="s">
        <v>1210</v>
      </c>
      <c r="PY52" s="274" t="s">
        <v>1218</v>
      </c>
      <c r="PZ52" s="275" t="s">
        <v>1196</v>
      </c>
      <c r="QA52" s="124"/>
      <c r="QH52" s="316" t="s">
        <v>1220</v>
      </c>
      <c r="QI52" s="271" t="s">
        <v>1207</v>
      </c>
      <c r="QJ52" s="272" t="s">
        <v>1208</v>
      </c>
      <c r="QK52" s="273" t="s">
        <v>1209</v>
      </c>
      <c r="QL52" s="273" t="s">
        <v>1210</v>
      </c>
      <c r="QM52" s="274" t="s">
        <v>1218</v>
      </c>
      <c r="QN52" s="275" t="s">
        <v>1196</v>
      </c>
      <c r="QO52" s="124"/>
      <c r="QV52" s="316" t="s">
        <v>1220</v>
      </c>
      <c r="QW52" s="271" t="s">
        <v>1207</v>
      </c>
      <c r="QX52" s="272" t="s">
        <v>1208</v>
      </c>
      <c r="QY52" s="273" t="s">
        <v>1209</v>
      </c>
      <c r="QZ52" s="273" t="s">
        <v>1210</v>
      </c>
      <c r="RA52" s="274" t="s">
        <v>1218</v>
      </c>
      <c r="RB52" s="275" t="s">
        <v>1196</v>
      </c>
      <c r="RC52" s="124"/>
      <c r="RJ52" s="316" t="s">
        <v>1220</v>
      </c>
      <c r="RK52" s="271" t="s">
        <v>1207</v>
      </c>
      <c r="RL52" s="272" t="s">
        <v>1208</v>
      </c>
      <c r="RM52" s="273" t="s">
        <v>1209</v>
      </c>
      <c r="RN52" s="273" t="s">
        <v>1210</v>
      </c>
      <c r="RO52" s="274" t="s">
        <v>1218</v>
      </c>
      <c r="RP52" s="275" t="s">
        <v>1196</v>
      </c>
      <c r="RQ52" s="124"/>
      <c r="RX52" s="316" t="s">
        <v>1220</v>
      </c>
      <c r="RY52" s="271" t="s">
        <v>1207</v>
      </c>
      <c r="RZ52" s="272" t="s">
        <v>1208</v>
      </c>
      <c r="SA52" s="273" t="s">
        <v>1209</v>
      </c>
      <c r="SB52" s="273" t="s">
        <v>1210</v>
      </c>
      <c r="SC52" s="274" t="s">
        <v>1218</v>
      </c>
      <c r="SD52" s="275" t="s">
        <v>1196</v>
      </c>
      <c r="SE52" s="124"/>
      <c r="SL52" s="316" t="s">
        <v>1220</v>
      </c>
      <c r="SM52" s="271" t="s">
        <v>1207</v>
      </c>
      <c r="SN52" s="272" t="s">
        <v>1208</v>
      </c>
      <c r="SO52" s="273" t="s">
        <v>1209</v>
      </c>
      <c r="SP52" s="273" t="s">
        <v>1210</v>
      </c>
      <c r="SQ52" s="274" t="s">
        <v>1218</v>
      </c>
      <c r="SR52" s="275" t="s">
        <v>1196</v>
      </c>
      <c r="SS52" s="124"/>
      <c r="SZ52" s="316" t="s">
        <v>1220</v>
      </c>
      <c r="TA52" s="271" t="s">
        <v>1207</v>
      </c>
      <c r="TB52" s="272" t="s">
        <v>1208</v>
      </c>
      <c r="TC52" s="273" t="s">
        <v>1209</v>
      </c>
      <c r="TD52" s="273" t="s">
        <v>1210</v>
      </c>
      <c r="TE52" s="274" t="s">
        <v>1218</v>
      </c>
      <c r="TF52" s="736" t="s">
        <v>1196</v>
      </c>
      <c r="TG52" s="124"/>
      <c r="TM52" s="937"/>
      <c r="TN52" s="725"/>
    </row>
    <row r="53" spans="2:534" ht="18.75" customHeight="1">
      <c r="B53" s="1171" t="s">
        <v>1206</v>
      </c>
      <c r="C53" s="265" t="s">
        <v>1211</v>
      </c>
      <c r="D53" s="268">
        <f>+'Res de Costos Pais'!$D$116</f>
        <v>0.1</v>
      </c>
      <c r="E53" s="267">
        <f>+D53*H50</f>
        <v>17604874.249073125</v>
      </c>
      <c r="F53" s="268">
        <f>+'Res de Costos Pais'!$F$116</f>
        <v>1E-3</v>
      </c>
      <c r="G53" s="990">
        <f>+'Res de Costos Pais'!$G$116</f>
        <v>4</v>
      </c>
      <c r="H53" s="270">
        <f>L53</f>
        <v>17604.874249073127</v>
      </c>
      <c r="I53" s="126"/>
      <c r="J53" s="660">
        <f>+F53</f>
        <v>1E-3</v>
      </c>
      <c r="K53" s="660">
        <f>J53*1</f>
        <v>1E-3</v>
      </c>
      <c r="L53" s="661">
        <f>K53*E53</f>
        <v>17604.874249073127</v>
      </c>
      <c r="M53" s="928">
        <f>+IF(H53=0,0,H53/H$72)</f>
        <v>9.5614386608061574E-5</v>
      </c>
      <c r="N53" s="127"/>
      <c r="P53" s="1171"/>
      <c r="Q53" s="265"/>
      <c r="R53" s="266"/>
      <c r="S53" s="267"/>
      <c r="T53" s="268"/>
      <c r="U53" s="269"/>
      <c r="V53" s="270"/>
      <c r="W53" s="126"/>
      <c r="X53" s="660"/>
      <c r="Y53" s="660"/>
      <c r="Z53" s="661"/>
      <c r="AA53" s="928"/>
      <c r="AB53" s="127"/>
      <c r="AD53" s="1171"/>
      <c r="AE53" s="265"/>
      <c r="AF53" s="266"/>
      <c r="AG53" s="267"/>
      <c r="AH53" s="268"/>
      <c r="AI53" s="269"/>
      <c r="AJ53" s="270"/>
      <c r="AK53" s="126"/>
      <c r="AL53" s="660"/>
      <c r="AM53" s="660"/>
      <c r="AN53" s="661"/>
      <c r="AO53" s="928"/>
      <c r="AP53" s="127"/>
      <c r="AR53" s="1171" t="s">
        <v>1206</v>
      </c>
      <c r="AS53" s="265" t="s">
        <v>1211</v>
      </c>
      <c r="AT53" s="266">
        <v>0.1</v>
      </c>
      <c r="AU53" s="267">
        <f>+AT53*AX50</f>
        <v>0</v>
      </c>
      <c r="AV53" s="268">
        <v>1E-3</v>
      </c>
      <c r="AW53" s="269">
        <v>4</v>
      </c>
      <c r="AX53" s="270">
        <f t="shared" ref="AX53:AX57" si="660">BB53</f>
        <v>0</v>
      </c>
      <c r="AY53" s="126"/>
      <c r="AZ53" s="660">
        <f t="shared" ref="AZ53" si="661">+AV53</f>
        <v>1E-3</v>
      </c>
      <c r="BA53" s="660">
        <f t="shared" ref="BA53" si="662">AZ53*1</f>
        <v>1E-3</v>
      </c>
      <c r="BB53" s="661">
        <f t="shared" ref="BB53:BB57" si="663">BA53*AU53</f>
        <v>0</v>
      </c>
      <c r="BC53" s="928">
        <f>+IF(AX53=0,0,AX53/AX$72)</f>
        <v>0</v>
      </c>
      <c r="BD53" s="127"/>
      <c r="BF53" s="1171" t="s">
        <v>1206</v>
      </c>
      <c r="BG53" s="265" t="s">
        <v>1211</v>
      </c>
      <c r="BH53" s="268">
        <f>+'Res de Costos Pais'!$D$116</f>
        <v>0.1</v>
      </c>
      <c r="BI53" s="267">
        <f>+BH53*BL50</f>
        <v>44495125.653333627</v>
      </c>
      <c r="BJ53" s="268">
        <f>+'Res de Costos Pais'!$F$116</f>
        <v>1E-3</v>
      </c>
      <c r="BK53" s="990">
        <f>+'Res de Costos Pais'!$G$116</f>
        <v>4</v>
      </c>
      <c r="BL53" s="270">
        <f t="shared" ref="BL53:BL57" si="664">BP53</f>
        <v>44495.125653333627</v>
      </c>
      <c r="BM53" s="126"/>
      <c r="BN53" s="660">
        <f t="shared" ref="BN53" si="665">+BJ53</f>
        <v>1E-3</v>
      </c>
      <c r="BO53" s="660">
        <f t="shared" ref="BO53" si="666">BN53*1</f>
        <v>1E-3</v>
      </c>
      <c r="BP53" s="661">
        <f t="shared" ref="BP53:BP57" si="667">BO53*BI53</f>
        <v>44495.125653333627</v>
      </c>
      <c r="BQ53" s="928">
        <f>+IF(BL53=0,0,BL53/BL$72)</f>
        <v>9.5592418637508586E-5</v>
      </c>
      <c r="BR53" s="127"/>
      <c r="BT53" s="1171" t="s">
        <v>1206</v>
      </c>
      <c r="BU53" s="265" t="s">
        <v>1211</v>
      </c>
      <c r="BV53" s="266">
        <v>0.1</v>
      </c>
      <c r="BW53" s="267">
        <f t="shared" ref="BW53" si="668">+BV53*BZ50</f>
        <v>0</v>
      </c>
      <c r="BX53" s="268">
        <v>1E-3</v>
      </c>
      <c r="BY53" s="269">
        <v>4</v>
      </c>
      <c r="BZ53" s="270">
        <f t="shared" ref="BZ53:BZ57" si="669">CD53</f>
        <v>0</v>
      </c>
      <c r="CA53" s="126"/>
      <c r="CB53" s="660">
        <f t="shared" ref="CB53" si="670">+BX53</f>
        <v>1E-3</v>
      </c>
      <c r="CC53" s="660">
        <f t="shared" ref="CC53" si="671">CB53*1</f>
        <v>1E-3</v>
      </c>
      <c r="CD53" s="661">
        <f t="shared" ref="CD53:CD57" si="672">CC53*BW53</f>
        <v>0</v>
      </c>
      <c r="CE53" s="928">
        <f>+IF(BZ53=0,0,BZ53/BZ$72)</f>
        <v>0</v>
      </c>
      <c r="CF53" s="127"/>
      <c r="CH53" s="1171" t="s">
        <v>1206</v>
      </c>
      <c r="CI53" s="265" t="s">
        <v>1211</v>
      </c>
      <c r="CJ53" s="268">
        <f>+'Res de Costos Pais'!$D$116</f>
        <v>0.1</v>
      </c>
      <c r="CK53" s="267">
        <f>+CJ53*CN50</f>
        <v>2467782.2820757171</v>
      </c>
      <c r="CL53" s="268">
        <f>+'Res de Costos Pais'!$F$116</f>
        <v>1E-3</v>
      </c>
      <c r="CM53" s="990">
        <f>+'Res de Costos Pais'!$G$116</f>
        <v>4</v>
      </c>
      <c r="CN53" s="270">
        <f t="shared" ref="CN53:CN57" si="673">CR53</f>
        <v>2467.7822820757174</v>
      </c>
      <c r="CO53" s="126"/>
      <c r="CP53" s="660">
        <f t="shared" ref="CP53" si="674">+CL53</f>
        <v>1E-3</v>
      </c>
      <c r="CQ53" s="660">
        <f t="shared" ref="CQ53" si="675">CP53*1</f>
        <v>1E-3</v>
      </c>
      <c r="CR53" s="661">
        <f t="shared" ref="CR53:CR57" si="676">CQ53*CK53</f>
        <v>2467.7822820757174</v>
      </c>
      <c r="CS53" s="928">
        <f>+IF(CN53=0,0,CN53/CN$72)</f>
        <v>9.5590250046594607E-5</v>
      </c>
      <c r="CT53" s="127"/>
      <c r="CV53" s="1171" t="s">
        <v>1206</v>
      </c>
      <c r="CW53" s="265" t="s">
        <v>1211</v>
      </c>
      <c r="CX53" s="268">
        <f>+'Res de Costos Pais'!$D$116</f>
        <v>0.1</v>
      </c>
      <c r="CY53" s="267">
        <f>+CX53*DB50</f>
        <v>35603356.519128866</v>
      </c>
      <c r="CZ53" s="268">
        <f>+'Res de Costos Pais'!$F$116</f>
        <v>1E-3</v>
      </c>
      <c r="DA53" s="990">
        <f>+'Res de Costos Pais'!$G$116</f>
        <v>4</v>
      </c>
      <c r="DB53" s="270">
        <f t="shared" ref="DB53:DB57" si="677">DF53</f>
        <v>35603.356519128865</v>
      </c>
      <c r="DC53" s="126"/>
      <c r="DD53" s="660">
        <f t="shared" ref="DD53" si="678">+CZ53</f>
        <v>1E-3</v>
      </c>
      <c r="DE53" s="660">
        <f t="shared" ref="DE53" si="679">DD53*1</f>
        <v>1E-3</v>
      </c>
      <c r="DF53" s="661">
        <f t="shared" ref="DF53:DF57" si="680">DE53*CY53</f>
        <v>35603.356519128865</v>
      </c>
      <c r="DG53" s="928">
        <f>+IF(DB53=0,0,DB53/DB$72)</f>
        <v>9.5717618139072729E-5</v>
      </c>
      <c r="DH53" s="127"/>
      <c r="DJ53" s="1171" t="s">
        <v>1206</v>
      </c>
      <c r="DK53" s="265" t="s">
        <v>1211</v>
      </c>
      <c r="DL53" s="268">
        <f>+'Res de Costos Pais'!$D$116</f>
        <v>0.1</v>
      </c>
      <c r="DM53" s="267">
        <f>+DL53*DP50</f>
        <v>2782900.015434213</v>
      </c>
      <c r="DN53" s="268">
        <f>+'Res de Costos Pais'!$F$116</f>
        <v>1E-3</v>
      </c>
      <c r="DO53" s="990">
        <f>+'Res de Costos Pais'!$G$116</f>
        <v>4</v>
      </c>
      <c r="DP53" s="270">
        <f t="shared" ref="DP53:DP57" si="681">DT53</f>
        <v>2782.9000154342129</v>
      </c>
      <c r="DQ53" s="126"/>
      <c r="DR53" s="660">
        <f t="shared" ref="DR53" si="682">+DN53</f>
        <v>1E-3</v>
      </c>
      <c r="DS53" s="660">
        <f t="shared" ref="DS53" si="683">DR53*1</f>
        <v>1E-3</v>
      </c>
      <c r="DT53" s="661">
        <f t="shared" ref="DT53:DT57" si="684">DS53*DM53</f>
        <v>2782.9000154342129</v>
      </c>
      <c r="DU53" s="928">
        <f>+IF(DP53=0,0,DP53/DP$72)</f>
        <v>9.5736063676299591E-5</v>
      </c>
      <c r="DV53" s="127"/>
      <c r="DX53" s="1171" t="s">
        <v>1206</v>
      </c>
      <c r="DY53" s="265" t="s">
        <v>1211</v>
      </c>
      <c r="DZ53" s="268">
        <f>+'Res de Costos Pais'!$D$116</f>
        <v>0.1</v>
      </c>
      <c r="EA53" s="267">
        <f>+DZ53*ED50</f>
        <v>13088493.862674139</v>
      </c>
      <c r="EB53" s="268">
        <f>+'Res de Costos Pais'!$F$116</f>
        <v>1E-3</v>
      </c>
      <c r="EC53" s="990">
        <f>+'Res de Costos Pais'!$G$116</f>
        <v>4</v>
      </c>
      <c r="ED53" s="270">
        <f t="shared" ref="ED53:ED57" si="685">EH53</f>
        <v>13088.49386267414</v>
      </c>
      <c r="EE53" s="126"/>
      <c r="EF53" s="660">
        <f t="shared" ref="EF53" si="686">+EB53</f>
        <v>1E-3</v>
      </c>
      <c r="EG53" s="660">
        <f t="shared" ref="EG53" si="687">EF53*1</f>
        <v>1E-3</v>
      </c>
      <c r="EH53" s="661">
        <f t="shared" ref="EH53:EH57" si="688">EG53*EA53</f>
        <v>13088.49386267414</v>
      </c>
      <c r="EI53" s="928">
        <f>+IF(ED53=0,0,ED53/ED$72)</f>
        <v>9.5663942892320762E-5</v>
      </c>
      <c r="EJ53" s="127"/>
      <c r="EL53" s="1171" t="s">
        <v>1206</v>
      </c>
      <c r="EM53" s="265" t="s">
        <v>1211</v>
      </c>
      <c r="EN53" s="268">
        <f>+'Res de Costos Pais'!$D$116</f>
        <v>0.1</v>
      </c>
      <c r="EO53" s="267">
        <f>+EN53*ER50</f>
        <v>22247562.826666813</v>
      </c>
      <c r="EP53" s="268">
        <f>+'Res de Costos Pais'!$F$116</f>
        <v>1E-3</v>
      </c>
      <c r="EQ53" s="990">
        <f>+'Res de Costos Pais'!$G$116</f>
        <v>4</v>
      </c>
      <c r="ER53" s="270">
        <f t="shared" ref="ER53:ER57" si="689">EV53</f>
        <v>22247.562826666814</v>
      </c>
      <c r="ES53" s="928" t="e">
        <f>+IF(EN53=0,0,EN53/EN$72)</f>
        <v>#DIV/0!</v>
      </c>
      <c r="ET53" s="660">
        <f t="shared" ref="ET53" si="690">+EP53</f>
        <v>1E-3</v>
      </c>
      <c r="EU53" s="660">
        <f t="shared" ref="EU53" si="691">ET53*1</f>
        <v>1E-3</v>
      </c>
      <c r="EV53" s="661">
        <f t="shared" ref="EV53:EV57" si="692">EU53*EO53</f>
        <v>22247.562826666814</v>
      </c>
      <c r="EW53" s="928">
        <f>+IF(ER53=0,0,ER53/ER$72)</f>
        <v>9.5592418637508586E-5</v>
      </c>
      <c r="EX53" s="127"/>
      <c r="EZ53" s="1171" t="s">
        <v>1206</v>
      </c>
      <c r="FA53" s="265" t="s">
        <v>1211</v>
      </c>
      <c r="FB53" s="266">
        <v>0.1</v>
      </c>
      <c r="FC53" s="267">
        <f t="shared" ref="FC53" si="693">+FB53*FF50</f>
        <v>0</v>
      </c>
      <c r="FD53" s="268">
        <v>1E-3</v>
      </c>
      <c r="FE53" s="269">
        <v>4</v>
      </c>
      <c r="FF53" s="270">
        <f t="shared" ref="FF53:FF57" si="694">FJ53</f>
        <v>0</v>
      </c>
      <c r="FG53" s="126"/>
      <c r="FH53" s="660">
        <f t="shared" ref="FH53" si="695">+FD53</f>
        <v>1E-3</v>
      </c>
      <c r="FI53" s="660">
        <f t="shared" ref="FI53" si="696">FH53*1</f>
        <v>1E-3</v>
      </c>
      <c r="FJ53" s="661">
        <f t="shared" ref="FJ53:FJ57" si="697">FI53*FC53</f>
        <v>0</v>
      </c>
      <c r="FK53" s="928">
        <f>+IF(FF53=0,0,FF53/FF$72)</f>
        <v>0</v>
      </c>
      <c r="FL53" s="127"/>
      <c r="FN53" s="1171" t="s">
        <v>1206</v>
      </c>
      <c r="FO53" s="265" t="s">
        <v>1211</v>
      </c>
      <c r="FP53" s="268">
        <f>+'Res de Costos Pais'!$D$116</f>
        <v>0.1</v>
      </c>
      <c r="FQ53" s="267">
        <f>+FP53*FT50</f>
        <v>30510394.027904987</v>
      </c>
      <c r="FR53" s="268">
        <f>+'Res de Costos Pais'!$F$116</f>
        <v>1E-3</v>
      </c>
      <c r="FS53" s="990">
        <f>+'Res de Costos Pais'!$G$116</f>
        <v>4</v>
      </c>
      <c r="FT53" s="270">
        <f t="shared" ref="FT53:FT57" si="698">FX53</f>
        <v>30510.394027904989</v>
      </c>
      <c r="FU53" s="126"/>
      <c r="FV53" s="660">
        <f t="shared" ref="FV53" si="699">+FR53</f>
        <v>1E-3</v>
      </c>
      <c r="FW53" s="660">
        <f t="shared" ref="FW53" si="700">FV53*1</f>
        <v>1E-3</v>
      </c>
      <c r="FX53" s="661">
        <f t="shared" ref="FX53:FX57" si="701">FW53*FQ53</f>
        <v>30510.394027904989</v>
      </c>
      <c r="FY53" s="928">
        <f>+IF(FT53=0,0,FT53/FT$72)</f>
        <v>9.6203948741165003E-5</v>
      </c>
      <c r="FZ53" s="127"/>
      <c r="GB53" s="1171" t="s">
        <v>1206</v>
      </c>
      <c r="GC53" s="265" t="s">
        <v>1211</v>
      </c>
      <c r="GD53" s="268">
        <f>+'Res de Costos Pais'!$D$116</f>
        <v>0.1</v>
      </c>
      <c r="GE53" s="267">
        <f>+GD53*GH50</f>
        <v>14416458.610467825</v>
      </c>
      <c r="GF53" s="268">
        <f>+'Res de Costos Pais'!$F$116</f>
        <v>1E-3</v>
      </c>
      <c r="GG53" s="990">
        <f>+'Res de Costos Pais'!$G$116</f>
        <v>4</v>
      </c>
      <c r="GH53" s="270">
        <f t="shared" ref="GH53:GH57" si="702">GL53</f>
        <v>14416.458610467826</v>
      </c>
      <c r="GI53" s="126"/>
      <c r="GJ53" s="660">
        <f t="shared" ref="GJ53" si="703">+GF53</f>
        <v>1E-3</v>
      </c>
      <c r="GK53" s="660">
        <f t="shared" ref="GK53" si="704">GJ53*1</f>
        <v>1E-3</v>
      </c>
      <c r="GL53" s="661">
        <f t="shared" ref="GL53:GL57" si="705">GK53*GE53</f>
        <v>14416.458610467826</v>
      </c>
      <c r="GM53" s="928">
        <f>+IF(GH53=0,0,GH53/GH$72)</f>
        <v>9.5555458756315937E-5</v>
      </c>
      <c r="GN53" s="127"/>
      <c r="GP53" s="1171" t="s">
        <v>1206</v>
      </c>
      <c r="GQ53" s="265" t="s">
        <v>1211</v>
      </c>
      <c r="GR53" s="266">
        <v>0.1</v>
      </c>
      <c r="GS53" s="267">
        <f t="shared" ref="GS53" si="706">+GR53*GV50</f>
        <v>0</v>
      </c>
      <c r="GT53" s="268">
        <v>1E-3</v>
      </c>
      <c r="GU53" s="269">
        <v>4</v>
      </c>
      <c r="GV53" s="270">
        <f t="shared" ref="GV53:GV57" si="707">GZ53</f>
        <v>0</v>
      </c>
      <c r="GW53" s="126"/>
      <c r="GX53" s="660">
        <f t="shared" ref="GX53" si="708">+GT53</f>
        <v>1E-3</v>
      </c>
      <c r="GY53" s="660">
        <f t="shared" ref="GY53" si="709">GX53*1</f>
        <v>1E-3</v>
      </c>
      <c r="GZ53" s="661">
        <f t="shared" ref="GZ53:GZ57" si="710">GY53*GS53</f>
        <v>0</v>
      </c>
      <c r="HA53" s="928">
        <f>+IF(GV53=0,0,GV53/GV$72)</f>
        <v>0</v>
      </c>
      <c r="HB53" s="127"/>
      <c r="HD53" s="1171" t="s">
        <v>1206</v>
      </c>
      <c r="HE53" s="265" t="s">
        <v>1211</v>
      </c>
      <c r="HF53" s="268">
        <f>+'Res de Costos Pais'!$D$116</f>
        <v>0.1</v>
      </c>
      <c r="HG53" s="267">
        <f>+HF53*HJ50</f>
        <v>7415854.2755556023</v>
      </c>
      <c r="HH53" s="268">
        <f>+'Res de Costos Pais'!$F$116</f>
        <v>1E-3</v>
      </c>
      <c r="HI53" s="990">
        <f>+'Res de Costos Pais'!$G$116</f>
        <v>4</v>
      </c>
      <c r="HJ53" s="270">
        <f t="shared" ref="HJ53:HJ57" si="711">HN53</f>
        <v>7415.8542755556027</v>
      </c>
      <c r="HK53" s="126"/>
      <c r="HL53" s="660">
        <f t="shared" ref="HL53" si="712">+HH53</f>
        <v>1E-3</v>
      </c>
      <c r="HM53" s="660">
        <f t="shared" ref="HM53" si="713">HL53*1</f>
        <v>1E-3</v>
      </c>
      <c r="HN53" s="661">
        <f t="shared" ref="HN53:HN57" si="714">HM53*HG53</f>
        <v>7415.8542755556027</v>
      </c>
      <c r="HO53" s="928">
        <f>+IF(HJ53=0,0,HJ53/HJ$72)</f>
        <v>9.55924186375086E-5</v>
      </c>
      <c r="HP53" s="127"/>
      <c r="HR53" s="1171" t="s">
        <v>1206</v>
      </c>
      <c r="HS53" s="265" t="s">
        <v>1211</v>
      </c>
      <c r="HT53" s="268">
        <f>+'Res de Costos Pais'!$D$116</f>
        <v>0.1</v>
      </c>
      <c r="HU53" s="267">
        <f>+HT53*HX50</f>
        <v>28289177.895858176</v>
      </c>
      <c r="HV53" s="268">
        <f>+'Res de Costos Pais'!$F$116</f>
        <v>1E-3</v>
      </c>
      <c r="HW53" s="990">
        <f>+'Res de Costos Pais'!$G$116</f>
        <v>4</v>
      </c>
      <c r="HX53" s="270">
        <f t="shared" ref="HX53:HX57" si="715">IB53</f>
        <v>28289.177895858178</v>
      </c>
      <c r="HY53" s="928" t="e">
        <f t="shared" ref="HY53:HY57" si="716">+IF(HT53=0,0,HT53/HT$70)</f>
        <v>#DIV/0!</v>
      </c>
      <c r="HZ53" s="660">
        <f t="shared" ref="HZ53" si="717">+HV53</f>
        <v>1E-3</v>
      </c>
      <c r="IA53" s="660">
        <f t="shared" ref="IA53" si="718">HZ53*1</f>
        <v>1E-3</v>
      </c>
      <c r="IB53" s="661">
        <f t="shared" ref="IB53:IB57" si="719">IA53*HU53</f>
        <v>28289.177895858178</v>
      </c>
      <c r="IC53" s="928">
        <f>+IF(HX53=0,0,HX53/HX$72)</f>
        <v>9.564225450835641E-5</v>
      </c>
      <c r="ID53" s="127"/>
      <c r="IF53" s="1171"/>
      <c r="IG53" s="265"/>
      <c r="IH53" s="266"/>
      <c r="II53" s="267"/>
      <c r="IJ53" s="268"/>
      <c r="IK53" s="269"/>
      <c r="IL53" s="270"/>
      <c r="IM53" s="126"/>
      <c r="IN53" s="660"/>
      <c r="IO53" s="660"/>
      <c r="IP53" s="661"/>
      <c r="IQ53" s="928"/>
      <c r="IR53" s="127"/>
      <c r="IT53" s="1171"/>
      <c r="IU53" s="265"/>
      <c r="IV53" s="266"/>
      <c r="IW53" s="267"/>
      <c r="IX53" s="268"/>
      <c r="IY53" s="269"/>
      <c r="IZ53" s="270"/>
      <c r="JA53" s="126"/>
      <c r="JB53" s="660"/>
      <c r="JC53" s="660"/>
      <c r="JD53" s="661"/>
      <c r="JE53" s="928"/>
      <c r="JF53" s="127"/>
      <c r="JH53" s="1171" t="s">
        <v>1206</v>
      </c>
      <c r="JI53" s="265" t="s">
        <v>1211</v>
      </c>
      <c r="JJ53" s="268">
        <f>+'Res de Costos Pais'!$D$116</f>
        <v>0.1</v>
      </c>
      <c r="JK53" s="267">
        <f>+JJ53*JN50</f>
        <v>41020311.824105211</v>
      </c>
      <c r="JL53" s="268">
        <f>+'Res de Costos Pais'!$F$116</f>
        <v>1E-3</v>
      </c>
      <c r="JM53" s="990">
        <f>+'Res de Costos Pais'!$G$116</f>
        <v>4</v>
      </c>
      <c r="JN53" s="270">
        <f t="shared" ref="JN53:JN57" si="720">JR53</f>
        <v>41020.311824105214</v>
      </c>
      <c r="JO53" s="126"/>
      <c r="JP53" s="660">
        <f t="shared" ref="JP53" si="721">+JL53</f>
        <v>1E-3</v>
      </c>
      <c r="JQ53" s="660">
        <f t="shared" ref="JQ53" si="722">JP53*1</f>
        <v>1E-3</v>
      </c>
      <c r="JR53" s="661">
        <f t="shared" ref="JR53:JR57" si="723">JQ53*JK53</f>
        <v>41020.311824105214</v>
      </c>
      <c r="JS53" s="928">
        <f>+IF(JN53=0,0,JN53/JN$72)</f>
        <v>9.571590531935609E-5</v>
      </c>
      <c r="JT53" s="127"/>
      <c r="JV53" s="1171" t="s">
        <v>1206</v>
      </c>
      <c r="JW53" s="265" t="s">
        <v>1211</v>
      </c>
      <c r="JX53" s="268">
        <f>+'Res de Costos Pais'!$D$116</f>
        <v>0.1</v>
      </c>
      <c r="JY53" s="267">
        <f>+JX53*KB50</f>
        <v>16868075.515611406</v>
      </c>
      <c r="JZ53" s="268">
        <f>+'Res de Costos Pais'!$F$116</f>
        <v>1E-3</v>
      </c>
      <c r="KA53" s="990">
        <f>+'Res de Costos Pais'!$G$116</f>
        <v>4</v>
      </c>
      <c r="KB53" s="270">
        <f t="shared" ref="KB53:KB57" si="724">KF53</f>
        <v>16868.075515611406</v>
      </c>
      <c r="KC53" s="126"/>
      <c r="KD53" s="660">
        <f t="shared" ref="KD53" si="725">+JZ53</f>
        <v>1E-3</v>
      </c>
      <c r="KE53" s="660">
        <f t="shared" ref="KE53" si="726">KD53*1</f>
        <v>1E-3</v>
      </c>
      <c r="KF53" s="661">
        <f t="shared" ref="KF53:KF57" si="727">KE53*JY53</f>
        <v>16868.075515611406</v>
      </c>
      <c r="KG53" s="928">
        <f>+IF(KB53=0,0,KB53/KB$72)</f>
        <v>9.5653366872442108E-5</v>
      </c>
      <c r="KH53" s="127"/>
      <c r="KJ53" s="1171" t="s">
        <v>1206</v>
      </c>
      <c r="KK53" s="265" t="s">
        <v>1211</v>
      </c>
      <c r="KL53" s="266">
        <v>0.1</v>
      </c>
      <c r="KM53" s="267">
        <f t="shared" ref="KM53" si="728">+KL53*KP50</f>
        <v>0</v>
      </c>
      <c r="KN53" s="268">
        <v>1E-3</v>
      </c>
      <c r="KO53" s="269">
        <v>4</v>
      </c>
      <c r="KP53" s="270">
        <f t="shared" ref="KP53:KP57" si="729">KT53</f>
        <v>0</v>
      </c>
      <c r="KQ53" s="126"/>
      <c r="KR53" s="660">
        <f t="shared" ref="KR53" si="730">+KN53</f>
        <v>1E-3</v>
      </c>
      <c r="KS53" s="660">
        <f t="shared" ref="KS53" si="731">KR53*1</f>
        <v>1E-3</v>
      </c>
      <c r="KT53" s="661">
        <f t="shared" ref="KT53:KT57" si="732">KS53*KM53</f>
        <v>0</v>
      </c>
      <c r="KU53" s="928">
        <f>+IF(KP53=0,0,KP53/KP$72)</f>
        <v>0</v>
      </c>
      <c r="KV53" s="127"/>
      <c r="KX53" s="1171" t="s">
        <v>1206</v>
      </c>
      <c r="KY53" s="265" t="s">
        <v>1211</v>
      </c>
      <c r="KZ53" s="266">
        <v>0.1</v>
      </c>
      <c r="LA53" s="267">
        <f t="shared" ref="LA53" si="733">+KZ53*LD50</f>
        <v>0</v>
      </c>
      <c r="LB53" s="268">
        <v>1E-3</v>
      </c>
      <c r="LC53" s="269">
        <v>4</v>
      </c>
      <c r="LD53" s="270">
        <f t="shared" ref="LD53:LD57" si="734">LH53</f>
        <v>0</v>
      </c>
      <c r="LE53" s="126"/>
      <c r="LF53" s="660">
        <f t="shared" ref="LF53" si="735">+LB53</f>
        <v>1E-3</v>
      </c>
      <c r="LG53" s="660">
        <f t="shared" ref="LG53" si="736">LF53*1</f>
        <v>1E-3</v>
      </c>
      <c r="LH53" s="661">
        <f t="shared" ref="LH53:LH57" si="737">LG53*LA53</f>
        <v>0</v>
      </c>
      <c r="LI53" s="928">
        <f>+IF(LD53=0,0,LD53/LD$72)</f>
        <v>0</v>
      </c>
      <c r="LJ53" s="127"/>
      <c r="LL53" s="1171" t="s">
        <v>1206</v>
      </c>
      <c r="LM53" s="265" t="s">
        <v>1211</v>
      </c>
      <c r="LN53" s="266">
        <v>0.1</v>
      </c>
      <c r="LO53" s="267">
        <f t="shared" ref="LO53" si="738">+LN53*LR50</f>
        <v>0</v>
      </c>
      <c r="LP53" s="268">
        <v>1E-3</v>
      </c>
      <c r="LQ53" s="269">
        <v>4</v>
      </c>
      <c r="LR53" s="270">
        <f t="shared" ref="LR53:LR57" si="739">LV53</f>
        <v>0</v>
      </c>
      <c r="LS53" s="126"/>
      <c r="LT53" s="660">
        <f t="shared" ref="LT53" si="740">+LP53</f>
        <v>1E-3</v>
      </c>
      <c r="LU53" s="660">
        <f t="shared" ref="LU53" si="741">LT53*1</f>
        <v>1E-3</v>
      </c>
      <c r="LV53" s="661">
        <f t="shared" ref="LV53:LV57" si="742">LU53*LO53</f>
        <v>0</v>
      </c>
      <c r="LW53" s="928">
        <f>+IF(LR53=0,0,LR53/LR$72)</f>
        <v>0</v>
      </c>
      <c r="LX53" s="127"/>
      <c r="LZ53" s="1171" t="s">
        <v>1206</v>
      </c>
      <c r="MA53" s="265" t="s">
        <v>1211</v>
      </c>
      <c r="MB53" s="268">
        <f>+'Res de Costos Pais'!$D$116</f>
        <v>0.1</v>
      </c>
      <c r="MC53" s="267">
        <f>+MB53*MF50</f>
        <v>11779644.476406723</v>
      </c>
      <c r="MD53" s="268">
        <f>+'Res de Costos Pais'!$F$116</f>
        <v>1E-3</v>
      </c>
      <c r="ME53" s="990">
        <f>+'Res de Costos Pais'!$G$116</f>
        <v>4</v>
      </c>
      <c r="MF53" s="270">
        <f t="shared" ref="MF53:MF57" si="743">MJ53</f>
        <v>11779.644476406724</v>
      </c>
      <c r="MG53" s="126"/>
      <c r="MH53" s="660">
        <f t="shared" ref="MH53" si="744">+MD53</f>
        <v>1E-3</v>
      </c>
      <c r="MI53" s="660">
        <f t="shared" ref="MI53" si="745">MH53*1</f>
        <v>1E-3</v>
      </c>
      <c r="MJ53" s="661">
        <f t="shared" ref="MJ53:MJ57" si="746">MI53*MC53</f>
        <v>11779.644476406724</v>
      </c>
      <c r="MK53" s="928">
        <f>+IF(MF53=0,0,MF53/MF$72)</f>
        <v>9.5663942892320762E-5</v>
      </c>
      <c r="ML53" s="127"/>
      <c r="MN53" s="1171" t="s">
        <v>1206</v>
      </c>
      <c r="MO53" s="265" t="s">
        <v>1211</v>
      </c>
      <c r="MP53" s="268">
        <f>+'Res de Costos Pais'!$D$116</f>
        <v>0.1</v>
      </c>
      <c r="MQ53" s="267">
        <f>+MP53*MT50</f>
        <v>15336629.682970706</v>
      </c>
      <c r="MR53" s="268">
        <f>+'Res de Costos Pais'!$F$116</f>
        <v>1E-3</v>
      </c>
      <c r="MS53" s="990">
        <f>+'Res de Costos Pais'!$G$116</f>
        <v>4</v>
      </c>
      <c r="MT53" s="270">
        <f t="shared" ref="MT53:MT57" si="747">MX53</f>
        <v>15336.629682970706</v>
      </c>
      <c r="MU53" s="126"/>
      <c r="MV53" s="660">
        <f t="shared" ref="MV53" si="748">+MR53</f>
        <v>1E-3</v>
      </c>
      <c r="MW53" s="660">
        <f t="shared" ref="MW53" si="749">MV53*1</f>
        <v>1E-3</v>
      </c>
      <c r="MX53" s="661">
        <f t="shared" ref="MX53:MX57" si="750">MW53*MQ53</f>
        <v>15336.629682970706</v>
      </c>
      <c r="MY53" s="928">
        <f>+IF(MT53=0,0,MT53/MT$72)</f>
        <v>9.5634698462771466E-5</v>
      </c>
      <c r="MZ53" s="127"/>
      <c r="NB53" s="1171" t="s">
        <v>1206</v>
      </c>
      <c r="NC53" s="265" t="s">
        <v>1211</v>
      </c>
      <c r="ND53" s="268">
        <f>+'Res de Costos Pais'!$D$116</f>
        <v>0.1</v>
      </c>
      <c r="NE53" s="267">
        <f>+ND53*NH50</f>
        <v>17023950.480578858</v>
      </c>
      <c r="NF53" s="268">
        <f>+'Res de Costos Pais'!$F$116</f>
        <v>1E-3</v>
      </c>
      <c r="NG53" s="990">
        <f>+'Res de Costos Pais'!$G$116</f>
        <v>4</v>
      </c>
      <c r="NH53" s="270">
        <f t="shared" ref="NH53:NH57" si="751">NL53</f>
        <v>17023.95048057886</v>
      </c>
      <c r="NI53" s="126"/>
      <c r="NJ53" s="660">
        <f t="shared" ref="NJ53" si="752">+NF53</f>
        <v>1E-3</v>
      </c>
      <c r="NK53" s="660">
        <f t="shared" ref="NK53" si="753">NJ53*1</f>
        <v>1E-3</v>
      </c>
      <c r="NL53" s="661">
        <f t="shared" ref="NL53:NL57" si="754">NK53*NE53</f>
        <v>17023.95048057886</v>
      </c>
      <c r="NM53" s="928">
        <f>+IF(NH53=0,0,NH53/NH$72)</f>
        <v>9.5571332425010638E-5</v>
      </c>
      <c r="NN53" s="127"/>
      <c r="NP53" s="1171" t="s">
        <v>1206</v>
      </c>
      <c r="NQ53" s="265" t="s">
        <v>1211</v>
      </c>
      <c r="NR53" s="268">
        <f>+'Res de Costos Pais'!$D$116</f>
        <v>0.1</v>
      </c>
      <c r="NS53" s="267">
        <f>+NR53*NV50</f>
        <v>40020498.680501111</v>
      </c>
      <c r="NT53" s="268">
        <f>+'Res de Costos Pais'!$F$116</f>
        <v>1E-3</v>
      </c>
      <c r="NU53" s="990">
        <f>+'Res de Costos Pais'!$G$116</f>
        <v>4</v>
      </c>
      <c r="NV53" s="270">
        <f t="shared" ref="NV53:NV57" si="755">NZ53</f>
        <v>40020.498680501114</v>
      </c>
      <c r="NW53" s="126"/>
      <c r="NX53" s="660">
        <f t="shared" ref="NX53" si="756">+NT53</f>
        <v>1E-3</v>
      </c>
      <c r="NY53" s="660">
        <f t="shared" ref="NY53" si="757">NX53*1</f>
        <v>1E-3</v>
      </c>
      <c r="NZ53" s="661">
        <f t="shared" ref="NZ53:NZ57" si="758">NY53*NS53</f>
        <v>40020.498680501114</v>
      </c>
      <c r="OA53" s="928">
        <f>+IF(NV53=0,0,NV53/NV$72)</f>
        <v>9.6246212122474831E-5</v>
      </c>
      <c r="OB53" s="127"/>
      <c r="OD53" s="1171" t="s">
        <v>1206</v>
      </c>
      <c r="OE53" s="265" t="s">
        <v>1211</v>
      </c>
      <c r="OF53" s="268">
        <f>+'Res de Costos Pais'!$D$116</f>
        <v>0.1</v>
      </c>
      <c r="OG53" s="267">
        <f>+OF53*OJ50</f>
        <v>7278151.3310468113</v>
      </c>
      <c r="OH53" s="268">
        <f>+'Res de Costos Pais'!$F$116</f>
        <v>1E-3</v>
      </c>
      <c r="OI53" s="990">
        <f>+'Res de Costos Pais'!$G$116</f>
        <v>4</v>
      </c>
      <c r="OJ53" s="270">
        <f t="shared" ref="OJ53:OJ57" si="759">ON53</f>
        <v>7278.1513310468117</v>
      </c>
      <c r="OK53" s="126"/>
      <c r="OL53" s="660">
        <f t="shared" ref="OL53" si="760">+OH53</f>
        <v>1E-3</v>
      </c>
      <c r="OM53" s="660">
        <f t="shared" ref="OM53" si="761">OL53*1</f>
        <v>1E-3</v>
      </c>
      <c r="ON53" s="661">
        <f t="shared" ref="ON53:ON57" si="762">OM53*OG53</f>
        <v>7278.1513310468117</v>
      </c>
      <c r="OO53" s="928">
        <f>+IF(OJ53=0,0,OJ53/OJ$72)</f>
        <v>9.6005892410763315E-5</v>
      </c>
      <c r="OP53" s="127"/>
      <c r="OR53" s="1171" t="s">
        <v>1206</v>
      </c>
      <c r="OS53" s="265" t="s">
        <v>1211</v>
      </c>
      <c r="OT53" s="268">
        <f>+'Res de Costos Pais'!$D$116</f>
        <v>0.1</v>
      </c>
      <c r="OU53" s="267">
        <f>+OT53*OX50</f>
        <v>28775627.259256627</v>
      </c>
      <c r="OV53" s="268">
        <f>+'Res de Costos Pais'!$F$116</f>
        <v>1E-3</v>
      </c>
      <c r="OW53" s="990">
        <f>+'Res de Costos Pais'!$G$116</f>
        <v>4</v>
      </c>
      <c r="OX53" s="270">
        <f t="shared" ref="OX53:OX57" si="763">PB53</f>
        <v>28775.627259256627</v>
      </c>
      <c r="OY53" s="126"/>
      <c r="OZ53" s="660">
        <f t="shared" ref="OZ53" si="764">+OV53</f>
        <v>1E-3</v>
      </c>
      <c r="PA53" s="660">
        <f t="shared" ref="PA53" si="765">OZ53*1</f>
        <v>1E-3</v>
      </c>
      <c r="PB53" s="661">
        <f t="shared" ref="PB53:PB57" si="766">PA53*OU53</f>
        <v>28775.627259256627</v>
      </c>
      <c r="PC53" s="928">
        <f>+IF(OX53=0,0,OX53/OX$72)</f>
        <v>9.5773701016768159E-5</v>
      </c>
      <c r="PD53" s="127"/>
      <c r="PF53" s="1171" t="s">
        <v>1206</v>
      </c>
      <c r="PG53" s="265" t="s">
        <v>1211</v>
      </c>
      <c r="PH53" s="266">
        <v>0.1</v>
      </c>
      <c r="PI53" s="267">
        <f t="shared" ref="PI53" si="767">+PH53*PL50</f>
        <v>0</v>
      </c>
      <c r="PJ53" s="268">
        <v>1E-3</v>
      </c>
      <c r="PK53" s="269">
        <v>4</v>
      </c>
      <c r="PL53" s="270">
        <f t="shared" ref="PL53:PL57" si="768">PP53</f>
        <v>0</v>
      </c>
      <c r="PM53" s="126"/>
      <c r="PN53" s="660">
        <f t="shared" ref="PN53" si="769">+PJ53</f>
        <v>1E-3</v>
      </c>
      <c r="PO53" s="660">
        <f t="shared" ref="PO53" si="770">PN53*1</f>
        <v>1E-3</v>
      </c>
      <c r="PP53" s="661">
        <f t="shared" ref="PP53:PP57" si="771">PO53*PI53</f>
        <v>0</v>
      </c>
      <c r="PQ53" s="928">
        <f>+IF(PL53=0,0,PL53/PL$72)</f>
        <v>0</v>
      </c>
      <c r="PR53" s="127"/>
      <c r="PT53" s="1171" t="s">
        <v>1206</v>
      </c>
      <c r="PU53" s="265" t="s">
        <v>1211</v>
      </c>
      <c r="PV53" s="266">
        <v>0.1</v>
      </c>
      <c r="PW53" s="267">
        <f t="shared" ref="PW53" si="772">+PV53*PZ50</f>
        <v>0</v>
      </c>
      <c r="PX53" s="268">
        <v>1E-3</v>
      </c>
      <c r="PY53" s="269">
        <v>4</v>
      </c>
      <c r="PZ53" s="270">
        <f t="shared" ref="PZ53:PZ57" si="773">QD53</f>
        <v>0</v>
      </c>
      <c r="QA53" s="126"/>
      <c r="QB53" s="660">
        <f t="shared" ref="QB53" si="774">+PX53</f>
        <v>1E-3</v>
      </c>
      <c r="QC53" s="660">
        <f t="shared" ref="QC53" si="775">QB53*1</f>
        <v>1E-3</v>
      </c>
      <c r="QD53" s="661">
        <f t="shared" ref="QD53:QD57" si="776">QC53*PW53</f>
        <v>0</v>
      </c>
      <c r="QE53" s="928">
        <f>+IF(PZ53=0,0,PZ53/PZ$72)</f>
        <v>0</v>
      </c>
      <c r="QF53" s="127"/>
      <c r="QH53" s="1171" t="s">
        <v>1206</v>
      </c>
      <c r="QI53" s="265" t="s">
        <v>1211</v>
      </c>
      <c r="QJ53" s="266">
        <v>0.1</v>
      </c>
      <c r="QK53" s="267">
        <f t="shared" ref="QK53" si="777">+QJ53*QN50</f>
        <v>0</v>
      </c>
      <c r="QL53" s="268">
        <v>1E-3</v>
      </c>
      <c r="QM53" s="269">
        <v>4</v>
      </c>
      <c r="QN53" s="270">
        <f t="shared" ref="QN53:QN57" si="778">QR53</f>
        <v>0</v>
      </c>
      <c r="QO53" s="126"/>
      <c r="QP53" s="660">
        <f t="shared" ref="QP53" si="779">+QL53</f>
        <v>1E-3</v>
      </c>
      <c r="QQ53" s="660">
        <f t="shared" ref="QQ53" si="780">QP53*1</f>
        <v>1E-3</v>
      </c>
      <c r="QR53" s="661">
        <f t="shared" ref="QR53:QR57" si="781">QQ53*QK53</f>
        <v>0</v>
      </c>
      <c r="QS53" s="928">
        <f>+IF(QN53=0,0,QN53/QN$72)</f>
        <v>0</v>
      </c>
      <c r="QT53" s="127"/>
      <c r="QV53" s="1171" t="s">
        <v>1206</v>
      </c>
      <c r="QW53" s="265" t="s">
        <v>1211</v>
      </c>
      <c r="QX53" s="268">
        <f>+'Res de Costos Pais'!$D$116</f>
        <v>0.1</v>
      </c>
      <c r="QY53" s="267">
        <f>+QX53*RB50</f>
        <v>30015374.010375835</v>
      </c>
      <c r="QZ53" s="268">
        <f>+'Res de Costos Pais'!$F$116</f>
        <v>1E-3</v>
      </c>
      <c r="RA53" s="990">
        <f>+'Res de Costos Pais'!$G$116</f>
        <v>4</v>
      </c>
      <c r="RB53" s="270">
        <f t="shared" ref="RB53:RB57" si="782">RF53</f>
        <v>30015.374010375835</v>
      </c>
      <c r="RC53" s="126"/>
      <c r="RD53" s="660">
        <f t="shared" ref="RD53" si="783">+QZ53</f>
        <v>1E-3</v>
      </c>
      <c r="RE53" s="660">
        <f t="shared" ref="RE53" si="784">RD53*1</f>
        <v>1E-3</v>
      </c>
      <c r="RF53" s="661">
        <f t="shared" ref="RF53:RF57" si="785">RE53*QY53</f>
        <v>30015.374010375835</v>
      </c>
      <c r="RG53" s="928">
        <f>+IF(RB53=0,0,RB53/RB$72)</f>
        <v>9.6246212122474831E-5</v>
      </c>
      <c r="RH53" s="127"/>
      <c r="RJ53" s="1171" t="s">
        <v>1206</v>
      </c>
      <c r="RK53" s="265" t="s">
        <v>1211</v>
      </c>
      <c r="RL53" s="268">
        <f>+'Res de Costos Pais'!$D$116</f>
        <v>0.1</v>
      </c>
      <c r="RM53" s="267">
        <f>+RL53*RP50</f>
        <v>5693427.2496051267</v>
      </c>
      <c r="RN53" s="268">
        <f>+'Res de Costos Pais'!$F$116</f>
        <v>1E-3</v>
      </c>
      <c r="RO53" s="990">
        <f>+'Res de Costos Pais'!$G$116</f>
        <v>4</v>
      </c>
      <c r="RP53" s="270">
        <f t="shared" ref="RP53:RP57" si="786">RT53</f>
        <v>5693.4272496051271</v>
      </c>
      <c r="RQ53" s="126"/>
      <c r="RR53" s="660">
        <f t="shared" ref="RR53" si="787">+RN53</f>
        <v>1E-3</v>
      </c>
      <c r="RS53" s="660">
        <f t="shared" ref="RS53" si="788">RR53*1</f>
        <v>1E-3</v>
      </c>
      <c r="RT53" s="661">
        <f t="shared" ref="RT53:RT57" si="789">RS53*RM53</f>
        <v>5693.4272496051271</v>
      </c>
      <c r="RU53" s="928">
        <f>+IF(RP53=0,0,RP53/RP$72)</f>
        <v>9.6324300593827696E-5</v>
      </c>
      <c r="RV53" s="127"/>
      <c r="RX53" s="1171" t="s">
        <v>1206</v>
      </c>
      <c r="RY53" s="265" t="s">
        <v>1211</v>
      </c>
      <c r="RZ53" s="268">
        <f>+'Res de Costos Pais'!$D$116</f>
        <v>0.1</v>
      </c>
      <c r="SA53" s="267">
        <f>+RZ53*SD50</f>
        <v>17508968.172719236</v>
      </c>
      <c r="SB53" s="268">
        <f>+'Res de Costos Pais'!$F$116</f>
        <v>1E-3</v>
      </c>
      <c r="SC53" s="990">
        <f>+'Res de Costos Pais'!$G$116</f>
        <v>4</v>
      </c>
      <c r="SD53" s="270">
        <f t="shared" ref="SD53:SD57" si="790">SH53</f>
        <v>17508.968172719236</v>
      </c>
      <c r="SE53" s="126"/>
      <c r="SF53" s="660">
        <f t="shared" ref="SF53" si="791">+SB53</f>
        <v>1E-3</v>
      </c>
      <c r="SG53" s="660">
        <f t="shared" ref="SG53" si="792">SF53*1</f>
        <v>1E-3</v>
      </c>
      <c r="SH53" s="661">
        <f t="shared" ref="SH53:SH57" si="793">SG53*SA53</f>
        <v>17508.968172719236</v>
      </c>
      <c r="SI53" s="928">
        <f>+IF(SD53=0,0,SD53/SD$72)</f>
        <v>9.6246212122474791E-5</v>
      </c>
      <c r="SJ53" s="127"/>
      <c r="SL53" s="1171" t="s">
        <v>1206</v>
      </c>
      <c r="SM53" s="265" t="s">
        <v>1211</v>
      </c>
      <c r="SN53" s="266">
        <v>0.1</v>
      </c>
      <c r="SO53" s="267">
        <f t="shared" ref="SO53" si="794">+SN53*SR50</f>
        <v>0</v>
      </c>
      <c r="SP53" s="268">
        <v>1E-3</v>
      </c>
      <c r="SQ53" s="269">
        <v>4</v>
      </c>
      <c r="SR53" s="270">
        <f t="shared" ref="SR53:SR57" si="795">SV53</f>
        <v>0</v>
      </c>
      <c r="SS53" s="126"/>
      <c r="ST53" s="660">
        <f t="shared" ref="ST53" si="796">+SP53</f>
        <v>1E-3</v>
      </c>
      <c r="SU53" s="660">
        <f t="shared" ref="SU53" si="797">ST53*1</f>
        <v>1E-3</v>
      </c>
      <c r="SV53" s="661">
        <f t="shared" ref="SV53:SV57" si="798">SU53*SO53</f>
        <v>0</v>
      </c>
      <c r="SW53" s="928">
        <f>+IF(SR53=0,0,SR53/SR$72)</f>
        <v>0</v>
      </c>
      <c r="SX53" s="127"/>
      <c r="SZ53" s="1171" t="s">
        <v>1206</v>
      </c>
      <c r="TA53" s="265" t="s">
        <v>1211</v>
      </c>
      <c r="TB53" s="268">
        <f>+'Res de Costos Pais'!$D$116</f>
        <v>0.1</v>
      </c>
      <c r="TC53" s="267">
        <f>+TB53*TF50</f>
        <v>450242638.90135074</v>
      </c>
      <c r="TD53" s="268">
        <f>+'Res de Costos Pais'!$F$116</f>
        <v>1E-3</v>
      </c>
      <c r="TE53" s="990">
        <f>+'Res de Costos Pais'!$G$116</f>
        <v>4</v>
      </c>
      <c r="TF53" s="270">
        <f t="shared" ref="TF53:TF57" si="799">TJ53</f>
        <v>450242.63890135073</v>
      </c>
      <c r="TG53" s="126"/>
      <c r="TH53" s="660">
        <f t="shared" ref="TH53" si="800">+TD53</f>
        <v>1E-3</v>
      </c>
      <c r="TI53" s="660">
        <f t="shared" ref="TI53" si="801">TH53*1</f>
        <v>1E-3</v>
      </c>
      <c r="TJ53" s="661">
        <f t="shared" ref="TJ53:TJ57" si="802">TI53*TC53</f>
        <v>450242.63890135073</v>
      </c>
      <c r="TK53" s="928">
        <f>+IF(TF53=0,0,TF53/TF$72)</f>
        <v>9.5819470313434951E-5</v>
      </c>
      <c r="TL53" s="127"/>
      <c r="TM53" s="937"/>
      <c r="TN53" s="725"/>
    </row>
    <row r="54" spans="2:534" ht="18.75" customHeight="1">
      <c r="B54" s="1172"/>
      <c r="C54" s="170" t="s">
        <v>1212</v>
      </c>
      <c r="D54" s="105">
        <f>+'Res de Costos Pais'!$D$117</f>
        <v>0.1</v>
      </c>
      <c r="E54" s="125">
        <f>+H50*D54</f>
        <v>17604874.249073125</v>
      </c>
      <c r="F54" s="105">
        <f>+'Res de Costos Pais'!$F$117</f>
        <v>4.0000000000000001E-3</v>
      </c>
      <c r="G54" s="990">
        <f>+'Res de Costos Pais'!$G$117</f>
        <v>12.5</v>
      </c>
      <c r="H54" s="263">
        <f>L54</f>
        <v>111497.53691079647</v>
      </c>
      <c r="I54" s="126"/>
      <c r="J54" s="662">
        <f>+F54/12</f>
        <v>3.3333333333333332E-4</v>
      </c>
      <c r="K54" s="663">
        <f>J54*(G54+E11)</f>
        <v>6.3333333333333332E-3</v>
      </c>
      <c r="L54" s="664">
        <f>K54*E54</f>
        <v>111497.53691079647</v>
      </c>
      <c r="M54" s="929">
        <f>+IF(H54=0,0,H54/H$72)</f>
        <v>6.0555778185105661E-4</v>
      </c>
      <c r="N54" s="127"/>
      <c r="P54" s="1172"/>
      <c r="Q54" s="170"/>
      <c r="R54" s="104"/>
      <c r="S54" s="125"/>
      <c r="T54" s="105"/>
      <c r="U54" s="128"/>
      <c r="V54" s="263"/>
      <c r="W54" s="126"/>
      <c r="X54" s="662"/>
      <c r="Y54" s="663"/>
      <c r="Z54" s="664"/>
      <c r="AA54" s="929"/>
      <c r="AB54" s="127"/>
      <c r="AD54" s="1172"/>
      <c r="AE54" s="170"/>
      <c r="AF54" s="104"/>
      <c r="AG54" s="125"/>
      <c r="AH54" s="105"/>
      <c r="AI54" s="128"/>
      <c r="AJ54" s="263"/>
      <c r="AK54" s="126"/>
      <c r="AL54" s="662"/>
      <c r="AM54" s="663"/>
      <c r="AN54" s="664"/>
      <c r="AO54" s="929"/>
      <c r="AP54" s="127"/>
      <c r="AR54" s="1172"/>
      <c r="AS54" s="170" t="s">
        <v>1212</v>
      </c>
      <c r="AT54" s="104">
        <v>0.2</v>
      </c>
      <c r="AU54" s="125">
        <f>+AX50*AT54</f>
        <v>0</v>
      </c>
      <c r="AV54" s="105">
        <v>4.0000000000000001E-3</v>
      </c>
      <c r="AW54" s="128">
        <v>4</v>
      </c>
      <c r="AX54" s="263">
        <f t="shared" si="660"/>
        <v>0</v>
      </c>
      <c r="AY54" s="126"/>
      <c r="AZ54" s="662">
        <f t="shared" ref="AZ54:AZ57" si="803">+AV54/12</f>
        <v>3.3333333333333332E-4</v>
      </c>
      <c r="BA54" s="663">
        <f t="shared" ref="BA54" si="804">AZ54*(AW54+AU11)</f>
        <v>3.5000000000000001E-3</v>
      </c>
      <c r="BB54" s="664">
        <f t="shared" si="663"/>
        <v>0</v>
      </c>
      <c r="BC54" s="929">
        <f>+IF(AX54=0,0,AX54/AX$72)</f>
        <v>0</v>
      </c>
      <c r="BD54" s="127"/>
      <c r="BF54" s="1172"/>
      <c r="BG54" s="170" t="s">
        <v>1212</v>
      </c>
      <c r="BH54" s="105">
        <f>+'Res de Costos Pais'!$D$117</f>
        <v>0.1</v>
      </c>
      <c r="BI54" s="125">
        <f>+BL50*BH54</f>
        <v>44495125.653333627</v>
      </c>
      <c r="BJ54" s="105">
        <f>+'Res de Costos Pais'!$F$117</f>
        <v>4.0000000000000001E-3</v>
      </c>
      <c r="BK54" s="990">
        <f>+'Res de Costos Pais'!$G$117</f>
        <v>12.5</v>
      </c>
      <c r="BL54" s="263">
        <f t="shared" si="664"/>
        <v>281802.46247111296</v>
      </c>
      <c r="BM54" s="126"/>
      <c r="BN54" s="662">
        <f t="shared" ref="BN54:BN57" si="805">+BJ54/12</f>
        <v>3.3333333333333332E-4</v>
      </c>
      <c r="BO54" s="663">
        <f t="shared" ref="BO54" si="806">BN54*(BK54+BI11)</f>
        <v>6.3333333333333332E-3</v>
      </c>
      <c r="BP54" s="664">
        <f t="shared" si="667"/>
        <v>281802.46247111296</v>
      </c>
      <c r="BQ54" s="929">
        <f>+IF(BL54=0,0,BL54/BL$72)</f>
        <v>6.054186513708876E-4</v>
      </c>
      <c r="BR54" s="127"/>
      <c r="BT54" s="1172"/>
      <c r="BU54" s="170" t="s">
        <v>1212</v>
      </c>
      <c r="BV54" s="104">
        <v>0.2</v>
      </c>
      <c r="BW54" s="125">
        <f t="shared" ref="BW54" si="807">+BZ50*BV54</f>
        <v>0</v>
      </c>
      <c r="BX54" s="105">
        <v>4.0000000000000001E-3</v>
      </c>
      <c r="BY54" s="128">
        <v>4</v>
      </c>
      <c r="BZ54" s="263">
        <f t="shared" si="669"/>
        <v>0</v>
      </c>
      <c r="CA54" s="126"/>
      <c r="CB54" s="662">
        <f t="shared" ref="CB54:CB57" si="808">+BX54/12</f>
        <v>3.3333333333333332E-4</v>
      </c>
      <c r="CC54" s="663">
        <f t="shared" ref="CC54" si="809">CB54*(BY54+BW11)</f>
        <v>3.5000000000000001E-3</v>
      </c>
      <c r="CD54" s="664">
        <f t="shared" si="672"/>
        <v>0</v>
      </c>
      <c r="CE54" s="929">
        <f>+IF(BZ54=0,0,BZ54/BZ$72)</f>
        <v>0</v>
      </c>
      <c r="CF54" s="127"/>
      <c r="CH54" s="1172"/>
      <c r="CI54" s="170" t="s">
        <v>1212</v>
      </c>
      <c r="CJ54" s="105">
        <f>+'Res de Costos Pais'!$D$117</f>
        <v>0.1</v>
      </c>
      <c r="CK54" s="125">
        <f>+CN50*CJ54</f>
        <v>2467782.2820757171</v>
      </c>
      <c r="CL54" s="105">
        <f>+'Res de Costos Pais'!$F$117</f>
        <v>4.0000000000000001E-3</v>
      </c>
      <c r="CM54" s="990">
        <f>+'Res de Costos Pais'!$G$117</f>
        <v>12.5</v>
      </c>
      <c r="CN54" s="263">
        <f t="shared" si="673"/>
        <v>15629.287786479541</v>
      </c>
      <c r="CO54" s="126"/>
      <c r="CP54" s="662">
        <f t="shared" ref="CP54:CP57" si="810">+CL54/12</f>
        <v>3.3333333333333332E-4</v>
      </c>
      <c r="CQ54" s="663">
        <f t="shared" ref="CQ54" si="811">CP54*(CM54+CK11)</f>
        <v>6.3333333333333332E-3</v>
      </c>
      <c r="CR54" s="664">
        <f t="shared" si="676"/>
        <v>15629.287786479541</v>
      </c>
      <c r="CS54" s="929">
        <f>+IF(CN54=0,0,CN54/CN$72)</f>
        <v>6.0540491696176577E-4</v>
      </c>
      <c r="CT54" s="127"/>
      <c r="CV54" s="1172"/>
      <c r="CW54" s="170" t="s">
        <v>1212</v>
      </c>
      <c r="CX54" s="105">
        <f>+'Res de Costos Pais'!$D$117</f>
        <v>0.1</v>
      </c>
      <c r="CY54" s="125">
        <f>+DB50*CX54</f>
        <v>35603356.519128866</v>
      </c>
      <c r="CZ54" s="105">
        <f>+'Res de Costos Pais'!$F$117</f>
        <v>4.0000000000000001E-3</v>
      </c>
      <c r="DA54" s="990">
        <f>+'Res de Costos Pais'!$G$117</f>
        <v>12.5</v>
      </c>
      <c r="DB54" s="263">
        <f t="shared" si="677"/>
        <v>225487.92462114949</v>
      </c>
      <c r="DC54" s="126"/>
      <c r="DD54" s="662">
        <f t="shared" ref="DD54:DD57" si="812">+CZ54/12</f>
        <v>3.3333333333333332E-4</v>
      </c>
      <c r="DE54" s="663">
        <f t="shared" ref="DE54" si="813">DD54*(DA54+CY11)</f>
        <v>6.3333333333333332E-3</v>
      </c>
      <c r="DF54" s="664">
        <f t="shared" si="680"/>
        <v>225487.92462114949</v>
      </c>
      <c r="DG54" s="929">
        <f>+IF(DB54=0,0,DB54/DB$72)</f>
        <v>6.0621158154746063E-4</v>
      </c>
      <c r="DH54" s="127"/>
      <c r="DJ54" s="1172"/>
      <c r="DK54" s="170" t="s">
        <v>1212</v>
      </c>
      <c r="DL54" s="105">
        <f>+'Res de Costos Pais'!$D$117</f>
        <v>0.1</v>
      </c>
      <c r="DM54" s="125">
        <f>+DP50*DL54</f>
        <v>2782900.015434213</v>
      </c>
      <c r="DN54" s="105">
        <f>+'Res de Costos Pais'!$F$117</f>
        <v>4.0000000000000001E-3</v>
      </c>
      <c r="DO54" s="990">
        <f>+'Res de Costos Pais'!$G$117</f>
        <v>12.5</v>
      </c>
      <c r="DP54" s="263">
        <f t="shared" si="681"/>
        <v>17625.03343108335</v>
      </c>
      <c r="DQ54" s="126"/>
      <c r="DR54" s="662">
        <f t="shared" ref="DR54:DR57" si="814">+DN54/12</f>
        <v>3.3333333333333332E-4</v>
      </c>
      <c r="DS54" s="663">
        <f t="shared" ref="DS54" si="815">DR54*(DO54+DM11)</f>
        <v>6.3333333333333332E-3</v>
      </c>
      <c r="DT54" s="664">
        <f t="shared" si="684"/>
        <v>17625.03343108335</v>
      </c>
      <c r="DU54" s="929">
        <f>+IF(DP54=0,0,DP54/DP$72)</f>
        <v>6.0632840328323087E-4</v>
      </c>
      <c r="DV54" s="127"/>
      <c r="DX54" s="1172"/>
      <c r="DY54" s="170" t="s">
        <v>1212</v>
      </c>
      <c r="DZ54" s="105">
        <f>+'Res de Costos Pais'!$D$117</f>
        <v>0.1</v>
      </c>
      <c r="EA54" s="125">
        <f>+ED50*DZ54</f>
        <v>13088493.862674139</v>
      </c>
      <c r="EB54" s="105">
        <f>+'Res de Costos Pais'!$F$117</f>
        <v>4.0000000000000001E-3</v>
      </c>
      <c r="EC54" s="990">
        <f>+'Res de Costos Pais'!$G$117</f>
        <v>12.5</v>
      </c>
      <c r="ED54" s="263">
        <f t="shared" si="685"/>
        <v>82893.794463602884</v>
      </c>
      <c r="EE54" s="126"/>
      <c r="EF54" s="662">
        <f t="shared" ref="EF54:EF57" si="816">+EB54/12</f>
        <v>3.3333333333333332E-4</v>
      </c>
      <c r="EG54" s="663">
        <f t="shared" ref="EG54" si="817">EF54*(EC54+EA11)</f>
        <v>6.3333333333333332E-3</v>
      </c>
      <c r="EH54" s="664">
        <f t="shared" si="688"/>
        <v>82893.794463602884</v>
      </c>
      <c r="EI54" s="929">
        <f>+IF(ED54=0,0,ED54/ED$72)</f>
        <v>6.0587163831803147E-4</v>
      </c>
      <c r="EJ54" s="127"/>
      <c r="EL54" s="1172"/>
      <c r="EM54" s="170" t="s">
        <v>1212</v>
      </c>
      <c r="EN54" s="105">
        <f>+'Res de Costos Pais'!$D$117</f>
        <v>0.1</v>
      </c>
      <c r="EO54" s="125">
        <f>+ER50*EN54</f>
        <v>22247562.826666813</v>
      </c>
      <c r="EP54" s="105">
        <f>+'Res de Costos Pais'!$F$117</f>
        <v>4.0000000000000001E-3</v>
      </c>
      <c r="EQ54" s="990">
        <f>+'Res de Costos Pais'!$G$117</f>
        <v>12.5</v>
      </c>
      <c r="ER54" s="263">
        <f t="shared" si="689"/>
        <v>140901.23123555648</v>
      </c>
      <c r="ES54" s="929" t="e">
        <f>+IF(EN54=0,0,EN54/EN$72)</f>
        <v>#DIV/0!</v>
      </c>
      <c r="ET54" s="662">
        <f t="shared" ref="ET54:ET57" si="818">+EP54/12</f>
        <v>3.3333333333333332E-4</v>
      </c>
      <c r="EU54" s="663">
        <f t="shared" ref="EU54" si="819">ET54*(EQ54+EO11)</f>
        <v>6.3333333333333332E-3</v>
      </c>
      <c r="EV54" s="664">
        <f t="shared" si="692"/>
        <v>140901.23123555648</v>
      </c>
      <c r="EW54" s="929">
        <f>+IF(ER54=0,0,ER54/ER$72)</f>
        <v>6.054186513708876E-4</v>
      </c>
      <c r="EX54" s="127"/>
      <c r="EZ54" s="1172"/>
      <c r="FA54" s="170" t="s">
        <v>1212</v>
      </c>
      <c r="FB54" s="104">
        <v>0.2</v>
      </c>
      <c r="FC54" s="125">
        <f t="shared" ref="FC54" si="820">+FF50*FB54</f>
        <v>0</v>
      </c>
      <c r="FD54" s="105">
        <v>4.0000000000000001E-3</v>
      </c>
      <c r="FE54" s="128">
        <v>4</v>
      </c>
      <c r="FF54" s="263">
        <f t="shared" si="694"/>
        <v>0</v>
      </c>
      <c r="FG54" s="126"/>
      <c r="FH54" s="662">
        <f t="shared" ref="FH54:FH57" si="821">+FD54/12</f>
        <v>3.3333333333333332E-4</v>
      </c>
      <c r="FI54" s="663">
        <f t="shared" ref="FI54" si="822">FH54*(FE54+FC11)</f>
        <v>3.5000000000000001E-3</v>
      </c>
      <c r="FJ54" s="664">
        <f t="shared" si="697"/>
        <v>0</v>
      </c>
      <c r="FK54" s="929">
        <f>+IF(FF54=0,0,FF54/FF$72)</f>
        <v>0</v>
      </c>
      <c r="FL54" s="127"/>
      <c r="FN54" s="1172"/>
      <c r="FO54" s="170" t="s">
        <v>1212</v>
      </c>
      <c r="FP54" s="105">
        <f>+'Res de Costos Pais'!$D$117</f>
        <v>0.1</v>
      </c>
      <c r="FQ54" s="125">
        <f>+FT50*FP54</f>
        <v>30510394.027904987</v>
      </c>
      <c r="FR54" s="105">
        <f>+'Res de Costos Pais'!$F$117</f>
        <v>4.0000000000000001E-3</v>
      </c>
      <c r="FS54" s="990">
        <f>+'Res de Costos Pais'!$G$117</f>
        <v>12.5</v>
      </c>
      <c r="FT54" s="263">
        <f t="shared" si="698"/>
        <v>193232.49551006491</v>
      </c>
      <c r="FU54" s="126"/>
      <c r="FV54" s="662">
        <f t="shared" ref="FV54:FV57" si="823">+FR54/12</f>
        <v>3.3333333333333332E-4</v>
      </c>
      <c r="FW54" s="663">
        <f t="shared" ref="FW54" si="824">FV54*(FS54+FQ11)</f>
        <v>6.3333333333333332E-3</v>
      </c>
      <c r="FX54" s="664">
        <f t="shared" si="701"/>
        <v>193232.49551006491</v>
      </c>
      <c r="FY54" s="929">
        <f>+IF(FT54=0,0,FT54/FT$72)</f>
        <v>6.0929167536071156E-4</v>
      </c>
      <c r="FZ54" s="127"/>
      <c r="GB54" s="1172"/>
      <c r="GC54" s="170" t="s">
        <v>1212</v>
      </c>
      <c r="GD54" s="105">
        <f>+'Res de Costos Pais'!$D$117</f>
        <v>0.1</v>
      </c>
      <c r="GE54" s="125">
        <f>+GH50*GD54</f>
        <v>14416458.610467825</v>
      </c>
      <c r="GF54" s="105">
        <f>+'Res de Costos Pais'!$F$117</f>
        <v>4.0000000000000001E-3</v>
      </c>
      <c r="GG54" s="990">
        <f>+'Res de Costos Pais'!$G$117</f>
        <v>12.5</v>
      </c>
      <c r="GH54" s="263">
        <f t="shared" si="702"/>
        <v>91304.237866296229</v>
      </c>
      <c r="GI54" s="126"/>
      <c r="GJ54" s="662">
        <f t="shared" ref="GJ54:GJ57" si="825">+GF54/12</f>
        <v>3.3333333333333332E-4</v>
      </c>
      <c r="GK54" s="663">
        <f t="shared" ref="GK54" si="826">GJ54*(GG54+GE11)</f>
        <v>6.3333333333333332E-3</v>
      </c>
      <c r="GL54" s="664">
        <f t="shared" si="705"/>
        <v>91304.237866296229</v>
      </c>
      <c r="GM54" s="929">
        <f>+IF(GH54=0,0,GH54/GH$72)</f>
        <v>6.0518457212333432E-4</v>
      </c>
      <c r="GN54" s="127"/>
      <c r="GP54" s="1172"/>
      <c r="GQ54" s="170" t="s">
        <v>1212</v>
      </c>
      <c r="GR54" s="104">
        <v>0.2</v>
      </c>
      <c r="GS54" s="125">
        <f t="shared" ref="GS54" si="827">+GV50*GR54</f>
        <v>0</v>
      </c>
      <c r="GT54" s="105">
        <v>4.0000000000000001E-3</v>
      </c>
      <c r="GU54" s="128">
        <v>4</v>
      </c>
      <c r="GV54" s="263">
        <f t="shared" si="707"/>
        <v>0</v>
      </c>
      <c r="GW54" s="126"/>
      <c r="GX54" s="662">
        <f t="shared" ref="GX54:GX57" si="828">+GT54/12</f>
        <v>3.3333333333333332E-4</v>
      </c>
      <c r="GY54" s="663">
        <f t="shared" ref="GY54" si="829">GX54*(GU54+GS11)</f>
        <v>3.5000000000000001E-3</v>
      </c>
      <c r="GZ54" s="664">
        <f t="shared" si="710"/>
        <v>0</v>
      </c>
      <c r="HA54" s="929">
        <f>+IF(GV54=0,0,GV54/GV$72)</f>
        <v>0</v>
      </c>
      <c r="HB54" s="127"/>
      <c r="HD54" s="1172"/>
      <c r="HE54" s="170" t="s">
        <v>1212</v>
      </c>
      <c r="HF54" s="105">
        <f>+'Res de Costos Pais'!$D$117</f>
        <v>0.1</v>
      </c>
      <c r="HG54" s="125">
        <f>+HJ50*HF54</f>
        <v>7415854.2755556023</v>
      </c>
      <c r="HH54" s="105">
        <f>+'Res de Costos Pais'!$F$117</f>
        <v>4.0000000000000001E-3</v>
      </c>
      <c r="HI54" s="990">
        <f>+'Res de Costos Pais'!$G$117</f>
        <v>12.5</v>
      </c>
      <c r="HJ54" s="263">
        <f t="shared" si="711"/>
        <v>46967.077078518814</v>
      </c>
      <c r="HK54" s="126"/>
      <c r="HL54" s="662">
        <f t="shared" ref="HL54:HL57" si="830">+HH54/12</f>
        <v>3.3333333333333332E-4</v>
      </c>
      <c r="HM54" s="663">
        <f t="shared" ref="HM54" si="831">HL54*(HI54+HG11)</f>
        <v>6.3333333333333332E-3</v>
      </c>
      <c r="HN54" s="664">
        <f t="shared" si="714"/>
        <v>46967.077078518814</v>
      </c>
      <c r="HO54" s="929">
        <f>+IF(HJ54=0,0,HJ54/HJ$72)</f>
        <v>6.0541865137088771E-4</v>
      </c>
      <c r="HP54" s="127"/>
      <c r="HR54" s="1172"/>
      <c r="HS54" s="170" t="s">
        <v>1212</v>
      </c>
      <c r="HT54" s="105">
        <f>+'Res de Costos Pais'!$D$117</f>
        <v>0.1</v>
      </c>
      <c r="HU54" s="125">
        <f>+HX50*HT54</f>
        <v>28289177.895858176</v>
      </c>
      <c r="HV54" s="105">
        <f>+'Res de Costos Pais'!$F$117</f>
        <v>4.0000000000000001E-3</v>
      </c>
      <c r="HW54" s="990">
        <f>+'Res de Costos Pais'!$G$117</f>
        <v>12.5</v>
      </c>
      <c r="HX54" s="263">
        <f t="shared" si="715"/>
        <v>179164.79334043511</v>
      </c>
      <c r="HY54" s="929" t="e">
        <f t="shared" si="716"/>
        <v>#DIV/0!</v>
      </c>
      <c r="HZ54" s="662">
        <f t="shared" ref="HZ54:HZ57" si="832">+HV54/12</f>
        <v>3.3333333333333332E-4</v>
      </c>
      <c r="IA54" s="663">
        <f t="shared" ref="IA54" si="833">HZ54*(HW54+HU11)</f>
        <v>6.3333333333333332E-3</v>
      </c>
      <c r="IB54" s="664">
        <f t="shared" si="719"/>
        <v>179164.79334043511</v>
      </c>
      <c r="IC54" s="929">
        <f>+IF(HX54=0,0,HX54/HX$72)</f>
        <v>6.0573427855292381E-4</v>
      </c>
      <c r="ID54" s="127"/>
      <c r="IF54" s="1172"/>
      <c r="IG54" s="170"/>
      <c r="IH54" s="104"/>
      <c r="II54" s="125"/>
      <c r="IJ54" s="105"/>
      <c r="IK54" s="128"/>
      <c r="IL54" s="263"/>
      <c r="IM54" s="126"/>
      <c r="IN54" s="662"/>
      <c r="IO54" s="663"/>
      <c r="IP54" s="664"/>
      <c r="IQ54" s="929"/>
      <c r="IR54" s="127"/>
      <c r="IT54" s="1172"/>
      <c r="IU54" s="170"/>
      <c r="IV54" s="104"/>
      <c r="IW54" s="125"/>
      <c r="IX54" s="105"/>
      <c r="IY54" s="128"/>
      <c r="IZ54" s="263"/>
      <c r="JA54" s="126"/>
      <c r="JB54" s="662"/>
      <c r="JC54" s="663"/>
      <c r="JD54" s="664"/>
      <c r="JE54" s="929"/>
      <c r="JF54" s="127"/>
      <c r="JH54" s="1172"/>
      <c r="JI54" s="170" t="s">
        <v>1212</v>
      </c>
      <c r="JJ54" s="105">
        <f>+'Res de Costos Pais'!$D$117</f>
        <v>0.1</v>
      </c>
      <c r="JK54" s="125">
        <f>+JN50*JJ54</f>
        <v>41020311.824105211</v>
      </c>
      <c r="JL54" s="105">
        <f>+'Res de Costos Pais'!$F$117</f>
        <v>4.0000000000000001E-3</v>
      </c>
      <c r="JM54" s="990">
        <f>+'Res de Costos Pais'!$G$117</f>
        <v>12.5</v>
      </c>
      <c r="JN54" s="263">
        <f t="shared" si="720"/>
        <v>259795.308219333</v>
      </c>
      <c r="JO54" s="126"/>
      <c r="JP54" s="662">
        <f t="shared" ref="JP54:JP57" si="834">+JL54/12</f>
        <v>3.3333333333333332E-4</v>
      </c>
      <c r="JQ54" s="663">
        <f t="shared" ref="JQ54" si="835">JP54*(JM54+JK11)</f>
        <v>6.3333333333333332E-3</v>
      </c>
      <c r="JR54" s="664">
        <f t="shared" si="723"/>
        <v>259795.308219333</v>
      </c>
      <c r="JS54" s="929">
        <f>+IF(JN54=0,0,JN54/JN$72)</f>
        <v>6.0620073368925517E-4</v>
      </c>
      <c r="JT54" s="127"/>
      <c r="JV54" s="1172"/>
      <c r="JW54" s="170" t="s">
        <v>1212</v>
      </c>
      <c r="JX54" s="105">
        <f>+'Res de Costos Pais'!$D$117</f>
        <v>0.1</v>
      </c>
      <c r="JY54" s="125">
        <f>+KB50*JX54</f>
        <v>16868075.515611406</v>
      </c>
      <c r="JZ54" s="105">
        <f>+'Res de Costos Pais'!$F$117</f>
        <v>4.0000000000000001E-3</v>
      </c>
      <c r="KA54" s="990">
        <f>+'Res de Costos Pais'!$G$117</f>
        <v>12.5</v>
      </c>
      <c r="KB54" s="263">
        <f t="shared" si="724"/>
        <v>106831.14493220557</v>
      </c>
      <c r="KC54" s="126"/>
      <c r="KD54" s="662">
        <f t="shared" ref="KD54:KD57" si="836">+JZ54/12</f>
        <v>3.3333333333333332E-4</v>
      </c>
      <c r="KE54" s="663">
        <f t="shared" ref="KE54" si="837">KD54*(KA54+JY11)</f>
        <v>6.3333333333333332E-3</v>
      </c>
      <c r="KF54" s="664">
        <f t="shared" si="727"/>
        <v>106831.14493220557</v>
      </c>
      <c r="KG54" s="929">
        <f>+IF(KB54=0,0,KB54/KB$72)</f>
        <v>6.0580465685879993E-4</v>
      </c>
      <c r="KH54" s="127"/>
      <c r="KJ54" s="1172"/>
      <c r="KK54" s="170" t="s">
        <v>1212</v>
      </c>
      <c r="KL54" s="104">
        <v>0.2</v>
      </c>
      <c r="KM54" s="125">
        <f t="shared" ref="KM54" si="838">+KP50*KL54</f>
        <v>0</v>
      </c>
      <c r="KN54" s="105">
        <v>4.0000000000000001E-3</v>
      </c>
      <c r="KO54" s="128">
        <v>4</v>
      </c>
      <c r="KP54" s="263">
        <f t="shared" si="729"/>
        <v>0</v>
      </c>
      <c r="KQ54" s="126"/>
      <c r="KR54" s="662">
        <f t="shared" ref="KR54:KR57" si="839">+KN54/12</f>
        <v>3.3333333333333332E-4</v>
      </c>
      <c r="KS54" s="663">
        <f t="shared" ref="KS54" si="840">KR54*(KO54+KM11)</f>
        <v>3.5000000000000001E-3</v>
      </c>
      <c r="KT54" s="664">
        <f t="shared" si="732"/>
        <v>0</v>
      </c>
      <c r="KU54" s="929">
        <f>+IF(KP54=0,0,KP54/KP$72)</f>
        <v>0</v>
      </c>
      <c r="KV54" s="127"/>
      <c r="KX54" s="1172"/>
      <c r="KY54" s="170" t="s">
        <v>1212</v>
      </c>
      <c r="KZ54" s="104">
        <v>0.2</v>
      </c>
      <c r="LA54" s="125">
        <f t="shared" ref="LA54" si="841">+LD50*KZ54</f>
        <v>0</v>
      </c>
      <c r="LB54" s="105">
        <v>4.0000000000000001E-3</v>
      </c>
      <c r="LC54" s="128">
        <v>4</v>
      </c>
      <c r="LD54" s="263">
        <f t="shared" si="734"/>
        <v>0</v>
      </c>
      <c r="LE54" s="126"/>
      <c r="LF54" s="662">
        <f t="shared" ref="LF54:LF57" si="842">+LB54/12</f>
        <v>3.3333333333333332E-4</v>
      </c>
      <c r="LG54" s="663">
        <f t="shared" ref="LG54" si="843">LF54*(LC54+LA11)</f>
        <v>3.5000000000000001E-3</v>
      </c>
      <c r="LH54" s="664">
        <f t="shared" si="737"/>
        <v>0</v>
      </c>
      <c r="LI54" s="929">
        <f>+IF(LD54=0,0,LD54/LD$72)</f>
        <v>0</v>
      </c>
      <c r="LJ54" s="127"/>
      <c r="LL54" s="1172"/>
      <c r="LM54" s="170" t="s">
        <v>1212</v>
      </c>
      <c r="LN54" s="104">
        <v>0.2</v>
      </c>
      <c r="LO54" s="125">
        <f t="shared" ref="LO54" si="844">+LR50*LN54</f>
        <v>0</v>
      </c>
      <c r="LP54" s="105">
        <v>4.0000000000000001E-3</v>
      </c>
      <c r="LQ54" s="128">
        <v>4</v>
      </c>
      <c r="LR54" s="263">
        <f t="shared" si="739"/>
        <v>0</v>
      </c>
      <c r="LS54" s="126"/>
      <c r="LT54" s="662">
        <f t="shared" ref="LT54:LT57" si="845">+LP54/12</f>
        <v>3.3333333333333332E-4</v>
      </c>
      <c r="LU54" s="663">
        <f t="shared" ref="LU54" si="846">LT54*(LQ54+LO11)</f>
        <v>3.5000000000000001E-3</v>
      </c>
      <c r="LV54" s="664">
        <f t="shared" si="742"/>
        <v>0</v>
      </c>
      <c r="LW54" s="929">
        <f>+IF(LR54=0,0,LR54/LR$72)</f>
        <v>0</v>
      </c>
      <c r="LX54" s="127"/>
      <c r="LZ54" s="1172"/>
      <c r="MA54" s="170" t="s">
        <v>1212</v>
      </c>
      <c r="MB54" s="105">
        <f>+'Res de Costos Pais'!$D$117</f>
        <v>0.1</v>
      </c>
      <c r="MC54" s="125">
        <f>+MF50*MB54</f>
        <v>11779644.476406723</v>
      </c>
      <c r="MD54" s="105">
        <f>+'Res de Costos Pais'!$F$117</f>
        <v>4.0000000000000001E-3</v>
      </c>
      <c r="ME54" s="990">
        <f>+'Res de Costos Pais'!$G$117</f>
        <v>12.5</v>
      </c>
      <c r="MF54" s="263">
        <f t="shared" si="743"/>
        <v>74604.415017242573</v>
      </c>
      <c r="MG54" s="126"/>
      <c r="MH54" s="662">
        <f t="shared" ref="MH54:MH57" si="847">+MD54/12</f>
        <v>3.3333333333333332E-4</v>
      </c>
      <c r="MI54" s="663">
        <f t="shared" ref="MI54" si="848">MH54*(ME54+MC11)</f>
        <v>6.3333333333333332E-3</v>
      </c>
      <c r="MJ54" s="664">
        <f t="shared" si="746"/>
        <v>74604.415017242573</v>
      </c>
      <c r="MK54" s="929">
        <f>+IF(MF54=0,0,MF54/MF$72)</f>
        <v>6.0587163831803137E-4</v>
      </c>
      <c r="ML54" s="127"/>
      <c r="MN54" s="1172"/>
      <c r="MO54" s="170" t="s">
        <v>1212</v>
      </c>
      <c r="MP54" s="105">
        <f>+'Res de Costos Pais'!$D$117</f>
        <v>0.1</v>
      </c>
      <c r="MQ54" s="125">
        <f>+MT50*MP54</f>
        <v>15336629.682970706</v>
      </c>
      <c r="MR54" s="105">
        <f>+'Res de Costos Pais'!$F$117</f>
        <v>4.0000000000000001E-3</v>
      </c>
      <c r="MS54" s="990">
        <f>+'Res de Costos Pais'!$G$117</f>
        <v>12.5</v>
      </c>
      <c r="MT54" s="263">
        <f t="shared" si="747"/>
        <v>97131.987992147799</v>
      </c>
      <c r="MU54" s="126"/>
      <c r="MV54" s="662">
        <f t="shared" ref="MV54:MV57" si="849">+MR54/12</f>
        <v>3.3333333333333332E-4</v>
      </c>
      <c r="MW54" s="663">
        <f t="shared" ref="MW54" si="850">MV54*(MS54+MQ11)</f>
        <v>6.3333333333333332E-3</v>
      </c>
      <c r="MX54" s="664">
        <f t="shared" si="750"/>
        <v>97131.987992147799</v>
      </c>
      <c r="MY54" s="929">
        <f>+IF(MT54=0,0,MT54/MT$72)</f>
        <v>6.0568642359755257E-4</v>
      </c>
      <c r="MZ54" s="127"/>
      <c r="NB54" s="1172"/>
      <c r="NC54" s="170" t="s">
        <v>1212</v>
      </c>
      <c r="ND54" s="105">
        <f>+'Res de Costos Pais'!$D$117</f>
        <v>0.1</v>
      </c>
      <c r="NE54" s="125">
        <f>+NH50*ND54</f>
        <v>17023950.480578858</v>
      </c>
      <c r="NF54" s="105">
        <f>+'Res de Costos Pais'!$F$117</f>
        <v>4.0000000000000001E-3</v>
      </c>
      <c r="NG54" s="990">
        <f>+'Res de Costos Pais'!$G$117</f>
        <v>12.5</v>
      </c>
      <c r="NH54" s="263">
        <f t="shared" si="751"/>
        <v>107818.35304366609</v>
      </c>
      <c r="NI54" s="126"/>
      <c r="NJ54" s="662">
        <f t="shared" ref="NJ54:NJ57" si="851">+NF54/12</f>
        <v>3.3333333333333332E-4</v>
      </c>
      <c r="NK54" s="663">
        <f t="shared" ref="NK54" si="852">NJ54*(NG54+NE11)</f>
        <v>6.3333333333333332E-3</v>
      </c>
      <c r="NL54" s="664">
        <f t="shared" si="754"/>
        <v>107818.35304366609</v>
      </c>
      <c r="NM54" s="929">
        <f>+IF(NH54=0,0,NH54/NH$72)</f>
        <v>6.0528510535840061E-4</v>
      </c>
      <c r="NN54" s="127"/>
      <c r="NP54" s="1172"/>
      <c r="NQ54" s="170" t="s">
        <v>1212</v>
      </c>
      <c r="NR54" s="105">
        <f>+'Res de Costos Pais'!$D$117</f>
        <v>0.1</v>
      </c>
      <c r="NS54" s="125">
        <f>+NV50*NR54</f>
        <v>40020498.680501111</v>
      </c>
      <c r="NT54" s="105">
        <f>+'Res de Costos Pais'!$F$117</f>
        <v>4.0000000000000001E-3</v>
      </c>
      <c r="NU54" s="990">
        <f>+'Res de Costos Pais'!$G$117</f>
        <v>12.5</v>
      </c>
      <c r="NV54" s="263">
        <f t="shared" si="755"/>
        <v>253463.15830984036</v>
      </c>
      <c r="NW54" s="126"/>
      <c r="NX54" s="662">
        <f t="shared" ref="NX54:NX57" si="853">+NT54/12</f>
        <v>3.3333333333333332E-4</v>
      </c>
      <c r="NY54" s="663">
        <f t="shared" ref="NY54" si="854">NX54*(NU54+NS11)</f>
        <v>6.3333333333333332E-3</v>
      </c>
      <c r="NZ54" s="664">
        <f t="shared" si="758"/>
        <v>253463.15830984036</v>
      </c>
      <c r="OA54" s="929">
        <f>+IF(NV54=0,0,NV54/NV$72)</f>
        <v>6.0955934344234051E-4</v>
      </c>
      <c r="OB54" s="127"/>
      <c r="OD54" s="1172"/>
      <c r="OE54" s="170" t="s">
        <v>1212</v>
      </c>
      <c r="OF54" s="105">
        <f>+'Res de Costos Pais'!$D$117</f>
        <v>0.1</v>
      </c>
      <c r="OG54" s="125">
        <f>+OJ50*OF54</f>
        <v>7278151.3310468113</v>
      </c>
      <c r="OH54" s="105">
        <f>+'Res de Costos Pais'!$F$117</f>
        <v>4.0000000000000001E-3</v>
      </c>
      <c r="OI54" s="990">
        <f>+'Res de Costos Pais'!$G$117</f>
        <v>12.5</v>
      </c>
      <c r="OJ54" s="263">
        <f t="shared" si="759"/>
        <v>46094.958429963139</v>
      </c>
      <c r="OK54" s="126"/>
      <c r="OL54" s="662">
        <f t="shared" ref="OL54:OL57" si="855">+OH54/12</f>
        <v>3.3333333333333332E-4</v>
      </c>
      <c r="OM54" s="663">
        <f t="shared" ref="OM54" si="856">OL54*(OI54+OG11)</f>
        <v>6.3333333333333332E-3</v>
      </c>
      <c r="ON54" s="664">
        <f t="shared" si="762"/>
        <v>46094.958429963139</v>
      </c>
      <c r="OO54" s="929">
        <f>+IF(OJ54=0,0,OJ54/OJ$72)</f>
        <v>6.0803731860150094E-4</v>
      </c>
      <c r="OP54" s="127"/>
      <c r="OR54" s="1172"/>
      <c r="OS54" s="170" t="s">
        <v>1212</v>
      </c>
      <c r="OT54" s="105">
        <f>+'Res de Costos Pais'!$D$117</f>
        <v>0.1</v>
      </c>
      <c r="OU54" s="125">
        <f>+OX50*OT54</f>
        <v>28775627.259256627</v>
      </c>
      <c r="OV54" s="105">
        <f>+'Res de Costos Pais'!$F$117</f>
        <v>4.0000000000000001E-3</v>
      </c>
      <c r="OW54" s="990">
        <f>+'Res de Costos Pais'!$G$117</f>
        <v>12.5</v>
      </c>
      <c r="OX54" s="263">
        <f t="shared" si="763"/>
        <v>182245.63930862531</v>
      </c>
      <c r="OY54" s="126"/>
      <c r="OZ54" s="662">
        <f t="shared" ref="OZ54:OZ57" si="857">+OV54/12</f>
        <v>3.3333333333333332E-4</v>
      </c>
      <c r="PA54" s="663">
        <f t="shared" ref="PA54" si="858">OZ54*(OW54+OU11)</f>
        <v>6.3333333333333332E-3</v>
      </c>
      <c r="PB54" s="664">
        <f t="shared" si="766"/>
        <v>182245.63930862531</v>
      </c>
      <c r="PC54" s="929">
        <f>+IF(OX54=0,0,OX54/OX$72)</f>
        <v>6.0656677310619831E-4</v>
      </c>
      <c r="PD54" s="127"/>
      <c r="PF54" s="1172"/>
      <c r="PG54" s="170" t="s">
        <v>1212</v>
      </c>
      <c r="PH54" s="104">
        <v>0.2</v>
      </c>
      <c r="PI54" s="125">
        <f t="shared" ref="PI54" si="859">+PL50*PH54</f>
        <v>0</v>
      </c>
      <c r="PJ54" s="105">
        <v>4.0000000000000001E-3</v>
      </c>
      <c r="PK54" s="128">
        <v>4</v>
      </c>
      <c r="PL54" s="263">
        <f t="shared" si="768"/>
        <v>0</v>
      </c>
      <c r="PM54" s="126"/>
      <c r="PN54" s="662">
        <f t="shared" ref="PN54:PN57" si="860">+PJ54/12</f>
        <v>3.3333333333333332E-4</v>
      </c>
      <c r="PO54" s="663">
        <f t="shared" ref="PO54" si="861">PN54*(PK54+PI11)</f>
        <v>3.5000000000000001E-3</v>
      </c>
      <c r="PP54" s="664">
        <f t="shared" si="771"/>
        <v>0</v>
      </c>
      <c r="PQ54" s="929">
        <f>+IF(PL54=0,0,PL54/PL$72)</f>
        <v>0</v>
      </c>
      <c r="PR54" s="127"/>
      <c r="PT54" s="1172"/>
      <c r="PU54" s="170" t="s">
        <v>1212</v>
      </c>
      <c r="PV54" s="104">
        <v>0.2</v>
      </c>
      <c r="PW54" s="125">
        <f t="shared" ref="PW54" si="862">+PZ50*PV54</f>
        <v>0</v>
      </c>
      <c r="PX54" s="105">
        <v>4.0000000000000001E-3</v>
      </c>
      <c r="PY54" s="128">
        <v>4</v>
      </c>
      <c r="PZ54" s="263">
        <f t="shared" si="773"/>
        <v>0</v>
      </c>
      <c r="QA54" s="126"/>
      <c r="QB54" s="662">
        <f t="shared" ref="QB54:QB57" si="863">+PX54/12</f>
        <v>3.3333333333333332E-4</v>
      </c>
      <c r="QC54" s="663">
        <f t="shared" ref="QC54" si="864">QB54*(PY54+PW11)</f>
        <v>3.5000000000000001E-3</v>
      </c>
      <c r="QD54" s="664">
        <f t="shared" si="776"/>
        <v>0</v>
      </c>
      <c r="QE54" s="929">
        <f>+IF(PZ54=0,0,PZ54/PZ$72)</f>
        <v>0</v>
      </c>
      <c r="QF54" s="127"/>
      <c r="QH54" s="1172"/>
      <c r="QI54" s="170" t="s">
        <v>1212</v>
      </c>
      <c r="QJ54" s="104">
        <v>0.2</v>
      </c>
      <c r="QK54" s="125">
        <f t="shared" ref="QK54" si="865">+QN50*QJ54</f>
        <v>0</v>
      </c>
      <c r="QL54" s="105">
        <v>4.0000000000000001E-3</v>
      </c>
      <c r="QM54" s="128">
        <v>4</v>
      </c>
      <c r="QN54" s="263">
        <f t="shared" si="778"/>
        <v>0</v>
      </c>
      <c r="QO54" s="126"/>
      <c r="QP54" s="662">
        <f t="shared" ref="QP54:QP57" si="866">+QL54/12</f>
        <v>3.3333333333333332E-4</v>
      </c>
      <c r="QQ54" s="663">
        <f t="shared" ref="QQ54" si="867">QP54*(QM54+QK11)</f>
        <v>3.5000000000000001E-3</v>
      </c>
      <c r="QR54" s="664">
        <f t="shared" si="781"/>
        <v>0</v>
      </c>
      <c r="QS54" s="929">
        <f>+IF(QN54=0,0,QN54/QN$72)</f>
        <v>0</v>
      </c>
      <c r="QT54" s="127"/>
      <c r="QV54" s="1172"/>
      <c r="QW54" s="170" t="s">
        <v>1212</v>
      </c>
      <c r="QX54" s="105">
        <f>+'Res de Costos Pais'!$D$117</f>
        <v>0.1</v>
      </c>
      <c r="QY54" s="125">
        <f>+RB50*QX54</f>
        <v>30015374.010375835</v>
      </c>
      <c r="QZ54" s="105">
        <f>+'Res de Costos Pais'!$F$117</f>
        <v>4.0000000000000001E-3</v>
      </c>
      <c r="RA54" s="990">
        <f>+'Res de Costos Pais'!$G$117</f>
        <v>12.5</v>
      </c>
      <c r="RB54" s="263">
        <f t="shared" si="782"/>
        <v>190097.36873238027</v>
      </c>
      <c r="RC54" s="126"/>
      <c r="RD54" s="662">
        <f t="shared" ref="RD54:RD57" si="868">+QZ54/12</f>
        <v>3.3333333333333332E-4</v>
      </c>
      <c r="RE54" s="663">
        <f t="shared" ref="RE54" si="869">RD54*(RA54+QY11)</f>
        <v>6.3333333333333332E-3</v>
      </c>
      <c r="RF54" s="664">
        <f t="shared" si="785"/>
        <v>190097.36873238027</v>
      </c>
      <c r="RG54" s="929">
        <f>+IF(RB54=0,0,RB54/RB$72)</f>
        <v>6.0955934344234051E-4</v>
      </c>
      <c r="RH54" s="127"/>
      <c r="RJ54" s="1172"/>
      <c r="RK54" s="170" t="s">
        <v>1212</v>
      </c>
      <c r="RL54" s="105">
        <f>+'Res de Costos Pais'!$D$117</f>
        <v>0.1</v>
      </c>
      <c r="RM54" s="125">
        <f>+RP50*RL54</f>
        <v>5693427.2496051267</v>
      </c>
      <c r="RN54" s="105">
        <f>+'Res de Costos Pais'!$F$117</f>
        <v>4.0000000000000001E-3</v>
      </c>
      <c r="RO54" s="990">
        <f>+'Res de Costos Pais'!$G$117</f>
        <v>12.5</v>
      </c>
      <c r="RP54" s="263">
        <f t="shared" si="786"/>
        <v>36058.372580832467</v>
      </c>
      <c r="RQ54" s="126"/>
      <c r="RR54" s="662">
        <f t="shared" ref="RR54:RR57" si="870">+RN54/12</f>
        <v>3.3333333333333332E-4</v>
      </c>
      <c r="RS54" s="663">
        <f t="shared" ref="RS54" si="871">RR54*(RO54+RM11)</f>
        <v>6.3333333333333332E-3</v>
      </c>
      <c r="RT54" s="664">
        <f t="shared" si="789"/>
        <v>36058.372580832467</v>
      </c>
      <c r="RU54" s="929">
        <f>+IF(RP54=0,0,RP54/RP$72)</f>
        <v>6.1005390376090872E-4</v>
      </c>
      <c r="RV54" s="127"/>
      <c r="RX54" s="1172"/>
      <c r="RY54" s="170" t="s">
        <v>1212</v>
      </c>
      <c r="RZ54" s="105">
        <f>+'Res de Costos Pais'!$D$117</f>
        <v>0.1</v>
      </c>
      <c r="SA54" s="125">
        <f>+SD50*RZ54</f>
        <v>17508968.172719236</v>
      </c>
      <c r="SB54" s="105">
        <f>+'Res de Costos Pais'!$F$117</f>
        <v>4.0000000000000001E-3</v>
      </c>
      <c r="SC54" s="990">
        <f>+'Res de Costos Pais'!$G$117</f>
        <v>12.5</v>
      </c>
      <c r="SD54" s="263">
        <f t="shared" si="790"/>
        <v>110890.13176055516</v>
      </c>
      <c r="SE54" s="126"/>
      <c r="SF54" s="662">
        <f t="shared" ref="SF54:SF57" si="872">+SB54/12</f>
        <v>3.3333333333333332E-4</v>
      </c>
      <c r="SG54" s="663">
        <f t="shared" ref="SG54" si="873">SF54*(SC54+SA11)</f>
        <v>6.3333333333333332E-3</v>
      </c>
      <c r="SH54" s="664">
        <f t="shared" si="793"/>
        <v>110890.13176055516</v>
      </c>
      <c r="SI54" s="929">
        <f>+IF(SD54=0,0,SD54/SD$72)</f>
        <v>6.0955934344234029E-4</v>
      </c>
      <c r="SJ54" s="127"/>
      <c r="SL54" s="1172"/>
      <c r="SM54" s="170" t="s">
        <v>1212</v>
      </c>
      <c r="SN54" s="104">
        <v>0.2</v>
      </c>
      <c r="SO54" s="125">
        <f t="shared" ref="SO54" si="874">+SR50*SN54</f>
        <v>0</v>
      </c>
      <c r="SP54" s="105">
        <v>4.0000000000000001E-3</v>
      </c>
      <c r="SQ54" s="128">
        <v>4</v>
      </c>
      <c r="SR54" s="263">
        <f t="shared" si="795"/>
        <v>0</v>
      </c>
      <c r="SS54" s="126"/>
      <c r="ST54" s="662">
        <f t="shared" ref="ST54:ST57" si="875">+SP54/12</f>
        <v>3.3333333333333332E-4</v>
      </c>
      <c r="SU54" s="663">
        <f t="shared" ref="SU54" si="876">ST54*(SQ54+SO11)</f>
        <v>3.5000000000000001E-3</v>
      </c>
      <c r="SV54" s="664">
        <f t="shared" si="798"/>
        <v>0</v>
      </c>
      <c r="SW54" s="929">
        <f>+IF(SR54=0,0,SR54/SR$72)</f>
        <v>0</v>
      </c>
      <c r="SX54" s="127"/>
      <c r="SZ54" s="1172"/>
      <c r="TA54" s="170" t="s">
        <v>1212</v>
      </c>
      <c r="TB54" s="105">
        <f>+'Res de Costos Pais'!$D$117</f>
        <v>0.1</v>
      </c>
      <c r="TC54" s="125">
        <f>+TF50*TB54</f>
        <v>450242638.90135074</v>
      </c>
      <c r="TD54" s="105">
        <f>+'Res de Costos Pais'!$F$117</f>
        <v>4.0000000000000001E-3</v>
      </c>
      <c r="TE54" s="990">
        <f>+'Res de Costos Pais'!$G$117</f>
        <v>12.5</v>
      </c>
      <c r="TF54" s="263">
        <f t="shared" si="799"/>
        <v>2851536.7130418881</v>
      </c>
      <c r="TG54" s="126"/>
      <c r="TH54" s="662">
        <f t="shared" ref="TH54:TH57" si="877">+TD54/12</f>
        <v>3.3333333333333332E-4</v>
      </c>
      <c r="TI54" s="663">
        <f t="shared" ref="TI54" si="878">TH54*(TE54+TC11)</f>
        <v>6.3333333333333332E-3</v>
      </c>
      <c r="TJ54" s="664">
        <f t="shared" si="802"/>
        <v>2851536.7130418881</v>
      </c>
      <c r="TK54" s="929">
        <f>+IF(TF54=0,0,TF54/TF$72)</f>
        <v>6.0685664531842144E-4</v>
      </c>
      <c r="TL54" s="127"/>
      <c r="TM54" s="937"/>
      <c r="TN54" s="725"/>
    </row>
    <row r="55" spans="2:534" ht="18.75" customHeight="1">
      <c r="B55" s="1172"/>
      <c r="C55" s="170" t="s">
        <v>1213</v>
      </c>
      <c r="D55" s="105">
        <f>+'Res de Costos Pais'!$D$118</f>
        <v>0.05</v>
      </c>
      <c r="E55" s="125">
        <f>+H50*D55</f>
        <v>8802437.1245365627</v>
      </c>
      <c r="F55" s="105">
        <f>+'Res de Costos Pais'!$F$118</f>
        <v>3.0000000000000001E-3</v>
      </c>
      <c r="G55" s="990">
        <f>+'Res de Costos Pais'!$G$118</f>
        <v>42.5</v>
      </c>
      <c r="H55" s="263">
        <f>L55</f>
        <v>107829.85477557289</v>
      </c>
      <c r="I55" s="126"/>
      <c r="J55" s="662">
        <f>+F55/12</f>
        <v>2.5000000000000001E-4</v>
      </c>
      <c r="K55" s="663">
        <f>J55*(G55+E11)</f>
        <v>1.225E-2</v>
      </c>
      <c r="L55" s="664">
        <f>K55*E55</f>
        <v>107829.85477557289</v>
      </c>
      <c r="M55" s="929">
        <f>+IF(H55=0,0,H55/H$72)</f>
        <v>5.856381179743771E-4</v>
      </c>
      <c r="N55" s="127"/>
      <c r="P55" s="1172"/>
      <c r="Q55" s="170"/>
      <c r="R55" s="104"/>
      <c r="S55" s="125"/>
      <c r="T55" s="105"/>
      <c r="U55" s="128"/>
      <c r="V55" s="263"/>
      <c r="W55" s="126"/>
      <c r="X55" s="662"/>
      <c r="Y55" s="663"/>
      <c r="Z55" s="664"/>
      <c r="AA55" s="929"/>
      <c r="AB55" s="127"/>
      <c r="AD55" s="1172"/>
      <c r="AE55" s="170"/>
      <c r="AF55" s="104"/>
      <c r="AG55" s="125"/>
      <c r="AH55" s="105"/>
      <c r="AI55" s="128"/>
      <c r="AJ55" s="263"/>
      <c r="AK55" s="126"/>
      <c r="AL55" s="662"/>
      <c r="AM55" s="663"/>
      <c r="AN55" s="664"/>
      <c r="AO55" s="929"/>
      <c r="AP55" s="127"/>
      <c r="AR55" s="1172"/>
      <c r="AS55" s="170" t="s">
        <v>1213</v>
      </c>
      <c r="AT55" s="104">
        <v>0.1</v>
      </c>
      <c r="AU55" s="125">
        <f>+AX50*AT55</f>
        <v>0</v>
      </c>
      <c r="AV55" s="105">
        <v>3.0000000000000001E-3</v>
      </c>
      <c r="AW55" s="128">
        <v>36</v>
      </c>
      <c r="AX55" s="263">
        <f t="shared" si="660"/>
        <v>0</v>
      </c>
      <c r="AY55" s="126"/>
      <c r="AZ55" s="662">
        <f t="shared" si="803"/>
        <v>2.5000000000000001E-4</v>
      </c>
      <c r="BA55" s="663">
        <f t="shared" ref="BA55" si="879">AZ55*(AW55+AU11)</f>
        <v>1.0625000000000001E-2</v>
      </c>
      <c r="BB55" s="664">
        <f t="shared" si="663"/>
        <v>0</v>
      </c>
      <c r="BC55" s="929">
        <f>+IF(AX55=0,0,AX55/AX$72)</f>
        <v>0</v>
      </c>
      <c r="BD55" s="127"/>
      <c r="BF55" s="1172"/>
      <c r="BG55" s="170" t="s">
        <v>1213</v>
      </c>
      <c r="BH55" s="105">
        <f>+'Res de Costos Pais'!$D$118</f>
        <v>0.05</v>
      </c>
      <c r="BI55" s="125">
        <f>+BL50*BH55</f>
        <v>22247562.826666813</v>
      </c>
      <c r="BJ55" s="105">
        <f>+'Res de Costos Pais'!$F$118</f>
        <v>3.0000000000000001E-3</v>
      </c>
      <c r="BK55" s="990">
        <f>+'Res de Costos Pais'!$G$118</f>
        <v>42.5</v>
      </c>
      <c r="BL55" s="263">
        <f t="shared" si="664"/>
        <v>272532.64462666848</v>
      </c>
      <c r="BM55" s="126"/>
      <c r="BN55" s="662">
        <f t="shared" si="805"/>
        <v>2.5000000000000001E-4</v>
      </c>
      <c r="BO55" s="663">
        <f t="shared" ref="BO55" si="880">BN55*(BK55+BI11)</f>
        <v>1.225E-2</v>
      </c>
      <c r="BP55" s="664">
        <f t="shared" si="667"/>
        <v>272532.64462666848</v>
      </c>
      <c r="BQ55" s="929">
        <f>+IF(BL55=0,0,BL55/BL$72)</f>
        <v>5.8550356415474009E-4</v>
      </c>
      <c r="BR55" s="127"/>
      <c r="BT55" s="1172"/>
      <c r="BU55" s="170" t="s">
        <v>1213</v>
      </c>
      <c r="BV55" s="104">
        <v>0.1</v>
      </c>
      <c r="BW55" s="125">
        <f t="shared" ref="BW55" si="881">+BZ50*BV55</f>
        <v>0</v>
      </c>
      <c r="BX55" s="105">
        <v>3.0000000000000001E-3</v>
      </c>
      <c r="BY55" s="128">
        <v>36</v>
      </c>
      <c r="BZ55" s="263">
        <f t="shared" si="669"/>
        <v>0</v>
      </c>
      <c r="CA55" s="126"/>
      <c r="CB55" s="662">
        <f t="shared" si="808"/>
        <v>2.5000000000000001E-4</v>
      </c>
      <c r="CC55" s="663">
        <f t="shared" ref="CC55" si="882">CB55*(BY55+BW11)</f>
        <v>1.0625000000000001E-2</v>
      </c>
      <c r="CD55" s="664">
        <f t="shared" si="672"/>
        <v>0</v>
      </c>
      <c r="CE55" s="929">
        <f>+IF(BZ55=0,0,BZ55/BZ$72)</f>
        <v>0</v>
      </c>
      <c r="CF55" s="127"/>
      <c r="CH55" s="1172"/>
      <c r="CI55" s="170" t="s">
        <v>1213</v>
      </c>
      <c r="CJ55" s="105">
        <f>+'Res de Costos Pais'!$D$118</f>
        <v>0.05</v>
      </c>
      <c r="CK55" s="125">
        <f>+CN50*CJ55</f>
        <v>1233891.1410378586</v>
      </c>
      <c r="CL55" s="105">
        <f>+'Res de Costos Pais'!$F$118</f>
        <v>3.0000000000000001E-3</v>
      </c>
      <c r="CM55" s="990">
        <f>+'Res de Costos Pais'!$G$118</f>
        <v>42.5</v>
      </c>
      <c r="CN55" s="263">
        <f t="shared" si="673"/>
        <v>15115.166477713768</v>
      </c>
      <c r="CO55" s="126"/>
      <c r="CP55" s="662">
        <f t="shared" si="810"/>
        <v>2.5000000000000001E-4</v>
      </c>
      <c r="CQ55" s="663">
        <f t="shared" ref="CQ55" si="883">CP55*(CM55+CK11)</f>
        <v>1.225E-2</v>
      </c>
      <c r="CR55" s="664">
        <f t="shared" si="676"/>
        <v>15115.166477713768</v>
      </c>
      <c r="CS55" s="929">
        <f>+IF(CN55=0,0,CN55/CN$72)</f>
        <v>5.8549028153539193E-4</v>
      </c>
      <c r="CT55" s="127"/>
      <c r="CV55" s="1172"/>
      <c r="CW55" s="170" t="s">
        <v>1213</v>
      </c>
      <c r="CX55" s="105">
        <f>+'Res de Costos Pais'!$D$118</f>
        <v>0.05</v>
      </c>
      <c r="CY55" s="125">
        <f>+DB50*CX55</f>
        <v>17801678.259564433</v>
      </c>
      <c r="CZ55" s="105">
        <f>+'Res de Costos Pais'!$F$118</f>
        <v>3.0000000000000001E-3</v>
      </c>
      <c r="DA55" s="990">
        <f>+'Res de Costos Pais'!$G$118</f>
        <v>42.5</v>
      </c>
      <c r="DB55" s="263">
        <f t="shared" si="677"/>
        <v>218070.5586796643</v>
      </c>
      <c r="DC55" s="126"/>
      <c r="DD55" s="662">
        <f t="shared" si="812"/>
        <v>2.5000000000000001E-4</v>
      </c>
      <c r="DE55" s="663">
        <f t="shared" ref="DE55" si="884">DD55*(DA55+CY11)</f>
        <v>1.225E-2</v>
      </c>
      <c r="DF55" s="664">
        <f t="shared" si="680"/>
        <v>218070.5586796643</v>
      </c>
      <c r="DG55" s="929">
        <f>+IF(DB55=0,0,DB55/DB$72)</f>
        <v>5.8627041110182051E-4</v>
      </c>
      <c r="DH55" s="127"/>
      <c r="DJ55" s="1172"/>
      <c r="DK55" s="170" t="s">
        <v>1213</v>
      </c>
      <c r="DL55" s="105">
        <f>+'Res de Costos Pais'!$D$118</f>
        <v>0.05</v>
      </c>
      <c r="DM55" s="125">
        <f>+DP50*DL55</f>
        <v>1391450.0077171065</v>
      </c>
      <c r="DN55" s="105">
        <f>+'Res de Costos Pais'!$F$118</f>
        <v>3.0000000000000001E-3</v>
      </c>
      <c r="DO55" s="990">
        <f>+'Res de Costos Pais'!$G$118</f>
        <v>42.5</v>
      </c>
      <c r="DP55" s="263">
        <f t="shared" si="681"/>
        <v>17045.262594534554</v>
      </c>
      <c r="DQ55" s="126"/>
      <c r="DR55" s="662">
        <f t="shared" si="814"/>
        <v>2.5000000000000001E-4</v>
      </c>
      <c r="DS55" s="663">
        <f t="shared" ref="DS55" si="885">DR55*(DO55+DM11)</f>
        <v>1.225E-2</v>
      </c>
      <c r="DT55" s="664">
        <f t="shared" si="684"/>
        <v>17045.262594534554</v>
      </c>
      <c r="DU55" s="929">
        <f>+IF(DP55=0,0,DP55/DP$72)</f>
        <v>5.8638339001733505E-4</v>
      </c>
      <c r="DV55" s="127"/>
      <c r="DX55" s="1172"/>
      <c r="DY55" s="170" t="s">
        <v>1213</v>
      </c>
      <c r="DZ55" s="105">
        <f>+'Res de Costos Pais'!$D$118</f>
        <v>0.05</v>
      </c>
      <c r="EA55" s="125">
        <f>+ED50*DZ55</f>
        <v>6544246.9313370697</v>
      </c>
      <c r="EB55" s="105">
        <f>+'Res de Costos Pais'!$F$118</f>
        <v>3.0000000000000001E-3</v>
      </c>
      <c r="EC55" s="990">
        <f>+'Res de Costos Pais'!$G$118</f>
        <v>42.5</v>
      </c>
      <c r="ED55" s="263">
        <f t="shared" si="685"/>
        <v>80167.024908879102</v>
      </c>
      <c r="EE55" s="126"/>
      <c r="EF55" s="662">
        <f t="shared" si="816"/>
        <v>2.5000000000000001E-4</v>
      </c>
      <c r="EG55" s="663">
        <f t="shared" ref="EG55" si="886">EF55*(EC55+EA11)</f>
        <v>1.225E-2</v>
      </c>
      <c r="EH55" s="664">
        <f t="shared" si="688"/>
        <v>80167.024908879102</v>
      </c>
      <c r="EI55" s="929">
        <f>+IF(ED55=0,0,ED55/ED$72)</f>
        <v>5.8594165021546467E-4</v>
      </c>
      <c r="EJ55" s="127"/>
      <c r="EL55" s="1172"/>
      <c r="EM55" s="170" t="s">
        <v>1213</v>
      </c>
      <c r="EN55" s="105">
        <f>+'Res de Costos Pais'!$D$118</f>
        <v>0.05</v>
      </c>
      <c r="EO55" s="125">
        <f>+ER50*EN55</f>
        <v>11123781.413333407</v>
      </c>
      <c r="EP55" s="105">
        <f>+'Res de Costos Pais'!$F$118</f>
        <v>3.0000000000000001E-3</v>
      </c>
      <c r="EQ55" s="990">
        <f>+'Res de Costos Pais'!$G$118</f>
        <v>42.5</v>
      </c>
      <c r="ER55" s="263">
        <f t="shared" si="689"/>
        <v>136266.32231333424</v>
      </c>
      <c r="ES55" s="929" t="e">
        <f>+IF(EN55=0,0,EN55/EN$72)</f>
        <v>#DIV/0!</v>
      </c>
      <c r="ET55" s="662">
        <f t="shared" si="818"/>
        <v>2.5000000000000001E-4</v>
      </c>
      <c r="EU55" s="663">
        <f t="shared" ref="EU55" si="887">ET55*(EQ55+EO11)</f>
        <v>1.225E-2</v>
      </c>
      <c r="EV55" s="664">
        <f t="shared" si="692"/>
        <v>136266.32231333424</v>
      </c>
      <c r="EW55" s="929">
        <f>+IF(ER55=0,0,ER55/ER$72)</f>
        <v>5.8550356415474009E-4</v>
      </c>
      <c r="EX55" s="127"/>
      <c r="EZ55" s="1172"/>
      <c r="FA55" s="170" t="s">
        <v>1213</v>
      </c>
      <c r="FB55" s="104">
        <v>0.1</v>
      </c>
      <c r="FC55" s="125">
        <f t="shared" ref="FC55" si="888">+FF50*FB55</f>
        <v>0</v>
      </c>
      <c r="FD55" s="105">
        <v>3.0000000000000001E-3</v>
      </c>
      <c r="FE55" s="128">
        <v>36</v>
      </c>
      <c r="FF55" s="263">
        <f t="shared" si="694"/>
        <v>0</v>
      </c>
      <c r="FG55" s="126"/>
      <c r="FH55" s="662">
        <f t="shared" si="821"/>
        <v>2.5000000000000001E-4</v>
      </c>
      <c r="FI55" s="663">
        <f t="shared" ref="FI55" si="889">FH55*(FE55+FC11)</f>
        <v>1.0625000000000001E-2</v>
      </c>
      <c r="FJ55" s="664">
        <f t="shared" si="697"/>
        <v>0</v>
      </c>
      <c r="FK55" s="929">
        <f>+IF(FF55=0,0,FF55/FF$72)</f>
        <v>0</v>
      </c>
      <c r="FL55" s="127"/>
      <c r="FN55" s="1172"/>
      <c r="FO55" s="170" t="s">
        <v>1213</v>
      </c>
      <c r="FP55" s="105">
        <f>+'Res de Costos Pais'!$D$118</f>
        <v>0.05</v>
      </c>
      <c r="FQ55" s="125">
        <f>+FT50*FP55</f>
        <v>15255197.013952494</v>
      </c>
      <c r="FR55" s="105">
        <f>+'Res de Costos Pais'!$F$118</f>
        <v>3.0000000000000001E-3</v>
      </c>
      <c r="FS55" s="990">
        <f>+'Res de Costos Pais'!$G$118</f>
        <v>42.5</v>
      </c>
      <c r="FT55" s="263">
        <f t="shared" si="698"/>
        <v>186876.16342091805</v>
      </c>
      <c r="FU55" s="126"/>
      <c r="FV55" s="662">
        <f t="shared" si="823"/>
        <v>2.5000000000000001E-4</v>
      </c>
      <c r="FW55" s="663">
        <f t="shared" ref="FW55" si="890">FV55*(FS55+FQ11)</f>
        <v>1.225E-2</v>
      </c>
      <c r="FX55" s="664">
        <f t="shared" si="701"/>
        <v>186876.16342091805</v>
      </c>
      <c r="FY55" s="929">
        <f>+IF(FT55=0,0,FT55/FT$72)</f>
        <v>5.8924918603963565E-4</v>
      </c>
      <c r="FZ55" s="127"/>
      <c r="GB55" s="1172"/>
      <c r="GC55" s="170" t="s">
        <v>1213</v>
      </c>
      <c r="GD55" s="105">
        <f>+'Res de Costos Pais'!$D$118</f>
        <v>0.05</v>
      </c>
      <c r="GE55" s="125">
        <f>+GH50*GD55</f>
        <v>7208229.3052339125</v>
      </c>
      <c r="GF55" s="105">
        <f>+'Res de Costos Pais'!$F$118</f>
        <v>3.0000000000000001E-3</v>
      </c>
      <c r="GG55" s="990">
        <f>+'Res de Costos Pais'!$G$118</f>
        <v>42.5</v>
      </c>
      <c r="GH55" s="263">
        <f t="shared" si="702"/>
        <v>88300.808989115438</v>
      </c>
      <c r="GI55" s="126"/>
      <c r="GJ55" s="662">
        <f t="shared" si="825"/>
        <v>2.5000000000000001E-4</v>
      </c>
      <c r="GK55" s="663">
        <f t="shared" ref="GK55" si="891">GJ55*(GG55+GE11)</f>
        <v>1.225E-2</v>
      </c>
      <c r="GL55" s="664">
        <f t="shared" si="705"/>
        <v>88300.808989115438</v>
      </c>
      <c r="GM55" s="929">
        <f>+IF(GH55=0,0,GH55/GH$72)</f>
        <v>5.8527718488243514E-4</v>
      </c>
      <c r="GN55" s="127"/>
      <c r="GP55" s="1172"/>
      <c r="GQ55" s="170" t="s">
        <v>1213</v>
      </c>
      <c r="GR55" s="104">
        <v>0.1</v>
      </c>
      <c r="GS55" s="125">
        <f t="shared" ref="GS55" si="892">+GV50*GR55</f>
        <v>0</v>
      </c>
      <c r="GT55" s="105">
        <v>3.0000000000000001E-3</v>
      </c>
      <c r="GU55" s="128">
        <v>36</v>
      </c>
      <c r="GV55" s="263">
        <f t="shared" si="707"/>
        <v>0</v>
      </c>
      <c r="GW55" s="126"/>
      <c r="GX55" s="662">
        <f t="shared" si="828"/>
        <v>2.5000000000000001E-4</v>
      </c>
      <c r="GY55" s="663">
        <f t="shared" ref="GY55" si="893">GX55*(GU55+GS11)</f>
        <v>1.0625000000000001E-2</v>
      </c>
      <c r="GZ55" s="664">
        <f t="shared" si="710"/>
        <v>0</v>
      </c>
      <c r="HA55" s="929">
        <f>+IF(GV55=0,0,GV55/GV$72)</f>
        <v>0</v>
      </c>
      <c r="HB55" s="127"/>
      <c r="HD55" s="1172"/>
      <c r="HE55" s="170" t="s">
        <v>1213</v>
      </c>
      <c r="HF55" s="105">
        <f>+'Res de Costos Pais'!$D$118</f>
        <v>0.05</v>
      </c>
      <c r="HG55" s="125">
        <f>+HJ50*HF55</f>
        <v>3707927.1377778011</v>
      </c>
      <c r="HH55" s="105">
        <f>+'Res de Costos Pais'!$F$118</f>
        <v>3.0000000000000001E-3</v>
      </c>
      <c r="HI55" s="990">
        <f>+'Res de Costos Pais'!$G$118</f>
        <v>42.5</v>
      </c>
      <c r="HJ55" s="263">
        <f t="shared" si="711"/>
        <v>45422.107437778068</v>
      </c>
      <c r="HK55" s="126"/>
      <c r="HL55" s="662">
        <f t="shared" si="830"/>
        <v>2.5000000000000001E-4</v>
      </c>
      <c r="HM55" s="663">
        <f t="shared" ref="HM55" si="894">HL55*(HI55+HG11)</f>
        <v>1.225E-2</v>
      </c>
      <c r="HN55" s="664">
        <f t="shared" si="714"/>
        <v>45422.107437778068</v>
      </c>
      <c r="HO55" s="929">
        <f>+IF(HJ55=0,0,HJ55/HJ$72)</f>
        <v>5.855035641547402E-4</v>
      </c>
      <c r="HP55" s="127"/>
      <c r="HR55" s="1172"/>
      <c r="HS55" s="170" t="s">
        <v>1213</v>
      </c>
      <c r="HT55" s="105">
        <f>+'Res de Costos Pais'!$D$118</f>
        <v>0.05</v>
      </c>
      <c r="HU55" s="125">
        <f>+HX50*HT55</f>
        <v>14144588.947929088</v>
      </c>
      <c r="HV55" s="105">
        <f>+'Res de Costos Pais'!$F$118</f>
        <v>3.0000000000000001E-3</v>
      </c>
      <c r="HW55" s="990">
        <f>+'Res de Costos Pais'!$G$118</f>
        <v>42.5</v>
      </c>
      <c r="HX55" s="263">
        <f t="shared" si="715"/>
        <v>173271.21461213133</v>
      </c>
      <c r="HY55" s="929" t="e">
        <f t="shared" si="716"/>
        <v>#DIV/0!</v>
      </c>
      <c r="HZ55" s="662">
        <f t="shared" si="832"/>
        <v>2.5000000000000001E-4</v>
      </c>
      <c r="IA55" s="663">
        <f t="shared" ref="IA55" si="895">HZ55*(HW55+HU11)</f>
        <v>1.225E-2</v>
      </c>
      <c r="IB55" s="664">
        <f t="shared" si="719"/>
        <v>173271.21461213133</v>
      </c>
      <c r="IC55" s="929">
        <f>+IF(HX55=0,0,HX55/HX$72)</f>
        <v>5.8580880886368301E-4</v>
      </c>
      <c r="ID55" s="127"/>
      <c r="IF55" s="1172"/>
      <c r="IG55" s="170"/>
      <c r="IH55" s="104"/>
      <c r="II55" s="125"/>
      <c r="IJ55" s="105"/>
      <c r="IK55" s="128"/>
      <c r="IL55" s="263"/>
      <c r="IM55" s="126"/>
      <c r="IN55" s="662"/>
      <c r="IO55" s="663"/>
      <c r="IP55" s="664"/>
      <c r="IQ55" s="929"/>
      <c r="IR55" s="127"/>
      <c r="IT55" s="1172"/>
      <c r="IU55" s="170"/>
      <c r="IV55" s="104"/>
      <c r="IW55" s="125"/>
      <c r="IX55" s="105"/>
      <c r="IY55" s="128"/>
      <c r="IZ55" s="263"/>
      <c r="JA55" s="126"/>
      <c r="JB55" s="662"/>
      <c r="JC55" s="663"/>
      <c r="JD55" s="664"/>
      <c r="JE55" s="929"/>
      <c r="JF55" s="127"/>
      <c r="JH55" s="1172"/>
      <c r="JI55" s="170" t="s">
        <v>1213</v>
      </c>
      <c r="JJ55" s="105">
        <f>+'Res de Costos Pais'!$D$118</f>
        <v>0.05</v>
      </c>
      <c r="JK55" s="125">
        <f>+JN50*JJ55</f>
        <v>20510155.912052605</v>
      </c>
      <c r="JL55" s="105">
        <f>+'Res de Costos Pais'!$F$118</f>
        <v>3.0000000000000001E-3</v>
      </c>
      <c r="JM55" s="990">
        <f>+'Res de Costos Pais'!$G$118</f>
        <v>42.5</v>
      </c>
      <c r="JN55" s="263">
        <f t="shared" si="720"/>
        <v>251249.40992264444</v>
      </c>
      <c r="JO55" s="126"/>
      <c r="JP55" s="662">
        <f t="shared" si="834"/>
        <v>2.5000000000000001E-4</v>
      </c>
      <c r="JQ55" s="663">
        <f t="shared" ref="JQ55" si="896">JP55*(JM55+JK11)</f>
        <v>1.225E-2</v>
      </c>
      <c r="JR55" s="664">
        <f t="shared" si="723"/>
        <v>251249.40992264444</v>
      </c>
      <c r="JS55" s="929">
        <f>+IF(JN55=0,0,JN55/JN$72)</f>
        <v>5.8625992008105605E-4</v>
      </c>
      <c r="JT55" s="127"/>
      <c r="JV55" s="1172"/>
      <c r="JW55" s="170" t="s">
        <v>1213</v>
      </c>
      <c r="JX55" s="105">
        <f>+'Res de Costos Pais'!$D$118</f>
        <v>0.05</v>
      </c>
      <c r="JY55" s="125">
        <f>+KB50*JX55</f>
        <v>8434037.7578057032</v>
      </c>
      <c r="JZ55" s="105">
        <f>+'Res de Costos Pais'!$F$118</f>
        <v>3.0000000000000001E-3</v>
      </c>
      <c r="KA55" s="990">
        <f>+'Res de Costos Pais'!$G$118</f>
        <v>42.5</v>
      </c>
      <c r="KB55" s="263">
        <f t="shared" si="724"/>
        <v>103316.96253311986</v>
      </c>
      <c r="KC55" s="126"/>
      <c r="KD55" s="662">
        <f t="shared" si="836"/>
        <v>2.5000000000000001E-4</v>
      </c>
      <c r="KE55" s="663">
        <f t="shared" ref="KE55" si="897">KD55*(KA55+JY11)</f>
        <v>1.225E-2</v>
      </c>
      <c r="KF55" s="664">
        <f t="shared" si="727"/>
        <v>103316.96253311986</v>
      </c>
      <c r="KG55" s="929">
        <f>+IF(KB55=0,0,KB55/KB$72)</f>
        <v>5.8587687209370784E-4</v>
      </c>
      <c r="KH55" s="127"/>
      <c r="KJ55" s="1172"/>
      <c r="KK55" s="170" t="s">
        <v>1213</v>
      </c>
      <c r="KL55" s="104">
        <v>0.1</v>
      </c>
      <c r="KM55" s="125">
        <f t="shared" ref="KM55" si="898">+KP50*KL55</f>
        <v>0</v>
      </c>
      <c r="KN55" s="105">
        <v>3.0000000000000001E-3</v>
      </c>
      <c r="KO55" s="128">
        <v>36</v>
      </c>
      <c r="KP55" s="263">
        <f t="shared" si="729"/>
        <v>0</v>
      </c>
      <c r="KQ55" s="126"/>
      <c r="KR55" s="662">
        <f t="shared" si="839"/>
        <v>2.5000000000000001E-4</v>
      </c>
      <c r="KS55" s="663">
        <f t="shared" ref="KS55" si="899">KR55*(KO55+KM11)</f>
        <v>1.0625000000000001E-2</v>
      </c>
      <c r="KT55" s="664">
        <f t="shared" si="732"/>
        <v>0</v>
      </c>
      <c r="KU55" s="929">
        <f>+IF(KP55=0,0,KP55/KP$72)</f>
        <v>0</v>
      </c>
      <c r="KV55" s="127"/>
      <c r="KX55" s="1172"/>
      <c r="KY55" s="170" t="s">
        <v>1213</v>
      </c>
      <c r="KZ55" s="104">
        <v>0.1</v>
      </c>
      <c r="LA55" s="125">
        <f t="shared" ref="LA55" si="900">+LD50*KZ55</f>
        <v>0</v>
      </c>
      <c r="LB55" s="105">
        <v>3.0000000000000001E-3</v>
      </c>
      <c r="LC55" s="128">
        <v>36</v>
      </c>
      <c r="LD55" s="263">
        <f t="shared" si="734"/>
        <v>0</v>
      </c>
      <c r="LE55" s="126"/>
      <c r="LF55" s="662">
        <f t="shared" si="842"/>
        <v>2.5000000000000001E-4</v>
      </c>
      <c r="LG55" s="663">
        <f t="shared" ref="LG55" si="901">LF55*(LC55+LA11)</f>
        <v>1.0625000000000001E-2</v>
      </c>
      <c r="LH55" s="664">
        <f t="shared" si="737"/>
        <v>0</v>
      </c>
      <c r="LI55" s="929">
        <f>+IF(LD55=0,0,LD55/LD$72)</f>
        <v>0</v>
      </c>
      <c r="LJ55" s="127"/>
      <c r="LL55" s="1172"/>
      <c r="LM55" s="170" t="s">
        <v>1213</v>
      </c>
      <c r="LN55" s="104">
        <v>0.1</v>
      </c>
      <c r="LO55" s="125">
        <f t="shared" ref="LO55" si="902">+LR50*LN55</f>
        <v>0</v>
      </c>
      <c r="LP55" s="105">
        <v>3.0000000000000001E-3</v>
      </c>
      <c r="LQ55" s="128">
        <v>36</v>
      </c>
      <c r="LR55" s="263">
        <f t="shared" si="739"/>
        <v>0</v>
      </c>
      <c r="LS55" s="126"/>
      <c r="LT55" s="662">
        <f t="shared" si="845"/>
        <v>2.5000000000000001E-4</v>
      </c>
      <c r="LU55" s="663">
        <f t="shared" ref="LU55" si="903">LT55*(LQ55+LO11)</f>
        <v>1.0625000000000001E-2</v>
      </c>
      <c r="LV55" s="664">
        <f t="shared" si="742"/>
        <v>0</v>
      </c>
      <c r="LW55" s="929">
        <f>+IF(LR55=0,0,LR55/LR$72)</f>
        <v>0</v>
      </c>
      <c r="LX55" s="127"/>
      <c r="LZ55" s="1172"/>
      <c r="MA55" s="170" t="s">
        <v>1213</v>
      </c>
      <c r="MB55" s="105">
        <f>+'Res de Costos Pais'!$D$118</f>
        <v>0.05</v>
      </c>
      <c r="MC55" s="125">
        <f>+MF50*MB55</f>
        <v>5889822.2382033616</v>
      </c>
      <c r="MD55" s="105">
        <f>+'Res de Costos Pais'!$F$118</f>
        <v>3.0000000000000001E-3</v>
      </c>
      <c r="ME55" s="990">
        <f>+'Res de Costos Pais'!$G$118</f>
        <v>42.5</v>
      </c>
      <c r="MF55" s="263">
        <f t="shared" si="743"/>
        <v>72150.322417991178</v>
      </c>
      <c r="MG55" s="126"/>
      <c r="MH55" s="662">
        <f t="shared" si="847"/>
        <v>2.5000000000000001E-4</v>
      </c>
      <c r="MI55" s="663">
        <f t="shared" ref="MI55" si="904">MH55*(ME55+MC11)</f>
        <v>1.225E-2</v>
      </c>
      <c r="MJ55" s="664">
        <f t="shared" si="746"/>
        <v>72150.322417991178</v>
      </c>
      <c r="MK55" s="929">
        <f>+IF(MF55=0,0,MF55/MF$72)</f>
        <v>5.8594165021546457E-4</v>
      </c>
      <c r="ML55" s="127"/>
      <c r="MN55" s="1172"/>
      <c r="MO55" s="170" t="s">
        <v>1213</v>
      </c>
      <c r="MP55" s="105">
        <f>+'Res de Costos Pais'!$D$118</f>
        <v>0.05</v>
      </c>
      <c r="MQ55" s="125">
        <f>+MT50*MP55</f>
        <v>7668314.8414853532</v>
      </c>
      <c r="MR55" s="105">
        <f>+'Res de Costos Pais'!$F$118</f>
        <v>3.0000000000000001E-3</v>
      </c>
      <c r="MS55" s="990">
        <f>+'Res de Costos Pais'!$G$118</f>
        <v>42.5</v>
      </c>
      <c r="MT55" s="263">
        <f t="shared" si="747"/>
        <v>93936.856808195575</v>
      </c>
      <c r="MU55" s="126"/>
      <c r="MV55" s="662">
        <f t="shared" si="849"/>
        <v>2.5000000000000001E-4</v>
      </c>
      <c r="MW55" s="663">
        <f t="shared" ref="MW55" si="905">MV55*(MS55+MQ11)</f>
        <v>1.225E-2</v>
      </c>
      <c r="MX55" s="664">
        <f t="shared" si="750"/>
        <v>93936.856808195575</v>
      </c>
      <c r="MY55" s="929">
        <f>+IF(MT55=0,0,MT55/MT$72)</f>
        <v>5.8576252808447522E-4</v>
      </c>
      <c r="MZ55" s="127"/>
      <c r="NB55" s="1172"/>
      <c r="NC55" s="170" t="s">
        <v>1213</v>
      </c>
      <c r="ND55" s="105">
        <f>+'Res de Costos Pais'!$D$118</f>
        <v>0.05</v>
      </c>
      <c r="NE55" s="125">
        <f>+NH50*ND55</f>
        <v>8511975.2402894292</v>
      </c>
      <c r="NF55" s="105">
        <f>+'Res de Costos Pais'!$F$118</f>
        <v>3.0000000000000001E-3</v>
      </c>
      <c r="NG55" s="990">
        <f>+'Res de Costos Pais'!$G$118</f>
        <v>42.5</v>
      </c>
      <c r="NH55" s="263">
        <f t="shared" si="751"/>
        <v>104271.69669354551</v>
      </c>
      <c r="NI55" s="126"/>
      <c r="NJ55" s="662">
        <f t="shared" si="851"/>
        <v>2.5000000000000001E-4</v>
      </c>
      <c r="NK55" s="663">
        <f t="shared" ref="NK55" si="906">NJ55*(NG55+NE11)</f>
        <v>1.225E-2</v>
      </c>
      <c r="NL55" s="664">
        <f t="shared" si="754"/>
        <v>104271.69669354551</v>
      </c>
      <c r="NM55" s="929">
        <f>+IF(NH55=0,0,NH55/NH$72)</f>
        <v>5.8537441110319017E-4</v>
      </c>
      <c r="NN55" s="127"/>
      <c r="NP55" s="1172"/>
      <c r="NQ55" s="170" t="s">
        <v>1213</v>
      </c>
      <c r="NR55" s="105">
        <f>+'Res de Costos Pais'!$D$118</f>
        <v>0.05</v>
      </c>
      <c r="NS55" s="125">
        <f>+NV50*NR55</f>
        <v>20010249.340250555</v>
      </c>
      <c r="NT55" s="105">
        <f>+'Res de Costos Pais'!$F$118</f>
        <v>3.0000000000000001E-3</v>
      </c>
      <c r="NU55" s="990">
        <f>+'Res de Costos Pais'!$G$118</f>
        <v>42.5</v>
      </c>
      <c r="NV55" s="263">
        <f t="shared" si="755"/>
        <v>245125.55441806931</v>
      </c>
      <c r="NW55" s="126"/>
      <c r="NX55" s="662">
        <f t="shared" si="853"/>
        <v>2.5000000000000001E-4</v>
      </c>
      <c r="NY55" s="663">
        <f t="shared" ref="NY55" si="907">NX55*(NU55+NS11)</f>
        <v>1.225E-2</v>
      </c>
      <c r="NZ55" s="664">
        <f t="shared" si="758"/>
        <v>245125.55441806931</v>
      </c>
      <c r="OA55" s="929">
        <f>+IF(NV55=0,0,NV55/NV$72)</f>
        <v>5.8950804925015829E-4</v>
      </c>
      <c r="OB55" s="127"/>
      <c r="OD55" s="1172"/>
      <c r="OE55" s="170" t="s">
        <v>1213</v>
      </c>
      <c r="OF55" s="105">
        <f>+'Res de Costos Pais'!$D$118</f>
        <v>0.05</v>
      </c>
      <c r="OG55" s="125">
        <f>+OJ50*OF55</f>
        <v>3639075.6655234057</v>
      </c>
      <c r="OH55" s="105">
        <f>+'Res de Costos Pais'!$F$118</f>
        <v>3.0000000000000001E-3</v>
      </c>
      <c r="OI55" s="990">
        <f>+'Res de Costos Pais'!$G$118</f>
        <v>42.5</v>
      </c>
      <c r="OJ55" s="263">
        <f t="shared" si="759"/>
        <v>44578.676902661718</v>
      </c>
      <c r="OK55" s="126"/>
      <c r="OL55" s="662">
        <f t="shared" si="855"/>
        <v>2.5000000000000001E-4</v>
      </c>
      <c r="OM55" s="663">
        <f t="shared" ref="OM55" si="908">OL55*(OI55+OG11)</f>
        <v>1.225E-2</v>
      </c>
      <c r="ON55" s="664">
        <f t="shared" si="762"/>
        <v>44578.676902661718</v>
      </c>
      <c r="OO55" s="929">
        <f>+IF(OJ55=0,0,OJ55/OJ$72)</f>
        <v>5.8803609101592527E-4</v>
      </c>
      <c r="OP55" s="127"/>
      <c r="OR55" s="1172"/>
      <c r="OS55" s="170" t="s">
        <v>1213</v>
      </c>
      <c r="OT55" s="105">
        <f>+'Res de Costos Pais'!$D$118</f>
        <v>0.05</v>
      </c>
      <c r="OU55" s="125">
        <f>+OX50*OT55</f>
        <v>14387813.629628314</v>
      </c>
      <c r="OV55" s="105">
        <f>+'Res de Costos Pais'!$F$118</f>
        <v>3.0000000000000001E-3</v>
      </c>
      <c r="OW55" s="990">
        <f>+'Res de Costos Pais'!$G$118</f>
        <v>42.5</v>
      </c>
      <c r="OX55" s="263">
        <f t="shared" si="763"/>
        <v>176250.71696294684</v>
      </c>
      <c r="OY55" s="126"/>
      <c r="OZ55" s="662">
        <f t="shared" si="857"/>
        <v>2.5000000000000001E-4</v>
      </c>
      <c r="PA55" s="663">
        <f t="shared" ref="PA55" si="909">OZ55*(OW55+OU11)</f>
        <v>1.225E-2</v>
      </c>
      <c r="PB55" s="664">
        <f t="shared" si="766"/>
        <v>176250.71696294684</v>
      </c>
      <c r="PC55" s="929">
        <f>+IF(OX55=0,0,OX55/OX$72)</f>
        <v>5.8661391872770496E-4</v>
      </c>
      <c r="PD55" s="127"/>
      <c r="PF55" s="1172"/>
      <c r="PG55" s="170" t="s">
        <v>1213</v>
      </c>
      <c r="PH55" s="104">
        <v>0.1</v>
      </c>
      <c r="PI55" s="125">
        <f t="shared" ref="PI55" si="910">+PL50*PH55</f>
        <v>0</v>
      </c>
      <c r="PJ55" s="105">
        <v>3.0000000000000001E-3</v>
      </c>
      <c r="PK55" s="128">
        <v>36</v>
      </c>
      <c r="PL55" s="263">
        <f t="shared" si="768"/>
        <v>0</v>
      </c>
      <c r="PM55" s="126"/>
      <c r="PN55" s="662">
        <f t="shared" si="860"/>
        <v>2.5000000000000001E-4</v>
      </c>
      <c r="PO55" s="663">
        <f t="shared" ref="PO55" si="911">PN55*(PK55+PI11)</f>
        <v>1.0625000000000001E-2</v>
      </c>
      <c r="PP55" s="664">
        <f t="shared" si="771"/>
        <v>0</v>
      </c>
      <c r="PQ55" s="929">
        <f>+IF(PL55=0,0,PL55/PL$72)</f>
        <v>0</v>
      </c>
      <c r="PR55" s="127"/>
      <c r="PT55" s="1172"/>
      <c r="PU55" s="170" t="s">
        <v>1213</v>
      </c>
      <c r="PV55" s="104">
        <v>0.1</v>
      </c>
      <c r="PW55" s="125">
        <f t="shared" ref="PW55" si="912">+PZ50*PV55</f>
        <v>0</v>
      </c>
      <c r="PX55" s="105">
        <v>3.0000000000000001E-3</v>
      </c>
      <c r="PY55" s="128">
        <v>36</v>
      </c>
      <c r="PZ55" s="263">
        <f t="shared" si="773"/>
        <v>0</v>
      </c>
      <c r="QA55" s="126"/>
      <c r="QB55" s="662">
        <f t="shared" si="863"/>
        <v>2.5000000000000001E-4</v>
      </c>
      <c r="QC55" s="663">
        <f t="shared" ref="QC55" si="913">QB55*(PY55+PW11)</f>
        <v>1.0625000000000001E-2</v>
      </c>
      <c r="QD55" s="664">
        <f t="shared" si="776"/>
        <v>0</v>
      </c>
      <c r="QE55" s="929">
        <f>+IF(PZ55=0,0,PZ55/PZ$72)</f>
        <v>0</v>
      </c>
      <c r="QF55" s="127"/>
      <c r="QH55" s="1172"/>
      <c r="QI55" s="170" t="s">
        <v>1213</v>
      </c>
      <c r="QJ55" s="104">
        <v>0.1</v>
      </c>
      <c r="QK55" s="125">
        <f t="shared" ref="QK55" si="914">+QN50*QJ55</f>
        <v>0</v>
      </c>
      <c r="QL55" s="105">
        <v>3.0000000000000001E-3</v>
      </c>
      <c r="QM55" s="128">
        <v>36</v>
      </c>
      <c r="QN55" s="263">
        <f t="shared" si="778"/>
        <v>0</v>
      </c>
      <c r="QO55" s="126"/>
      <c r="QP55" s="662">
        <f t="shared" si="866"/>
        <v>2.5000000000000001E-4</v>
      </c>
      <c r="QQ55" s="663">
        <f t="shared" ref="QQ55" si="915">QP55*(QM55+QK11)</f>
        <v>1.0625000000000001E-2</v>
      </c>
      <c r="QR55" s="664">
        <f t="shared" si="781"/>
        <v>0</v>
      </c>
      <c r="QS55" s="929">
        <f>+IF(QN55=0,0,QN55/QN$72)</f>
        <v>0</v>
      </c>
      <c r="QT55" s="127"/>
      <c r="QV55" s="1172"/>
      <c r="QW55" s="170" t="s">
        <v>1213</v>
      </c>
      <c r="QX55" s="105">
        <f>+'Res de Costos Pais'!$D$118</f>
        <v>0.05</v>
      </c>
      <c r="QY55" s="125">
        <f>+RB50*QX55</f>
        <v>15007687.005187918</v>
      </c>
      <c r="QZ55" s="105">
        <f>+'Res de Costos Pais'!$F$118</f>
        <v>3.0000000000000001E-3</v>
      </c>
      <c r="RA55" s="990">
        <f>+'Res de Costos Pais'!$G$118</f>
        <v>42.5</v>
      </c>
      <c r="RB55" s="263">
        <f t="shared" si="782"/>
        <v>183844.16581355198</v>
      </c>
      <c r="RC55" s="126"/>
      <c r="RD55" s="662">
        <f t="shared" si="868"/>
        <v>2.5000000000000001E-4</v>
      </c>
      <c r="RE55" s="663">
        <f t="shared" ref="RE55" si="916">RD55*(RA55+QY11)</f>
        <v>1.225E-2</v>
      </c>
      <c r="RF55" s="664">
        <f t="shared" si="785"/>
        <v>183844.16581355198</v>
      </c>
      <c r="RG55" s="929">
        <f>+IF(RB55=0,0,RB55/RB$72)</f>
        <v>5.8950804925015829E-4</v>
      </c>
      <c r="RH55" s="127"/>
      <c r="RJ55" s="1172"/>
      <c r="RK55" s="170" t="s">
        <v>1213</v>
      </c>
      <c r="RL55" s="105">
        <f>+'Res de Costos Pais'!$D$118</f>
        <v>0.05</v>
      </c>
      <c r="RM55" s="125">
        <f>+RP50*RL55</f>
        <v>2846713.6248025633</v>
      </c>
      <c r="RN55" s="105">
        <f>+'Res de Costos Pais'!$F$118</f>
        <v>3.0000000000000001E-3</v>
      </c>
      <c r="RO55" s="990">
        <f>+'Res de Costos Pais'!$G$118</f>
        <v>42.5</v>
      </c>
      <c r="RP55" s="263">
        <f t="shared" si="786"/>
        <v>34872.241903831404</v>
      </c>
      <c r="RQ55" s="126"/>
      <c r="RR55" s="662">
        <f t="shared" si="870"/>
        <v>2.5000000000000001E-4</v>
      </c>
      <c r="RS55" s="663">
        <f t="shared" ref="RS55" si="917">RR55*(RO55+RM11)</f>
        <v>1.225E-2</v>
      </c>
      <c r="RT55" s="664">
        <f t="shared" si="789"/>
        <v>34872.241903831404</v>
      </c>
      <c r="RU55" s="929">
        <f>+IF(RP55=0,0,RP55/RP$72)</f>
        <v>5.8998634113719469E-4</v>
      </c>
      <c r="RV55" s="127"/>
      <c r="RX55" s="1172"/>
      <c r="RY55" s="170" t="s">
        <v>1213</v>
      </c>
      <c r="RZ55" s="105">
        <f>+'Res de Costos Pais'!$D$118</f>
        <v>0.05</v>
      </c>
      <c r="SA55" s="125">
        <f>+SD50*RZ55</f>
        <v>8754484.0863596182</v>
      </c>
      <c r="SB55" s="105">
        <f>+'Res de Costos Pais'!$F$118</f>
        <v>3.0000000000000001E-3</v>
      </c>
      <c r="SC55" s="990">
        <f>+'Res de Costos Pais'!$G$118</f>
        <v>42.5</v>
      </c>
      <c r="SD55" s="263">
        <f t="shared" si="790"/>
        <v>107242.43005790532</v>
      </c>
      <c r="SE55" s="126"/>
      <c r="SF55" s="662">
        <f t="shared" si="872"/>
        <v>2.5000000000000001E-4</v>
      </c>
      <c r="SG55" s="663">
        <f t="shared" ref="SG55" si="918">SF55*(SC55+SA11)</f>
        <v>1.225E-2</v>
      </c>
      <c r="SH55" s="664">
        <f t="shared" si="793"/>
        <v>107242.43005790532</v>
      </c>
      <c r="SI55" s="929">
        <f>+IF(SD55=0,0,SD55/SD$72)</f>
        <v>5.8950804925015808E-4</v>
      </c>
      <c r="SJ55" s="127"/>
      <c r="SL55" s="1172"/>
      <c r="SM55" s="170" t="s">
        <v>1213</v>
      </c>
      <c r="SN55" s="104">
        <v>0.1</v>
      </c>
      <c r="SO55" s="125">
        <f t="shared" ref="SO55" si="919">+SR50*SN55</f>
        <v>0</v>
      </c>
      <c r="SP55" s="105">
        <v>3.0000000000000001E-3</v>
      </c>
      <c r="SQ55" s="128">
        <v>36</v>
      </c>
      <c r="SR55" s="263">
        <f t="shared" si="795"/>
        <v>0</v>
      </c>
      <c r="SS55" s="126"/>
      <c r="ST55" s="662">
        <f t="shared" si="875"/>
        <v>2.5000000000000001E-4</v>
      </c>
      <c r="SU55" s="663">
        <f t="shared" ref="SU55" si="920">ST55*(SQ55+SO11)</f>
        <v>1.0625000000000001E-2</v>
      </c>
      <c r="SV55" s="664">
        <f t="shared" si="798"/>
        <v>0</v>
      </c>
      <c r="SW55" s="929">
        <f>+IF(SR55=0,0,SR55/SR$72)</f>
        <v>0</v>
      </c>
      <c r="SX55" s="127"/>
      <c r="SZ55" s="1172"/>
      <c r="TA55" s="170" t="s">
        <v>1213</v>
      </c>
      <c r="TB55" s="105">
        <f>+'Res de Costos Pais'!$D$118</f>
        <v>0.05</v>
      </c>
      <c r="TC55" s="125">
        <f>+TF50*TB55</f>
        <v>225121319.45067537</v>
      </c>
      <c r="TD55" s="105">
        <f>+'Res de Costos Pais'!$F$118</f>
        <v>3.0000000000000001E-3</v>
      </c>
      <c r="TE55" s="990">
        <f>+'Res de Costos Pais'!$G$118</f>
        <v>42.5</v>
      </c>
      <c r="TF55" s="263">
        <f t="shared" si="799"/>
        <v>2757736.1632707734</v>
      </c>
      <c r="TG55" s="126"/>
      <c r="TH55" s="662">
        <f t="shared" si="877"/>
        <v>2.5000000000000001E-4</v>
      </c>
      <c r="TI55" s="663">
        <f t="shared" ref="TI55" si="921">TH55*(TE55+TC11)</f>
        <v>1.225E-2</v>
      </c>
      <c r="TJ55" s="664">
        <f t="shared" si="802"/>
        <v>2757736.1632707734</v>
      </c>
      <c r="TK55" s="929">
        <f>+IF(TF55=0,0,TF55/TF$72)</f>
        <v>5.8689425566978907E-4</v>
      </c>
      <c r="TL55" s="127"/>
      <c r="TM55" s="937"/>
      <c r="TN55" s="725"/>
    </row>
    <row r="56" spans="2:534" ht="18.75" customHeight="1">
      <c r="B56" s="1172"/>
      <c r="C56" s="170" t="s">
        <v>1214</v>
      </c>
      <c r="D56" s="105">
        <f>+'Res de Costos Pais'!$D$119</f>
        <v>0.1</v>
      </c>
      <c r="E56" s="125">
        <f>+H50*D56</f>
        <v>17604874.249073125</v>
      </c>
      <c r="F56" s="105">
        <f>+'Res de Costos Pais'!$F$119</f>
        <v>4.0000000000000001E-3</v>
      </c>
      <c r="G56" s="990">
        <f>+'Res de Costos Pais'!$G$119</f>
        <v>12.5</v>
      </c>
      <c r="H56" s="263">
        <f>L56</f>
        <v>111497.53691079647</v>
      </c>
      <c r="I56" s="126"/>
      <c r="J56" s="662">
        <f>+F56/12</f>
        <v>3.3333333333333332E-4</v>
      </c>
      <c r="K56" s="663">
        <f>J56*(G56+E11)</f>
        <v>6.3333333333333332E-3</v>
      </c>
      <c r="L56" s="664">
        <f>K56*E56</f>
        <v>111497.53691079647</v>
      </c>
      <c r="M56" s="929">
        <f>+IF(H56=0,0,H56/H$72)</f>
        <v>6.0555778185105661E-4</v>
      </c>
      <c r="N56" s="127"/>
      <c r="P56" s="1172"/>
      <c r="Q56" s="170"/>
      <c r="R56" s="104"/>
      <c r="S56" s="125"/>
      <c r="T56" s="105"/>
      <c r="U56" s="128"/>
      <c r="V56" s="263"/>
      <c r="W56" s="126"/>
      <c r="X56" s="662"/>
      <c r="Y56" s="663"/>
      <c r="Z56" s="664"/>
      <c r="AA56" s="929"/>
      <c r="AB56" s="127"/>
      <c r="AD56" s="1172"/>
      <c r="AE56" s="170"/>
      <c r="AF56" s="104"/>
      <c r="AG56" s="125"/>
      <c r="AH56" s="105"/>
      <c r="AI56" s="128"/>
      <c r="AJ56" s="263"/>
      <c r="AK56" s="126"/>
      <c r="AL56" s="662"/>
      <c r="AM56" s="663"/>
      <c r="AN56" s="664"/>
      <c r="AO56" s="929"/>
      <c r="AP56" s="127"/>
      <c r="AR56" s="1172"/>
      <c r="AS56" s="170" t="s">
        <v>1214</v>
      </c>
      <c r="AT56" s="104">
        <v>0.2</v>
      </c>
      <c r="AU56" s="125">
        <f>+AX50*AT56</f>
        <v>0</v>
      </c>
      <c r="AV56" s="105">
        <v>4.0000000000000001E-3</v>
      </c>
      <c r="AW56" s="128">
        <v>4</v>
      </c>
      <c r="AX56" s="263">
        <f t="shared" si="660"/>
        <v>0</v>
      </c>
      <c r="AY56" s="126"/>
      <c r="AZ56" s="662">
        <f t="shared" si="803"/>
        <v>3.3333333333333332E-4</v>
      </c>
      <c r="BA56" s="663">
        <f t="shared" ref="BA56" si="922">AZ56*(AW56+AU11)</f>
        <v>3.5000000000000001E-3</v>
      </c>
      <c r="BB56" s="664">
        <f t="shared" si="663"/>
        <v>0</v>
      </c>
      <c r="BC56" s="929">
        <f>+IF(AX56=0,0,AX56/AX$72)</f>
        <v>0</v>
      </c>
      <c r="BD56" s="127"/>
      <c r="BF56" s="1172"/>
      <c r="BG56" s="170" t="s">
        <v>1214</v>
      </c>
      <c r="BH56" s="105">
        <f>+'Res de Costos Pais'!$D$119</f>
        <v>0.1</v>
      </c>
      <c r="BI56" s="125">
        <f>+BL50*BH56</f>
        <v>44495125.653333627</v>
      </c>
      <c r="BJ56" s="105">
        <f>+'Res de Costos Pais'!$F$119</f>
        <v>4.0000000000000001E-3</v>
      </c>
      <c r="BK56" s="990">
        <f>+'Res de Costos Pais'!$G$119</f>
        <v>12.5</v>
      </c>
      <c r="BL56" s="263">
        <f t="shared" si="664"/>
        <v>281802.46247111296</v>
      </c>
      <c r="BM56" s="126"/>
      <c r="BN56" s="662">
        <f t="shared" si="805"/>
        <v>3.3333333333333332E-4</v>
      </c>
      <c r="BO56" s="663">
        <f t="shared" ref="BO56" si="923">BN56*(BK56+BI11)</f>
        <v>6.3333333333333332E-3</v>
      </c>
      <c r="BP56" s="664">
        <f t="shared" si="667"/>
        <v>281802.46247111296</v>
      </c>
      <c r="BQ56" s="929">
        <f>+IF(BL56=0,0,BL56/BL$72)</f>
        <v>6.054186513708876E-4</v>
      </c>
      <c r="BR56" s="127"/>
      <c r="BT56" s="1172"/>
      <c r="BU56" s="170" t="s">
        <v>1214</v>
      </c>
      <c r="BV56" s="104">
        <v>0.2</v>
      </c>
      <c r="BW56" s="125">
        <f t="shared" ref="BW56" si="924">+BZ50*BV56</f>
        <v>0</v>
      </c>
      <c r="BX56" s="105">
        <v>4.0000000000000001E-3</v>
      </c>
      <c r="BY56" s="128">
        <v>4</v>
      </c>
      <c r="BZ56" s="263">
        <f t="shared" si="669"/>
        <v>0</v>
      </c>
      <c r="CA56" s="126"/>
      <c r="CB56" s="662">
        <f t="shared" si="808"/>
        <v>3.3333333333333332E-4</v>
      </c>
      <c r="CC56" s="663">
        <f t="shared" ref="CC56" si="925">CB56*(BY56+BW11)</f>
        <v>3.5000000000000001E-3</v>
      </c>
      <c r="CD56" s="664">
        <f t="shared" si="672"/>
        <v>0</v>
      </c>
      <c r="CE56" s="929">
        <f>+IF(BZ56=0,0,BZ56/BZ$72)</f>
        <v>0</v>
      </c>
      <c r="CF56" s="127"/>
      <c r="CH56" s="1172"/>
      <c r="CI56" s="170" t="s">
        <v>1214</v>
      </c>
      <c r="CJ56" s="105">
        <f>+'Res de Costos Pais'!$D$119</f>
        <v>0.1</v>
      </c>
      <c r="CK56" s="125">
        <f>+CN50*CJ56</f>
        <v>2467782.2820757171</v>
      </c>
      <c r="CL56" s="105">
        <f>+'Res de Costos Pais'!$F$119</f>
        <v>4.0000000000000001E-3</v>
      </c>
      <c r="CM56" s="990">
        <f>+'Res de Costos Pais'!$G$119</f>
        <v>12.5</v>
      </c>
      <c r="CN56" s="263">
        <f t="shared" si="673"/>
        <v>15629.287786479541</v>
      </c>
      <c r="CO56" s="126"/>
      <c r="CP56" s="662">
        <f t="shared" si="810"/>
        <v>3.3333333333333332E-4</v>
      </c>
      <c r="CQ56" s="663">
        <f t="shared" ref="CQ56" si="926">CP56*(CM56+CK11)</f>
        <v>6.3333333333333332E-3</v>
      </c>
      <c r="CR56" s="664">
        <f t="shared" si="676"/>
        <v>15629.287786479541</v>
      </c>
      <c r="CS56" s="929">
        <f>+IF(CN56=0,0,CN56/CN$72)</f>
        <v>6.0540491696176577E-4</v>
      </c>
      <c r="CT56" s="127"/>
      <c r="CV56" s="1172"/>
      <c r="CW56" s="170" t="s">
        <v>1214</v>
      </c>
      <c r="CX56" s="105">
        <f>+'Res de Costos Pais'!$D$119</f>
        <v>0.1</v>
      </c>
      <c r="CY56" s="125">
        <f>+DB50*CX56</f>
        <v>35603356.519128866</v>
      </c>
      <c r="CZ56" s="105">
        <f>+'Res de Costos Pais'!$F$119</f>
        <v>4.0000000000000001E-3</v>
      </c>
      <c r="DA56" s="990">
        <f>+'Res de Costos Pais'!$G$119</f>
        <v>12.5</v>
      </c>
      <c r="DB56" s="263">
        <f t="shared" si="677"/>
        <v>225487.92462114949</v>
      </c>
      <c r="DC56" s="126"/>
      <c r="DD56" s="662">
        <f t="shared" si="812"/>
        <v>3.3333333333333332E-4</v>
      </c>
      <c r="DE56" s="663">
        <f t="shared" ref="DE56" si="927">DD56*(DA56+CY11)</f>
        <v>6.3333333333333332E-3</v>
      </c>
      <c r="DF56" s="664">
        <f t="shared" si="680"/>
        <v>225487.92462114949</v>
      </c>
      <c r="DG56" s="929">
        <f>+IF(DB56=0,0,DB56/DB$72)</f>
        <v>6.0621158154746063E-4</v>
      </c>
      <c r="DH56" s="127"/>
      <c r="DJ56" s="1172"/>
      <c r="DK56" s="170" t="s">
        <v>1214</v>
      </c>
      <c r="DL56" s="105">
        <f>+'Res de Costos Pais'!$D$119</f>
        <v>0.1</v>
      </c>
      <c r="DM56" s="125">
        <f>+DP50*DL56</f>
        <v>2782900.015434213</v>
      </c>
      <c r="DN56" s="105">
        <f>+'Res de Costos Pais'!$F$119</f>
        <v>4.0000000000000001E-3</v>
      </c>
      <c r="DO56" s="990">
        <f>+'Res de Costos Pais'!$G$119</f>
        <v>12.5</v>
      </c>
      <c r="DP56" s="263">
        <f t="shared" si="681"/>
        <v>17625.03343108335</v>
      </c>
      <c r="DQ56" s="126"/>
      <c r="DR56" s="662">
        <f t="shared" si="814"/>
        <v>3.3333333333333332E-4</v>
      </c>
      <c r="DS56" s="663">
        <f t="shared" ref="DS56" si="928">DR56*(DO56+DM11)</f>
        <v>6.3333333333333332E-3</v>
      </c>
      <c r="DT56" s="664">
        <f t="shared" si="684"/>
        <v>17625.03343108335</v>
      </c>
      <c r="DU56" s="929">
        <f>+IF(DP56=0,0,DP56/DP$72)</f>
        <v>6.0632840328323087E-4</v>
      </c>
      <c r="DV56" s="127"/>
      <c r="DX56" s="1172"/>
      <c r="DY56" s="170" t="s">
        <v>1214</v>
      </c>
      <c r="DZ56" s="105">
        <f>+'Res de Costos Pais'!$D$119</f>
        <v>0.1</v>
      </c>
      <c r="EA56" s="125">
        <f>+ED50*DZ56</f>
        <v>13088493.862674139</v>
      </c>
      <c r="EB56" s="105">
        <f>+'Res de Costos Pais'!$F$119</f>
        <v>4.0000000000000001E-3</v>
      </c>
      <c r="EC56" s="990">
        <f>+'Res de Costos Pais'!$G$119</f>
        <v>12.5</v>
      </c>
      <c r="ED56" s="263">
        <f t="shared" si="685"/>
        <v>82893.794463602884</v>
      </c>
      <c r="EE56" s="126"/>
      <c r="EF56" s="662">
        <f t="shared" si="816"/>
        <v>3.3333333333333332E-4</v>
      </c>
      <c r="EG56" s="663">
        <f t="shared" ref="EG56" si="929">EF56*(EC56+EA11)</f>
        <v>6.3333333333333332E-3</v>
      </c>
      <c r="EH56" s="664">
        <f t="shared" si="688"/>
        <v>82893.794463602884</v>
      </c>
      <c r="EI56" s="929">
        <f>+IF(ED56=0,0,ED56/ED$72)</f>
        <v>6.0587163831803147E-4</v>
      </c>
      <c r="EJ56" s="127"/>
      <c r="EL56" s="1172"/>
      <c r="EM56" s="170" t="s">
        <v>1214</v>
      </c>
      <c r="EN56" s="105">
        <f>+'Res de Costos Pais'!$D$119</f>
        <v>0.1</v>
      </c>
      <c r="EO56" s="125">
        <f>+ER50*EN56</f>
        <v>22247562.826666813</v>
      </c>
      <c r="EP56" s="105">
        <f>+'Res de Costos Pais'!$F$119</f>
        <v>4.0000000000000001E-3</v>
      </c>
      <c r="EQ56" s="990">
        <f>+'Res de Costos Pais'!$G$119</f>
        <v>12.5</v>
      </c>
      <c r="ER56" s="263">
        <f t="shared" si="689"/>
        <v>140901.23123555648</v>
      </c>
      <c r="ES56" s="929" t="e">
        <f>+IF(EN56=0,0,EN56/EN$72)</f>
        <v>#DIV/0!</v>
      </c>
      <c r="ET56" s="662">
        <f t="shared" si="818"/>
        <v>3.3333333333333332E-4</v>
      </c>
      <c r="EU56" s="663">
        <f t="shared" ref="EU56" si="930">ET56*(EQ56+EO11)</f>
        <v>6.3333333333333332E-3</v>
      </c>
      <c r="EV56" s="664">
        <f t="shared" si="692"/>
        <v>140901.23123555648</v>
      </c>
      <c r="EW56" s="929">
        <f>+IF(ER56=0,0,ER56/ER$72)</f>
        <v>6.054186513708876E-4</v>
      </c>
      <c r="EX56" s="127"/>
      <c r="EZ56" s="1172"/>
      <c r="FA56" s="170" t="s">
        <v>1214</v>
      </c>
      <c r="FB56" s="104">
        <v>0.2</v>
      </c>
      <c r="FC56" s="125">
        <f t="shared" ref="FC56" si="931">+FF50*FB56</f>
        <v>0</v>
      </c>
      <c r="FD56" s="105">
        <v>4.0000000000000001E-3</v>
      </c>
      <c r="FE56" s="128">
        <v>4</v>
      </c>
      <c r="FF56" s="263">
        <f t="shared" si="694"/>
        <v>0</v>
      </c>
      <c r="FG56" s="126"/>
      <c r="FH56" s="662">
        <f t="shared" si="821"/>
        <v>3.3333333333333332E-4</v>
      </c>
      <c r="FI56" s="663">
        <f t="shared" ref="FI56" si="932">FH56*(FE56+FC11)</f>
        <v>3.5000000000000001E-3</v>
      </c>
      <c r="FJ56" s="664">
        <f t="shared" si="697"/>
        <v>0</v>
      </c>
      <c r="FK56" s="929">
        <f>+IF(FF56=0,0,FF56/FF$72)</f>
        <v>0</v>
      </c>
      <c r="FL56" s="127"/>
      <c r="FN56" s="1172"/>
      <c r="FO56" s="170" t="s">
        <v>1214</v>
      </c>
      <c r="FP56" s="105">
        <f>+'Res de Costos Pais'!$D$119</f>
        <v>0.1</v>
      </c>
      <c r="FQ56" s="125">
        <f>+FT50*FP56</f>
        <v>30510394.027904987</v>
      </c>
      <c r="FR56" s="105">
        <f>+'Res de Costos Pais'!$F$119</f>
        <v>4.0000000000000001E-3</v>
      </c>
      <c r="FS56" s="990">
        <f>+'Res de Costos Pais'!$G$119</f>
        <v>12.5</v>
      </c>
      <c r="FT56" s="263">
        <f t="shared" si="698"/>
        <v>193232.49551006491</v>
      </c>
      <c r="FU56" s="126"/>
      <c r="FV56" s="662">
        <f t="shared" si="823"/>
        <v>3.3333333333333332E-4</v>
      </c>
      <c r="FW56" s="663">
        <f t="shared" ref="FW56" si="933">FV56*(FS56+FQ11)</f>
        <v>6.3333333333333332E-3</v>
      </c>
      <c r="FX56" s="664">
        <f t="shared" si="701"/>
        <v>193232.49551006491</v>
      </c>
      <c r="FY56" s="929">
        <f>+IF(FT56=0,0,FT56/FT$72)</f>
        <v>6.0929167536071156E-4</v>
      </c>
      <c r="FZ56" s="127"/>
      <c r="GB56" s="1172"/>
      <c r="GC56" s="170" t="s">
        <v>1214</v>
      </c>
      <c r="GD56" s="105">
        <f>+'Res de Costos Pais'!$D$119</f>
        <v>0.1</v>
      </c>
      <c r="GE56" s="125">
        <f>+GH50*GD56</f>
        <v>14416458.610467825</v>
      </c>
      <c r="GF56" s="105">
        <f>+'Res de Costos Pais'!$F$119</f>
        <v>4.0000000000000001E-3</v>
      </c>
      <c r="GG56" s="990">
        <f>+'Res de Costos Pais'!$G$119</f>
        <v>12.5</v>
      </c>
      <c r="GH56" s="263">
        <f t="shared" si="702"/>
        <v>91304.237866296229</v>
      </c>
      <c r="GI56" s="126"/>
      <c r="GJ56" s="662">
        <f t="shared" si="825"/>
        <v>3.3333333333333332E-4</v>
      </c>
      <c r="GK56" s="663">
        <f t="shared" ref="GK56" si="934">GJ56*(GG56+GE11)</f>
        <v>6.3333333333333332E-3</v>
      </c>
      <c r="GL56" s="664">
        <f t="shared" si="705"/>
        <v>91304.237866296229</v>
      </c>
      <c r="GM56" s="929">
        <f>+IF(GH56=0,0,GH56/GH$72)</f>
        <v>6.0518457212333432E-4</v>
      </c>
      <c r="GN56" s="127"/>
      <c r="GP56" s="1172"/>
      <c r="GQ56" s="170" t="s">
        <v>1214</v>
      </c>
      <c r="GR56" s="104">
        <v>0.2</v>
      </c>
      <c r="GS56" s="125">
        <f t="shared" ref="GS56" si="935">+GV50*GR56</f>
        <v>0</v>
      </c>
      <c r="GT56" s="105">
        <v>4.0000000000000001E-3</v>
      </c>
      <c r="GU56" s="128">
        <v>4</v>
      </c>
      <c r="GV56" s="263">
        <f t="shared" si="707"/>
        <v>0</v>
      </c>
      <c r="GW56" s="126"/>
      <c r="GX56" s="662">
        <f t="shared" si="828"/>
        <v>3.3333333333333332E-4</v>
      </c>
      <c r="GY56" s="663">
        <f t="shared" ref="GY56" si="936">GX56*(GU56+GS11)</f>
        <v>3.5000000000000001E-3</v>
      </c>
      <c r="GZ56" s="664">
        <f t="shared" si="710"/>
        <v>0</v>
      </c>
      <c r="HA56" s="929">
        <f>+IF(GV56=0,0,GV56/GV$72)</f>
        <v>0</v>
      </c>
      <c r="HB56" s="127"/>
      <c r="HD56" s="1172"/>
      <c r="HE56" s="170" t="s">
        <v>1214</v>
      </c>
      <c r="HF56" s="105">
        <f>+'Res de Costos Pais'!$D$119</f>
        <v>0.1</v>
      </c>
      <c r="HG56" s="125">
        <f>+HJ50*HF56</f>
        <v>7415854.2755556023</v>
      </c>
      <c r="HH56" s="105">
        <f>+'Res de Costos Pais'!$F$119</f>
        <v>4.0000000000000001E-3</v>
      </c>
      <c r="HI56" s="990">
        <f>+'Res de Costos Pais'!$G$119</f>
        <v>12.5</v>
      </c>
      <c r="HJ56" s="263">
        <f t="shared" si="711"/>
        <v>46967.077078518814</v>
      </c>
      <c r="HK56" s="126"/>
      <c r="HL56" s="662">
        <f t="shared" si="830"/>
        <v>3.3333333333333332E-4</v>
      </c>
      <c r="HM56" s="663">
        <f t="shared" ref="HM56" si="937">HL56*(HI56+HG11)</f>
        <v>6.3333333333333332E-3</v>
      </c>
      <c r="HN56" s="664">
        <f t="shared" si="714"/>
        <v>46967.077078518814</v>
      </c>
      <c r="HO56" s="929">
        <f>+IF(HJ56=0,0,HJ56/HJ$72)</f>
        <v>6.0541865137088771E-4</v>
      </c>
      <c r="HP56" s="127"/>
      <c r="HR56" s="1172"/>
      <c r="HS56" s="170" t="s">
        <v>1214</v>
      </c>
      <c r="HT56" s="105">
        <f>+'Res de Costos Pais'!$D$119</f>
        <v>0.1</v>
      </c>
      <c r="HU56" s="125">
        <f>+HX50*HT56</f>
        <v>28289177.895858176</v>
      </c>
      <c r="HV56" s="105">
        <f>+'Res de Costos Pais'!$F$119</f>
        <v>4.0000000000000001E-3</v>
      </c>
      <c r="HW56" s="990">
        <f>+'Res de Costos Pais'!$G$119</f>
        <v>12.5</v>
      </c>
      <c r="HX56" s="263">
        <f t="shared" si="715"/>
        <v>179164.79334043511</v>
      </c>
      <c r="HY56" s="929" t="e">
        <f t="shared" si="716"/>
        <v>#DIV/0!</v>
      </c>
      <c r="HZ56" s="662">
        <f t="shared" si="832"/>
        <v>3.3333333333333332E-4</v>
      </c>
      <c r="IA56" s="663">
        <f t="shared" ref="IA56" si="938">HZ56*(HW56+HU11)</f>
        <v>6.3333333333333332E-3</v>
      </c>
      <c r="IB56" s="664">
        <f t="shared" si="719"/>
        <v>179164.79334043511</v>
      </c>
      <c r="IC56" s="929">
        <f>+IF(HX56=0,0,HX56/HX$72)</f>
        <v>6.0573427855292381E-4</v>
      </c>
      <c r="ID56" s="127"/>
      <c r="IF56" s="1172"/>
      <c r="IG56" s="170"/>
      <c r="IH56" s="104"/>
      <c r="II56" s="125"/>
      <c r="IJ56" s="105"/>
      <c r="IK56" s="128"/>
      <c r="IL56" s="263"/>
      <c r="IM56" s="126"/>
      <c r="IN56" s="662"/>
      <c r="IO56" s="663"/>
      <c r="IP56" s="664"/>
      <c r="IQ56" s="929"/>
      <c r="IR56" s="127"/>
      <c r="IT56" s="1172"/>
      <c r="IU56" s="170"/>
      <c r="IV56" s="104"/>
      <c r="IW56" s="125"/>
      <c r="IX56" s="105"/>
      <c r="IY56" s="128"/>
      <c r="IZ56" s="263"/>
      <c r="JA56" s="126"/>
      <c r="JB56" s="662"/>
      <c r="JC56" s="663"/>
      <c r="JD56" s="664"/>
      <c r="JE56" s="929"/>
      <c r="JF56" s="127"/>
      <c r="JH56" s="1172"/>
      <c r="JI56" s="170" t="s">
        <v>1214</v>
      </c>
      <c r="JJ56" s="105">
        <f>+'Res de Costos Pais'!$D$119</f>
        <v>0.1</v>
      </c>
      <c r="JK56" s="125">
        <f>+JN50*JJ56</f>
        <v>41020311.824105211</v>
      </c>
      <c r="JL56" s="105">
        <f>+'Res de Costos Pais'!$F$119</f>
        <v>4.0000000000000001E-3</v>
      </c>
      <c r="JM56" s="990">
        <f>+'Res de Costos Pais'!$G$119</f>
        <v>12.5</v>
      </c>
      <c r="JN56" s="263">
        <f t="shared" si="720"/>
        <v>259795.308219333</v>
      </c>
      <c r="JO56" s="126"/>
      <c r="JP56" s="662">
        <f t="shared" si="834"/>
        <v>3.3333333333333332E-4</v>
      </c>
      <c r="JQ56" s="663">
        <f t="shared" ref="JQ56" si="939">JP56*(JM56+JK11)</f>
        <v>6.3333333333333332E-3</v>
      </c>
      <c r="JR56" s="664">
        <f t="shared" si="723"/>
        <v>259795.308219333</v>
      </c>
      <c r="JS56" s="929">
        <f>+IF(JN56=0,0,JN56/JN$72)</f>
        <v>6.0620073368925517E-4</v>
      </c>
      <c r="JT56" s="127"/>
      <c r="JV56" s="1172"/>
      <c r="JW56" s="170" t="s">
        <v>1214</v>
      </c>
      <c r="JX56" s="105">
        <f>+'Res de Costos Pais'!$D$119</f>
        <v>0.1</v>
      </c>
      <c r="JY56" s="125">
        <f>+KB50*JX56</f>
        <v>16868075.515611406</v>
      </c>
      <c r="JZ56" s="105">
        <f>+'Res de Costos Pais'!$F$119</f>
        <v>4.0000000000000001E-3</v>
      </c>
      <c r="KA56" s="990">
        <f>+'Res de Costos Pais'!$G$119</f>
        <v>12.5</v>
      </c>
      <c r="KB56" s="263">
        <f t="shared" si="724"/>
        <v>106831.14493220557</v>
      </c>
      <c r="KC56" s="126"/>
      <c r="KD56" s="662">
        <f t="shared" si="836"/>
        <v>3.3333333333333332E-4</v>
      </c>
      <c r="KE56" s="663">
        <f t="shared" ref="KE56" si="940">KD56*(KA56+JY11)</f>
        <v>6.3333333333333332E-3</v>
      </c>
      <c r="KF56" s="664">
        <f t="shared" si="727"/>
        <v>106831.14493220557</v>
      </c>
      <c r="KG56" s="929">
        <f>+IF(KB56=0,0,KB56/KB$72)</f>
        <v>6.0580465685879993E-4</v>
      </c>
      <c r="KH56" s="127"/>
      <c r="KJ56" s="1172"/>
      <c r="KK56" s="170" t="s">
        <v>1214</v>
      </c>
      <c r="KL56" s="104">
        <v>0.2</v>
      </c>
      <c r="KM56" s="125">
        <f t="shared" ref="KM56" si="941">+KP50*KL56</f>
        <v>0</v>
      </c>
      <c r="KN56" s="105">
        <v>4.0000000000000001E-3</v>
      </c>
      <c r="KO56" s="128">
        <v>4</v>
      </c>
      <c r="KP56" s="263">
        <f t="shared" si="729"/>
        <v>0</v>
      </c>
      <c r="KQ56" s="126"/>
      <c r="KR56" s="662">
        <f t="shared" si="839"/>
        <v>3.3333333333333332E-4</v>
      </c>
      <c r="KS56" s="663">
        <f t="shared" ref="KS56" si="942">KR56*(KO56+KM11)</f>
        <v>3.5000000000000001E-3</v>
      </c>
      <c r="KT56" s="664">
        <f t="shared" si="732"/>
        <v>0</v>
      </c>
      <c r="KU56" s="929">
        <f>+IF(KP56=0,0,KP56/KP$72)</f>
        <v>0</v>
      </c>
      <c r="KV56" s="127"/>
      <c r="KX56" s="1172"/>
      <c r="KY56" s="170" t="s">
        <v>1214</v>
      </c>
      <c r="KZ56" s="104">
        <v>0.2</v>
      </c>
      <c r="LA56" s="125">
        <f t="shared" ref="LA56" si="943">+LD50*KZ56</f>
        <v>0</v>
      </c>
      <c r="LB56" s="105">
        <v>4.0000000000000001E-3</v>
      </c>
      <c r="LC56" s="128">
        <v>4</v>
      </c>
      <c r="LD56" s="263">
        <f t="shared" si="734"/>
        <v>0</v>
      </c>
      <c r="LE56" s="126"/>
      <c r="LF56" s="662">
        <f t="shared" si="842"/>
        <v>3.3333333333333332E-4</v>
      </c>
      <c r="LG56" s="663">
        <f t="shared" ref="LG56" si="944">LF56*(LC56+LA11)</f>
        <v>3.5000000000000001E-3</v>
      </c>
      <c r="LH56" s="664">
        <f t="shared" si="737"/>
        <v>0</v>
      </c>
      <c r="LI56" s="929">
        <f>+IF(LD56=0,0,LD56/LD$72)</f>
        <v>0</v>
      </c>
      <c r="LJ56" s="127"/>
      <c r="LL56" s="1172"/>
      <c r="LM56" s="170" t="s">
        <v>1214</v>
      </c>
      <c r="LN56" s="104">
        <v>0.2</v>
      </c>
      <c r="LO56" s="125">
        <f t="shared" ref="LO56" si="945">+LR50*LN56</f>
        <v>0</v>
      </c>
      <c r="LP56" s="105">
        <v>4.0000000000000001E-3</v>
      </c>
      <c r="LQ56" s="128">
        <v>4</v>
      </c>
      <c r="LR56" s="263">
        <f t="shared" si="739"/>
        <v>0</v>
      </c>
      <c r="LS56" s="126"/>
      <c r="LT56" s="662">
        <f t="shared" si="845"/>
        <v>3.3333333333333332E-4</v>
      </c>
      <c r="LU56" s="663">
        <f t="shared" ref="LU56" si="946">LT56*(LQ56+LO11)</f>
        <v>3.5000000000000001E-3</v>
      </c>
      <c r="LV56" s="664">
        <f t="shared" si="742"/>
        <v>0</v>
      </c>
      <c r="LW56" s="929">
        <f>+IF(LR56=0,0,LR56/LR$72)</f>
        <v>0</v>
      </c>
      <c r="LX56" s="127"/>
      <c r="LZ56" s="1172"/>
      <c r="MA56" s="170" t="s">
        <v>1214</v>
      </c>
      <c r="MB56" s="105">
        <f>+'Res de Costos Pais'!$D$119</f>
        <v>0.1</v>
      </c>
      <c r="MC56" s="125">
        <f>+MF50*MB56</f>
        <v>11779644.476406723</v>
      </c>
      <c r="MD56" s="105">
        <f>+'Res de Costos Pais'!$F$119</f>
        <v>4.0000000000000001E-3</v>
      </c>
      <c r="ME56" s="990">
        <f>+'Res de Costos Pais'!$G$119</f>
        <v>12.5</v>
      </c>
      <c r="MF56" s="263">
        <f t="shared" si="743"/>
        <v>74604.415017242573</v>
      </c>
      <c r="MG56" s="126"/>
      <c r="MH56" s="662">
        <f t="shared" si="847"/>
        <v>3.3333333333333332E-4</v>
      </c>
      <c r="MI56" s="663">
        <f t="shared" ref="MI56" si="947">MH56*(ME56+MC11)</f>
        <v>6.3333333333333332E-3</v>
      </c>
      <c r="MJ56" s="664">
        <f t="shared" si="746"/>
        <v>74604.415017242573</v>
      </c>
      <c r="MK56" s="929">
        <f>+IF(MF56=0,0,MF56/MF$72)</f>
        <v>6.0587163831803137E-4</v>
      </c>
      <c r="ML56" s="127"/>
      <c r="MN56" s="1172"/>
      <c r="MO56" s="170" t="s">
        <v>1214</v>
      </c>
      <c r="MP56" s="105">
        <f>+'Res de Costos Pais'!$D$119</f>
        <v>0.1</v>
      </c>
      <c r="MQ56" s="125">
        <f>+MT50*MP56</f>
        <v>15336629.682970706</v>
      </c>
      <c r="MR56" s="105">
        <f>+'Res de Costos Pais'!$F$119</f>
        <v>4.0000000000000001E-3</v>
      </c>
      <c r="MS56" s="990">
        <f>+'Res de Costos Pais'!$G$119</f>
        <v>12.5</v>
      </c>
      <c r="MT56" s="263">
        <f t="shared" si="747"/>
        <v>97131.987992147799</v>
      </c>
      <c r="MU56" s="126"/>
      <c r="MV56" s="662">
        <f t="shared" si="849"/>
        <v>3.3333333333333332E-4</v>
      </c>
      <c r="MW56" s="663">
        <f t="shared" ref="MW56" si="948">MV56*(MS56+MQ11)</f>
        <v>6.3333333333333332E-3</v>
      </c>
      <c r="MX56" s="664">
        <f t="shared" si="750"/>
        <v>97131.987992147799</v>
      </c>
      <c r="MY56" s="929">
        <f>+IF(MT56=0,0,MT56/MT$72)</f>
        <v>6.0568642359755257E-4</v>
      </c>
      <c r="MZ56" s="127"/>
      <c r="NB56" s="1172"/>
      <c r="NC56" s="170" t="s">
        <v>1214</v>
      </c>
      <c r="ND56" s="105">
        <f>+'Res de Costos Pais'!$D$119</f>
        <v>0.1</v>
      </c>
      <c r="NE56" s="125">
        <f>+NH50*ND56</f>
        <v>17023950.480578858</v>
      </c>
      <c r="NF56" s="105">
        <f>+'Res de Costos Pais'!$F$119</f>
        <v>4.0000000000000001E-3</v>
      </c>
      <c r="NG56" s="990">
        <f>+'Res de Costos Pais'!$G$119</f>
        <v>12.5</v>
      </c>
      <c r="NH56" s="263">
        <f t="shared" si="751"/>
        <v>107818.35304366609</v>
      </c>
      <c r="NI56" s="126"/>
      <c r="NJ56" s="662">
        <f t="shared" si="851"/>
        <v>3.3333333333333332E-4</v>
      </c>
      <c r="NK56" s="663">
        <f t="shared" ref="NK56" si="949">NJ56*(NG56+NE11)</f>
        <v>6.3333333333333332E-3</v>
      </c>
      <c r="NL56" s="664">
        <f t="shared" si="754"/>
        <v>107818.35304366609</v>
      </c>
      <c r="NM56" s="929">
        <f>+IF(NH56=0,0,NH56/NH$72)</f>
        <v>6.0528510535840061E-4</v>
      </c>
      <c r="NN56" s="127"/>
      <c r="NP56" s="1172"/>
      <c r="NQ56" s="170" t="s">
        <v>1214</v>
      </c>
      <c r="NR56" s="105">
        <f>+'Res de Costos Pais'!$D$119</f>
        <v>0.1</v>
      </c>
      <c r="NS56" s="125">
        <f>+NV50*NR56</f>
        <v>40020498.680501111</v>
      </c>
      <c r="NT56" s="105">
        <f>+'Res de Costos Pais'!$F$119</f>
        <v>4.0000000000000001E-3</v>
      </c>
      <c r="NU56" s="990">
        <f>+'Res de Costos Pais'!$G$119</f>
        <v>12.5</v>
      </c>
      <c r="NV56" s="263">
        <f t="shared" si="755"/>
        <v>253463.15830984036</v>
      </c>
      <c r="NW56" s="126"/>
      <c r="NX56" s="662">
        <f t="shared" si="853"/>
        <v>3.3333333333333332E-4</v>
      </c>
      <c r="NY56" s="663">
        <f t="shared" ref="NY56" si="950">NX56*(NU56+NS11)</f>
        <v>6.3333333333333332E-3</v>
      </c>
      <c r="NZ56" s="664">
        <f t="shared" si="758"/>
        <v>253463.15830984036</v>
      </c>
      <c r="OA56" s="929">
        <f>+IF(NV56=0,0,NV56/NV$72)</f>
        <v>6.0955934344234051E-4</v>
      </c>
      <c r="OB56" s="127"/>
      <c r="OD56" s="1172"/>
      <c r="OE56" s="170" t="s">
        <v>1214</v>
      </c>
      <c r="OF56" s="105">
        <f>+'Res de Costos Pais'!$D$119</f>
        <v>0.1</v>
      </c>
      <c r="OG56" s="125">
        <f>+OJ50*OF56</f>
        <v>7278151.3310468113</v>
      </c>
      <c r="OH56" s="105">
        <f>+'Res de Costos Pais'!$F$119</f>
        <v>4.0000000000000001E-3</v>
      </c>
      <c r="OI56" s="990">
        <f>+'Res de Costos Pais'!$G$119</f>
        <v>12.5</v>
      </c>
      <c r="OJ56" s="263">
        <f t="shared" si="759"/>
        <v>46094.958429963139</v>
      </c>
      <c r="OK56" s="126"/>
      <c r="OL56" s="662">
        <f t="shared" si="855"/>
        <v>3.3333333333333332E-4</v>
      </c>
      <c r="OM56" s="663">
        <f t="shared" ref="OM56" si="951">OL56*(OI56+OG11)</f>
        <v>6.3333333333333332E-3</v>
      </c>
      <c r="ON56" s="664">
        <f t="shared" si="762"/>
        <v>46094.958429963139</v>
      </c>
      <c r="OO56" s="929">
        <f>+IF(OJ56=0,0,OJ56/OJ$72)</f>
        <v>6.0803731860150094E-4</v>
      </c>
      <c r="OP56" s="127"/>
      <c r="OR56" s="1172"/>
      <c r="OS56" s="170" t="s">
        <v>1214</v>
      </c>
      <c r="OT56" s="105">
        <f>+'Res de Costos Pais'!$D$119</f>
        <v>0.1</v>
      </c>
      <c r="OU56" s="125">
        <f>+OX50*OT56</f>
        <v>28775627.259256627</v>
      </c>
      <c r="OV56" s="105">
        <f>+'Res de Costos Pais'!$F$119</f>
        <v>4.0000000000000001E-3</v>
      </c>
      <c r="OW56" s="990">
        <f>+'Res de Costos Pais'!$G$119</f>
        <v>12.5</v>
      </c>
      <c r="OX56" s="263">
        <f t="shared" si="763"/>
        <v>182245.63930862531</v>
      </c>
      <c r="OY56" s="126"/>
      <c r="OZ56" s="662">
        <f t="shared" si="857"/>
        <v>3.3333333333333332E-4</v>
      </c>
      <c r="PA56" s="663">
        <f t="shared" ref="PA56" si="952">OZ56*(OW56+OU11)</f>
        <v>6.3333333333333332E-3</v>
      </c>
      <c r="PB56" s="664">
        <f t="shared" si="766"/>
        <v>182245.63930862531</v>
      </c>
      <c r="PC56" s="929">
        <f>+IF(OX56=0,0,OX56/OX$72)</f>
        <v>6.0656677310619831E-4</v>
      </c>
      <c r="PD56" s="127"/>
      <c r="PF56" s="1172"/>
      <c r="PG56" s="170" t="s">
        <v>1214</v>
      </c>
      <c r="PH56" s="104">
        <v>0.2</v>
      </c>
      <c r="PI56" s="125">
        <f t="shared" ref="PI56" si="953">+PL50*PH56</f>
        <v>0</v>
      </c>
      <c r="PJ56" s="105">
        <v>4.0000000000000001E-3</v>
      </c>
      <c r="PK56" s="128">
        <v>4</v>
      </c>
      <c r="PL56" s="263">
        <f t="shared" si="768"/>
        <v>0</v>
      </c>
      <c r="PM56" s="126"/>
      <c r="PN56" s="662">
        <f t="shared" si="860"/>
        <v>3.3333333333333332E-4</v>
      </c>
      <c r="PO56" s="663">
        <f t="shared" ref="PO56" si="954">PN56*(PK56+PI11)</f>
        <v>3.5000000000000001E-3</v>
      </c>
      <c r="PP56" s="664">
        <f t="shared" si="771"/>
        <v>0</v>
      </c>
      <c r="PQ56" s="929">
        <f>+IF(PL56=0,0,PL56/PL$72)</f>
        <v>0</v>
      </c>
      <c r="PR56" s="127"/>
      <c r="PT56" s="1172"/>
      <c r="PU56" s="170" t="s">
        <v>1214</v>
      </c>
      <c r="PV56" s="104">
        <v>0.2</v>
      </c>
      <c r="PW56" s="125">
        <f t="shared" ref="PW56" si="955">+PZ50*PV56</f>
        <v>0</v>
      </c>
      <c r="PX56" s="105">
        <v>4.0000000000000001E-3</v>
      </c>
      <c r="PY56" s="128">
        <v>4</v>
      </c>
      <c r="PZ56" s="263">
        <f t="shared" si="773"/>
        <v>0</v>
      </c>
      <c r="QA56" s="126"/>
      <c r="QB56" s="662">
        <f t="shared" si="863"/>
        <v>3.3333333333333332E-4</v>
      </c>
      <c r="QC56" s="663">
        <f t="shared" ref="QC56" si="956">QB56*(PY56+PW11)</f>
        <v>3.5000000000000001E-3</v>
      </c>
      <c r="QD56" s="664">
        <f t="shared" si="776"/>
        <v>0</v>
      </c>
      <c r="QE56" s="929">
        <f>+IF(PZ56=0,0,PZ56/PZ$72)</f>
        <v>0</v>
      </c>
      <c r="QF56" s="127"/>
      <c r="QH56" s="1172"/>
      <c r="QI56" s="170" t="s">
        <v>1214</v>
      </c>
      <c r="QJ56" s="104">
        <v>0.2</v>
      </c>
      <c r="QK56" s="125">
        <f t="shared" ref="QK56" si="957">+QN50*QJ56</f>
        <v>0</v>
      </c>
      <c r="QL56" s="105">
        <v>4.0000000000000001E-3</v>
      </c>
      <c r="QM56" s="128">
        <v>4</v>
      </c>
      <c r="QN56" s="263">
        <f t="shared" si="778"/>
        <v>0</v>
      </c>
      <c r="QO56" s="126"/>
      <c r="QP56" s="662">
        <f t="shared" si="866"/>
        <v>3.3333333333333332E-4</v>
      </c>
      <c r="QQ56" s="663">
        <f t="shared" ref="QQ56" si="958">QP56*(QM56+QK11)</f>
        <v>3.5000000000000001E-3</v>
      </c>
      <c r="QR56" s="664">
        <f t="shared" si="781"/>
        <v>0</v>
      </c>
      <c r="QS56" s="929">
        <f>+IF(QN56=0,0,QN56/QN$72)</f>
        <v>0</v>
      </c>
      <c r="QT56" s="127"/>
      <c r="QV56" s="1172"/>
      <c r="QW56" s="170" t="s">
        <v>1214</v>
      </c>
      <c r="QX56" s="105">
        <f>+'Res de Costos Pais'!$D$119</f>
        <v>0.1</v>
      </c>
      <c r="QY56" s="125">
        <f>+RB50*QX56</f>
        <v>30015374.010375835</v>
      </c>
      <c r="QZ56" s="105">
        <f>+'Res de Costos Pais'!$F$119</f>
        <v>4.0000000000000001E-3</v>
      </c>
      <c r="RA56" s="990">
        <f>+'Res de Costos Pais'!$G$119</f>
        <v>12.5</v>
      </c>
      <c r="RB56" s="263">
        <f t="shared" si="782"/>
        <v>190097.36873238027</v>
      </c>
      <c r="RC56" s="126"/>
      <c r="RD56" s="662">
        <f t="shared" si="868"/>
        <v>3.3333333333333332E-4</v>
      </c>
      <c r="RE56" s="663">
        <f t="shared" ref="RE56" si="959">RD56*(RA56+QY11)</f>
        <v>6.3333333333333332E-3</v>
      </c>
      <c r="RF56" s="664">
        <f t="shared" si="785"/>
        <v>190097.36873238027</v>
      </c>
      <c r="RG56" s="929">
        <f>+IF(RB56=0,0,RB56/RB$72)</f>
        <v>6.0955934344234051E-4</v>
      </c>
      <c r="RH56" s="127"/>
      <c r="RJ56" s="1172"/>
      <c r="RK56" s="170" t="s">
        <v>1214</v>
      </c>
      <c r="RL56" s="105">
        <f>+'Res de Costos Pais'!$D$119</f>
        <v>0.1</v>
      </c>
      <c r="RM56" s="125">
        <f>+RP50*RL56</f>
        <v>5693427.2496051267</v>
      </c>
      <c r="RN56" s="105">
        <f>+'Res de Costos Pais'!$F$119</f>
        <v>4.0000000000000001E-3</v>
      </c>
      <c r="RO56" s="990">
        <f>+'Res de Costos Pais'!$G$119</f>
        <v>12.5</v>
      </c>
      <c r="RP56" s="263">
        <f t="shared" si="786"/>
        <v>36058.372580832467</v>
      </c>
      <c r="RQ56" s="126"/>
      <c r="RR56" s="662">
        <f t="shared" si="870"/>
        <v>3.3333333333333332E-4</v>
      </c>
      <c r="RS56" s="663">
        <f t="shared" ref="RS56" si="960">RR56*(RO56+RM11)</f>
        <v>6.3333333333333332E-3</v>
      </c>
      <c r="RT56" s="664">
        <f t="shared" si="789"/>
        <v>36058.372580832467</v>
      </c>
      <c r="RU56" s="929">
        <f>+IF(RP56=0,0,RP56/RP$72)</f>
        <v>6.1005390376090872E-4</v>
      </c>
      <c r="RV56" s="127"/>
      <c r="RX56" s="1172"/>
      <c r="RY56" s="170" t="s">
        <v>1214</v>
      </c>
      <c r="RZ56" s="105">
        <f>+'Res de Costos Pais'!$D$119</f>
        <v>0.1</v>
      </c>
      <c r="SA56" s="125">
        <f>+SD50*RZ56</f>
        <v>17508968.172719236</v>
      </c>
      <c r="SB56" s="105">
        <f>+'Res de Costos Pais'!$F$119</f>
        <v>4.0000000000000001E-3</v>
      </c>
      <c r="SC56" s="990">
        <f>+'Res de Costos Pais'!$G$119</f>
        <v>12.5</v>
      </c>
      <c r="SD56" s="263">
        <f t="shared" si="790"/>
        <v>110890.13176055516</v>
      </c>
      <c r="SE56" s="126"/>
      <c r="SF56" s="662">
        <f t="shared" si="872"/>
        <v>3.3333333333333332E-4</v>
      </c>
      <c r="SG56" s="663">
        <f t="shared" ref="SG56" si="961">SF56*(SC56+SA11)</f>
        <v>6.3333333333333332E-3</v>
      </c>
      <c r="SH56" s="664">
        <f t="shared" si="793"/>
        <v>110890.13176055516</v>
      </c>
      <c r="SI56" s="929">
        <f>+IF(SD56=0,0,SD56/SD$72)</f>
        <v>6.0955934344234029E-4</v>
      </c>
      <c r="SJ56" s="127"/>
      <c r="SL56" s="1172"/>
      <c r="SM56" s="170" t="s">
        <v>1214</v>
      </c>
      <c r="SN56" s="104">
        <v>0.2</v>
      </c>
      <c r="SO56" s="125">
        <f t="shared" ref="SO56" si="962">+SR50*SN56</f>
        <v>0</v>
      </c>
      <c r="SP56" s="105">
        <v>4.0000000000000001E-3</v>
      </c>
      <c r="SQ56" s="128">
        <v>4</v>
      </c>
      <c r="SR56" s="263">
        <f t="shared" si="795"/>
        <v>0</v>
      </c>
      <c r="SS56" s="126"/>
      <c r="ST56" s="662">
        <f t="shared" si="875"/>
        <v>3.3333333333333332E-4</v>
      </c>
      <c r="SU56" s="663">
        <f t="shared" ref="SU56" si="963">ST56*(SQ56+SO11)</f>
        <v>3.5000000000000001E-3</v>
      </c>
      <c r="SV56" s="664">
        <f t="shared" si="798"/>
        <v>0</v>
      </c>
      <c r="SW56" s="929">
        <f>+IF(SR56=0,0,SR56/SR$72)</f>
        <v>0</v>
      </c>
      <c r="SX56" s="127"/>
      <c r="SZ56" s="1172"/>
      <c r="TA56" s="170" t="s">
        <v>1214</v>
      </c>
      <c r="TB56" s="105">
        <f>+'Res de Costos Pais'!$D$119</f>
        <v>0.1</v>
      </c>
      <c r="TC56" s="125">
        <f>+TF50*TB56</f>
        <v>450242638.90135074</v>
      </c>
      <c r="TD56" s="105">
        <f>+'Res de Costos Pais'!$F$119</f>
        <v>4.0000000000000001E-3</v>
      </c>
      <c r="TE56" s="990">
        <f>+'Res de Costos Pais'!$G$119</f>
        <v>12.5</v>
      </c>
      <c r="TF56" s="263">
        <f t="shared" si="799"/>
        <v>2851536.7130418881</v>
      </c>
      <c r="TG56" s="126"/>
      <c r="TH56" s="662">
        <f t="shared" si="877"/>
        <v>3.3333333333333332E-4</v>
      </c>
      <c r="TI56" s="663">
        <f t="shared" ref="TI56" si="964">TH56*(TE56+TC11)</f>
        <v>6.3333333333333332E-3</v>
      </c>
      <c r="TJ56" s="664">
        <f t="shared" si="802"/>
        <v>2851536.7130418881</v>
      </c>
      <c r="TK56" s="929">
        <f>+IF(TF56=0,0,TF56/TF$72)</f>
        <v>6.0685664531842144E-4</v>
      </c>
      <c r="TL56" s="127"/>
      <c r="TM56" s="937"/>
      <c r="TN56" s="725"/>
    </row>
    <row r="57" spans="2:534" ht="18.75" customHeight="1" thickBot="1">
      <c r="B57" s="1173"/>
      <c r="C57" s="169" t="s">
        <v>1215</v>
      </c>
      <c r="D57" s="107">
        <f>+'Res de Costos Pais'!$D$120</f>
        <v>0.05</v>
      </c>
      <c r="E57" s="129">
        <f>+H50*D57</f>
        <v>8802437.1245365627</v>
      </c>
      <c r="F57" s="107">
        <f>+'Res de Costos Pais'!$F$120</f>
        <v>5.0000000000000001E-3</v>
      </c>
      <c r="G57" s="990">
        <f>+'Res de Costos Pais'!$G$120</f>
        <v>6.5</v>
      </c>
      <c r="H57" s="264">
        <f>L57</f>
        <v>47679.867757906381</v>
      </c>
      <c r="I57" s="126"/>
      <c r="J57" s="662">
        <f>+F57/12</f>
        <v>4.1666666666666669E-4</v>
      </c>
      <c r="K57" s="663">
        <f>J57*(G57+E11)</f>
        <v>5.4166666666666669E-3</v>
      </c>
      <c r="L57" s="664">
        <f>K57*E57</f>
        <v>47679.867757906381</v>
      </c>
      <c r="M57" s="929">
        <f>+IF(H57=0,0,H57/H$72)</f>
        <v>2.5895563039683337E-4</v>
      </c>
      <c r="N57" s="127"/>
      <c r="P57" s="1173"/>
      <c r="Q57" s="169"/>
      <c r="R57" s="106"/>
      <c r="S57" s="129"/>
      <c r="T57" s="107"/>
      <c r="U57" s="130"/>
      <c r="V57" s="264"/>
      <c r="W57" s="126"/>
      <c r="X57" s="662"/>
      <c r="Y57" s="663"/>
      <c r="Z57" s="664"/>
      <c r="AA57" s="929"/>
      <c r="AB57" s="127"/>
      <c r="AD57" s="1173"/>
      <c r="AE57" s="169"/>
      <c r="AF57" s="106"/>
      <c r="AG57" s="129"/>
      <c r="AH57" s="107"/>
      <c r="AI57" s="130"/>
      <c r="AJ57" s="264"/>
      <c r="AK57" s="126"/>
      <c r="AL57" s="662"/>
      <c r="AM57" s="663"/>
      <c r="AN57" s="664"/>
      <c r="AO57" s="929"/>
      <c r="AP57" s="127"/>
      <c r="AR57" s="1173"/>
      <c r="AS57" s="169" t="s">
        <v>1215</v>
      </c>
      <c r="AT57" s="106">
        <v>0.1</v>
      </c>
      <c r="AU57" s="129">
        <f>+AX50*AT57</f>
        <v>0</v>
      </c>
      <c r="AV57" s="107">
        <v>5.0000000000000001E-3</v>
      </c>
      <c r="AW57" s="130">
        <v>4</v>
      </c>
      <c r="AX57" s="264">
        <f t="shared" si="660"/>
        <v>0</v>
      </c>
      <c r="AY57" s="126"/>
      <c r="AZ57" s="662">
        <f t="shared" si="803"/>
        <v>4.1666666666666669E-4</v>
      </c>
      <c r="BA57" s="663">
        <f t="shared" ref="BA57" si="965">AZ57*(AW57+AU11)</f>
        <v>4.3750000000000004E-3</v>
      </c>
      <c r="BB57" s="664">
        <f t="shared" si="663"/>
        <v>0</v>
      </c>
      <c r="BC57" s="929">
        <f>+IF(AX57=0,0,AX57/AX$72)</f>
        <v>0</v>
      </c>
      <c r="BD57" s="127"/>
      <c r="BF57" s="1173"/>
      <c r="BG57" s="169" t="s">
        <v>1215</v>
      </c>
      <c r="BH57" s="107">
        <f>+'Res de Costos Pais'!$D$120</f>
        <v>0.05</v>
      </c>
      <c r="BI57" s="129">
        <f>+BL50*BH57</f>
        <v>22247562.826666813</v>
      </c>
      <c r="BJ57" s="107">
        <f>+'Res de Costos Pais'!$F$120</f>
        <v>5.0000000000000001E-3</v>
      </c>
      <c r="BK57" s="990">
        <f>+'Res de Costos Pais'!$G$120</f>
        <v>6.5</v>
      </c>
      <c r="BL57" s="264">
        <f t="shared" si="664"/>
        <v>120507.63197777858</v>
      </c>
      <c r="BM57" s="126"/>
      <c r="BN57" s="662">
        <f t="shared" si="805"/>
        <v>4.1666666666666669E-4</v>
      </c>
      <c r="BO57" s="663">
        <f t="shared" ref="BO57" si="966">BN57*(BK57+BI11)</f>
        <v>5.4166666666666669E-3</v>
      </c>
      <c r="BP57" s="664">
        <f t="shared" si="667"/>
        <v>120507.63197777858</v>
      </c>
      <c r="BQ57" s="929">
        <f>+IF(BL57=0,0,BL57/BL$72)</f>
        <v>2.5889613380991909E-4</v>
      </c>
      <c r="BR57" s="127"/>
      <c r="BT57" s="1173"/>
      <c r="BU57" s="169" t="s">
        <v>1215</v>
      </c>
      <c r="BV57" s="106">
        <v>0.1</v>
      </c>
      <c r="BW57" s="129">
        <f t="shared" ref="BW57" si="967">+BZ50*BV57</f>
        <v>0</v>
      </c>
      <c r="BX57" s="107">
        <v>5.0000000000000001E-3</v>
      </c>
      <c r="BY57" s="130">
        <v>4</v>
      </c>
      <c r="BZ57" s="264">
        <f t="shared" si="669"/>
        <v>0</v>
      </c>
      <c r="CA57" s="126"/>
      <c r="CB57" s="662">
        <f t="shared" si="808"/>
        <v>4.1666666666666669E-4</v>
      </c>
      <c r="CC57" s="663">
        <f t="shared" ref="CC57" si="968">CB57*(BY57+BW11)</f>
        <v>4.3750000000000004E-3</v>
      </c>
      <c r="CD57" s="664">
        <f t="shared" si="672"/>
        <v>0</v>
      </c>
      <c r="CE57" s="929">
        <f>+IF(BZ57=0,0,BZ57/BZ$72)</f>
        <v>0</v>
      </c>
      <c r="CF57" s="127"/>
      <c r="CH57" s="1173"/>
      <c r="CI57" s="169" t="s">
        <v>1215</v>
      </c>
      <c r="CJ57" s="107">
        <f>+'Res de Costos Pais'!$D$120</f>
        <v>0.05</v>
      </c>
      <c r="CK57" s="129">
        <f>+CN50*CJ57</f>
        <v>1233891.1410378586</v>
      </c>
      <c r="CL57" s="107">
        <f>+'Res de Costos Pais'!$F$120</f>
        <v>5.0000000000000001E-3</v>
      </c>
      <c r="CM57" s="990">
        <f>+'Res de Costos Pais'!$G$120</f>
        <v>6.5</v>
      </c>
      <c r="CN57" s="264">
        <f t="shared" si="673"/>
        <v>6683.5770139550677</v>
      </c>
      <c r="CO57" s="126"/>
      <c r="CP57" s="662">
        <f t="shared" si="810"/>
        <v>4.1666666666666669E-4</v>
      </c>
      <c r="CQ57" s="663">
        <f t="shared" ref="CQ57" si="969">CP57*(CM57+CK11)</f>
        <v>5.4166666666666669E-3</v>
      </c>
      <c r="CR57" s="664">
        <f t="shared" si="676"/>
        <v>6683.5770139550677</v>
      </c>
      <c r="CS57" s="929">
        <f>+IF(CN57=0,0,CN57/CN$72)</f>
        <v>2.5889026054286041E-4</v>
      </c>
      <c r="CT57" s="127"/>
      <c r="CV57" s="1173"/>
      <c r="CW57" s="169" t="s">
        <v>1215</v>
      </c>
      <c r="CX57" s="107">
        <f>+'Res de Costos Pais'!$D$120</f>
        <v>0.05</v>
      </c>
      <c r="CY57" s="129">
        <f>+DB50*CX57</f>
        <v>17801678.259564433</v>
      </c>
      <c r="CZ57" s="107">
        <f>+'Res de Costos Pais'!$F$120</f>
        <v>5.0000000000000001E-3</v>
      </c>
      <c r="DA57" s="990">
        <f>+'Res de Costos Pais'!$G$120</f>
        <v>6.5</v>
      </c>
      <c r="DB57" s="264">
        <f t="shared" si="677"/>
        <v>96425.75723930735</v>
      </c>
      <c r="DC57" s="126"/>
      <c r="DD57" s="662">
        <f t="shared" si="812"/>
        <v>4.1666666666666669E-4</v>
      </c>
      <c r="DE57" s="663">
        <f t="shared" ref="DE57" si="970">DD57*(DA57+CY11)</f>
        <v>5.4166666666666669E-3</v>
      </c>
      <c r="DF57" s="664">
        <f t="shared" si="680"/>
        <v>96425.75723930735</v>
      </c>
      <c r="DG57" s="929">
        <f>+IF(DB57=0,0,DB57/DB$72)</f>
        <v>2.5923521579332198E-4</v>
      </c>
      <c r="DH57" s="127"/>
      <c r="DJ57" s="1173"/>
      <c r="DK57" s="169" t="s">
        <v>1215</v>
      </c>
      <c r="DL57" s="107">
        <f>+'Res de Costos Pais'!$D$120</f>
        <v>0.05</v>
      </c>
      <c r="DM57" s="129">
        <f>+DP50*DL57</f>
        <v>1391450.0077171065</v>
      </c>
      <c r="DN57" s="107">
        <f>+'Res de Costos Pais'!$F$120</f>
        <v>5.0000000000000001E-3</v>
      </c>
      <c r="DO57" s="990">
        <f>+'Res de Costos Pais'!$G$120</f>
        <v>6.5</v>
      </c>
      <c r="DP57" s="264">
        <f t="shared" si="681"/>
        <v>7537.0208751343271</v>
      </c>
      <c r="DQ57" s="126"/>
      <c r="DR57" s="662">
        <f t="shared" si="814"/>
        <v>4.1666666666666669E-4</v>
      </c>
      <c r="DS57" s="663">
        <f t="shared" ref="DS57" si="971">DR57*(DO57+DM11)</f>
        <v>5.4166666666666669E-3</v>
      </c>
      <c r="DT57" s="664">
        <f t="shared" si="684"/>
        <v>7537.0208751343271</v>
      </c>
      <c r="DU57" s="929">
        <f>+IF(DP57=0,0,DP57/DP$72)</f>
        <v>2.5928517245664477E-4</v>
      </c>
      <c r="DV57" s="127"/>
      <c r="DX57" s="1173"/>
      <c r="DY57" s="169" t="s">
        <v>1215</v>
      </c>
      <c r="DZ57" s="107">
        <f>+'Res de Costos Pais'!$D$120</f>
        <v>0.05</v>
      </c>
      <c r="EA57" s="129">
        <f>+ED50*DZ57</f>
        <v>6544246.9313370697</v>
      </c>
      <c r="EB57" s="107">
        <f>+'Res de Costos Pais'!$F$120</f>
        <v>5.0000000000000001E-3</v>
      </c>
      <c r="EC57" s="990">
        <f>+'Res de Costos Pais'!$G$120</f>
        <v>6.5</v>
      </c>
      <c r="ED57" s="264">
        <f t="shared" si="685"/>
        <v>35448.004211409127</v>
      </c>
      <c r="EE57" s="126"/>
      <c r="EF57" s="662">
        <f t="shared" si="816"/>
        <v>4.1666666666666669E-4</v>
      </c>
      <c r="EG57" s="663">
        <f t="shared" ref="EG57" si="972">EF57*(EC57+EA11)</f>
        <v>5.4166666666666669E-3</v>
      </c>
      <c r="EH57" s="664">
        <f t="shared" si="688"/>
        <v>35448.004211409127</v>
      </c>
      <c r="EI57" s="929">
        <f>+IF(ED57=0,0,ED57/ED$72)</f>
        <v>2.5908984533336873E-4</v>
      </c>
      <c r="EJ57" s="127"/>
      <c r="EL57" s="1173"/>
      <c r="EM57" s="169" t="s">
        <v>1215</v>
      </c>
      <c r="EN57" s="107">
        <f>+'Res de Costos Pais'!$D$120</f>
        <v>0.05</v>
      </c>
      <c r="EO57" s="129">
        <f>+ER50*EN57</f>
        <v>11123781.413333407</v>
      </c>
      <c r="EP57" s="107">
        <f>+'Res de Costos Pais'!$F$120</f>
        <v>5.0000000000000001E-3</v>
      </c>
      <c r="EQ57" s="990">
        <f>+'Res de Costos Pais'!$G$120</f>
        <v>6.5</v>
      </c>
      <c r="ER57" s="264">
        <f t="shared" si="689"/>
        <v>60253.815988889291</v>
      </c>
      <c r="ES57" s="929" t="e">
        <f>+IF(EN57=0,0,EN57/EN$72)</f>
        <v>#DIV/0!</v>
      </c>
      <c r="ET57" s="662">
        <f t="shared" si="818"/>
        <v>4.1666666666666669E-4</v>
      </c>
      <c r="EU57" s="663">
        <f t="shared" ref="EU57" si="973">ET57*(EQ57+EO11)</f>
        <v>5.4166666666666669E-3</v>
      </c>
      <c r="EV57" s="664">
        <f t="shared" si="692"/>
        <v>60253.815988889291</v>
      </c>
      <c r="EW57" s="929">
        <f>+IF(ER57=0,0,ER57/ER$72)</f>
        <v>2.5889613380991909E-4</v>
      </c>
      <c r="EX57" s="127"/>
      <c r="EZ57" s="1173"/>
      <c r="FA57" s="169" t="s">
        <v>1215</v>
      </c>
      <c r="FB57" s="106">
        <v>0.1</v>
      </c>
      <c r="FC57" s="129">
        <f t="shared" ref="FC57" si="974">+FF50*FB57</f>
        <v>0</v>
      </c>
      <c r="FD57" s="107">
        <v>5.0000000000000001E-3</v>
      </c>
      <c r="FE57" s="130">
        <v>4</v>
      </c>
      <c r="FF57" s="264">
        <f t="shared" si="694"/>
        <v>0</v>
      </c>
      <c r="FG57" s="126"/>
      <c r="FH57" s="662">
        <f t="shared" si="821"/>
        <v>4.1666666666666669E-4</v>
      </c>
      <c r="FI57" s="663">
        <f t="shared" ref="FI57" si="975">FH57*(FE57+FC11)</f>
        <v>4.3750000000000004E-3</v>
      </c>
      <c r="FJ57" s="664">
        <f t="shared" si="697"/>
        <v>0</v>
      </c>
      <c r="FK57" s="929">
        <f>+IF(FF57=0,0,FF57/FF$72)</f>
        <v>0</v>
      </c>
      <c r="FL57" s="127"/>
      <c r="FN57" s="1173"/>
      <c r="FO57" s="169" t="s">
        <v>1215</v>
      </c>
      <c r="FP57" s="107">
        <f>+'Res de Costos Pais'!$D$120</f>
        <v>0.05</v>
      </c>
      <c r="FQ57" s="129">
        <f>+FT50*FP57</f>
        <v>15255197.013952494</v>
      </c>
      <c r="FR57" s="107">
        <f>+'Res de Costos Pais'!$F$120</f>
        <v>5.0000000000000001E-3</v>
      </c>
      <c r="FS57" s="990">
        <f>+'Res de Costos Pais'!$G$120</f>
        <v>6.5</v>
      </c>
      <c r="FT57" s="264">
        <f t="shared" si="698"/>
        <v>82632.31715890934</v>
      </c>
      <c r="FU57" s="126"/>
      <c r="FV57" s="662">
        <f t="shared" si="823"/>
        <v>4.1666666666666669E-4</v>
      </c>
      <c r="FW57" s="663">
        <f t="shared" ref="FW57" si="976">FV57*(FS57+FQ11)</f>
        <v>5.4166666666666669E-3</v>
      </c>
      <c r="FX57" s="664">
        <f t="shared" si="701"/>
        <v>82632.31715890934</v>
      </c>
      <c r="FY57" s="929">
        <f>+IF(FT57=0,0,FT57/FT$72)</f>
        <v>2.6055236117398855E-4</v>
      </c>
      <c r="FZ57" s="127"/>
      <c r="GB57" s="1173"/>
      <c r="GC57" s="169" t="s">
        <v>1215</v>
      </c>
      <c r="GD57" s="107">
        <f>+'Res de Costos Pais'!$D$120</f>
        <v>0.05</v>
      </c>
      <c r="GE57" s="129">
        <f>+GH50*GD57</f>
        <v>7208229.3052339125</v>
      </c>
      <c r="GF57" s="107">
        <f>+'Res de Costos Pais'!$F$120</f>
        <v>5.0000000000000001E-3</v>
      </c>
      <c r="GG57" s="990">
        <f>+'Res de Costos Pais'!$G$120</f>
        <v>6.5</v>
      </c>
      <c r="GH57" s="264">
        <f t="shared" si="702"/>
        <v>39044.575403350362</v>
      </c>
      <c r="GI57" s="126"/>
      <c r="GJ57" s="662">
        <f t="shared" si="825"/>
        <v>4.1666666666666669E-4</v>
      </c>
      <c r="GK57" s="663">
        <f t="shared" ref="GK57" si="977">GJ57*(GG57+GE11)</f>
        <v>5.4166666666666669E-3</v>
      </c>
      <c r="GL57" s="664">
        <f t="shared" si="705"/>
        <v>39044.575403350362</v>
      </c>
      <c r="GM57" s="929">
        <f>+IF(GH57=0,0,GH57/GH$72)</f>
        <v>2.5879603413168901E-4</v>
      </c>
      <c r="GN57" s="127"/>
      <c r="GP57" s="1173"/>
      <c r="GQ57" s="169" t="s">
        <v>1215</v>
      </c>
      <c r="GR57" s="106">
        <v>0.1</v>
      </c>
      <c r="GS57" s="129">
        <f t="shared" ref="GS57" si="978">+GV50*GR57</f>
        <v>0</v>
      </c>
      <c r="GT57" s="107">
        <v>5.0000000000000001E-3</v>
      </c>
      <c r="GU57" s="130">
        <v>4</v>
      </c>
      <c r="GV57" s="264">
        <f t="shared" si="707"/>
        <v>0</v>
      </c>
      <c r="GW57" s="126"/>
      <c r="GX57" s="662">
        <f t="shared" si="828"/>
        <v>4.1666666666666669E-4</v>
      </c>
      <c r="GY57" s="663">
        <f t="shared" ref="GY57" si="979">GX57*(GU57+GS11)</f>
        <v>4.3750000000000004E-3</v>
      </c>
      <c r="GZ57" s="664">
        <f t="shared" si="710"/>
        <v>0</v>
      </c>
      <c r="HA57" s="929">
        <f>+IF(GV57=0,0,GV57/GV$72)</f>
        <v>0</v>
      </c>
      <c r="HB57" s="127"/>
      <c r="HD57" s="1173"/>
      <c r="HE57" s="169" t="s">
        <v>1215</v>
      </c>
      <c r="HF57" s="107">
        <f>+'Res de Costos Pais'!$D$120</f>
        <v>0.05</v>
      </c>
      <c r="HG57" s="129">
        <f>+HJ50*HF57</f>
        <v>3707927.1377778011</v>
      </c>
      <c r="HH57" s="107">
        <f>+'Res de Costos Pais'!$F$120</f>
        <v>5.0000000000000001E-3</v>
      </c>
      <c r="HI57" s="990">
        <f>+'Res de Costos Pais'!$G$120</f>
        <v>6.5</v>
      </c>
      <c r="HJ57" s="264">
        <f t="shared" si="711"/>
        <v>20084.605329629758</v>
      </c>
      <c r="HK57" s="126"/>
      <c r="HL57" s="662">
        <f t="shared" si="830"/>
        <v>4.1666666666666669E-4</v>
      </c>
      <c r="HM57" s="663">
        <f t="shared" ref="HM57" si="980">HL57*(HI57+HG11)</f>
        <v>5.4166666666666669E-3</v>
      </c>
      <c r="HN57" s="664">
        <f t="shared" si="714"/>
        <v>20084.605329629758</v>
      </c>
      <c r="HO57" s="929">
        <f>+IF(HJ57=0,0,HJ57/HJ$72)</f>
        <v>2.5889613380991914E-4</v>
      </c>
      <c r="HP57" s="127"/>
      <c r="HR57" s="1173"/>
      <c r="HS57" s="169" t="s">
        <v>1215</v>
      </c>
      <c r="HT57" s="107">
        <f>+'Res de Costos Pais'!$D$120</f>
        <v>0.05</v>
      </c>
      <c r="HU57" s="129">
        <f>+HX50*HT57</f>
        <v>14144588.947929088</v>
      </c>
      <c r="HV57" s="107">
        <f>+'Res de Costos Pais'!$F$120</f>
        <v>5.0000000000000001E-3</v>
      </c>
      <c r="HW57" s="990">
        <f>+'Res de Costos Pais'!$G$120</f>
        <v>6.5</v>
      </c>
      <c r="HX57" s="264">
        <f t="shared" si="715"/>
        <v>76616.523467949228</v>
      </c>
      <c r="HY57" s="929" t="e">
        <f t="shared" si="716"/>
        <v>#DIV/0!</v>
      </c>
      <c r="HZ57" s="662">
        <f t="shared" si="832"/>
        <v>4.1666666666666669E-4</v>
      </c>
      <c r="IA57" s="663">
        <f t="shared" ref="IA57" si="981">HZ57*(HW57+HU11)</f>
        <v>5.4166666666666669E-3</v>
      </c>
      <c r="IB57" s="664">
        <f t="shared" si="719"/>
        <v>76616.523467949228</v>
      </c>
      <c r="IC57" s="929">
        <f>+IF(HX57=0,0,HX57/HX$72)</f>
        <v>2.5903110596013195E-4</v>
      </c>
      <c r="ID57" s="127"/>
      <c r="IF57" s="1173"/>
      <c r="IG57" s="169"/>
      <c r="IH57" s="106"/>
      <c r="II57" s="129"/>
      <c r="IJ57" s="107"/>
      <c r="IK57" s="130"/>
      <c r="IL57" s="264"/>
      <c r="IM57" s="126"/>
      <c r="IN57" s="662"/>
      <c r="IO57" s="663"/>
      <c r="IP57" s="664"/>
      <c r="IQ57" s="929"/>
      <c r="IR57" s="127"/>
      <c r="IT57" s="1173"/>
      <c r="IU57" s="169"/>
      <c r="IV57" s="106"/>
      <c r="IW57" s="129"/>
      <c r="IX57" s="107"/>
      <c r="IY57" s="130"/>
      <c r="IZ57" s="264"/>
      <c r="JA57" s="126"/>
      <c r="JB57" s="662"/>
      <c r="JC57" s="663"/>
      <c r="JD57" s="664"/>
      <c r="JE57" s="929"/>
      <c r="JF57" s="127"/>
      <c r="JH57" s="1173"/>
      <c r="JI57" s="169" t="s">
        <v>1215</v>
      </c>
      <c r="JJ57" s="107">
        <f>+'Res de Costos Pais'!$D$120</f>
        <v>0.05</v>
      </c>
      <c r="JK57" s="129">
        <f>+JN50*JJ57</f>
        <v>20510155.912052605</v>
      </c>
      <c r="JL57" s="107">
        <f>+'Res de Costos Pais'!$F$120</f>
        <v>5.0000000000000001E-3</v>
      </c>
      <c r="JM57" s="990">
        <f>+'Res de Costos Pais'!$G$120</f>
        <v>6.5</v>
      </c>
      <c r="JN57" s="264">
        <f t="shared" si="720"/>
        <v>111096.67785695162</v>
      </c>
      <c r="JO57" s="126"/>
      <c r="JP57" s="662">
        <f t="shared" si="834"/>
        <v>4.1666666666666669E-4</v>
      </c>
      <c r="JQ57" s="663">
        <f t="shared" ref="JQ57" si="982">JP57*(JM57+JK11)</f>
        <v>5.4166666666666669E-3</v>
      </c>
      <c r="JR57" s="664">
        <f t="shared" si="723"/>
        <v>111096.67785695162</v>
      </c>
      <c r="JS57" s="929">
        <f>+IF(JN57=0,0,JN57/JN$72)</f>
        <v>2.5923057690658939E-4</v>
      </c>
      <c r="JT57" s="127"/>
      <c r="JV57" s="1173"/>
      <c r="JW57" s="169" t="s">
        <v>1215</v>
      </c>
      <c r="JX57" s="107">
        <f>+'Res de Costos Pais'!$D$120</f>
        <v>0.05</v>
      </c>
      <c r="JY57" s="129">
        <f>+KB50*JX57</f>
        <v>8434037.7578057032</v>
      </c>
      <c r="JZ57" s="107">
        <f>+'Res de Costos Pais'!$F$120</f>
        <v>5.0000000000000001E-3</v>
      </c>
      <c r="KA57" s="990">
        <f>+'Res de Costos Pais'!$G$120</f>
        <v>6.5</v>
      </c>
      <c r="KB57" s="264">
        <f t="shared" si="724"/>
        <v>45684.37118811423</v>
      </c>
      <c r="KC57" s="126"/>
      <c r="KD57" s="662">
        <f t="shared" si="836"/>
        <v>4.1666666666666669E-4</v>
      </c>
      <c r="KE57" s="663">
        <f t="shared" ref="KE57" si="983">KD57*(KA57+JY11)</f>
        <v>5.4166666666666669E-3</v>
      </c>
      <c r="KF57" s="664">
        <f t="shared" si="727"/>
        <v>45684.37118811423</v>
      </c>
      <c r="KG57" s="929">
        <f>+IF(KB57=0,0,KB57/KB$72)</f>
        <v>2.5906120194619739E-4</v>
      </c>
      <c r="KH57" s="127"/>
      <c r="KJ57" s="1173"/>
      <c r="KK57" s="169" t="s">
        <v>1215</v>
      </c>
      <c r="KL57" s="106">
        <v>0.1</v>
      </c>
      <c r="KM57" s="129">
        <f t="shared" ref="KM57" si="984">+KP50*KL57</f>
        <v>0</v>
      </c>
      <c r="KN57" s="107">
        <v>5.0000000000000001E-3</v>
      </c>
      <c r="KO57" s="130">
        <v>4</v>
      </c>
      <c r="KP57" s="264">
        <f t="shared" si="729"/>
        <v>0</v>
      </c>
      <c r="KQ57" s="126"/>
      <c r="KR57" s="662">
        <f t="shared" si="839"/>
        <v>4.1666666666666669E-4</v>
      </c>
      <c r="KS57" s="663">
        <f t="shared" ref="KS57" si="985">KR57*(KO57+KM11)</f>
        <v>4.3750000000000004E-3</v>
      </c>
      <c r="KT57" s="664">
        <f t="shared" si="732"/>
        <v>0</v>
      </c>
      <c r="KU57" s="929">
        <f>+IF(KP57=0,0,KP57/KP$72)</f>
        <v>0</v>
      </c>
      <c r="KV57" s="127"/>
      <c r="KX57" s="1173"/>
      <c r="KY57" s="169" t="s">
        <v>1215</v>
      </c>
      <c r="KZ57" s="106">
        <v>0.1</v>
      </c>
      <c r="LA57" s="129">
        <f t="shared" ref="LA57" si="986">+LD50*KZ57</f>
        <v>0</v>
      </c>
      <c r="LB57" s="107">
        <v>5.0000000000000001E-3</v>
      </c>
      <c r="LC57" s="130">
        <v>4</v>
      </c>
      <c r="LD57" s="264">
        <f t="shared" si="734"/>
        <v>0</v>
      </c>
      <c r="LE57" s="126"/>
      <c r="LF57" s="662">
        <f t="shared" si="842"/>
        <v>4.1666666666666669E-4</v>
      </c>
      <c r="LG57" s="663">
        <f t="shared" ref="LG57" si="987">LF57*(LC57+LA11)</f>
        <v>4.3750000000000004E-3</v>
      </c>
      <c r="LH57" s="664">
        <f t="shared" si="737"/>
        <v>0</v>
      </c>
      <c r="LI57" s="929">
        <f>+IF(LD57=0,0,LD57/LD$72)</f>
        <v>0</v>
      </c>
      <c r="LJ57" s="127"/>
      <c r="LL57" s="1173"/>
      <c r="LM57" s="169" t="s">
        <v>1215</v>
      </c>
      <c r="LN57" s="106">
        <v>0.1</v>
      </c>
      <c r="LO57" s="129">
        <f t="shared" ref="LO57" si="988">+LR50*LN57</f>
        <v>0</v>
      </c>
      <c r="LP57" s="107">
        <v>5.0000000000000001E-3</v>
      </c>
      <c r="LQ57" s="130">
        <v>4</v>
      </c>
      <c r="LR57" s="264">
        <f t="shared" si="739"/>
        <v>0</v>
      </c>
      <c r="LS57" s="126"/>
      <c r="LT57" s="662">
        <f t="shared" si="845"/>
        <v>4.1666666666666669E-4</v>
      </c>
      <c r="LU57" s="663">
        <f t="shared" ref="LU57" si="989">LT57*(LQ57+LO11)</f>
        <v>4.3750000000000004E-3</v>
      </c>
      <c r="LV57" s="664">
        <f t="shared" si="742"/>
        <v>0</v>
      </c>
      <c r="LW57" s="929">
        <f>+IF(LR57=0,0,LR57/LR$72)</f>
        <v>0</v>
      </c>
      <c r="LX57" s="127"/>
      <c r="LZ57" s="1173"/>
      <c r="MA57" s="169" t="s">
        <v>1215</v>
      </c>
      <c r="MB57" s="107">
        <f>+'Res de Costos Pais'!$D$120</f>
        <v>0.05</v>
      </c>
      <c r="MC57" s="129">
        <f>+MF50*MB57</f>
        <v>5889822.2382033616</v>
      </c>
      <c r="MD57" s="107">
        <f>+'Res de Costos Pais'!$F$120</f>
        <v>5.0000000000000001E-3</v>
      </c>
      <c r="ME57" s="990">
        <f>+'Res de Costos Pais'!$G$120</f>
        <v>6.5</v>
      </c>
      <c r="MF57" s="264">
        <f t="shared" si="743"/>
        <v>31903.20379026821</v>
      </c>
      <c r="MG57" s="126"/>
      <c r="MH57" s="662">
        <f t="shared" si="847"/>
        <v>4.1666666666666669E-4</v>
      </c>
      <c r="MI57" s="663">
        <f t="shared" ref="MI57" si="990">MH57*(ME57+MC11)</f>
        <v>5.4166666666666669E-3</v>
      </c>
      <c r="MJ57" s="664">
        <f t="shared" si="746"/>
        <v>31903.20379026821</v>
      </c>
      <c r="MK57" s="929">
        <f>+IF(MF57=0,0,MF57/MF$72)</f>
        <v>2.5908984533336873E-4</v>
      </c>
      <c r="ML57" s="127"/>
      <c r="MN57" s="1173"/>
      <c r="MO57" s="169" t="s">
        <v>1215</v>
      </c>
      <c r="MP57" s="107">
        <f>+'Res de Costos Pais'!$D$120</f>
        <v>0.05</v>
      </c>
      <c r="MQ57" s="129">
        <f>+MT50*MP57</f>
        <v>7668314.8414853532</v>
      </c>
      <c r="MR57" s="107">
        <f>+'Res de Costos Pais'!$F$120</f>
        <v>5.0000000000000001E-3</v>
      </c>
      <c r="MS57" s="990">
        <f>+'Res de Costos Pais'!$G$120</f>
        <v>6.5</v>
      </c>
      <c r="MT57" s="264">
        <f t="shared" si="747"/>
        <v>41536.705391379001</v>
      </c>
      <c r="MU57" s="126"/>
      <c r="MV57" s="662">
        <f t="shared" si="849"/>
        <v>4.1666666666666669E-4</v>
      </c>
      <c r="MW57" s="663">
        <f t="shared" ref="MW57" si="991">MV57*(MS57+MQ11)</f>
        <v>5.4166666666666669E-3</v>
      </c>
      <c r="MX57" s="664">
        <f t="shared" si="750"/>
        <v>41536.705391379001</v>
      </c>
      <c r="MY57" s="929">
        <f>+IF(MT57=0,0,MT57/MT$72)</f>
        <v>2.5901064167000609E-4</v>
      </c>
      <c r="MZ57" s="127"/>
      <c r="NB57" s="1173"/>
      <c r="NC57" s="169" t="s">
        <v>1215</v>
      </c>
      <c r="ND57" s="107">
        <f>+'Res de Costos Pais'!$D$120</f>
        <v>0.05</v>
      </c>
      <c r="NE57" s="129">
        <f>+NH50*ND57</f>
        <v>8511975.2402894292</v>
      </c>
      <c r="NF57" s="107">
        <f>+'Res de Costos Pais'!$F$120</f>
        <v>5.0000000000000001E-3</v>
      </c>
      <c r="NG57" s="990">
        <f>+'Res de Costos Pais'!$G$120</f>
        <v>6.5</v>
      </c>
      <c r="NH57" s="264">
        <f t="shared" si="751"/>
        <v>46106.53255156774</v>
      </c>
      <c r="NI57" s="126"/>
      <c r="NJ57" s="662">
        <f t="shared" si="851"/>
        <v>4.1666666666666669E-4</v>
      </c>
      <c r="NK57" s="663">
        <f t="shared" ref="NK57" si="992">NJ57*(NG57+NE11)</f>
        <v>5.4166666666666669E-3</v>
      </c>
      <c r="NL57" s="664">
        <f t="shared" si="754"/>
        <v>46106.53255156774</v>
      </c>
      <c r="NM57" s="929">
        <f>+IF(NH57=0,0,NH57/NH$72)</f>
        <v>2.5883902531773713E-4</v>
      </c>
      <c r="NN57" s="127"/>
      <c r="NP57" s="1173"/>
      <c r="NQ57" s="169" t="s">
        <v>1215</v>
      </c>
      <c r="NR57" s="107">
        <f>+'Res de Costos Pais'!$D$120</f>
        <v>0.05</v>
      </c>
      <c r="NS57" s="129">
        <f>+NV50*NR57</f>
        <v>20010249.340250555</v>
      </c>
      <c r="NT57" s="107">
        <f>+'Res de Costos Pais'!$F$120</f>
        <v>5.0000000000000001E-3</v>
      </c>
      <c r="NU57" s="990">
        <f>+'Res de Costos Pais'!$G$120</f>
        <v>6.5</v>
      </c>
      <c r="NV57" s="264">
        <f t="shared" si="755"/>
        <v>108388.85059302385</v>
      </c>
      <c r="NW57" s="126"/>
      <c r="NX57" s="662">
        <f t="shared" si="853"/>
        <v>4.1666666666666669E-4</v>
      </c>
      <c r="NY57" s="663">
        <f t="shared" ref="NY57" si="993">NX57*(NU57+NS11)</f>
        <v>5.4166666666666669E-3</v>
      </c>
      <c r="NZ57" s="664">
        <f t="shared" si="758"/>
        <v>108388.85059302385</v>
      </c>
      <c r="OA57" s="929">
        <f>+IF(NV57=0,0,NV57/NV$72)</f>
        <v>2.6066682449836932E-4</v>
      </c>
      <c r="OB57" s="127"/>
      <c r="OD57" s="1173"/>
      <c r="OE57" s="169" t="s">
        <v>1215</v>
      </c>
      <c r="OF57" s="107">
        <f>+'Res de Costos Pais'!$D$120</f>
        <v>0.05</v>
      </c>
      <c r="OG57" s="129">
        <f>+OJ50*OF57</f>
        <v>3639075.6655234057</v>
      </c>
      <c r="OH57" s="107">
        <f>+'Res de Costos Pais'!$F$120</f>
        <v>5.0000000000000001E-3</v>
      </c>
      <c r="OI57" s="990">
        <f>+'Res de Costos Pais'!$G$120</f>
        <v>6.5</v>
      </c>
      <c r="OJ57" s="264">
        <f t="shared" si="759"/>
        <v>19711.659854918449</v>
      </c>
      <c r="OK57" s="126"/>
      <c r="OL57" s="662">
        <f t="shared" si="855"/>
        <v>4.1666666666666669E-4</v>
      </c>
      <c r="OM57" s="663">
        <f t="shared" ref="OM57" si="994">OL57*(OI57+OG11)</f>
        <v>5.4166666666666669E-3</v>
      </c>
      <c r="ON57" s="664">
        <f t="shared" si="762"/>
        <v>19711.659854918449</v>
      </c>
      <c r="OO57" s="929">
        <f>+IF(OJ57=0,0,OJ57/OJ$72)</f>
        <v>2.6001595861248399E-4</v>
      </c>
      <c r="OP57" s="127"/>
      <c r="OR57" s="1173"/>
      <c r="OS57" s="169" t="s">
        <v>1215</v>
      </c>
      <c r="OT57" s="107">
        <f>+'Res de Costos Pais'!$D$120</f>
        <v>0.05</v>
      </c>
      <c r="OU57" s="129">
        <f>+OX50*OT57</f>
        <v>14387813.629628314</v>
      </c>
      <c r="OV57" s="107">
        <f>+'Res de Costos Pais'!$F$120</f>
        <v>5.0000000000000001E-3</v>
      </c>
      <c r="OW57" s="990">
        <f>+'Res de Costos Pais'!$G$120</f>
        <v>6.5</v>
      </c>
      <c r="OX57" s="264">
        <f t="shared" si="763"/>
        <v>77933.990493820034</v>
      </c>
      <c r="OY57" s="126"/>
      <c r="OZ57" s="662">
        <f t="shared" si="857"/>
        <v>4.1666666666666669E-4</v>
      </c>
      <c r="PA57" s="663">
        <f t="shared" ref="PA57" si="995">OZ57*(OW57+OU11)</f>
        <v>5.4166666666666669E-3</v>
      </c>
      <c r="PB57" s="664">
        <f t="shared" si="766"/>
        <v>77933.990493820034</v>
      </c>
      <c r="PC57" s="929">
        <f>+IF(OX57=0,0,OX57/OX$72)</f>
        <v>2.5938710692041374E-4</v>
      </c>
      <c r="PD57" s="127"/>
      <c r="PF57" s="1173"/>
      <c r="PG57" s="169" t="s">
        <v>1215</v>
      </c>
      <c r="PH57" s="106">
        <v>0.1</v>
      </c>
      <c r="PI57" s="129">
        <f t="shared" ref="PI57" si="996">+PL50*PH57</f>
        <v>0</v>
      </c>
      <c r="PJ57" s="107">
        <v>5.0000000000000001E-3</v>
      </c>
      <c r="PK57" s="130">
        <v>4</v>
      </c>
      <c r="PL57" s="264">
        <f t="shared" si="768"/>
        <v>0</v>
      </c>
      <c r="PM57" s="126"/>
      <c r="PN57" s="662">
        <f t="shared" si="860"/>
        <v>4.1666666666666669E-4</v>
      </c>
      <c r="PO57" s="663">
        <f t="shared" ref="PO57" si="997">PN57*(PK57+PI11)</f>
        <v>4.3750000000000004E-3</v>
      </c>
      <c r="PP57" s="664">
        <f t="shared" si="771"/>
        <v>0</v>
      </c>
      <c r="PQ57" s="929">
        <f>+IF(PL57=0,0,PL57/PL$72)</f>
        <v>0</v>
      </c>
      <c r="PR57" s="127"/>
      <c r="PT57" s="1173"/>
      <c r="PU57" s="169" t="s">
        <v>1215</v>
      </c>
      <c r="PV57" s="106">
        <v>0.1</v>
      </c>
      <c r="PW57" s="129">
        <f t="shared" ref="PW57" si="998">+PZ50*PV57</f>
        <v>0</v>
      </c>
      <c r="PX57" s="107">
        <v>5.0000000000000001E-3</v>
      </c>
      <c r="PY57" s="130">
        <v>4</v>
      </c>
      <c r="PZ57" s="264">
        <f t="shared" si="773"/>
        <v>0</v>
      </c>
      <c r="QA57" s="126"/>
      <c r="QB57" s="662">
        <f t="shared" si="863"/>
        <v>4.1666666666666669E-4</v>
      </c>
      <c r="QC57" s="663">
        <f t="shared" ref="QC57" si="999">QB57*(PY57+PW11)</f>
        <v>4.3750000000000004E-3</v>
      </c>
      <c r="QD57" s="664">
        <f t="shared" si="776"/>
        <v>0</v>
      </c>
      <c r="QE57" s="929">
        <f>+IF(PZ57=0,0,PZ57/PZ$72)</f>
        <v>0</v>
      </c>
      <c r="QF57" s="127"/>
      <c r="QH57" s="1173"/>
      <c r="QI57" s="169" t="s">
        <v>1215</v>
      </c>
      <c r="QJ57" s="106">
        <v>0.1</v>
      </c>
      <c r="QK57" s="129">
        <f t="shared" ref="QK57" si="1000">+QN50*QJ57</f>
        <v>0</v>
      </c>
      <c r="QL57" s="107">
        <v>5.0000000000000001E-3</v>
      </c>
      <c r="QM57" s="130">
        <v>4</v>
      </c>
      <c r="QN57" s="264">
        <f t="shared" si="778"/>
        <v>0</v>
      </c>
      <c r="QO57" s="126"/>
      <c r="QP57" s="662">
        <f t="shared" si="866"/>
        <v>4.1666666666666669E-4</v>
      </c>
      <c r="QQ57" s="663">
        <f t="shared" ref="QQ57" si="1001">QP57*(QM57+QK11)</f>
        <v>4.3750000000000004E-3</v>
      </c>
      <c r="QR57" s="664">
        <f t="shared" si="781"/>
        <v>0</v>
      </c>
      <c r="QS57" s="929">
        <f>+IF(QN57=0,0,QN57/QN$72)</f>
        <v>0</v>
      </c>
      <c r="QT57" s="127"/>
      <c r="QV57" s="1173"/>
      <c r="QW57" s="169" t="s">
        <v>1215</v>
      </c>
      <c r="QX57" s="107">
        <f>+'Res de Costos Pais'!$D$120</f>
        <v>0.05</v>
      </c>
      <c r="QY57" s="129">
        <f>+RB50*QX57</f>
        <v>15007687.005187918</v>
      </c>
      <c r="QZ57" s="107">
        <f>+'Res de Costos Pais'!$F$120</f>
        <v>5.0000000000000001E-3</v>
      </c>
      <c r="RA57" s="990">
        <f>+'Res de Costos Pais'!$G$120</f>
        <v>6.5</v>
      </c>
      <c r="RB57" s="264">
        <f t="shared" si="782"/>
        <v>81291.637944767892</v>
      </c>
      <c r="RC57" s="126"/>
      <c r="RD57" s="662">
        <f t="shared" si="868"/>
        <v>4.1666666666666669E-4</v>
      </c>
      <c r="RE57" s="663">
        <f t="shared" ref="RE57" si="1002">RD57*(RA57+QY11)</f>
        <v>5.4166666666666669E-3</v>
      </c>
      <c r="RF57" s="664">
        <f t="shared" si="785"/>
        <v>81291.637944767892</v>
      </c>
      <c r="RG57" s="929">
        <f>+IF(RB57=0,0,RB57/RB$72)</f>
        <v>2.6066682449836932E-4</v>
      </c>
      <c r="RH57" s="127"/>
      <c r="RJ57" s="1173"/>
      <c r="RK57" s="169" t="s">
        <v>1215</v>
      </c>
      <c r="RL57" s="107">
        <f>+'Res de Costos Pais'!$D$120</f>
        <v>0.05</v>
      </c>
      <c r="RM57" s="129">
        <f>+RP50*RL57</f>
        <v>2846713.6248025633</v>
      </c>
      <c r="RN57" s="107">
        <f>+'Res de Costos Pais'!$F$120</f>
        <v>5.0000000000000001E-3</v>
      </c>
      <c r="RO57" s="990">
        <f>+'Res de Costos Pais'!$G$120</f>
        <v>6.5</v>
      </c>
      <c r="RP57" s="264">
        <f t="shared" si="786"/>
        <v>15419.698801013885</v>
      </c>
      <c r="RQ57" s="126"/>
      <c r="RR57" s="662">
        <f t="shared" si="870"/>
        <v>4.1666666666666669E-4</v>
      </c>
      <c r="RS57" s="663">
        <f t="shared" ref="RS57" si="1003">RR57*(RO57+RM11)</f>
        <v>5.4166666666666669E-3</v>
      </c>
      <c r="RT57" s="664">
        <f t="shared" si="789"/>
        <v>15419.698801013885</v>
      </c>
      <c r="RU57" s="929">
        <f>+IF(RP57=0,0,RP57/RP$72)</f>
        <v>2.6087831410828331E-4</v>
      </c>
      <c r="RV57" s="127"/>
      <c r="RX57" s="1173"/>
      <c r="RY57" s="169" t="s">
        <v>1215</v>
      </c>
      <c r="RZ57" s="107">
        <f>+'Res de Costos Pais'!$D$120</f>
        <v>0.05</v>
      </c>
      <c r="SA57" s="129">
        <f>+SD50*RZ57</f>
        <v>8754484.0863596182</v>
      </c>
      <c r="SB57" s="107">
        <f>+'Res de Costos Pais'!$F$120</f>
        <v>5.0000000000000001E-3</v>
      </c>
      <c r="SC57" s="990">
        <f>+'Res de Costos Pais'!$G$120</f>
        <v>6.5</v>
      </c>
      <c r="SD57" s="264">
        <f t="shared" si="790"/>
        <v>47420.122134447935</v>
      </c>
      <c r="SE57" s="126"/>
      <c r="SF57" s="662">
        <f t="shared" si="872"/>
        <v>4.1666666666666669E-4</v>
      </c>
      <c r="SG57" s="663">
        <f t="shared" ref="SG57" si="1004">SF57*(SC57+SA11)</f>
        <v>5.4166666666666669E-3</v>
      </c>
      <c r="SH57" s="664">
        <f t="shared" si="793"/>
        <v>47420.122134447935</v>
      </c>
      <c r="SI57" s="929">
        <f>+IF(SD57=0,0,SD57/SD$72)</f>
        <v>2.6066682449836926E-4</v>
      </c>
      <c r="SJ57" s="127"/>
      <c r="SL57" s="1173"/>
      <c r="SM57" s="169" t="s">
        <v>1215</v>
      </c>
      <c r="SN57" s="106">
        <v>0.1</v>
      </c>
      <c r="SO57" s="129">
        <f t="shared" ref="SO57" si="1005">+SR50*SN57</f>
        <v>0</v>
      </c>
      <c r="SP57" s="107">
        <v>5.0000000000000001E-3</v>
      </c>
      <c r="SQ57" s="130">
        <v>4</v>
      </c>
      <c r="SR57" s="264">
        <f t="shared" si="795"/>
        <v>0</v>
      </c>
      <c r="SS57" s="126"/>
      <c r="ST57" s="662">
        <f t="shared" si="875"/>
        <v>4.1666666666666669E-4</v>
      </c>
      <c r="SU57" s="663">
        <f t="shared" ref="SU57" si="1006">ST57*(SQ57+SO11)</f>
        <v>4.3750000000000004E-3</v>
      </c>
      <c r="SV57" s="664">
        <f t="shared" si="798"/>
        <v>0</v>
      </c>
      <c r="SW57" s="929">
        <f>+IF(SR57=0,0,SR57/SR$72)</f>
        <v>0</v>
      </c>
      <c r="SX57" s="127"/>
      <c r="SZ57" s="1173"/>
      <c r="TA57" s="169" t="s">
        <v>1215</v>
      </c>
      <c r="TB57" s="107">
        <f>+'Res de Costos Pais'!$D$120</f>
        <v>0.05</v>
      </c>
      <c r="TC57" s="129">
        <f>+TF50*TB57</f>
        <v>225121319.45067537</v>
      </c>
      <c r="TD57" s="107">
        <f>+'Res de Costos Pais'!$F$120</f>
        <v>5.0000000000000001E-3</v>
      </c>
      <c r="TE57" s="990">
        <f>+'Res de Costos Pais'!$G$120</f>
        <v>6.5</v>
      </c>
      <c r="TF57" s="264">
        <f t="shared" si="799"/>
        <v>1219407.1470244916</v>
      </c>
      <c r="TG57" s="126"/>
      <c r="TH57" s="662">
        <f t="shared" si="877"/>
        <v>4.1666666666666669E-4</v>
      </c>
      <c r="TI57" s="663">
        <f t="shared" ref="TI57" si="1007">TH57*(TE57+TC11)</f>
        <v>5.4166666666666669E-3</v>
      </c>
      <c r="TJ57" s="664">
        <f t="shared" si="802"/>
        <v>1219407.1470244916</v>
      </c>
      <c r="TK57" s="929">
        <f>+IF(TF57=0,0,TF57/TF$72)</f>
        <v>2.5951106543221968E-4</v>
      </c>
      <c r="TL57" s="127"/>
      <c r="TM57" s="937"/>
      <c r="TN57" s="725"/>
    </row>
    <row r="58" spans="2:534" thickBot="1">
      <c r="B58" s="108"/>
      <c r="C58" s="108"/>
      <c r="D58" s="108"/>
      <c r="E58" s="108"/>
      <c r="F58" s="131" t="s">
        <v>1219</v>
      </c>
      <c r="G58" s="108"/>
      <c r="H58" s="108"/>
      <c r="I58" s="132"/>
      <c r="M58" s="931"/>
      <c r="P58" s="108"/>
      <c r="Q58" s="108"/>
      <c r="R58" s="108"/>
      <c r="S58" s="108"/>
      <c r="T58" s="131"/>
      <c r="U58" s="108"/>
      <c r="V58" s="108"/>
      <c r="W58" s="132"/>
      <c r="AA58" s="931"/>
      <c r="AD58" s="108"/>
      <c r="AE58" s="108"/>
      <c r="AF58" s="108"/>
      <c r="AG58" s="108"/>
      <c r="AH58" s="131"/>
      <c r="AI58" s="108"/>
      <c r="AJ58" s="108"/>
      <c r="AK58" s="132"/>
      <c r="AO58" s="931"/>
      <c r="AR58" s="108"/>
      <c r="AS58" s="108"/>
      <c r="AT58" s="108"/>
      <c r="AU58" s="108"/>
      <c r="AV58" s="131" t="s">
        <v>1219</v>
      </c>
      <c r="AW58" s="108"/>
      <c r="AX58" s="108"/>
      <c r="AY58" s="132"/>
      <c r="BC58" s="931"/>
      <c r="BF58" s="108"/>
      <c r="BG58" s="108"/>
      <c r="BH58" s="108"/>
      <c r="BI58" s="108"/>
      <c r="BJ58" s="131" t="s">
        <v>1219</v>
      </c>
      <c r="BK58" s="108"/>
      <c r="BL58" s="108"/>
      <c r="BM58" s="132"/>
      <c r="BQ58" s="931"/>
      <c r="BT58" s="108"/>
      <c r="BU58" s="108"/>
      <c r="BV58" s="108"/>
      <c r="BW58" s="108"/>
      <c r="BX58" s="131" t="s">
        <v>1219</v>
      </c>
      <c r="BY58" s="108"/>
      <c r="BZ58" s="108"/>
      <c r="CA58" s="132"/>
      <c r="CE58" s="931"/>
      <c r="CH58" s="108"/>
      <c r="CI58" s="108"/>
      <c r="CJ58" s="108"/>
      <c r="CK58" s="108"/>
      <c r="CL58" s="131" t="s">
        <v>1219</v>
      </c>
      <c r="CM58" s="108"/>
      <c r="CN58" s="108"/>
      <c r="CO58" s="132"/>
      <c r="CS58" s="931"/>
      <c r="CV58" s="108"/>
      <c r="CW58" s="108"/>
      <c r="CX58" s="108"/>
      <c r="CY58" s="108"/>
      <c r="CZ58" s="131" t="s">
        <v>1219</v>
      </c>
      <c r="DA58" s="108"/>
      <c r="DB58" s="108"/>
      <c r="DC58" s="132"/>
      <c r="DG58" s="931"/>
      <c r="DJ58" s="108"/>
      <c r="DK58" s="108"/>
      <c r="DL58" s="108"/>
      <c r="DM58" s="108"/>
      <c r="DN58" s="131" t="s">
        <v>1219</v>
      </c>
      <c r="DO58" s="108"/>
      <c r="DP58" s="108"/>
      <c r="DQ58" s="132"/>
      <c r="DU58" s="931"/>
      <c r="DX58" s="108"/>
      <c r="DY58" s="108"/>
      <c r="DZ58" s="108"/>
      <c r="EA58" s="108"/>
      <c r="EB58" s="131" t="s">
        <v>1219</v>
      </c>
      <c r="EC58" s="108"/>
      <c r="ED58" s="108"/>
      <c r="EE58" s="132"/>
      <c r="EI58" s="931"/>
      <c r="EL58" s="108"/>
      <c r="EM58" s="108"/>
      <c r="EN58" s="108"/>
      <c r="EO58" s="108"/>
      <c r="EP58" s="131" t="s">
        <v>1219</v>
      </c>
      <c r="EQ58" s="108"/>
      <c r="ER58" s="108"/>
      <c r="ES58" s="931"/>
      <c r="EW58" s="931"/>
      <c r="EZ58" s="108"/>
      <c r="FA58" s="108"/>
      <c r="FB58" s="108"/>
      <c r="FC58" s="108"/>
      <c r="FD58" s="131" t="s">
        <v>1219</v>
      </c>
      <c r="FE58" s="108"/>
      <c r="FF58" s="108"/>
      <c r="FG58" s="132"/>
      <c r="FK58" s="931"/>
      <c r="FN58" s="108"/>
      <c r="FO58" s="108"/>
      <c r="FP58" s="108"/>
      <c r="FQ58" s="108"/>
      <c r="FR58" s="131" t="s">
        <v>1219</v>
      </c>
      <c r="FS58" s="108"/>
      <c r="FT58" s="108"/>
      <c r="FU58" s="132"/>
      <c r="FY58" s="931"/>
      <c r="GB58" s="108"/>
      <c r="GC58" s="108"/>
      <c r="GD58" s="108"/>
      <c r="GE58" s="108"/>
      <c r="GF58" s="131" t="s">
        <v>1219</v>
      </c>
      <c r="GG58" s="108"/>
      <c r="GH58" s="108"/>
      <c r="GI58" s="132"/>
      <c r="GM58" s="931"/>
      <c r="GP58" s="108"/>
      <c r="GQ58" s="108"/>
      <c r="GR58" s="108"/>
      <c r="GS58" s="108"/>
      <c r="GT58" s="131" t="s">
        <v>1219</v>
      </c>
      <c r="GU58" s="108"/>
      <c r="GV58" s="108"/>
      <c r="GW58" s="132"/>
      <c r="HA58" s="931"/>
      <c r="HD58" s="108"/>
      <c r="HE58" s="108"/>
      <c r="HF58" s="108"/>
      <c r="HG58" s="108"/>
      <c r="HH58" s="131" t="s">
        <v>1219</v>
      </c>
      <c r="HI58" s="108"/>
      <c r="HJ58" s="108"/>
      <c r="HK58" s="132"/>
      <c r="HO58" s="931"/>
      <c r="HR58" s="108"/>
      <c r="HS58" s="108"/>
      <c r="HT58" s="108"/>
      <c r="HU58" s="108"/>
      <c r="HV58" s="131" t="s">
        <v>1219</v>
      </c>
      <c r="HW58" s="108"/>
      <c r="HX58" s="108"/>
      <c r="HY58" s="931"/>
      <c r="IC58" s="931"/>
      <c r="IF58" s="108"/>
      <c r="IG58" s="108"/>
      <c r="IH58" s="108"/>
      <c r="II58" s="108"/>
      <c r="IJ58" s="131"/>
      <c r="IK58" s="108"/>
      <c r="IL58" s="108"/>
      <c r="IM58" s="132"/>
      <c r="IQ58" s="931"/>
      <c r="IT58" s="108"/>
      <c r="IU58" s="108"/>
      <c r="IV58" s="108"/>
      <c r="IW58" s="108"/>
      <c r="IX58" s="131"/>
      <c r="IY58" s="108"/>
      <c r="IZ58" s="108"/>
      <c r="JA58" s="132"/>
      <c r="JE58" s="931"/>
      <c r="JH58" s="108"/>
      <c r="JI58" s="108"/>
      <c r="JJ58" s="108"/>
      <c r="JK58" s="108"/>
      <c r="JL58" s="131" t="s">
        <v>1219</v>
      </c>
      <c r="JM58" s="108"/>
      <c r="JN58" s="108"/>
      <c r="JO58" s="132"/>
      <c r="JS58" s="931"/>
      <c r="JV58" s="108"/>
      <c r="JW58" s="108"/>
      <c r="JX58" s="108"/>
      <c r="JY58" s="108"/>
      <c r="JZ58" s="131" t="s">
        <v>1219</v>
      </c>
      <c r="KA58" s="108"/>
      <c r="KB58" s="108"/>
      <c r="KC58" s="132"/>
      <c r="KG58" s="931"/>
      <c r="KJ58" s="108"/>
      <c r="KK58" s="108"/>
      <c r="KL58" s="108"/>
      <c r="KM58" s="108"/>
      <c r="KN58" s="131" t="s">
        <v>1219</v>
      </c>
      <c r="KO58" s="108"/>
      <c r="KP58" s="108"/>
      <c r="KQ58" s="132"/>
      <c r="KU58" s="931"/>
      <c r="KX58" s="108"/>
      <c r="KY58" s="108"/>
      <c r="KZ58" s="108"/>
      <c r="LA58" s="108"/>
      <c r="LB58" s="131" t="s">
        <v>1219</v>
      </c>
      <c r="LC58" s="108"/>
      <c r="LD58" s="108"/>
      <c r="LE58" s="132"/>
      <c r="LI58" s="931"/>
      <c r="LL58" s="108"/>
      <c r="LM58" s="108"/>
      <c r="LN58" s="108"/>
      <c r="LO58" s="108"/>
      <c r="LP58" s="131" t="s">
        <v>1219</v>
      </c>
      <c r="LQ58" s="108"/>
      <c r="LR58" s="108"/>
      <c r="LS58" s="132"/>
      <c r="LW58" s="931"/>
      <c r="LZ58" s="108"/>
      <c r="MA58" s="108"/>
      <c r="MB58" s="108"/>
      <c r="MC58" s="108"/>
      <c r="MD58" s="131" t="s">
        <v>1219</v>
      </c>
      <c r="ME58" s="108"/>
      <c r="MF58" s="108"/>
      <c r="MG58" s="132"/>
      <c r="MK58" s="931"/>
      <c r="MN58" s="108"/>
      <c r="MO58" s="108"/>
      <c r="MP58" s="108"/>
      <c r="MQ58" s="108"/>
      <c r="MR58" s="131" t="s">
        <v>1219</v>
      </c>
      <c r="MS58" s="108"/>
      <c r="MT58" s="108"/>
      <c r="MU58" s="132"/>
      <c r="MY58" s="931"/>
      <c r="NB58" s="108"/>
      <c r="NC58" s="108"/>
      <c r="ND58" s="108"/>
      <c r="NE58" s="108"/>
      <c r="NF58" s="131" t="s">
        <v>1219</v>
      </c>
      <c r="NG58" s="108"/>
      <c r="NH58" s="108"/>
      <c r="NI58" s="132"/>
      <c r="NM58" s="931"/>
      <c r="NP58" s="108"/>
      <c r="NQ58" s="108"/>
      <c r="NR58" s="108"/>
      <c r="NS58" s="108"/>
      <c r="NT58" s="131" t="s">
        <v>1219</v>
      </c>
      <c r="NU58" s="108"/>
      <c r="NV58" s="108"/>
      <c r="NW58" s="132"/>
      <c r="OA58" s="931"/>
      <c r="OD58" s="108"/>
      <c r="OE58" s="108"/>
      <c r="OF58" s="108"/>
      <c r="OG58" s="108"/>
      <c r="OH58" s="131" t="s">
        <v>1219</v>
      </c>
      <c r="OI58" s="108"/>
      <c r="OJ58" s="108"/>
      <c r="OK58" s="132"/>
      <c r="OO58" s="931"/>
      <c r="OR58" s="108"/>
      <c r="OS58" s="108"/>
      <c r="OT58" s="108"/>
      <c r="OU58" s="108"/>
      <c r="OV58" s="131" t="s">
        <v>1219</v>
      </c>
      <c r="OW58" s="108"/>
      <c r="OX58" s="108"/>
      <c r="OY58" s="132"/>
      <c r="PC58" s="931"/>
      <c r="PF58" s="108"/>
      <c r="PG58" s="108"/>
      <c r="PH58" s="108"/>
      <c r="PI58" s="108"/>
      <c r="PJ58" s="131" t="s">
        <v>1219</v>
      </c>
      <c r="PK58" s="108"/>
      <c r="PL58" s="108"/>
      <c r="PM58" s="132"/>
      <c r="PQ58" s="931"/>
      <c r="PT58" s="108"/>
      <c r="PU58" s="108"/>
      <c r="PV58" s="108"/>
      <c r="PW58" s="108"/>
      <c r="PX58" s="131" t="s">
        <v>1219</v>
      </c>
      <c r="PY58" s="108"/>
      <c r="PZ58" s="108"/>
      <c r="QA58" s="132"/>
      <c r="QE58" s="931"/>
      <c r="QH58" s="108"/>
      <c r="QI58" s="108"/>
      <c r="QJ58" s="108"/>
      <c r="QK58" s="108"/>
      <c r="QL58" s="131" t="s">
        <v>1219</v>
      </c>
      <c r="QM58" s="108"/>
      <c r="QN58" s="108"/>
      <c r="QO58" s="132"/>
      <c r="QS58" s="931"/>
      <c r="QV58" s="108"/>
      <c r="QW58" s="108"/>
      <c r="QX58" s="108"/>
      <c r="QY58" s="108"/>
      <c r="QZ58" s="131" t="s">
        <v>1219</v>
      </c>
      <c r="RA58" s="108"/>
      <c r="RB58" s="108"/>
      <c r="RC58" s="132"/>
      <c r="RG58" s="931"/>
      <c r="RJ58" s="108"/>
      <c r="RK58" s="108"/>
      <c r="RL58" s="108"/>
      <c r="RM58" s="108"/>
      <c r="RN58" s="131" t="s">
        <v>1219</v>
      </c>
      <c r="RO58" s="108"/>
      <c r="RP58" s="108"/>
      <c r="RQ58" s="132"/>
      <c r="RU58" s="931"/>
      <c r="RX58" s="108"/>
      <c r="RY58" s="108"/>
      <c r="RZ58" s="108"/>
      <c r="SA58" s="108"/>
      <c r="SB58" s="131" t="s">
        <v>1219</v>
      </c>
      <c r="SC58" s="108"/>
      <c r="SD58" s="108"/>
      <c r="SE58" s="132"/>
      <c r="SI58" s="931"/>
      <c r="SL58" s="108"/>
      <c r="SM58" s="108"/>
      <c r="SN58" s="108"/>
      <c r="SO58" s="108"/>
      <c r="SP58" s="131" t="s">
        <v>1219</v>
      </c>
      <c r="SQ58" s="108"/>
      <c r="SR58" s="108"/>
      <c r="SS58" s="132"/>
      <c r="SW58" s="931"/>
      <c r="SZ58" s="108"/>
      <c r="TA58" s="108"/>
      <c r="TB58" s="108"/>
      <c r="TC58" s="108"/>
      <c r="TD58" s="131" t="s">
        <v>1219</v>
      </c>
      <c r="TE58" s="108"/>
      <c r="TF58" s="737"/>
      <c r="TG58" s="132"/>
      <c r="TK58" s="931"/>
      <c r="TM58" s="937"/>
      <c r="TN58" s="725"/>
    </row>
    <row r="59" spans="2:534" thickBot="1">
      <c r="B59" s="675" t="s">
        <v>1216</v>
      </c>
      <c r="C59" s="117"/>
      <c r="D59" s="117"/>
      <c r="E59" s="117"/>
      <c r="F59" s="117"/>
      <c r="G59" s="710">
        <f>+IF(H50=0,0,H59/H50)</f>
        <v>2.2500000000000003E-3</v>
      </c>
      <c r="H59" s="233">
        <f>+SUM(H53:H57)</f>
        <v>396109.67060414533</v>
      </c>
      <c r="I59" s="119"/>
      <c r="M59" s="932">
        <f>SUM(M53:M58)</f>
        <v>2.151323698681385E-3</v>
      </c>
      <c r="P59" s="675"/>
      <c r="Q59" s="117"/>
      <c r="R59" s="117"/>
      <c r="S59" s="117"/>
      <c r="T59" s="117"/>
      <c r="U59" s="710"/>
      <c r="V59" s="233"/>
      <c r="W59" s="119"/>
      <c r="AA59" s="932"/>
      <c r="AD59" s="675" t="s">
        <v>1216</v>
      </c>
      <c r="AE59" s="117"/>
      <c r="AF59" s="117"/>
      <c r="AG59" s="117"/>
      <c r="AH59" s="117"/>
      <c r="AI59" s="710">
        <f>+IF(AJ50=0,0,AJ59/AJ50)</f>
        <v>0</v>
      </c>
      <c r="AJ59" s="233">
        <f>+SUM(AJ53:AJ57)</f>
        <v>0</v>
      </c>
      <c r="AK59" s="119"/>
      <c r="AO59" s="932"/>
      <c r="AR59" s="675" t="s">
        <v>1216</v>
      </c>
      <c r="AS59" s="117"/>
      <c r="AT59" s="117"/>
      <c r="AU59" s="117"/>
      <c r="AV59" s="117"/>
      <c r="AW59" s="710">
        <f>+IF(AX50=0,0,AX59/AX50)</f>
        <v>0</v>
      </c>
      <c r="AX59" s="233">
        <f>+SUM(AX53:AX57)</f>
        <v>0</v>
      </c>
      <c r="AY59" s="119"/>
      <c r="BC59" s="932">
        <f>SUM(BC53:BC58)</f>
        <v>0</v>
      </c>
      <c r="BF59" s="675" t="s">
        <v>1216</v>
      </c>
      <c r="BG59" s="117"/>
      <c r="BH59" s="117"/>
      <c r="BI59" s="117"/>
      <c r="BJ59" s="117"/>
      <c r="BK59" s="710">
        <f>+IF(BL50=0,0,BL59/BL50)</f>
        <v>2.2500000000000003E-3</v>
      </c>
      <c r="BL59" s="233">
        <f>+SUM(BL53:BL57)</f>
        <v>1001140.3272000066</v>
      </c>
      <c r="BM59" s="119"/>
      <c r="BQ59" s="932">
        <f>SUM(BQ53:BQ58)</f>
        <v>2.1508294193439432E-3</v>
      </c>
      <c r="BT59" s="675" t="s">
        <v>1216</v>
      </c>
      <c r="BU59" s="117"/>
      <c r="BV59" s="117"/>
      <c r="BW59" s="117"/>
      <c r="BX59" s="117"/>
      <c r="BY59" s="710">
        <f>+IF(BZ50=0,0,BZ59/BZ50)</f>
        <v>0</v>
      </c>
      <c r="BZ59" s="233">
        <f>+SUM(BZ53:BZ57)</f>
        <v>0</v>
      </c>
      <c r="CA59" s="119"/>
      <c r="CE59" s="932">
        <f>SUM(CE53:CE58)</f>
        <v>0</v>
      </c>
      <c r="CH59" s="675" t="s">
        <v>1216</v>
      </c>
      <c r="CI59" s="117"/>
      <c r="CJ59" s="117"/>
      <c r="CK59" s="117"/>
      <c r="CL59" s="117"/>
      <c r="CM59" s="710">
        <f>+IF(CN50=0,0,CN59/CN50)</f>
        <v>2.2499999999999998E-3</v>
      </c>
      <c r="CN59" s="233">
        <f>+SUM(CN53:CN57)</f>
        <v>55525.101346703632</v>
      </c>
      <c r="CO59" s="119"/>
      <c r="CS59" s="932">
        <f>SUM(CS53:CS58)</f>
        <v>2.1507806260483786E-3</v>
      </c>
      <c r="CV59" s="675" t="s">
        <v>1216</v>
      </c>
      <c r="CW59" s="117"/>
      <c r="CX59" s="117"/>
      <c r="CY59" s="117"/>
      <c r="CZ59" s="117"/>
      <c r="DA59" s="710">
        <f>+IF(DB50=0,0,DB59/DB50)</f>
        <v>2.2500000000000003E-3</v>
      </c>
      <c r="DB59" s="233">
        <f>+SUM(DB53:DB57)</f>
        <v>801075.52168039954</v>
      </c>
      <c r="DC59" s="119"/>
      <c r="DG59" s="932">
        <f>SUM(DG53:DG58)</f>
        <v>2.1536464081291363E-3</v>
      </c>
      <c r="DJ59" s="675" t="s">
        <v>1216</v>
      </c>
      <c r="DK59" s="117"/>
      <c r="DL59" s="117"/>
      <c r="DM59" s="117"/>
      <c r="DN59" s="117"/>
      <c r="DO59" s="710">
        <f>+IF(DP50=0,0,DP59/DP50)</f>
        <v>2.2499999999999998E-3</v>
      </c>
      <c r="DP59" s="233">
        <f>+SUM(DP53:DP57)</f>
        <v>62615.250347269786</v>
      </c>
      <c r="DQ59" s="119"/>
      <c r="DU59" s="932">
        <f>SUM(DU53:DU58)</f>
        <v>2.154061432716741E-3</v>
      </c>
      <c r="DX59" s="675" t="s">
        <v>1216</v>
      </c>
      <c r="DY59" s="117"/>
      <c r="DZ59" s="117"/>
      <c r="EA59" s="117"/>
      <c r="EB59" s="117"/>
      <c r="EC59" s="710">
        <f>+IF(ED50=0,0,ED59/ED50)</f>
        <v>2.2500000000000003E-3</v>
      </c>
      <c r="ED59" s="233">
        <f>+SUM(ED53:ED57)</f>
        <v>294491.11191016814</v>
      </c>
      <c r="EE59" s="119"/>
      <c r="EI59" s="932">
        <f>SUM(EI53:EI58)</f>
        <v>2.1524387150772171E-3</v>
      </c>
      <c r="EL59" s="675" t="s">
        <v>1216</v>
      </c>
      <c r="EM59" s="117"/>
      <c r="EN59" s="117"/>
      <c r="EO59" s="117"/>
      <c r="EP59" s="117"/>
      <c r="EQ59" s="710">
        <f>+IF(ER50=0,0,ER59/ER50)</f>
        <v>2.2500000000000003E-3</v>
      </c>
      <c r="ER59" s="233">
        <f>+SUM(ER53:ER57)</f>
        <v>500570.16360000329</v>
      </c>
      <c r="ES59" s="932" t="e">
        <f>SUM(ES53:ES58)</f>
        <v>#DIV/0!</v>
      </c>
      <c r="EW59" s="932">
        <f>SUM(EW53:EW58)</f>
        <v>2.1508294193439432E-3</v>
      </c>
      <c r="EZ59" s="675" t="s">
        <v>1216</v>
      </c>
      <c r="FA59" s="117"/>
      <c r="FB59" s="117"/>
      <c r="FC59" s="117"/>
      <c r="FD59" s="117"/>
      <c r="FE59" s="710">
        <f>+IF(FF50=0,0,FF59/FF50)</f>
        <v>0</v>
      </c>
      <c r="FF59" s="233">
        <f>+SUM(FF53:FF57)</f>
        <v>0</v>
      </c>
      <c r="FG59" s="119"/>
      <c r="FK59" s="932">
        <f>SUM(FK53:FK58)</f>
        <v>0</v>
      </c>
      <c r="FN59" s="675" t="s">
        <v>1216</v>
      </c>
      <c r="FO59" s="117"/>
      <c r="FP59" s="117"/>
      <c r="FQ59" s="117"/>
      <c r="FR59" s="117"/>
      <c r="FS59" s="710">
        <f>+IF(FT50=0,0,FT59/FT50)</f>
        <v>2.2500000000000003E-3</v>
      </c>
      <c r="FT59" s="233">
        <f>+SUM(FT53:FT57)</f>
        <v>686483.86562786228</v>
      </c>
      <c r="FU59" s="119"/>
      <c r="FY59" s="932">
        <f>SUM(FY53:FY58)</f>
        <v>2.1645888466762121E-3</v>
      </c>
      <c r="GB59" s="675" t="s">
        <v>1216</v>
      </c>
      <c r="GC59" s="117"/>
      <c r="GD59" s="117"/>
      <c r="GE59" s="117"/>
      <c r="GF59" s="117"/>
      <c r="GG59" s="710">
        <f>+IF(GH50=0,0,GH59/GH50)</f>
        <v>2.2500000000000007E-3</v>
      </c>
      <c r="GH59" s="233">
        <f>+SUM(GH53:GH57)</f>
        <v>324370.31873552612</v>
      </c>
      <c r="GI59" s="119"/>
      <c r="GM59" s="932">
        <f>SUM(GM53:GM58)</f>
        <v>2.1499978220171087E-3</v>
      </c>
      <c r="GP59" s="675" t="s">
        <v>1216</v>
      </c>
      <c r="GQ59" s="117"/>
      <c r="GR59" s="117"/>
      <c r="GS59" s="117"/>
      <c r="GT59" s="117"/>
      <c r="GU59" s="710">
        <f>+IF(GV50=0,0,GV59/GV50)</f>
        <v>0</v>
      </c>
      <c r="GV59" s="233">
        <f>+SUM(GV53:GV57)</f>
        <v>0</v>
      </c>
      <c r="GW59" s="119"/>
      <c r="HA59" s="932">
        <f>SUM(HA53:HA58)</f>
        <v>0</v>
      </c>
      <c r="HD59" s="675" t="s">
        <v>1216</v>
      </c>
      <c r="HE59" s="117"/>
      <c r="HF59" s="117"/>
      <c r="HG59" s="117"/>
      <c r="HH59" s="117"/>
      <c r="HI59" s="710">
        <f>+IF(HJ50=0,0,HJ59/HJ50)</f>
        <v>2.2500000000000003E-3</v>
      </c>
      <c r="HJ59" s="233">
        <f>+SUM(HJ53:HJ57)</f>
        <v>166856.72120000105</v>
      </c>
      <c r="HK59" s="119"/>
      <c r="HO59" s="932">
        <f>SUM(HO53:HO58)</f>
        <v>2.1508294193439432E-3</v>
      </c>
      <c r="HR59" s="675" t="s">
        <v>1216</v>
      </c>
      <c r="HS59" s="117"/>
      <c r="HT59" s="117"/>
      <c r="HU59" s="117"/>
      <c r="HV59" s="117"/>
      <c r="HW59" s="710">
        <f>+IF(HX50=0,0,HX59/HX50)</f>
        <v>2.2499999999999998E-3</v>
      </c>
      <c r="HX59" s="233">
        <f>+SUM(HX53:HX57)</f>
        <v>636506.50265680894</v>
      </c>
      <c r="HY59" s="932" t="e">
        <f>SUM(HY53:HY58)</f>
        <v>#DIV/0!</v>
      </c>
      <c r="IC59" s="932">
        <f>SUM(IC53:IC58)</f>
        <v>2.1519507264380192E-3</v>
      </c>
      <c r="IF59" s="675"/>
      <c r="IG59" s="117"/>
      <c r="IH59" s="117"/>
      <c r="II59" s="117"/>
      <c r="IJ59" s="117"/>
      <c r="IK59" s="710"/>
      <c r="IL59" s="233"/>
      <c r="IM59" s="119"/>
      <c r="IQ59" s="932"/>
      <c r="IT59" s="675"/>
      <c r="IU59" s="117"/>
      <c r="IV59" s="117"/>
      <c r="IW59" s="117"/>
      <c r="IX59" s="117"/>
      <c r="IY59" s="710"/>
      <c r="IZ59" s="233"/>
      <c r="JA59" s="119"/>
      <c r="JE59" s="932"/>
      <c r="JH59" s="675" t="s">
        <v>1216</v>
      </c>
      <c r="JI59" s="117"/>
      <c r="JJ59" s="117"/>
      <c r="JK59" s="117"/>
      <c r="JL59" s="117"/>
      <c r="JM59" s="710">
        <f>+IF(JN50=0,0,JN59/JN50)</f>
        <v>2.2499999999999998E-3</v>
      </c>
      <c r="JN59" s="233">
        <f>+SUM(JN53:JN57)</f>
        <v>922957.01604236721</v>
      </c>
      <c r="JO59" s="119"/>
      <c r="JS59" s="932">
        <f>SUM(JS53:JS58)</f>
        <v>2.1536078696855116E-3</v>
      </c>
      <c r="JV59" s="675" t="s">
        <v>1216</v>
      </c>
      <c r="JW59" s="117"/>
      <c r="JX59" s="117"/>
      <c r="JY59" s="117"/>
      <c r="JZ59" s="117"/>
      <c r="KA59" s="710">
        <f>+IF(KB50=0,0,KB59/KB50)</f>
        <v>2.2500000000000003E-3</v>
      </c>
      <c r="KB59" s="233">
        <f>+SUM(KB53:KB57)</f>
        <v>379531.69910125661</v>
      </c>
      <c r="KC59" s="119"/>
      <c r="KG59" s="932">
        <f>SUM(KG53:KG58)</f>
        <v>2.1522007546299475E-3</v>
      </c>
      <c r="KJ59" s="675" t="s">
        <v>1216</v>
      </c>
      <c r="KK59" s="117"/>
      <c r="KL59" s="117"/>
      <c r="KM59" s="117"/>
      <c r="KN59" s="117"/>
      <c r="KO59" s="710">
        <f>+IF(KP50=0,0,KP59/KP50)</f>
        <v>0</v>
      </c>
      <c r="KP59" s="233">
        <f>+SUM(KP53:KP57)</f>
        <v>0</v>
      </c>
      <c r="KQ59" s="119"/>
      <c r="KU59" s="932">
        <f>SUM(KU53:KU58)</f>
        <v>0</v>
      </c>
      <c r="KX59" s="675" t="s">
        <v>1216</v>
      </c>
      <c r="KY59" s="117"/>
      <c r="KZ59" s="117"/>
      <c r="LA59" s="117"/>
      <c r="LB59" s="117"/>
      <c r="LC59" s="710">
        <f>+IF(LD50=0,0,LD59/LD50)</f>
        <v>0</v>
      </c>
      <c r="LD59" s="233">
        <f>+SUM(LD53:LD57)</f>
        <v>0</v>
      </c>
      <c r="LE59" s="119"/>
      <c r="LI59" s="932">
        <f>SUM(LI53:LI58)</f>
        <v>0</v>
      </c>
      <c r="LL59" s="675" t="s">
        <v>1216</v>
      </c>
      <c r="LM59" s="117"/>
      <c r="LN59" s="117"/>
      <c r="LO59" s="117"/>
      <c r="LP59" s="117"/>
      <c r="LQ59" s="710">
        <f>+IF(LR50=0,0,LR59/LR50)</f>
        <v>0</v>
      </c>
      <c r="LR59" s="233">
        <f>+SUM(LR53:LR57)</f>
        <v>0</v>
      </c>
      <c r="LS59" s="119"/>
      <c r="LW59" s="932">
        <f>SUM(LW53:LW58)</f>
        <v>0</v>
      </c>
      <c r="LZ59" s="675" t="s">
        <v>1216</v>
      </c>
      <c r="MA59" s="117"/>
      <c r="MB59" s="117"/>
      <c r="MC59" s="117"/>
      <c r="MD59" s="117"/>
      <c r="ME59" s="710">
        <f>+IF(MF50=0,0,MF59/MF50)</f>
        <v>2.2499999999999994E-3</v>
      </c>
      <c r="MF59" s="233">
        <f>+SUM(MF53:MF57)</f>
        <v>265042.00071915123</v>
      </c>
      <c r="MG59" s="119"/>
      <c r="MK59" s="932">
        <f>SUM(MK53:MK58)</f>
        <v>2.1524387150772166E-3</v>
      </c>
      <c r="MN59" s="675" t="s">
        <v>1216</v>
      </c>
      <c r="MO59" s="117"/>
      <c r="MP59" s="117"/>
      <c r="MQ59" s="117"/>
      <c r="MR59" s="117"/>
      <c r="MS59" s="710">
        <f>+IF(MT50=0,0,MT59/MT50)</f>
        <v>2.2500000000000003E-3</v>
      </c>
      <c r="MT59" s="233">
        <f>+SUM(MT53:MT57)</f>
        <v>345074.1678668409</v>
      </c>
      <c r="MU59" s="119"/>
      <c r="MY59" s="932">
        <f>SUM(MY53:MY58)</f>
        <v>2.1517807154123581E-3</v>
      </c>
      <c r="NB59" s="675" t="s">
        <v>1216</v>
      </c>
      <c r="NC59" s="117"/>
      <c r="ND59" s="117"/>
      <c r="NE59" s="117"/>
      <c r="NF59" s="117"/>
      <c r="NG59" s="710">
        <f>+IF(NH50=0,0,NH59/NH50)</f>
        <v>2.2500000000000003E-3</v>
      </c>
      <c r="NH59" s="233">
        <f>+SUM(NH53:NH57)</f>
        <v>383038.88581302436</v>
      </c>
      <c r="NI59" s="119"/>
      <c r="NM59" s="932">
        <f>SUM(NM53:NM58)</f>
        <v>2.1503549795627392E-3</v>
      </c>
      <c r="NP59" s="675" t="s">
        <v>1216</v>
      </c>
      <c r="NQ59" s="117"/>
      <c r="NR59" s="117"/>
      <c r="NS59" s="117"/>
      <c r="NT59" s="117"/>
      <c r="NU59" s="710">
        <f>+IF(NV50=0,0,NV59/NV50)</f>
        <v>2.2500000000000003E-3</v>
      </c>
      <c r="NV59" s="233">
        <f>+SUM(NV53:NV57)</f>
        <v>900461.22031127498</v>
      </c>
      <c r="NW59" s="119"/>
      <c r="OA59" s="932">
        <f>SUM(OA53:OA58)</f>
        <v>2.1655397727556834E-3</v>
      </c>
      <c r="OD59" s="675" t="s">
        <v>1216</v>
      </c>
      <c r="OE59" s="117"/>
      <c r="OF59" s="117"/>
      <c r="OG59" s="117"/>
      <c r="OH59" s="117"/>
      <c r="OI59" s="710">
        <f>+IF(OJ50=0,0,OJ59/OJ50)</f>
        <v>2.2500000000000003E-3</v>
      </c>
      <c r="OJ59" s="233">
        <f>+SUM(OJ53:OJ57)</f>
        <v>163758.40494855327</v>
      </c>
      <c r="OK59" s="119"/>
      <c r="OO59" s="932">
        <f>SUM(OO53:OO58)</f>
        <v>2.1601325792421746E-3</v>
      </c>
      <c r="OR59" s="675" t="s">
        <v>1216</v>
      </c>
      <c r="OS59" s="117"/>
      <c r="OT59" s="117"/>
      <c r="OU59" s="117"/>
      <c r="OV59" s="117"/>
      <c r="OW59" s="710">
        <f>+IF(OX50=0,0,OX59/OX50)</f>
        <v>2.2500000000000003E-3</v>
      </c>
      <c r="OX59" s="233">
        <f>+SUM(OX53:OX57)</f>
        <v>647451.61333327414</v>
      </c>
      <c r="OY59" s="119"/>
      <c r="PC59" s="932">
        <f>SUM(PC53:PC58)</f>
        <v>2.1549082728772834E-3</v>
      </c>
      <c r="PF59" s="675" t="s">
        <v>1216</v>
      </c>
      <c r="PG59" s="117"/>
      <c r="PH59" s="117"/>
      <c r="PI59" s="117"/>
      <c r="PJ59" s="117"/>
      <c r="PK59" s="710">
        <f>+IF(PL50=0,0,PL59/PL50)</f>
        <v>0</v>
      </c>
      <c r="PL59" s="233">
        <f>+SUM(PL53:PL57)</f>
        <v>0</v>
      </c>
      <c r="PM59" s="119"/>
      <c r="PQ59" s="932">
        <f>SUM(PQ53:PQ58)</f>
        <v>0</v>
      </c>
      <c r="PT59" s="675" t="s">
        <v>1216</v>
      </c>
      <c r="PU59" s="117"/>
      <c r="PV59" s="117"/>
      <c r="PW59" s="117"/>
      <c r="PX59" s="117"/>
      <c r="PY59" s="710">
        <f>+IF(PZ50=0,0,PZ59/PZ50)</f>
        <v>0</v>
      </c>
      <c r="PZ59" s="233">
        <f>+SUM(PZ53:PZ57)</f>
        <v>0</v>
      </c>
      <c r="QA59" s="119"/>
      <c r="QE59" s="932">
        <f>SUM(QE53:QE58)</f>
        <v>0</v>
      </c>
      <c r="QH59" s="675" t="s">
        <v>1216</v>
      </c>
      <c r="QI59" s="117"/>
      <c r="QJ59" s="117"/>
      <c r="QK59" s="117"/>
      <c r="QL59" s="117"/>
      <c r="QM59" s="710">
        <f>+IF(QN50=0,0,QN59/QN50)</f>
        <v>0</v>
      </c>
      <c r="QN59" s="233">
        <f>+SUM(QN53:QN57)</f>
        <v>0</v>
      </c>
      <c r="QO59" s="119"/>
      <c r="QS59" s="932">
        <f>SUM(QS53:QS58)</f>
        <v>0</v>
      </c>
      <c r="QV59" s="675" t="s">
        <v>1216</v>
      </c>
      <c r="QW59" s="117"/>
      <c r="QX59" s="117"/>
      <c r="QY59" s="117"/>
      <c r="QZ59" s="117"/>
      <c r="RA59" s="710">
        <f>+IF(RB50=0,0,RB59/RB50)</f>
        <v>2.2500000000000003E-3</v>
      </c>
      <c r="RB59" s="233">
        <f>+SUM(RB53:RB57)</f>
        <v>675345.9152334563</v>
      </c>
      <c r="RC59" s="119"/>
      <c r="RG59" s="932">
        <f>SUM(RG53:RG58)</f>
        <v>2.1655397727556834E-3</v>
      </c>
      <c r="RJ59" s="675" t="s">
        <v>1216</v>
      </c>
      <c r="RK59" s="117"/>
      <c r="RL59" s="117"/>
      <c r="RM59" s="117"/>
      <c r="RN59" s="117"/>
      <c r="RO59" s="710">
        <f>+IF(RP50=0,0,RP59/RP50)</f>
        <v>2.2500000000000003E-3</v>
      </c>
      <c r="RP59" s="233">
        <f>+SUM(RP53:RP57)</f>
        <v>128102.11311611536</v>
      </c>
      <c r="RQ59" s="119"/>
      <c r="RU59" s="932">
        <f>SUM(RU53:RU58)</f>
        <v>2.167296763361123E-3</v>
      </c>
      <c r="RX59" s="675" t="s">
        <v>1216</v>
      </c>
      <c r="RY59" s="117"/>
      <c r="RZ59" s="117"/>
      <c r="SA59" s="117"/>
      <c r="SB59" s="117"/>
      <c r="SC59" s="710">
        <f>+IF(SD50=0,0,SD59/SD50)</f>
        <v>2.2499999999999994E-3</v>
      </c>
      <c r="SD59" s="233">
        <f>+SUM(SD53:SD57)</f>
        <v>393951.78388618276</v>
      </c>
      <c r="SE59" s="119"/>
      <c r="SI59" s="932">
        <f>SUM(SI53:SI58)</f>
        <v>2.1655397727556825E-3</v>
      </c>
      <c r="SL59" s="675" t="s">
        <v>1216</v>
      </c>
      <c r="SM59" s="117"/>
      <c r="SN59" s="117"/>
      <c r="SO59" s="117"/>
      <c r="SP59" s="117"/>
      <c r="SQ59" s="710">
        <f>+IF(SR50=0,0,SR59/SR50)</f>
        <v>0</v>
      </c>
      <c r="SR59" s="233">
        <f>+SUM(SR53:SR57)</f>
        <v>0</v>
      </c>
      <c r="SS59" s="119"/>
      <c r="SW59" s="932">
        <f>SUM(SW53:SW58)</f>
        <v>0</v>
      </c>
      <c r="SZ59" s="675" t="s">
        <v>1216</v>
      </c>
      <c r="TA59" s="117"/>
      <c r="TB59" s="117"/>
      <c r="TC59" s="117"/>
      <c r="TD59" s="117"/>
      <c r="TE59" s="710">
        <f>+IF(TF50=0,0,TF59/TF50)</f>
        <v>2.2500000000000003E-3</v>
      </c>
      <c r="TF59" s="233">
        <f>+SUM(TF53:TF57)</f>
        <v>10130459.375280391</v>
      </c>
      <c r="TG59" s="119"/>
      <c r="TK59" s="932">
        <f>SUM(TK53:TK58)</f>
        <v>2.1559380820522864E-3</v>
      </c>
      <c r="TM59" s="941">
        <f>+H59+AX59+BL59+BZ59+CN59+DB59+DP59+ED59+ER59+FF59+FT59+GH59+HJ59+HX59+JN59+KB59+KP59+LD59+LR59+MF59+MT59+NH59+NV59+OJ59+OX59+PL59+PZ59+QN59+RB59+RP59+SD59+SR59-TF59</f>
        <v>0</v>
      </c>
      <c r="TN59" s="726"/>
    </row>
    <row r="60" spans="2:534" ht="9" customHeight="1" thickBot="1">
      <c r="B60" s="326"/>
      <c r="C60" s="314"/>
      <c r="D60" s="314"/>
      <c r="E60" s="109"/>
      <c r="F60" s="109"/>
      <c r="G60" s="327"/>
      <c r="H60" s="328"/>
      <c r="P60" s="326"/>
      <c r="Q60" s="314"/>
      <c r="R60" s="314"/>
      <c r="S60" s="109"/>
      <c r="T60" s="109"/>
      <c r="U60" s="327"/>
      <c r="V60" s="328"/>
      <c r="AD60" s="326"/>
      <c r="AE60" s="314"/>
      <c r="AF60" s="314"/>
      <c r="AG60" s="109"/>
      <c r="AH60" s="109"/>
      <c r="AI60" s="327"/>
      <c r="AJ60" s="328"/>
      <c r="AR60" s="326"/>
      <c r="AS60" s="314"/>
      <c r="AT60" s="314"/>
      <c r="AU60" s="109"/>
      <c r="AV60" s="109"/>
      <c r="AW60" s="327"/>
      <c r="AX60" s="328"/>
      <c r="BF60" s="326"/>
      <c r="BG60" s="314"/>
      <c r="BH60" s="314"/>
      <c r="BI60" s="109"/>
      <c r="BJ60" s="109"/>
      <c r="BK60" s="327"/>
      <c r="BL60" s="328"/>
      <c r="BT60" s="326"/>
      <c r="BU60" s="314"/>
      <c r="BV60" s="314"/>
      <c r="BW60" s="109"/>
      <c r="BX60" s="109"/>
      <c r="BY60" s="327"/>
      <c r="BZ60" s="328"/>
      <c r="CH60" s="326"/>
      <c r="CI60" s="314"/>
      <c r="CJ60" s="314"/>
      <c r="CK60" s="109"/>
      <c r="CL60" s="109"/>
      <c r="CM60" s="327"/>
      <c r="CN60" s="328"/>
      <c r="CV60" s="326"/>
      <c r="CW60" s="314"/>
      <c r="CX60" s="314"/>
      <c r="CY60" s="109"/>
      <c r="CZ60" s="109"/>
      <c r="DA60" s="327"/>
      <c r="DB60" s="328"/>
      <c r="DJ60" s="326"/>
      <c r="DK60" s="314"/>
      <c r="DL60" s="314"/>
      <c r="DM60" s="109"/>
      <c r="DN60" s="109"/>
      <c r="DO60" s="327"/>
      <c r="DP60" s="328"/>
      <c r="DX60" s="326"/>
      <c r="DY60" s="314"/>
      <c r="DZ60" s="314"/>
      <c r="EA60" s="109"/>
      <c r="EB60" s="109"/>
      <c r="EC60" s="327"/>
      <c r="ED60" s="328"/>
      <c r="EL60" s="326"/>
      <c r="EM60" s="314"/>
      <c r="EN60" s="314"/>
      <c r="EO60" s="109"/>
      <c r="EP60" s="109"/>
      <c r="EQ60" s="327"/>
      <c r="ER60" s="328"/>
      <c r="ES60" s="667"/>
      <c r="EZ60" s="326"/>
      <c r="FA60" s="314"/>
      <c r="FB60" s="314"/>
      <c r="FC60" s="109"/>
      <c r="FD60" s="109"/>
      <c r="FE60" s="327"/>
      <c r="FF60" s="328"/>
      <c r="FN60" s="326"/>
      <c r="FO60" s="314"/>
      <c r="FP60" s="314"/>
      <c r="FQ60" s="109"/>
      <c r="FR60" s="109"/>
      <c r="FS60" s="327"/>
      <c r="FT60" s="328"/>
      <c r="GB60" s="326"/>
      <c r="GC60" s="314"/>
      <c r="GD60" s="314"/>
      <c r="GE60" s="109"/>
      <c r="GF60" s="109"/>
      <c r="GG60" s="327"/>
      <c r="GH60" s="328"/>
      <c r="GP60" s="326"/>
      <c r="GQ60" s="314"/>
      <c r="GR60" s="314"/>
      <c r="GS60" s="109"/>
      <c r="GT60" s="109"/>
      <c r="GU60" s="327"/>
      <c r="GV60" s="328"/>
      <c r="HD60" s="326"/>
      <c r="HE60" s="314"/>
      <c r="HF60" s="314"/>
      <c r="HG60" s="109"/>
      <c r="HH60" s="109"/>
      <c r="HI60" s="327"/>
      <c r="HJ60" s="328"/>
      <c r="HR60" s="326"/>
      <c r="HS60" s="314"/>
      <c r="HT60" s="314"/>
      <c r="HU60" s="109"/>
      <c r="HV60" s="109"/>
      <c r="HW60" s="327"/>
      <c r="HX60" s="328"/>
      <c r="HY60" s="667"/>
      <c r="IF60" s="326"/>
      <c r="IG60" s="314"/>
      <c r="IH60" s="314"/>
      <c r="II60" s="109"/>
      <c r="IJ60" s="109"/>
      <c r="IK60" s="327"/>
      <c r="IL60" s="328"/>
      <c r="IT60" s="326"/>
      <c r="IU60" s="314"/>
      <c r="IV60" s="314"/>
      <c r="IW60" s="109"/>
      <c r="IX60" s="109"/>
      <c r="IY60" s="327"/>
      <c r="IZ60" s="328"/>
      <c r="JH60" s="326"/>
      <c r="JI60" s="314"/>
      <c r="JJ60" s="314"/>
      <c r="JK60" s="109"/>
      <c r="JL60" s="109"/>
      <c r="JM60" s="327"/>
      <c r="JN60" s="328"/>
      <c r="JV60" s="326"/>
      <c r="JW60" s="314"/>
      <c r="JX60" s="314"/>
      <c r="JY60" s="109"/>
      <c r="JZ60" s="109"/>
      <c r="KA60" s="327"/>
      <c r="KB60" s="328"/>
      <c r="KJ60" s="326"/>
      <c r="KK60" s="314"/>
      <c r="KL60" s="314"/>
      <c r="KM60" s="109"/>
      <c r="KN60" s="109"/>
      <c r="KO60" s="327"/>
      <c r="KP60" s="328"/>
      <c r="KX60" s="326"/>
      <c r="KY60" s="314"/>
      <c r="KZ60" s="314"/>
      <c r="LA60" s="109"/>
      <c r="LB60" s="109"/>
      <c r="LC60" s="327"/>
      <c r="LD60" s="328"/>
      <c r="LL60" s="326"/>
      <c r="LM60" s="314"/>
      <c r="LN60" s="314"/>
      <c r="LO60" s="109"/>
      <c r="LP60" s="109"/>
      <c r="LQ60" s="327"/>
      <c r="LR60" s="328"/>
      <c r="LZ60" s="326"/>
      <c r="MA60" s="314"/>
      <c r="MB60" s="314"/>
      <c r="MC60" s="109"/>
      <c r="MD60" s="109"/>
      <c r="ME60" s="327"/>
      <c r="MF60" s="328"/>
      <c r="MN60" s="326"/>
      <c r="MO60" s="314"/>
      <c r="MP60" s="314"/>
      <c r="MQ60" s="109"/>
      <c r="MR60" s="109"/>
      <c r="MS60" s="327"/>
      <c r="MT60" s="328"/>
      <c r="NB60" s="326"/>
      <c r="NC60" s="314"/>
      <c r="ND60" s="314"/>
      <c r="NE60" s="109"/>
      <c r="NF60" s="109"/>
      <c r="NG60" s="327"/>
      <c r="NH60" s="328"/>
      <c r="NP60" s="326"/>
      <c r="NQ60" s="314"/>
      <c r="NR60" s="314"/>
      <c r="NS60" s="109"/>
      <c r="NT60" s="109"/>
      <c r="NU60" s="327"/>
      <c r="NV60" s="328"/>
      <c r="OD60" s="326"/>
      <c r="OE60" s="314"/>
      <c r="OF60" s="314"/>
      <c r="OG60" s="109"/>
      <c r="OH60" s="109"/>
      <c r="OI60" s="327"/>
      <c r="OJ60" s="328"/>
      <c r="OR60" s="326"/>
      <c r="OS60" s="314"/>
      <c r="OT60" s="314"/>
      <c r="OU60" s="109"/>
      <c r="OV60" s="109"/>
      <c r="OW60" s="327"/>
      <c r="OX60" s="328"/>
      <c r="PF60" s="326"/>
      <c r="PG60" s="314"/>
      <c r="PH60" s="314"/>
      <c r="PI60" s="109"/>
      <c r="PJ60" s="109"/>
      <c r="PK60" s="327"/>
      <c r="PL60" s="328"/>
      <c r="PT60" s="326"/>
      <c r="PU60" s="314"/>
      <c r="PV60" s="314"/>
      <c r="PW60" s="109"/>
      <c r="PX60" s="109"/>
      <c r="PY60" s="327"/>
      <c r="PZ60" s="328"/>
      <c r="QH60" s="326"/>
      <c r="QI60" s="314"/>
      <c r="QJ60" s="314"/>
      <c r="QK60" s="109"/>
      <c r="QL60" s="109"/>
      <c r="QM60" s="327"/>
      <c r="QN60" s="328"/>
      <c r="QV60" s="326"/>
      <c r="QW60" s="314"/>
      <c r="QX60" s="314"/>
      <c r="QY60" s="109"/>
      <c r="QZ60" s="109"/>
      <c r="RA60" s="327"/>
      <c r="RB60" s="328"/>
      <c r="RJ60" s="326"/>
      <c r="RK60" s="314"/>
      <c r="RL60" s="314"/>
      <c r="RM60" s="109"/>
      <c r="RN60" s="109"/>
      <c r="RO60" s="327"/>
      <c r="RP60" s="328"/>
      <c r="RX60" s="326"/>
      <c r="RY60" s="314"/>
      <c r="RZ60" s="314"/>
      <c r="SA60" s="109"/>
      <c r="SB60" s="109"/>
      <c r="SC60" s="327"/>
      <c r="SD60" s="328"/>
      <c r="SL60" s="326"/>
      <c r="SM60" s="314"/>
      <c r="SN60" s="314"/>
      <c r="SO60" s="109"/>
      <c r="SP60" s="109"/>
      <c r="SQ60" s="327"/>
      <c r="SR60" s="328"/>
      <c r="SZ60" s="326"/>
      <c r="TA60" s="314"/>
      <c r="TB60" s="314"/>
      <c r="TC60" s="109"/>
      <c r="TD60" s="109"/>
      <c r="TE60" s="327"/>
      <c r="TF60" s="735"/>
      <c r="TM60" s="937"/>
      <c r="TN60" s="725"/>
    </row>
    <row r="61" spans="2:534" ht="15.75" customHeight="1" thickBot="1">
      <c r="B61" s="1169" t="s">
        <v>1548</v>
      </c>
      <c r="C61" s="1170"/>
      <c r="D61" s="1170"/>
      <c r="E61" s="102"/>
      <c r="F61" s="103"/>
      <c r="G61" s="103"/>
      <c r="H61" s="262">
        <f>+H50+H59</f>
        <v>176444852.16133538</v>
      </c>
      <c r="I61" s="123"/>
      <c r="P61" s="1169"/>
      <c r="Q61" s="1170"/>
      <c r="R61" s="1170"/>
      <c r="S61" s="102"/>
      <c r="T61" s="103"/>
      <c r="U61" s="103"/>
      <c r="V61" s="262"/>
      <c r="W61" s="123"/>
      <c r="AD61" s="1169"/>
      <c r="AE61" s="1170"/>
      <c r="AF61" s="1170"/>
      <c r="AG61" s="102"/>
      <c r="AH61" s="103"/>
      <c r="AI61" s="103"/>
      <c r="AJ61" s="262"/>
      <c r="AK61" s="123"/>
      <c r="AR61" s="1169" t="s">
        <v>1548</v>
      </c>
      <c r="AS61" s="1170"/>
      <c r="AT61" s="1170"/>
      <c r="AU61" s="102"/>
      <c r="AV61" s="103"/>
      <c r="AW61" s="103"/>
      <c r="AX61" s="262">
        <f t="shared" ref="AX61" si="1008">+AX50+AX59</f>
        <v>0</v>
      </c>
      <c r="AY61" s="123"/>
      <c r="BF61" s="1169" t="s">
        <v>1548</v>
      </c>
      <c r="BG61" s="1170"/>
      <c r="BH61" s="1170"/>
      <c r="BI61" s="102"/>
      <c r="BJ61" s="103"/>
      <c r="BK61" s="103"/>
      <c r="BL61" s="262">
        <f t="shared" ref="BL61" si="1009">+BL50+BL59</f>
        <v>445952396.86053622</v>
      </c>
      <c r="BM61" s="123"/>
      <c r="BT61" s="1169" t="s">
        <v>1548</v>
      </c>
      <c r="BU61" s="1170"/>
      <c r="BV61" s="1170"/>
      <c r="BW61" s="102"/>
      <c r="BX61" s="103"/>
      <c r="BY61" s="103"/>
      <c r="BZ61" s="262">
        <f t="shared" ref="BZ61:ED61" si="1010">+BZ50+BZ59</f>
        <v>0</v>
      </c>
      <c r="CA61" s="123"/>
      <c r="CH61" s="1169" t="s">
        <v>1548</v>
      </c>
      <c r="CI61" s="1170"/>
      <c r="CJ61" s="1170"/>
      <c r="CK61" s="102"/>
      <c r="CL61" s="103"/>
      <c r="CM61" s="103"/>
      <c r="CN61" s="262">
        <f t="shared" si="1010"/>
        <v>24733347.922103874</v>
      </c>
      <c r="CO61" s="123"/>
      <c r="CV61" s="1169" t="s">
        <v>1548</v>
      </c>
      <c r="CW61" s="1170"/>
      <c r="CX61" s="1170"/>
      <c r="CY61" s="102"/>
      <c r="CZ61" s="103"/>
      <c r="DA61" s="103"/>
      <c r="DB61" s="262">
        <f t="shared" si="1010"/>
        <v>356834640.71296906</v>
      </c>
      <c r="DC61" s="123"/>
      <c r="DJ61" s="1169" t="s">
        <v>1548</v>
      </c>
      <c r="DK61" s="1170"/>
      <c r="DL61" s="1170"/>
      <c r="DM61" s="102"/>
      <c r="DN61" s="103"/>
      <c r="DO61" s="103"/>
      <c r="DP61" s="262">
        <f t="shared" si="1010"/>
        <v>27891615.404689401</v>
      </c>
      <c r="DQ61" s="123"/>
      <c r="DX61" s="1169" t="s">
        <v>1548</v>
      </c>
      <c r="DY61" s="1170"/>
      <c r="DZ61" s="1170"/>
      <c r="EA61" s="102"/>
      <c r="EB61" s="103"/>
      <c r="EC61" s="103"/>
      <c r="ED61" s="262">
        <f t="shared" si="1010"/>
        <v>131179429.73865154</v>
      </c>
      <c r="EE61" s="123"/>
      <c r="EL61" s="1169" t="s">
        <v>1548</v>
      </c>
      <c r="EM61" s="1170"/>
      <c r="EN61" s="1170"/>
      <c r="EO61" s="102"/>
      <c r="EP61" s="103"/>
      <c r="EQ61" s="103"/>
      <c r="ER61" s="262">
        <f t="shared" ref="ER61:GV61" si="1011">+ER50+ER59</f>
        <v>222976198.43026811</v>
      </c>
      <c r="ES61" s="667"/>
      <c r="EZ61" s="1169" t="s">
        <v>1548</v>
      </c>
      <c r="FA61" s="1170"/>
      <c r="FB61" s="1170"/>
      <c r="FC61" s="102"/>
      <c r="FD61" s="103"/>
      <c r="FE61" s="103"/>
      <c r="FF61" s="262">
        <f t="shared" si="1011"/>
        <v>0</v>
      </c>
      <c r="FG61" s="123"/>
      <c r="FN61" s="1169" t="s">
        <v>1548</v>
      </c>
      <c r="FO61" s="1170"/>
      <c r="FP61" s="1170"/>
      <c r="FQ61" s="102"/>
      <c r="FR61" s="103"/>
      <c r="FS61" s="103"/>
      <c r="FT61" s="262">
        <f t="shared" si="1011"/>
        <v>305790424.14467776</v>
      </c>
      <c r="FU61" s="123"/>
      <c r="GB61" s="1169" t="s">
        <v>1548</v>
      </c>
      <c r="GC61" s="1170"/>
      <c r="GD61" s="1170"/>
      <c r="GE61" s="102"/>
      <c r="GF61" s="103"/>
      <c r="GG61" s="103"/>
      <c r="GH61" s="262">
        <f t="shared" si="1011"/>
        <v>144488956.42341378</v>
      </c>
      <c r="GI61" s="123"/>
      <c r="GP61" s="1169" t="s">
        <v>1548</v>
      </c>
      <c r="GQ61" s="1170"/>
      <c r="GR61" s="1170"/>
      <c r="GS61" s="102"/>
      <c r="GT61" s="103"/>
      <c r="GU61" s="103"/>
      <c r="GV61" s="262">
        <f t="shared" si="1011"/>
        <v>0</v>
      </c>
      <c r="GW61" s="123"/>
      <c r="HD61" s="1169" t="s">
        <v>1548</v>
      </c>
      <c r="HE61" s="1170"/>
      <c r="HF61" s="1170"/>
      <c r="HG61" s="102"/>
      <c r="HH61" s="103"/>
      <c r="HI61" s="103"/>
      <c r="HJ61" s="262">
        <f t="shared" ref="HJ61:KB61" si="1012">+HJ50+HJ59</f>
        <v>74325399.476756021</v>
      </c>
      <c r="HK61" s="123"/>
      <c r="HR61" s="1169" t="s">
        <v>1548</v>
      </c>
      <c r="HS61" s="1170"/>
      <c r="HT61" s="1170"/>
      <c r="HU61" s="102"/>
      <c r="HV61" s="103"/>
      <c r="HW61" s="103"/>
      <c r="HX61" s="262">
        <f t="shared" si="1012"/>
        <v>283528285.46123856</v>
      </c>
      <c r="HY61" s="667"/>
      <c r="IF61" s="1169"/>
      <c r="IG61" s="1170"/>
      <c r="IH61" s="1170"/>
      <c r="II61" s="102"/>
      <c r="IJ61" s="103"/>
      <c r="IK61" s="103"/>
      <c r="IL61" s="262"/>
      <c r="IM61" s="123"/>
      <c r="IT61" s="1169"/>
      <c r="IU61" s="1170"/>
      <c r="IV61" s="1170"/>
      <c r="IW61" s="102"/>
      <c r="IX61" s="103"/>
      <c r="IY61" s="103"/>
      <c r="IZ61" s="262"/>
      <c r="JA61" s="123"/>
      <c r="JH61" s="1169" t="s">
        <v>1548</v>
      </c>
      <c r="JI61" s="1170"/>
      <c r="JJ61" s="1170"/>
      <c r="JK61" s="102"/>
      <c r="JL61" s="103"/>
      <c r="JM61" s="103"/>
      <c r="JN61" s="262">
        <f t="shared" ref="JN61" si="1013">+JN50+JN59</f>
        <v>411126075.25709444</v>
      </c>
      <c r="JO61" s="123"/>
      <c r="JV61" s="1169" t="s">
        <v>1548</v>
      </c>
      <c r="JW61" s="1170"/>
      <c r="JX61" s="1170"/>
      <c r="JY61" s="102"/>
      <c r="JZ61" s="103"/>
      <c r="KA61" s="103"/>
      <c r="KB61" s="262">
        <f t="shared" si="1012"/>
        <v>169060286.85521531</v>
      </c>
      <c r="KC61" s="123"/>
      <c r="KJ61" s="1169" t="s">
        <v>1548</v>
      </c>
      <c r="KK61" s="1170"/>
      <c r="KL61" s="1170"/>
      <c r="KM61" s="102"/>
      <c r="KN61" s="103"/>
      <c r="KO61" s="103"/>
      <c r="KP61" s="262">
        <f t="shared" ref="KP61:MT61" si="1014">+KP50+KP59</f>
        <v>0</v>
      </c>
      <c r="KQ61" s="123"/>
      <c r="KX61" s="1169" t="s">
        <v>1548</v>
      </c>
      <c r="KY61" s="1170"/>
      <c r="KZ61" s="1170"/>
      <c r="LA61" s="102"/>
      <c r="LB61" s="103"/>
      <c r="LC61" s="103"/>
      <c r="LD61" s="262">
        <f t="shared" si="1014"/>
        <v>0</v>
      </c>
      <c r="LE61" s="123"/>
      <c r="LL61" s="1169" t="s">
        <v>1548</v>
      </c>
      <c r="LM61" s="1170"/>
      <c r="LN61" s="1170"/>
      <c r="LO61" s="102"/>
      <c r="LP61" s="103"/>
      <c r="LQ61" s="103"/>
      <c r="LR61" s="262">
        <f t="shared" si="1014"/>
        <v>0</v>
      </c>
      <c r="LS61" s="123"/>
      <c r="LZ61" s="1169" t="s">
        <v>1548</v>
      </c>
      <c r="MA61" s="1170"/>
      <c r="MB61" s="1170"/>
      <c r="MC61" s="102"/>
      <c r="MD61" s="103"/>
      <c r="ME61" s="103"/>
      <c r="MF61" s="262">
        <f t="shared" si="1014"/>
        <v>118061486.76478638</v>
      </c>
      <c r="MG61" s="123"/>
      <c r="MN61" s="1169" t="s">
        <v>1548</v>
      </c>
      <c r="MO61" s="1170"/>
      <c r="MP61" s="1170"/>
      <c r="MQ61" s="102"/>
      <c r="MR61" s="103"/>
      <c r="MS61" s="103"/>
      <c r="MT61" s="262">
        <f t="shared" si="1014"/>
        <v>153711370.99757388</v>
      </c>
      <c r="MU61" s="123"/>
      <c r="NB61" s="1169" t="s">
        <v>1548</v>
      </c>
      <c r="NC61" s="1170"/>
      <c r="ND61" s="1170"/>
      <c r="NE61" s="102"/>
      <c r="NF61" s="103"/>
      <c r="NG61" s="103"/>
      <c r="NH61" s="262">
        <f t="shared" ref="NH61:PL61" si="1015">+NH50+NH59</f>
        <v>170622543.6916016</v>
      </c>
      <c r="NI61" s="123"/>
      <c r="NP61" s="1169" t="s">
        <v>1548</v>
      </c>
      <c r="NQ61" s="1170"/>
      <c r="NR61" s="1170"/>
      <c r="NS61" s="102"/>
      <c r="NT61" s="103"/>
      <c r="NU61" s="103"/>
      <c r="NV61" s="262">
        <f t="shared" si="1015"/>
        <v>401105448.02532238</v>
      </c>
      <c r="NW61" s="123"/>
      <c r="OD61" s="1169" t="s">
        <v>1548</v>
      </c>
      <c r="OE61" s="1170"/>
      <c r="OF61" s="1170"/>
      <c r="OG61" s="102"/>
      <c r="OH61" s="103"/>
      <c r="OI61" s="103"/>
      <c r="OJ61" s="262">
        <f t="shared" si="1015"/>
        <v>72945271.715416655</v>
      </c>
      <c r="OK61" s="123"/>
      <c r="OR61" s="1169" t="s">
        <v>1548</v>
      </c>
      <c r="OS61" s="1170"/>
      <c r="OT61" s="1170"/>
      <c r="OU61" s="102"/>
      <c r="OV61" s="103"/>
      <c r="OW61" s="103"/>
      <c r="OX61" s="262">
        <f t="shared" si="1015"/>
        <v>288403724.20589954</v>
      </c>
      <c r="OY61" s="123"/>
      <c r="PF61" s="1169" t="s">
        <v>1548</v>
      </c>
      <c r="PG61" s="1170"/>
      <c r="PH61" s="1170"/>
      <c r="PI61" s="102"/>
      <c r="PJ61" s="103"/>
      <c r="PK61" s="103"/>
      <c r="PL61" s="262">
        <f t="shared" si="1015"/>
        <v>0</v>
      </c>
      <c r="PM61" s="123"/>
      <c r="PT61" s="1169" t="s">
        <v>1548</v>
      </c>
      <c r="PU61" s="1170"/>
      <c r="PV61" s="1170"/>
      <c r="PW61" s="102"/>
      <c r="PX61" s="103"/>
      <c r="PY61" s="103"/>
      <c r="PZ61" s="262">
        <f t="shared" ref="PZ61:SD61" si="1016">+PZ50+PZ59</f>
        <v>0</v>
      </c>
      <c r="QA61" s="123"/>
      <c r="QH61" s="1169" t="s">
        <v>1548</v>
      </c>
      <c r="QI61" s="1170"/>
      <c r="QJ61" s="1170"/>
      <c r="QK61" s="102"/>
      <c r="QL61" s="103"/>
      <c r="QM61" s="103"/>
      <c r="QN61" s="262">
        <f t="shared" si="1016"/>
        <v>0</v>
      </c>
      <c r="QO61" s="123"/>
      <c r="QV61" s="1169" t="s">
        <v>1548</v>
      </c>
      <c r="QW61" s="1170"/>
      <c r="QX61" s="1170"/>
      <c r="QY61" s="102"/>
      <c r="QZ61" s="103"/>
      <c r="RA61" s="103"/>
      <c r="RB61" s="262">
        <f t="shared" si="1016"/>
        <v>300829086.01899177</v>
      </c>
      <c r="RC61" s="123"/>
      <c r="RJ61" s="1169" t="s">
        <v>1548</v>
      </c>
      <c r="RK61" s="1170"/>
      <c r="RL61" s="1170"/>
      <c r="RM61" s="102"/>
      <c r="RN61" s="103"/>
      <c r="RO61" s="103"/>
      <c r="RP61" s="262">
        <f t="shared" si="1016"/>
        <v>57062374.609167375</v>
      </c>
      <c r="RQ61" s="123"/>
      <c r="RX61" s="1169" t="s">
        <v>1548</v>
      </c>
      <c r="RY61" s="1170"/>
      <c r="RZ61" s="1170"/>
      <c r="SA61" s="102"/>
      <c r="SB61" s="103"/>
      <c r="SC61" s="103"/>
      <c r="SD61" s="262">
        <f t="shared" si="1016"/>
        <v>175483633.51107857</v>
      </c>
      <c r="SE61" s="123"/>
      <c r="SL61" s="1169" t="s">
        <v>1548</v>
      </c>
      <c r="SM61" s="1170"/>
      <c r="SN61" s="1170"/>
      <c r="SO61" s="102"/>
      <c r="SP61" s="103"/>
      <c r="SQ61" s="103"/>
      <c r="SR61" s="262">
        <f t="shared" ref="SR61" si="1017">+SR50+SR59</f>
        <v>0</v>
      </c>
      <c r="SS61" s="123"/>
      <c r="SZ61" s="1169" t="s">
        <v>1548</v>
      </c>
      <c r="TA61" s="1170"/>
      <c r="TB61" s="1170"/>
      <c r="TC61" s="102"/>
      <c r="TD61" s="103"/>
      <c r="TE61" s="103"/>
      <c r="TF61" s="686">
        <f t="shared" ref="TF61" si="1018">+TF50+TF59</f>
        <v>4512556848.3887873</v>
      </c>
      <c r="TG61" s="123"/>
      <c r="TM61" s="941">
        <f>+H61+AX61+BL61+BZ61+CN61+DB61+DP61+ED61+ER61+FF61+FT61+GH61+HJ61+HX61+JN61+KB61+KP61+LD61+LR61+MF61+MT61+NH61+NV61+OJ61+OX61+PL61+PZ61+QN61+RB61+RP61+SD61+SR61-TF61</f>
        <v>0</v>
      </c>
      <c r="TN61" s="726"/>
    </row>
    <row r="62" spans="2:534" ht="9" customHeight="1" thickBot="1">
      <c r="ES62" s="667"/>
      <c r="HY62" s="667"/>
      <c r="TF62" s="725"/>
      <c r="TM62" s="937"/>
      <c r="TN62" s="725"/>
    </row>
    <row r="63" spans="2:534" ht="15.75" customHeight="1" thickBot="1">
      <c r="B63" s="692" t="s">
        <v>1304</v>
      </c>
      <c r="C63" s="674"/>
      <c r="D63" s="674"/>
      <c r="E63" s="102"/>
      <c r="F63" s="103"/>
      <c r="G63" s="329">
        <f>+'Res de Costos Pais'!$G$126</f>
        <v>4.0000000000000001E-3</v>
      </c>
      <c r="H63" s="262">
        <f>+H61*G63</f>
        <v>705779.40864534152</v>
      </c>
      <c r="I63" s="123"/>
      <c r="M63" s="933">
        <f>+IF(H63=0,0,H63/H$72)</f>
        <v>3.8331807591171878E-3</v>
      </c>
      <c r="P63" s="648"/>
      <c r="Q63" s="674"/>
      <c r="R63" s="674"/>
      <c r="S63" s="102"/>
      <c r="T63" s="103"/>
      <c r="U63" s="329"/>
      <c r="V63" s="262"/>
      <c r="W63" s="123"/>
      <c r="AA63" s="933"/>
      <c r="AD63" s="687"/>
      <c r="AE63" s="674"/>
      <c r="AF63" s="674"/>
      <c r="AG63" s="102"/>
      <c r="AH63" s="103"/>
      <c r="AI63" s="329"/>
      <c r="AJ63" s="262"/>
      <c r="AK63" s="123"/>
      <c r="AO63" s="933"/>
      <c r="AR63" s="692" t="s">
        <v>1304</v>
      </c>
      <c r="AS63" s="674"/>
      <c r="AT63" s="674"/>
      <c r="AU63" s="102"/>
      <c r="AV63" s="103"/>
      <c r="AW63" s="329">
        <f>+'Res de Costos Pais'!$G$126</f>
        <v>4.0000000000000001E-3</v>
      </c>
      <c r="AX63" s="262">
        <f t="shared" ref="AX63" si="1019">+AX61*AW63</f>
        <v>0</v>
      </c>
      <c r="AY63" s="123"/>
      <c r="BC63" s="933">
        <f>+IF(AX63=0,0,AX63/AX$72)</f>
        <v>0</v>
      </c>
      <c r="BF63" s="692" t="s">
        <v>1304</v>
      </c>
      <c r="BG63" s="674"/>
      <c r="BH63" s="674"/>
      <c r="BI63" s="102"/>
      <c r="BJ63" s="103"/>
      <c r="BK63" s="329">
        <f>+'Res de Costos Pais'!$G$126</f>
        <v>4.0000000000000001E-3</v>
      </c>
      <c r="BL63" s="262">
        <f t="shared" ref="BL63" si="1020">+BL61*BK63</f>
        <v>1783809.587442145</v>
      </c>
      <c r="BM63" s="123"/>
      <c r="BQ63" s="933">
        <f>+IF(BL63=0,0,BL63/BL$72)</f>
        <v>3.8323000631777186E-3</v>
      </c>
      <c r="BT63" s="692" t="s">
        <v>1304</v>
      </c>
      <c r="BU63" s="674"/>
      <c r="BV63" s="674"/>
      <c r="BW63" s="102"/>
      <c r="BX63" s="103"/>
      <c r="BY63" s="329">
        <f>+'Res de Costos Pais'!$G$126</f>
        <v>4.0000000000000001E-3</v>
      </c>
      <c r="BZ63" s="262">
        <f t="shared" ref="BZ63" si="1021">+BZ61*BY63</f>
        <v>0</v>
      </c>
      <c r="CA63" s="123"/>
      <c r="CE63" s="933">
        <f>+IF(BZ63=0,0,BZ63/BZ$72)</f>
        <v>0</v>
      </c>
      <c r="CH63" s="692" t="s">
        <v>1304</v>
      </c>
      <c r="CI63" s="674"/>
      <c r="CJ63" s="674"/>
      <c r="CK63" s="102"/>
      <c r="CL63" s="103"/>
      <c r="CM63" s="329">
        <f>+'Res de Costos Pais'!$G$126</f>
        <v>4.0000000000000001E-3</v>
      </c>
      <c r="CN63" s="262">
        <f t="shared" ref="CN63" si="1022">+CN61*CM63</f>
        <v>98933.391688415504</v>
      </c>
      <c r="CO63" s="123"/>
      <c r="CS63" s="933">
        <f>+IF(CN63=0,0,CN63/CN$72)</f>
        <v>3.8322131243679778E-3</v>
      </c>
      <c r="CV63" s="692" t="s">
        <v>1304</v>
      </c>
      <c r="CW63" s="674"/>
      <c r="CX63" s="674"/>
      <c r="CY63" s="102"/>
      <c r="CZ63" s="103"/>
      <c r="DA63" s="329">
        <f>+'Res de Costos Pais'!$G$126</f>
        <v>4.0000000000000001E-3</v>
      </c>
      <c r="DB63" s="262">
        <f t="shared" ref="DB63" si="1023">+DB61*DA63</f>
        <v>1427338.5628518763</v>
      </c>
      <c r="DC63" s="123"/>
      <c r="DG63" s="933">
        <f>+IF(DB63=0,0,DB63/DB$72)</f>
        <v>3.8373193111954258E-3</v>
      </c>
      <c r="DJ63" s="692" t="s">
        <v>1304</v>
      </c>
      <c r="DK63" s="674"/>
      <c r="DL63" s="674"/>
      <c r="DM63" s="102"/>
      <c r="DN63" s="103"/>
      <c r="DO63" s="329">
        <f>+'Res de Costos Pais'!$G$126</f>
        <v>4.0000000000000001E-3</v>
      </c>
      <c r="DP63" s="262">
        <f t="shared" ref="DP63" si="1024">+DP61*DO63</f>
        <v>111566.4616187576</v>
      </c>
      <c r="DQ63" s="123"/>
      <c r="DU63" s="933">
        <f>+IF(DP63=0,0,DP63/DP$72)</f>
        <v>3.8380587927828512E-3</v>
      </c>
      <c r="DX63" s="692" t="s">
        <v>1304</v>
      </c>
      <c r="DY63" s="674"/>
      <c r="DZ63" s="674"/>
      <c r="EA63" s="102"/>
      <c r="EB63" s="103"/>
      <c r="EC63" s="329">
        <f>+'Res de Costos Pais'!$G$126</f>
        <v>4.0000000000000001E-3</v>
      </c>
      <c r="ED63" s="262">
        <f t="shared" ref="ED63" si="1025">+ED61*EC63</f>
        <v>524717.71895460621</v>
      </c>
      <c r="EE63" s="123"/>
      <c r="EI63" s="933">
        <f>+IF(ED63=0,0,ED63/ED$72)</f>
        <v>3.835167470553139E-3</v>
      </c>
      <c r="EL63" s="692" t="s">
        <v>1304</v>
      </c>
      <c r="EM63" s="674"/>
      <c r="EN63" s="674"/>
      <c r="EO63" s="102"/>
      <c r="EP63" s="103"/>
      <c r="EQ63" s="329">
        <f>+'Res de Costos Pais'!$G$126</f>
        <v>4.0000000000000001E-3</v>
      </c>
      <c r="ER63" s="262">
        <f t="shared" ref="ER63" si="1026">+ER61*EQ63</f>
        <v>891904.79372107249</v>
      </c>
      <c r="ES63" s="933">
        <f>+IF(EN63=0,0,EN63/EN$72)</f>
        <v>0</v>
      </c>
      <c r="EW63" s="933">
        <f>+IF(ER63=0,0,ER63/ER$72)</f>
        <v>3.8323000631777186E-3</v>
      </c>
      <c r="EZ63" s="692" t="s">
        <v>1304</v>
      </c>
      <c r="FA63" s="674"/>
      <c r="FB63" s="674"/>
      <c r="FC63" s="102"/>
      <c r="FD63" s="103"/>
      <c r="FE63" s="329">
        <f>+'Res de Costos Pais'!$G$126</f>
        <v>4.0000000000000001E-3</v>
      </c>
      <c r="FF63" s="262">
        <f t="shared" ref="FF63" si="1027">+FF61*FE63</f>
        <v>0</v>
      </c>
      <c r="FG63" s="123"/>
      <c r="FK63" s="933">
        <f>+IF(FF63=0,0,FF63/FF$72)</f>
        <v>0</v>
      </c>
      <c r="FN63" s="692" t="s">
        <v>1304</v>
      </c>
      <c r="FO63" s="674"/>
      <c r="FP63" s="674"/>
      <c r="FQ63" s="102"/>
      <c r="FR63" s="103"/>
      <c r="FS63" s="329">
        <f>+'Res de Costos Pais'!$G$126</f>
        <v>4.0000000000000001E-3</v>
      </c>
      <c r="FT63" s="262">
        <f t="shared" ref="FT63" si="1028">+FT61*FS63</f>
        <v>1223161.696578711</v>
      </c>
      <c r="FU63" s="123"/>
      <c r="FY63" s="933">
        <f>+IF(FT63=0,0,FT63/FT$72)</f>
        <v>3.8568163050333049E-3</v>
      </c>
      <c r="GB63" s="692" t="s">
        <v>1304</v>
      </c>
      <c r="GC63" s="674"/>
      <c r="GD63" s="674"/>
      <c r="GE63" s="102"/>
      <c r="GF63" s="103"/>
      <c r="GG63" s="329">
        <f>+'Res de Costos Pais'!$G$126</f>
        <v>4.0000000000000001E-3</v>
      </c>
      <c r="GH63" s="262">
        <f t="shared" ref="GH63" si="1029">+GH61*GG63</f>
        <v>577955.82569365518</v>
      </c>
      <c r="GI63" s="123"/>
      <c r="GM63" s="933">
        <f>+IF(GH63=0,0,GH63/GH$72)</f>
        <v>3.8308183415407065E-3</v>
      </c>
      <c r="GP63" s="692" t="s">
        <v>1304</v>
      </c>
      <c r="GQ63" s="674"/>
      <c r="GR63" s="674"/>
      <c r="GS63" s="102"/>
      <c r="GT63" s="103"/>
      <c r="GU63" s="329">
        <f>+'Res de Costos Pais'!$G$126</f>
        <v>4.0000000000000001E-3</v>
      </c>
      <c r="GV63" s="262">
        <f t="shared" ref="GV63" si="1030">+GV61*GU63</f>
        <v>0</v>
      </c>
      <c r="GW63" s="123"/>
      <c r="HA63" s="933">
        <f>+IF(GV63=0,0,GV63/GV$72)</f>
        <v>0</v>
      </c>
      <c r="HD63" s="692" t="s">
        <v>1304</v>
      </c>
      <c r="HE63" s="674"/>
      <c r="HF63" s="674"/>
      <c r="HG63" s="102"/>
      <c r="HH63" s="103"/>
      <c r="HI63" s="329">
        <f>+'Res de Costos Pais'!$G$126</f>
        <v>4.0000000000000001E-3</v>
      </c>
      <c r="HJ63" s="262">
        <f t="shared" ref="HJ63" si="1031">+HJ61*HI63</f>
        <v>297301.59790702409</v>
      </c>
      <c r="HK63" s="123"/>
      <c r="HO63" s="933">
        <f>+IF(HJ63=0,0,HJ63/HJ$72)</f>
        <v>3.8323000631777194E-3</v>
      </c>
      <c r="HR63" s="692" t="s">
        <v>1304</v>
      </c>
      <c r="HS63" s="674"/>
      <c r="HT63" s="674"/>
      <c r="HU63" s="102"/>
      <c r="HV63" s="103"/>
      <c r="HW63" s="329">
        <f>+'Res de Costos Pais'!$G$126</f>
        <v>4.0000000000000001E-3</v>
      </c>
      <c r="HX63" s="262">
        <f t="shared" ref="HX63" si="1032">+HX61*HW63</f>
        <v>1134113.1418449543</v>
      </c>
      <c r="HY63" s="933">
        <f t="shared" ref="HY63" si="1033">+IF(HT63=0,0,HT63/HT$70)</f>
        <v>0</v>
      </c>
      <c r="IC63" s="933">
        <f>+IF(HX63=0,0,HX63/HX$72)</f>
        <v>3.8342979832400085E-3</v>
      </c>
      <c r="IF63" s="692"/>
      <c r="IG63" s="674"/>
      <c r="IH63" s="674"/>
      <c r="II63" s="102"/>
      <c r="IJ63" s="103"/>
      <c r="IK63" s="329"/>
      <c r="IL63" s="262"/>
      <c r="IM63" s="123"/>
      <c r="IQ63" s="933"/>
      <c r="IT63" s="692"/>
      <c r="IU63" s="674"/>
      <c r="IV63" s="674"/>
      <c r="IW63" s="102"/>
      <c r="IX63" s="103"/>
      <c r="IY63" s="329"/>
      <c r="IZ63" s="262"/>
      <c r="JA63" s="123"/>
      <c r="JE63" s="933"/>
      <c r="JH63" s="692" t="s">
        <v>1304</v>
      </c>
      <c r="JI63" s="674"/>
      <c r="JJ63" s="674"/>
      <c r="JK63" s="102"/>
      <c r="JL63" s="103"/>
      <c r="JM63" s="329">
        <f>+'Res de Costos Pais'!$G$126</f>
        <v>4.0000000000000001E-3</v>
      </c>
      <c r="JN63" s="262">
        <f t="shared" ref="JN63" si="1034">+JN61*JM63</f>
        <v>1644504.3010283778</v>
      </c>
      <c r="JO63" s="123"/>
      <c r="JS63" s="933">
        <f>+IF(JN63=0,0,JN63/JN$72)</f>
        <v>3.8372506442529851E-3</v>
      </c>
      <c r="JV63" s="692" t="s">
        <v>1304</v>
      </c>
      <c r="JW63" s="674"/>
      <c r="JX63" s="674"/>
      <c r="JY63" s="102"/>
      <c r="JZ63" s="103"/>
      <c r="KA63" s="329">
        <f>+'Res de Costos Pais'!$G$126</f>
        <v>4.0000000000000001E-3</v>
      </c>
      <c r="KB63" s="262">
        <f t="shared" ref="KB63" si="1035">+KB61*KA63</f>
        <v>676241.14742086129</v>
      </c>
      <c r="KC63" s="123"/>
      <c r="KG63" s="933">
        <f>+IF(KB63=0,0,KB63/KB$72)</f>
        <v>3.8347434779162038E-3</v>
      </c>
      <c r="KJ63" s="692" t="s">
        <v>1304</v>
      </c>
      <c r="KK63" s="674"/>
      <c r="KL63" s="674"/>
      <c r="KM63" s="102"/>
      <c r="KN63" s="103"/>
      <c r="KO63" s="329">
        <f>+'Res de Costos Pais'!$G$126</f>
        <v>4.0000000000000001E-3</v>
      </c>
      <c r="KP63" s="262">
        <f t="shared" ref="KP63" si="1036">+KP61*KO63</f>
        <v>0</v>
      </c>
      <c r="KQ63" s="123"/>
      <c r="KU63" s="933">
        <f>+IF(KP63=0,0,KP63/KP$72)</f>
        <v>0</v>
      </c>
      <c r="KX63" s="692" t="s">
        <v>1304</v>
      </c>
      <c r="KY63" s="674"/>
      <c r="KZ63" s="674"/>
      <c r="LA63" s="102"/>
      <c r="LB63" s="103"/>
      <c r="LC63" s="329">
        <f>+'Res de Costos Pais'!$G$126</f>
        <v>4.0000000000000001E-3</v>
      </c>
      <c r="LD63" s="262">
        <f t="shared" ref="LD63" si="1037">+LD61*LC63</f>
        <v>0</v>
      </c>
      <c r="LE63" s="123"/>
      <c r="LI63" s="933">
        <f>+IF(LD63=0,0,LD63/LD$72)</f>
        <v>0</v>
      </c>
      <c r="LL63" s="692" t="s">
        <v>1304</v>
      </c>
      <c r="LM63" s="674"/>
      <c r="LN63" s="674"/>
      <c r="LO63" s="102"/>
      <c r="LP63" s="103"/>
      <c r="LQ63" s="329">
        <f>+'Res de Costos Pais'!$G$126</f>
        <v>4.0000000000000001E-3</v>
      </c>
      <c r="LR63" s="262">
        <f t="shared" ref="LR63" si="1038">+LR61*LQ63</f>
        <v>0</v>
      </c>
      <c r="LS63" s="123"/>
      <c r="LW63" s="933">
        <f>+IF(LR63=0,0,LR63/LR$72)</f>
        <v>0</v>
      </c>
      <c r="LZ63" s="692" t="s">
        <v>1304</v>
      </c>
      <c r="MA63" s="674"/>
      <c r="MB63" s="674"/>
      <c r="MC63" s="102"/>
      <c r="MD63" s="103"/>
      <c r="ME63" s="329">
        <f>+'Res de Costos Pais'!$G$126</f>
        <v>4.0000000000000001E-3</v>
      </c>
      <c r="MF63" s="262">
        <f t="shared" ref="MF63" si="1039">+MF61*ME63</f>
        <v>472245.94705914555</v>
      </c>
      <c r="MG63" s="123"/>
      <c r="MK63" s="933">
        <f>+IF(MF63=0,0,MF63/MF$72)</f>
        <v>3.835167470553139E-3</v>
      </c>
      <c r="MN63" s="692" t="s">
        <v>1304</v>
      </c>
      <c r="MO63" s="674"/>
      <c r="MP63" s="674"/>
      <c r="MQ63" s="102"/>
      <c r="MR63" s="103"/>
      <c r="MS63" s="329">
        <f>+'Res de Costos Pais'!$G$126</f>
        <v>4.0000000000000001E-3</v>
      </c>
      <c r="MT63" s="262">
        <f t="shared" ref="MT63" si="1040">+MT61*MS63</f>
        <v>614845.48399029556</v>
      </c>
      <c r="MU63" s="123"/>
      <c r="MY63" s="933">
        <f>+IF(MT63=0,0,MT63/MT$72)</f>
        <v>3.833995061372508E-3</v>
      </c>
      <c r="NB63" s="692" t="s">
        <v>1304</v>
      </c>
      <c r="NC63" s="674"/>
      <c r="ND63" s="674"/>
      <c r="NE63" s="102"/>
      <c r="NF63" s="103"/>
      <c r="NG63" s="329">
        <f>+'Res de Costos Pais'!$G$126</f>
        <v>4.0000000000000001E-3</v>
      </c>
      <c r="NH63" s="262">
        <f t="shared" ref="NH63" si="1041">+NH61*NG63</f>
        <v>682490.17476640642</v>
      </c>
      <c r="NI63" s="123"/>
      <c r="NM63" s="933">
        <f>+IF(NH63=0,0,NH63/NH$72)</f>
        <v>3.8314547169186761E-3</v>
      </c>
      <c r="NP63" s="692" t="s">
        <v>1304</v>
      </c>
      <c r="NQ63" s="674"/>
      <c r="NR63" s="674"/>
      <c r="NS63" s="102"/>
      <c r="NT63" s="103"/>
      <c r="NU63" s="329">
        <f>+'Res de Costos Pais'!$G$126</f>
        <v>4.0000000000000001E-3</v>
      </c>
      <c r="NV63" s="262">
        <f t="shared" ref="NV63" si="1042">+NV61*NU63</f>
        <v>1604421.7921012896</v>
      </c>
      <c r="NW63" s="123"/>
      <c r="OA63" s="933">
        <f>+IF(NV63=0,0,NV63/NV$72)</f>
        <v>3.8585106439900157E-3</v>
      </c>
      <c r="OD63" s="692" t="s">
        <v>1304</v>
      </c>
      <c r="OE63" s="674"/>
      <c r="OF63" s="674"/>
      <c r="OG63" s="102"/>
      <c r="OH63" s="103"/>
      <c r="OI63" s="329">
        <f>+'Res de Costos Pais'!$G$126</f>
        <v>4.0000000000000001E-3</v>
      </c>
      <c r="OJ63" s="262">
        <f t="shared" ref="OJ63" si="1043">+OJ61*OI63</f>
        <v>291781.08686166664</v>
      </c>
      <c r="OK63" s="123"/>
      <c r="OO63" s="933">
        <f>+IF(OJ63=0,0,OJ63/OJ$72)</f>
        <v>3.8488762267475008E-3</v>
      </c>
      <c r="OR63" s="692" t="s">
        <v>1304</v>
      </c>
      <c r="OS63" s="674"/>
      <c r="OT63" s="674"/>
      <c r="OU63" s="102"/>
      <c r="OV63" s="103"/>
      <c r="OW63" s="329">
        <f>+'Res de Costos Pais'!$G$126</f>
        <v>4.0000000000000001E-3</v>
      </c>
      <c r="OX63" s="262">
        <f t="shared" ref="OX63" si="1044">+OX61*OW63</f>
        <v>1153614.8968235981</v>
      </c>
      <c r="OY63" s="123"/>
      <c r="PC63" s="933">
        <f>+IF(OX63=0,0,OX63/OX$72)</f>
        <v>3.8395676737622351E-3</v>
      </c>
      <c r="PF63" s="692" t="s">
        <v>1304</v>
      </c>
      <c r="PG63" s="674"/>
      <c r="PH63" s="674"/>
      <c r="PI63" s="102"/>
      <c r="PJ63" s="103"/>
      <c r="PK63" s="329">
        <f>+'Res de Costos Pais'!$G$126</f>
        <v>4.0000000000000001E-3</v>
      </c>
      <c r="PL63" s="262">
        <f t="shared" ref="PL63" si="1045">+PL61*PK63</f>
        <v>0</v>
      </c>
      <c r="PM63" s="123"/>
      <c r="PQ63" s="933">
        <f>+IF(PL63=0,0,PL63/PL$72)</f>
        <v>0</v>
      </c>
      <c r="PT63" s="692" t="s">
        <v>1304</v>
      </c>
      <c r="PU63" s="674"/>
      <c r="PV63" s="674"/>
      <c r="PW63" s="102"/>
      <c r="PX63" s="103"/>
      <c r="PY63" s="329">
        <f>+'Res de Costos Pais'!$G$126</f>
        <v>4.0000000000000001E-3</v>
      </c>
      <c r="PZ63" s="262">
        <f t="shared" ref="PZ63" si="1046">+PZ61*PY63</f>
        <v>0</v>
      </c>
      <c r="QA63" s="123"/>
      <c r="QE63" s="933">
        <f>+IF(PZ63=0,0,PZ63/PZ$72)</f>
        <v>0</v>
      </c>
      <c r="QH63" s="692" t="s">
        <v>1304</v>
      </c>
      <c r="QI63" s="674"/>
      <c r="QJ63" s="674"/>
      <c r="QK63" s="102"/>
      <c r="QL63" s="103"/>
      <c r="QM63" s="329">
        <f>+'Res de Costos Pais'!$G$126</f>
        <v>4.0000000000000001E-3</v>
      </c>
      <c r="QN63" s="262">
        <f t="shared" ref="QN63" si="1047">+QN61*QM63</f>
        <v>0</v>
      </c>
      <c r="QO63" s="123"/>
      <c r="QS63" s="933">
        <f>+IF(QN63=0,0,QN63/QN$72)</f>
        <v>0</v>
      </c>
      <c r="QV63" s="692" t="s">
        <v>1304</v>
      </c>
      <c r="QW63" s="674"/>
      <c r="QX63" s="674"/>
      <c r="QY63" s="102"/>
      <c r="QZ63" s="103"/>
      <c r="RA63" s="329">
        <f>+'Res de Costos Pais'!$G$126</f>
        <v>4.0000000000000001E-3</v>
      </c>
      <c r="RB63" s="262">
        <f t="shared" ref="RB63" si="1048">+RB61*RA63</f>
        <v>1203316.3440759671</v>
      </c>
      <c r="RC63" s="123"/>
      <c r="RG63" s="933">
        <f>+IF(RB63=0,0,RB63/RB$72)</f>
        <v>3.8585106439900153E-3</v>
      </c>
      <c r="RJ63" s="692" t="s">
        <v>1304</v>
      </c>
      <c r="RK63" s="674"/>
      <c r="RL63" s="674"/>
      <c r="RM63" s="102"/>
      <c r="RN63" s="103"/>
      <c r="RO63" s="329">
        <f>+'Res de Costos Pais'!$G$126</f>
        <v>4.0000000000000001E-3</v>
      </c>
      <c r="RP63" s="262">
        <f t="shared" ref="RP63" si="1049">+RP61*RO63</f>
        <v>228249.4984366695</v>
      </c>
      <c r="RQ63" s="123"/>
      <c r="RU63" s="933">
        <f>+IF(RP63=0,0,RP63/RP$72)</f>
        <v>3.8616412108065518E-3</v>
      </c>
      <c r="RX63" s="692" t="s">
        <v>1304</v>
      </c>
      <c r="RY63" s="674"/>
      <c r="RZ63" s="674"/>
      <c r="SA63" s="102"/>
      <c r="SB63" s="103"/>
      <c r="SC63" s="329">
        <f>+'Res de Costos Pais'!$G$126</f>
        <v>4.0000000000000001E-3</v>
      </c>
      <c r="SD63" s="262">
        <f t="shared" ref="SD63" si="1050">+SD61*SC63</f>
        <v>701934.53404431429</v>
      </c>
      <c r="SE63" s="123"/>
      <c r="SI63" s="933">
        <f>+IF(SD63=0,0,SD63/SD$72)</f>
        <v>3.8585106439900149E-3</v>
      </c>
      <c r="SL63" s="692" t="s">
        <v>1304</v>
      </c>
      <c r="SM63" s="674"/>
      <c r="SN63" s="674"/>
      <c r="SO63" s="102"/>
      <c r="SP63" s="103"/>
      <c r="SQ63" s="329">
        <f>+'Res de Costos Pais'!$G$126</f>
        <v>4.0000000000000001E-3</v>
      </c>
      <c r="SR63" s="262">
        <f t="shared" ref="SR63" si="1051">+SR61*SQ63</f>
        <v>0</v>
      </c>
      <c r="SS63" s="123"/>
      <c r="SW63" s="933">
        <f>+IF(SR63=0,0,SR63/SR$72)</f>
        <v>0</v>
      </c>
      <c r="SZ63" s="648" t="s">
        <v>1304</v>
      </c>
      <c r="TA63" s="674"/>
      <c r="TB63" s="674"/>
      <c r="TC63" s="102"/>
      <c r="TD63" s="103"/>
      <c r="TE63" s="329">
        <f>+'Res de Costos Pais'!$G$126</f>
        <v>4.0000000000000001E-3</v>
      </c>
      <c r="TF63" s="686">
        <f t="shared" ref="TF63" si="1052">+TF61*TE63</f>
        <v>18050227.393555149</v>
      </c>
      <c r="TG63" s="123"/>
      <c r="TK63" s="933">
        <f>+IF(TF63=0,0,TF63/TF$72)</f>
        <v>3.8414025648656068E-3</v>
      </c>
      <c r="TM63" s="939"/>
      <c r="TN63" s="726"/>
    </row>
    <row r="64" spans="2:534" ht="9" customHeight="1" thickBot="1">
      <c r="ES64" s="667"/>
      <c r="HY64" s="667"/>
      <c r="TF64" s="725"/>
      <c r="TM64" s="937"/>
      <c r="TN64" s="725"/>
    </row>
    <row r="65" spans="1:534" ht="15.75" customHeight="1" thickBot="1">
      <c r="B65" s="1191" t="s">
        <v>1643</v>
      </c>
      <c r="C65" s="1192"/>
      <c r="D65" s="1192"/>
      <c r="E65" s="1192"/>
      <c r="F65" s="1192"/>
      <c r="G65" s="1193"/>
      <c r="H65" s="948">
        <f>+H61+H63</f>
        <v>177150631.56998071</v>
      </c>
      <c r="I65" s="123"/>
      <c r="M65" s="933">
        <f>+M63+M59+M48+M41+M35+M26+M21</f>
        <v>0.96212837053841405</v>
      </c>
      <c r="P65" s="1169"/>
      <c r="Q65" s="1170"/>
      <c r="R65" s="1170"/>
      <c r="S65" s="102"/>
      <c r="T65" s="103"/>
      <c r="U65" s="329"/>
      <c r="V65" s="262"/>
      <c r="W65" s="123"/>
      <c r="AA65" s="933"/>
      <c r="AD65" s="1169"/>
      <c r="AE65" s="1170"/>
      <c r="AF65" s="1170"/>
      <c r="AG65" s="102"/>
      <c r="AH65" s="103"/>
      <c r="AI65" s="329"/>
      <c r="AJ65" s="262"/>
      <c r="AK65" s="123"/>
      <c r="AO65" s="933"/>
      <c r="AR65" s="1191" t="s">
        <v>1643</v>
      </c>
      <c r="AS65" s="1192"/>
      <c r="AT65" s="1192"/>
      <c r="AU65" s="1192"/>
      <c r="AV65" s="1192"/>
      <c r="AW65" s="1193"/>
      <c r="AX65" s="948">
        <f>+AX61+AX63</f>
        <v>0</v>
      </c>
      <c r="AY65" s="123"/>
      <c r="BC65" s="933">
        <f>+BC63+BC59+BC48+BC41+BC35+BC26+BC21</f>
        <v>0</v>
      </c>
      <c r="BF65" s="1191" t="s">
        <v>1643</v>
      </c>
      <c r="BG65" s="1192"/>
      <c r="BH65" s="1192"/>
      <c r="BI65" s="1192"/>
      <c r="BJ65" s="1192"/>
      <c r="BK65" s="1193"/>
      <c r="BL65" s="948">
        <f>+BL61+BL63</f>
        <v>447736206.44797838</v>
      </c>
      <c r="BM65" s="123"/>
      <c r="BQ65" s="933">
        <f>+BQ63+BQ59+BQ48+BQ41+BQ35+BQ26+BQ21</f>
        <v>0.96190731585760725</v>
      </c>
      <c r="BT65" s="1191" t="s">
        <v>1643</v>
      </c>
      <c r="BU65" s="1192"/>
      <c r="BV65" s="1192"/>
      <c r="BW65" s="1192"/>
      <c r="BX65" s="1192"/>
      <c r="BY65" s="1193"/>
      <c r="BZ65" s="948">
        <f>+BZ61+BZ63</f>
        <v>0</v>
      </c>
      <c r="CA65" s="123"/>
      <c r="CE65" s="933">
        <f>+CE63+CE59+CE48+CE41+CE35+CE26+CE21</f>
        <v>0</v>
      </c>
      <c r="CH65" s="1191" t="s">
        <v>1643</v>
      </c>
      <c r="CI65" s="1192"/>
      <c r="CJ65" s="1192"/>
      <c r="CK65" s="1192"/>
      <c r="CL65" s="1192"/>
      <c r="CM65" s="1193"/>
      <c r="CN65" s="948">
        <f>+CN61+CN63</f>
        <v>24832281.313792288</v>
      </c>
      <c r="CO65" s="123"/>
      <c r="CS65" s="933">
        <f>+CS63+CS59+CS48+CS41+CS35+CS26+CS21</f>
        <v>0.96188549421636227</v>
      </c>
      <c r="CV65" s="1191" t="s">
        <v>1643</v>
      </c>
      <c r="CW65" s="1192"/>
      <c r="CX65" s="1192"/>
      <c r="CY65" s="1192"/>
      <c r="CZ65" s="1192"/>
      <c r="DA65" s="1193"/>
      <c r="DB65" s="948">
        <f>+DB61+DB63</f>
        <v>358261979.27582097</v>
      </c>
      <c r="DC65" s="123"/>
      <c r="DG65" s="933">
        <f>+DG63+DG59+DG48+DG41+DG35+DG26+DG21</f>
        <v>0.96316714711005158</v>
      </c>
      <c r="DJ65" s="1191" t="s">
        <v>1643</v>
      </c>
      <c r="DK65" s="1192"/>
      <c r="DL65" s="1192"/>
      <c r="DM65" s="1192"/>
      <c r="DN65" s="1192"/>
      <c r="DO65" s="1193"/>
      <c r="DP65" s="948">
        <f>+DP61+DP63</f>
        <v>28003181.86630816</v>
      </c>
      <c r="DQ65" s="123"/>
      <c r="DU65" s="933">
        <f>+DU63+DU59+DU48+DU41+DU35+DU26+DU21</f>
        <v>0.96335275698849565</v>
      </c>
      <c r="DX65" s="1191" t="s">
        <v>1643</v>
      </c>
      <c r="DY65" s="1192"/>
      <c r="DZ65" s="1192"/>
      <c r="EA65" s="1192"/>
      <c r="EB65" s="1192"/>
      <c r="EC65" s="1193"/>
      <c r="ED65" s="948">
        <f>+ED61+ED63</f>
        <v>131704147.45760615</v>
      </c>
      <c r="EE65" s="123"/>
      <c r="EI65" s="933">
        <f>+EI63+EI59+EI48+EI41+EI35+EI26+EI21</f>
        <v>0.96262703510883774</v>
      </c>
      <c r="EL65" s="1191" t="s">
        <v>1643</v>
      </c>
      <c r="EM65" s="1192"/>
      <c r="EN65" s="1192"/>
      <c r="EO65" s="1192"/>
      <c r="EP65" s="1192"/>
      <c r="EQ65" s="1193"/>
      <c r="ER65" s="948">
        <f>+ER61+ER63</f>
        <v>223868103.22398919</v>
      </c>
      <c r="ES65" s="933" t="e">
        <f>+ES63+ES59+ES48+ES41+ES35+ES26+ES21</f>
        <v>#DIV/0!</v>
      </c>
      <c r="EW65" s="933">
        <f>+EW63+EW59+EW48+EW41+EW35+EW26+EW21</f>
        <v>0.96190731585760725</v>
      </c>
      <c r="EZ65" s="1191" t="s">
        <v>1643</v>
      </c>
      <c r="FA65" s="1192"/>
      <c r="FB65" s="1192"/>
      <c r="FC65" s="1192"/>
      <c r="FD65" s="1192"/>
      <c r="FE65" s="1193"/>
      <c r="FF65" s="948">
        <f>+FF61+FF63</f>
        <v>0</v>
      </c>
      <c r="FG65" s="123"/>
      <c r="FK65" s="933">
        <f>+FK63+FK59+FK48+FK41+FK35+FK26+FK21</f>
        <v>0</v>
      </c>
      <c r="FN65" s="1191" t="s">
        <v>1643</v>
      </c>
      <c r="FO65" s="1192"/>
      <c r="FP65" s="1192"/>
      <c r="FQ65" s="1192"/>
      <c r="FR65" s="1192"/>
      <c r="FS65" s="1193"/>
      <c r="FT65" s="948">
        <f>+FT61+FT63</f>
        <v>307013585.84125644</v>
      </c>
      <c r="FU65" s="123"/>
      <c r="FY65" s="933">
        <f>+FY63+FY59+FY48+FY41+FY35+FY26+FY21</f>
        <v>0.96806089256335914</v>
      </c>
      <c r="GB65" s="1191" t="s">
        <v>1643</v>
      </c>
      <c r="GC65" s="1192"/>
      <c r="GD65" s="1192"/>
      <c r="GE65" s="1192"/>
      <c r="GF65" s="1192"/>
      <c r="GG65" s="1193"/>
      <c r="GH65" s="948">
        <f>+GH61+GH63</f>
        <v>145066912.24910745</v>
      </c>
      <c r="GI65" s="123"/>
      <c r="GM65" s="933">
        <f>+GM63+GM59+GM48+GM41+GM35+GM26+GM21</f>
        <v>0.96153540372671731</v>
      </c>
      <c r="GP65" s="1191" t="s">
        <v>1643</v>
      </c>
      <c r="GQ65" s="1192"/>
      <c r="GR65" s="1192"/>
      <c r="GS65" s="1192"/>
      <c r="GT65" s="1192"/>
      <c r="GU65" s="1193"/>
      <c r="GV65" s="948">
        <f>+GV61+GV63</f>
        <v>0</v>
      </c>
      <c r="GW65" s="123"/>
      <c r="HA65" s="933">
        <f>+HA63+HA59+HA48+HA41+HA35+HA26+HA21</f>
        <v>0</v>
      </c>
      <c r="HD65" s="1191" t="s">
        <v>1643</v>
      </c>
      <c r="HE65" s="1192"/>
      <c r="HF65" s="1192"/>
      <c r="HG65" s="1192"/>
      <c r="HH65" s="1192"/>
      <c r="HI65" s="1193"/>
      <c r="HJ65" s="948">
        <f>+HJ61+HJ63</f>
        <v>74622701.074663043</v>
      </c>
      <c r="HK65" s="123"/>
      <c r="HO65" s="933">
        <f>+HO63+HO59+HO48+HO41+HO35+HO26+HO21</f>
        <v>0.96190731585760747</v>
      </c>
      <c r="HR65" s="1191" t="s">
        <v>1643</v>
      </c>
      <c r="HS65" s="1192"/>
      <c r="HT65" s="1192"/>
      <c r="HU65" s="1192"/>
      <c r="HV65" s="1192"/>
      <c r="HW65" s="1193"/>
      <c r="HX65" s="948">
        <f>+HX61+HX63</f>
        <v>284662398.60308349</v>
      </c>
      <c r="HY65" s="933" t="e">
        <f>+HY21+HY26+HY35+HY41+HY48+HY59+HY63</f>
        <v>#DIV/0!</v>
      </c>
      <c r="IC65" s="933">
        <f>+IC63+IC59+IC48+IC41+IC35+IC26+IC21</f>
        <v>0.96240879379324185</v>
      </c>
      <c r="IF65" s="1169"/>
      <c r="IG65" s="1170"/>
      <c r="IH65" s="1170"/>
      <c r="II65" s="102"/>
      <c r="IJ65" s="103"/>
      <c r="IK65" s="329"/>
      <c r="IL65" s="262"/>
      <c r="IM65" s="123"/>
      <c r="IQ65" s="933"/>
      <c r="IT65" s="1169"/>
      <c r="IU65" s="1170"/>
      <c r="IV65" s="1170"/>
      <c r="IW65" s="102"/>
      <c r="IX65" s="103"/>
      <c r="IY65" s="329"/>
      <c r="IZ65" s="262"/>
      <c r="JA65" s="123"/>
      <c r="JE65" s="933"/>
      <c r="JH65" s="1191" t="s">
        <v>1643</v>
      </c>
      <c r="JI65" s="1192"/>
      <c r="JJ65" s="1192"/>
      <c r="JK65" s="1192"/>
      <c r="JL65" s="1192"/>
      <c r="JM65" s="1193"/>
      <c r="JN65" s="948">
        <f>+JN61+JN63</f>
        <v>412770579.55812281</v>
      </c>
      <c r="JO65" s="123"/>
      <c r="JS65" s="933">
        <f>+JS63+JS59+JS48+JS41+JS35+JS26+JS21</f>
        <v>0.96314991170749908</v>
      </c>
      <c r="JV65" s="1191" t="s">
        <v>1643</v>
      </c>
      <c r="JW65" s="1192"/>
      <c r="JX65" s="1192"/>
      <c r="JY65" s="1192"/>
      <c r="JZ65" s="1192"/>
      <c r="KA65" s="1193"/>
      <c r="KB65" s="948">
        <f>+KB61+KB63</f>
        <v>169736528.00263616</v>
      </c>
      <c r="KC65" s="123"/>
      <c r="KG65" s="933">
        <f>+KG63+KG59+KG48+KG41+KG35+KG26+KG21</f>
        <v>0.962520612956967</v>
      </c>
      <c r="KJ65" s="1191" t="s">
        <v>1643</v>
      </c>
      <c r="KK65" s="1192"/>
      <c r="KL65" s="1192"/>
      <c r="KM65" s="1192"/>
      <c r="KN65" s="1192"/>
      <c r="KO65" s="1193"/>
      <c r="KP65" s="948">
        <f>+KP61+KP63</f>
        <v>0</v>
      </c>
      <c r="KQ65" s="123"/>
      <c r="KU65" s="933">
        <f>+KU63+KU59+KU48+KU41+KU35+KU26+KU21</f>
        <v>0</v>
      </c>
      <c r="KX65" s="1191" t="s">
        <v>1643</v>
      </c>
      <c r="KY65" s="1192"/>
      <c r="KZ65" s="1192"/>
      <c r="LA65" s="1192"/>
      <c r="LB65" s="1192"/>
      <c r="LC65" s="1193"/>
      <c r="LD65" s="948">
        <f>+LD61+LD63</f>
        <v>0</v>
      </c>
      <c r="LE65" s="123"/>
      <c r="LI65" s="933">
        <f>+LI63+LI59+LI48+LI41+LI35+LI26+LI21</f>
        <v>0</v>
      </c>
      <c r="LL65" s="1191" t="s">
        <v>1643</v>
      </c>
      <c r="LM65" s="1192"/>
      <c r="LN65" s="1192"/>
      <c r="LO65" s="1192"/>
      <c r="LP65" s="1192"/>
      <c r="LQ65" s="1193"/>
      <c r="LR65" s="948">
        <f>+LR61+LR63</f>
        <v>0</v>
      </c>
      <c r="LS65" s="123"/>
      <c r="LW65" s="933">
        <f>+LW63+LW59+LW48+LW41+LW35+LW26+LW21</f>
        <v>0</v>
      </c>
      <c r="LZ65" s="1191" t="s">
        <v>1643</v>
      </c>
      <c r="MA65" s="1192"/>
      <c r="MB65" s="1192"/>
      <c r="MC65" s="1192"/>
      <c r="MD65" s="1192"/>
      <c r="ME65" s="1193"/>
      <c r="MF65" s="948">
        <f>+MF61+MF63</f>
        <v>118533732.71184552</v>
      </c>
      <c r="MG65" s="123"/>
      <c r="MK65" s="933">
        <f>+MK63+MK59+MK48+MK41+MK35+MK26+MK21</f>
        <v>0.96262703510883774</v>
      </c>
      <c r="MN65" s="1191" t="s">
        <v>1643</v>
      </c>
      <c r="MO65" s="1192"/>
      <c r="MP65" s="1192"/>
      <c r="MQ65" s="1192"/>
      <c r="MR65" s="1192"/>
      <c r="MS65" s="1193"/>
      <c r="MT65" s="948">
        <f>+MT61+MT63</f>
        <v>154326216.48156416</v>
      </c>
      <c r="MU65" s="123"/>
      <c r="MY65" s="933">
        <f>+MY63+MY59+MY48+MY41+MY35+MY26+MY21</f>
        <v>0.96233276040449978</v>
      </c>
      <c r="NB65" s="1191" t="s">
        <v>1643</v>
      </c>
      <c r="NC65" s="1192"/>
      <c r="ND65" s="1192"/>
      <c r="NE65" s="1192"/>
      <c r="NF65" s="1192"/>
      <c r="NG65" s="1193"/>
      <c r="NH65" s="948">
        <f>+NH61+NH63</f>
        <v>171305033.866368</v>
      </c>
      <c r="NI65" s="123"/>
      <c r="NM65" s="933">
        <f>+NM63+NM59+NM48+NM41+NM35+NM26+NM21</f>
        <v>0.9616951339465879</v>
      </c>
      <c r="NP65" s="1191" t="s">
        <v>1643</v>
      </c>
      <c r="NQ65" s="1192"/>
      <c r="NR65" s="1192"/>
      <c r="NS65" s="1192"/>
      <c r="NT65" s="1192"/>
      <c r="NU65" s="1193"/>
      <c r="NV65" s="948">
        <f>+NV61+NV63</f>
        <v>402709869.81742364</v>
      </c>
      <c r="NW65" s="123"/>
      <c r="OA65" s="933">
        <f>+OA63+OA59+OA48+OA41+OA35+OA26+OA21</f>
        <v>0.96848617164149398</v>
      </c>
      <c r="OD65" s="1191" t="s">
        <v>1643</v>
      </c>
      <c r="OE65" s="1192"/>
      <c r="OF65" s="1192"/>
      <c r="OG65" s="1192"/>
      <c r="OH65" s="1192"/>
      <c r="OI65" s="1193"/>
      <c r="OJ65" s="948">
        <f>+OJ61+OJ63</f>
        <v>73237052.802278325</v>
      </c>
      <c r="OK65" s="123"/>
      <c r="OO65" s="933">
        <f>+OO63+OO59+OO48+OO41+OO35+OO26+OO21</f>
        <v>0.9660679329136227</v>
      </c>
      <c r="OR65" s="1191" t="s">
        <v>1643</v>
      </c>
      <c r="OS65" s="1192"/>
      <c r="OT65" s="1192"/>
      <c r="OU65" s="1192"/>
      <c r="OV65" s="1192"/>
      <c r="OW65" s="1193"/>
      <c r="OX65" s="948">
        <f>+OX61+OX63</f>
        <v>289557339.10272312</v>
      </c>
      <c r="OY65" s="123"/>
      <c r="PC65" s="933">
        <f>+PC63+PC59+PC48+PC41+PC35+PC26+PC21</f>
        <v>0.96373148611432102</v>
      </c>
      <c r="PF65" s="1191" t="s">
        <v>1643</v>
      </c>
      <c r="PG65" s="1192"/>
      <c r="PH65" s="1192"/>
      <c r="PI65" s="1192"/>
      <c r="PJ65" s="1192"/>
      <c r="PK65" s="1193"/>
      <c r="PL65" s="948">
        <f>+PL61+PL63</f>
        <v>0</v>
      </c>
      <c r="PM65" s="123"/>
      <c r="PQ65" s="933">
        <f>+PQ63+PQ59+PQ48+PQ41+PQ35+PQ26+PQ21</f>
        <v>0</v>
      </c>
      <c r="PT65" s="1191" t="s">
        <v>1643</v>
      </c>
      <c r="PU65" s="1192"/>
      <c r="PV65" s="1192"/>
      <c r="PW65" s="1192"/>
      <c r="PX65" s="1192"/>
      <c r="PY65" s="1193"/>
      <c r="PZ65" s="948">
        <f>+PZ61+PZ63</f>
        <v>0</v>
      </c>
      <c r="QA65" s="123"/>
      <c r="QE65" s="933">
        <f>+QE63+QE59+QE48+QE41+QE35+QE26+QE21</f>
        <v>0</v>
      </c>
      <c r="QH65" s="1191" t="s">
        <v>1643</v>
      </c>
      <c r="QI65" s="1192"/>
      <c r="QJ65" s="1192"/>
      <c r="QK65" s="1192"/>
      <c r="QL65" s="1192"/>
      <c r="QM65" s="1193"/>
      <c r="QN65" s="948">
        <f>+QN61+QN63</f>
        <v>0</v>
      </c>
      <c r="QO65" s="123"/>
      <c r="QS65" s="933">
        <f>+QS63+QS59+QS48+QS41+QS35+QS26+QS21</f>
        <v>0</v>
      </c>
      <c r="QV65" s="1191" t="s">
        <v>1643</v>
      </c>
      <c r="QW65" s="1192"/>
      <c r="QX65" s="1192"/>
      <c r="QY65" s="1192"/>
      <c r="QZ65" s="1192"/>
      <c r="RA65" s="1193"/>
      <c r="RB65" s="948">
        <f>+RB61+RB63</f>
        <v>302032402.36306775</v>
      </c>
      <c r="RC65" s="123"/>
      <c r="RG65" s="933">
        <f>+RG63+RG59+RG48+RG41+RG35+RG26+RG21</f>
        <v>0.96848617164149398</v>
      </c>
      <c r="RJ65" s="1191" t="s">
        <v>1643</v>
      </c>
      <c r="RK65" s="1192"/>
      <c r="RL65" s="1192"/>
      <c r="RM65" s="1192"/>
      <c r="RN65" s="1192"/>
      <c r="RO65" s="1193"/>
      <c r="RP65" s="948">
        <f>+RP61+RP63</f>
        <v>57290624.107604042</v>
      </c>
      <c r="RQ65" s="123"/>
      <c r="RU65" s="933">
        <f>+RU63+RU59+RU48+RU41+RU35+RU26+RU21</f>
        <v>0.96927194391244442</v>
      </c>
      <c r="RX65" s="1191" t="s">
        <v>1643</v>
      </c>
      <c r="RY65" s="1192"/>
      <c r="RZ65" s="1192"/>
      <c r="SA65" s="1192"/>
      <c r="SB65" s="1192"/>
      <c r="SC65" s="1193"/>
      <c r="SD65" s="948">
        <f>+SD61+SD63</f>
        <v>176185568.04512289</v>
      </c>
      <c r="SE65" s="123"/>
      <c r="SI65" s="933">
        <f>+SI63+SI59+SI48+SI41+SI35+SI26+SI21</f>
        <v>0.96848617164149386</v>
      </c>
      <c r="SL65" s="1191" t="s">
        <v>1643</v>
      </c>
      <c r="SM65" s="1192"/>
      <c r="SN65" s="1192"/>
      <c r="SO65" s="1192"/>
      <c r="SP65" s="1192"/>
      <c r="SQ65" s="1193"/>
      <c r="SR65" s="948">
        <f>+SR61+SR63</f>
        <v>0</v>
      </c>
      <c r="SS65" s="123"/>
      <c r="SW65" s="933">
        <f>+SW63+SW59+SW48+SW41+SW35+SW26+SW21</f>
        <v>0</v>
      </c>
      <c r="SZ65" s="1191" t="s">
        <v>1643</v>
      </c>
      <c r="TA65" s="1192"/>
      <c r="TB65" s="1192"/>
      <c r="TC65" s="1192"/>
      <c r="TD65" s="1192"/>
      <c r="TE65" s="1193"/>
      <c r="TF65" s="948">
        <f>+TF61+TF63</f>
        <v>4530607075.782342</v>
      </c>
      <c r="TG65" s="123"/>
      <c r="TK65" s="933">
        <f>+TK63+TK59+TK48+TK41+TK35+TK26+TK21</f>
        <v>0.96419204378126733</v>
      </c>
      <c r="TM65" s="939"/>
      <c r="TN65" s="726"/>
    </row>
    <row r="66" spans="1:534" s="922" customFormat="1" ht="15.75" customHeight="1" thickBot="1">
      <c r="A66" s="922">
        <v>8</v>
      </c>
      <c r="B66" s="949" t="s">
        <v>1570</v>
      </c>
      <c r="C66" s="950"/>
      <c r="D66" s="950"/>
      <c r="E66" s="950"/>
      <c r="F66" s="950"/>
      <c r="G66" s="950"/>
      <c r="H66" s="958">
        <f>+VLOOKUP(B13,'Cost x Depart'!$A$1:$AL$72,8,0)</f>
        <v>700</v>
      </c>
      <c r="I66" s="926"/>
      <c r="M66" s="961"/>
      <c r="O66" s="922">
        <v>8</v>
      </c>
      <c r="P66" s="1167"/>
      <c r="Q66" s="1168"/>
      <c r="R66" s="1168"/>
      <c r="S66" s="923"/>
      <c r="T66" s="924"/>
      <c r="U66" s="924"/>
      <c r="V66" s="925"/>
      <c r="W66" s="926"/>
      <c r="AA66" s="934"/>
      <c r="AC66" s="922">
        <v>8</v>
      </c>
      <c r="AD66" s="1167"/>
      <c r="AE66" s="1168"/>
      <c r="AF66" s="1168"/>
      <c r="AG66" s="923"/>
      <c r="AH66" s="924"/>
      <c r="AI66" s="924"/>
      <c r="AJ66" s="925"/>
      <c r="AK66" s="926"/>
      <c r="AO66" s="934"/>
      <c r="AQ66" s="922">
        <v>8</v>
      </c>
      <c r="AR66" s="949" t="s">
        <v>1570</v>
      </c>
      <c r="AS66" s="950"/>
      <c r="AT66" s="950"/>
      <c r="AU66" s="950"/>
      <c r="AV66" s="950"/>
      <c r="AW66" s="950"/>
      <c r="AX66" s="958">
        <f>+VLOOKUP(AR13,'Cost x Depart'!$A$1:$AL$72,8,0)</f>
        <v>0</v>
      </c>
      <c r="AY66" s="926"/>
      <c r="BC66" s="961"/>
      <c r="BE66" s="922">
        <v>8</v>
      </c>
      <c r="BF66" s="949" t="s">
        <v>1570</v>
      </c>
      <c r="BG66" s="950"/>
      <c r="BH66" s="950"/>
      <c r="BI66" s="950"/>
      <c r="BJ66" s="950"/>
      <c r="BK66" s="950"/>
      <c r="BL66" s="958">
        <f>+VLOOKUP(BF13,'Cost x Depart'!$A$1:$AL$72,8,0)</f>
        <v>1800</v>
      </c>
      <c r="BM66" s="926"/>
      <c r="BQ66" s="961"/>
      <c r="BS66" s="922">
        <v>8</v>
      </c>
      <c r="BT66" s="949" t="s">
        <v>1570</v>
      </c>
      <c r="BU66" s="950"/>
      <c r="BV66" s="950"/>
      <c r="BW66" s="950"/>
      <c r="BX66" s="950"/>
      <c r="BY66" s="950"/>
      <c r="BZ66" s="958">
        <f>+VLOOKUP(BT13,'Cost x Depart'!$A$1:$AL$72,8,0)</f>
        <v>0</v>
      </c>
      <c r="CA66" s="926"/>
      <c r="CE66" s="961"/>
      <c r="CG66" s="922">
        <v>8</v>
      </c>
      <c r="CH66" s="949" t="s">
        <v>1570</v>
      </c>
      <c r="CI66" s="950"/>
      <c r="CJ66" s="950"/>
      <c r="CK66" s="950"/>
      <c r="CL66" s="950"/>
      <c r="CM66" s="950"/>
      <c r="CN66" s="958">
        <f>+VLOOKUP(CH13,'Cost x Depart'!$A$1:$AL$72,8,0)</f>
        <v>100</v>
      </c>
      <c r="CO66" s="926"/>
      <c r="CS66" s="961"/>
      <c r="CU66" s="922">
        <v>8</v>
      </c>
      <c r="CV66" s="949" t="s">
        <v>1570</v>
      </c>
      <c r="CW66" s="950"/>
      <c r="CX66" s="950"/>
      <c r="CY66" s="950"/>
      <c r="CZ66" s="950"/>
      <c r="DA66" s="950"/>
      <c r="DB66" s="958">
        <f>+VLOOKUP(CV13,'Cost x Depart'!$A$1:$AL$72,8,0)</f>
        <v>1300</v>
      </c>
      <c r="DC66" s="926"/>
      <c r="DG66" s="961"/>
      <c r="DI66" s="922">
        <v>8</v>
      </c>
      <c r="DJ66" s="949" t="s">
        <v>1570</v>
      </c>
      <c r="DK66" s="950"/>
      <c r="DL66" s="950"/>
      <c r="DM66" s="950"/>
      <c r="DN66" s="950"/>
      <c r="DO66" s="950"/>
      <c r="DP66" s="958">
        <f>+VLOOKUP(DJ13,'Cost x Depart'!$A$1:$AL$72,8,0)</f>
        <v>100</v>
      </c>
      <c r="DQ66" s="926"/>
      <c r="DU66" s="961"/>
      <c r="DW66" s="922">
        <v>8</v>
      </c>
      <c r="DX66" s="949" t="s">
        <v>1570</v>
      </c>
      <c r="DY66" s="950"/>
      <c r="DZ66" s="950"/>
      <c r="EA66" s="950"/>
      <c r="EB66" s="950"/>
      <c r="EC66" s="950"/>
      <c r="ED66" s="958">
        <f>+VLOOKUP(DX13,'Cost x Depart'!$A$1:$AL$72,8,0)</f>
        <v>500</v>
      </c>
      <c r="EE66" s="926"/>
      <c r="EI66" s="961"/>
      <c r="EK66" s="922">
        <v>8</v>
      </c>
      <c r="EL66" s="949" t="s">
        <v>1570</v>
      </c>
      <c r="EM66" s="950"/>
      <c r="EN66" s="950"/>
      <c r="EO66" s="950"/>
      <c r="EP66" s="950"/>
      <c r="EQ66" s="950"/>
      <c r="ER66" s="958">
        <f>+VLOOKUP(EL13,'Cost x Depart'!$A$1:$AL$72,8,0)</f>
        <v>900</v>
      </c>
      <c r="ES66" s="961"/>
      <c r="EW66" s="961"/>
      <c r="EY66" s="922">
        <v>8</v>
      </c>
      <c r="EZ66" s="949" t="s">
        <v>1570</v>
      </c>
      <c r="FA66" s="950"/>
      <c r="FB66" s="950"/>
      <c r="FC66" s="950"/>
      <c r="FD66" s="950"/>
      <c r="FE66" s="950"/>
      <c r="FF66" s="958">
        <f>+VLOOKUP(EZ13,'Cost x Depart'!$A$1:$AL$72,8,0)</f>
        <v>0</v>
      </c>
      <c r="FG66" s="926"/>
      <c r="FK66" s="961"/>
      <c r="FM66" s="922">
        <v>8</v>
      </c>
      <c r="FN66" s="949" t="s">
        <v>1570</v>
      </c>
      <c r="FO66" s="950"/>
      <c r="FP66" s="950"/>
      <c r="FQ66" s="950"/>
      <c r="FR66" s="950"/>
      <c r="FS66" s="950"/>
      <c r="FT66" s="958">
        <f>+VLOOKUP(FN13,'Cost x Depart'!$A$1:$AL$72,8,0)</f>
        <v>650</v>
      </c>
      <c r="FU66" s="926"/>
      <c r="FY66" s="961"/>
      <c r="GA66" s="922">
        <v>8</v>
      </c>
      <c r="GB66" s="949" t="s">
        <v>1570</v>
      </c>
      <c r="GC66" s="950"/>
      <c r="GD66" s="950"/>
      <c r="GE66" s="950"/>
      <c r="GF66" s="950"/>
      <c r="GG66" s="950"/>
      <c r="GH66" s="958">
        <f>+VLOOKUP(GB13,'Cost x Depart'!$A$1:$AL$72,8,0)</f>
        <v>600</v>
      </c>
      <c r="GI66" s="926"/>
      <c r="GM66" s="961"/>
      <c r="GO66" s="922">
        <v>8</v>
      </c>
      <c r="GP66" s="949" t="s">
        <v>1570</v>
      </c>
      <c r="GQ66" s="950"/>
      <c r="GR66" s="950"/>
      <c r="GS66" s="950"/>
      <c r="GT66" s="950"/>
      <c r="GU66" s="950"/>
      <c r="GV66" s="958">
        <f>+VLOOKUP(GP13,'Cost x Depart'!$A$1:$AL$72,8,0)</f>
        <v>0</v>
      </c>
      <c r="GW66" s="926"/>
      <c r="HA66" s="961"/>
      <c r="HC66" s="922">
        <v>8</v>
      </c>
      <c r="HD66" s="949" t="s">
        <v>1570</v>
      </c>
      <c r="HE66" s="950"/>
      <c r="HF66" s="950"/>
      <c r="HG66" s="950"/>
      <c r="HH66" s="950"/>
      <c r="HI66" s="950"/>
      <c r="HJ66" s="958">
        <f>+VLOOKUP(HD13,'Cost x Depart'!$A$1:$AL$72,8,0)</f>
        <v>300</v>
      </c>
      <c r="HK66" s="926"/>
      <c r="HO66" s="961"/>
      <c r="HQ66" s="922">
        <v>8</v>
      </c>
      <c r="HR66" s="949" t="s">
        <v>1570</v>
      </c>
      <c r="HS66" s="950"/>
      <c r="HT66" s="950"/>
      <c r="HU66" s="950"/>
      <c r="HV66" s="950"/>
      <c r="HW66" s="950"/>
      <c r="HX66" s="958">
        <f>+VLOOKUP(HR13,'Cost x Depart'!$A$1:$AL$72,8,0)</f>
        <v>1100</v>
      </c>
      <c r="HY66" s="934"/>
      <c r="IC66" s="961"/>
      <c r="IE66" s="922">
        <v>8</v>
      </c>
      <c r="IF66" s="1167"/>
      <c r="IG66" s="1168"/>
      <c r="IH66" s="1168"/>
      <c r="II66" s="923"/>
      <c r="IJ66" s="924"/>
      <c r="IK66" s="924"/>
      <c r="IL66" s="925"/>
      <c r="IM66" s="926"/>
      <c r="IQ66" s="934"/>
      <c r="IS66" s="922">
        <v>8</v>
      </c>
      <c r="IT66" s="1167"/>
      <c r="IU66" s="1168"/>
      <c r="IV66" s="1168"/>
      <c r="IW66" s="923"/>
      <c r="IX66" s="924"/>
      <c r="IY66" s="924"/>
      <c r="IZ66" s="925"/>
      <c r="JA66" s="926"/>
      <c r="JE66" s="934"/>
      <c r="JG66" s="922">
        <v>8</v>
      </c>
      <c r="JH66" s="949" t="s">
        <v>1570</v>
      </c>
      <c r="JI66" s="950"/>
      <c r="JJ66" s="950"/>
      <c r="JK66" s="950"/>
      <c r="JL66" s="950"/>
      <c r="JM66" s="950"/>
      <c r="JN66" s="958">
        <f>+VLOOKUP(JH13,'Cost x Depart'!$A$1:$AL$72,8,0)</f>
        <v>1500</v>
      </c>
      <c r="JO66" s="926"/>
      <c r="JS66" s="961"/>
      <c r="JU66" s="922">
        <v>8</v>
      </c>
      <c r="JV66" s="949" t="s">
        <v>1570</v>
      </c>
      <c r="JW66" s="950"/>
      <c r="JX66" s="950"/>
      <c r="JY66" s="950"/>
      <c r="JZ66" s="950"/>
      <c r="KA66" s="950"/>
      <c r="KB66" s="958">
        <f>+VLOOKUP(JV13,'Cost x Depart'!$A$1:$AL$72,8,0)</f>
        <v>650</v>
      </c>
      <c r="KC66" s="926"/>
      <c r="KG66" s="961"/>
      <c r="KI66" s="922">
        <v>8</v>
      </c>
      <c r="KJ66" s="949" t="s">
        <v>1570</v>
      </c>
      <c r="KK66" s="950"/>
      <c r="KL66" s="950"/>
      <c r="KM66" s="950"/>
      <c r="KN66" s="950"/>
      <c r="KO66" s="950"/>
      <c r="KP66" s="958">
        <f>+VLOOKUP(KJ13,'Cost x Depart'!$A$1:$AL$72,8,0)</f>
        <v>0</v>
      </c>
      <c r="KQ66" s="926"/>
      <c r="KU66" s="961"/>
      <c r="KW66" s="922">
        <v>8</v>
      </c>
      <c r="KX66" s="949" t="s">
        <v>1570</v>
      </c>
      <c r="KY66" s="950"/>
      <c r="KZ66" s="950"/>
      <c r="LA66" s="950"/>
      <c r="LB66" s="950"/>
      <c r="LC66" s="950"/>
      <c r="LD66" s="958">
        <f>+VLOOKUP(KX13,'Cost x Depart'!$A$1:$AL$72,8,0)</f>
        <v>0</v>
      </c>
      <c r="LE66" s="926"/>
      <c r="LI66" s="961"/>
      <c r="LK66" s="922">
        <v>8</v>
      </c>
      <c r="LL66" s="949" t="s">
        <v>1570</v>
      </c>
      <c r="LM66" s="950"/>
      <c r="LN66" s="950"/>
      <c r="LO66" s="950"/>
      <c r="LP66" s="950"/>
      <c r="LQ66" s="950"/>
      <c r="LR66" s="958">
        <f>+VLOOKUP(LL13,'Cost x Depart'!$A$1:$AL$72,8,0)</f>
        <v>0</v>
      </c>
      <c r="LS66" s="926"/>
      <c r="LW66" s="961"/>
      <c r="LY66" s="922">
        <v>8</v>
      </c>
      <c r="LZ66" s="949" t="s">
        <v>1570</v>
      </c>
      <c r="MA66" s="950"/>
      <c r="MB66" s="950"/>
      <c r="MC66" s="950"/>
      <c r="MD66" s="950"/>
      <c r="ME66" s="950"/>
      <c r="MF66" s="958">
        <f>+VLOOKUP(LZ13,'Cost x Depart'!$A$1:$AL$72,8,0)</f>
        <v>450</v>
      </c>
      <c r="MG66" s="926"/>
      <c r="MK66" s="961"/>
      <c r="MM66" s="922">
        <v>8</v>
      </c>
      <c r="MN66" s="949" t="s">
        <v>1570</v>
      </c>
      <c r="MO66" s="950"/>
      <c r="MP66" s="950"/>
      <c r="MQ66" s="950"/>
      <c r="MR66" s="950"/>
      <c r="MS66" s="950"/>
      <c r="MT66" s="958">
        <f>+VLOOKUP(MN13,'Cost x Depart'!$A$1:$AL$72,8,0)</f>
        <v>600</v>
      </c>
      <c r="MU66" s="926"/>
      <c r="MY66" s="961"/>
      <c r="NA66" s="922">
        <v>8</v>
      </c>
      <c r="NB66" s="949" t="s">
        <v>1570</v>
      </c>
      <c r="NC66" s="950"/>
      <c r="ND66" s="950"/>
      <c r="NE66" s="950"/>
      <c r="NF66" s="950"/>
      <c r="NG66" s="950"/>
      <c r="NH66" s="958">
        <f>+VLOOKUP(NB13,'Cost x Depart'!$A$1:$AL$72,8,0)</f>
        <v>700</v>
      </c>
      <c r="NI66" s="926"/>
      <c r="NM66" s="961"/>
      <c r="NO66" s="922">
        <v>8</v>
      </c>
      <c r="NP66" s="949" t="s">
        <v>1570</v>
      </c>
      <c r="NQ66" s="950"/>
      <c r="NR66" s="950"/>
      <c r="NS66" s="950"/>
      <c r="NT66" s="950"/>
      <c r="NU66" s="950"/>
      <c r="NV66" s="958">
        <f>+VLOOKUP(NP13,'Cost x Depart'!$A$1:$AL$72,8,0)</f>
        <v>800</v>
      </c>
      <c r="NW66" s="926"/>
      <c r="OA66" s="961"/>
      <c r="OC66" s="922">
        <v>8</v>
      </c>
      <c r="OD66" s="949" t="s">
        <v>1570</v>
      </c>
      <c r="OE66" s="950"/>
      <c r="OF66" s="950"/>
      <c r="OG66" s="950"/>
      <c r="OH66" s="950"/>
      <c r="OI66" s="950"/>
      <c r="OJ66" s="958">
        <f>+VLOOKUP(OD13,'Cost x Depart'!$A$1:$AL$72,8,0)</f>
        <v>200</v>
      </c>
      <c r="OK66" s="926"/>
      <c r="OO66" s="961"/>
      <c r="OQ66" s="922">
        <v>8</v>
      </c>
      <c r="OR66" s="949" t="s">
        <v>1570</v>
      </c>
      <c r="OS66" s="950"/>
      <c r="OT66" s="950"/>
      <c r="OU66" s="950"/>
      <c r="OV66" s="950"/>
      <c r="OW66" s="950"/>
      <c r="OX66" s="958">
        <f>+VLOOKUP(OR13,'Cost x Depart'!$A$1:$AL$72,8,0)</f>
        <v>1000</v>
      </c>
      <c r="OY66" s="926"/>
      <c r="PC66" s="961"/>
      <c r="PE66" s="922">
        <v>8</v>
      </c>
      <c r="PF66" s="949" t="s">
        <v>1570</v>
      </c>
      <c r="PG66" s="950"/>
      <c r="PH66" s="950"/>
      <c r="PI66" s="950"/>
      <c r="PJ66" s="950"/>
      <c r="PK66" s="950"/>
      <c r="PL66" s="958">
        <f>+VLOOKUP(PF13,'Cost x Depart'!$A$1:$AL$72,8,0)</f>
        <v>0</v>
      </c>
      <c r="PM66" s="926"/>
      <c r="PQ66" s="961"/>
      <c r="PS66" s="922">
        <v>8</v>
      </c>
      <c r="PT66" s="949" t="s">
        <v>1570</v>
      </c>
      <c r="PU66" s="950"/>
      <c r="PV66" s="950"/>
      <c r="PW66" s="950"/>
      <c r="PX66" s="950"/>
      <c r="PY66" s="950"/>
      <c r="PZ66" s="958">
        <f>+VLOOKUP(PT13,'Cost x Depart'!$A$1:$AL$72,8,0)</f>
        <v>0</v>
      </c>
      <c r="QA66" s="926"/>
      <c r="QE66" s="961"/>
      <c r="QG66" s="922">
        <v>8</v>
      </c>
      <c r="QH66" s="949" t="s">
        <v>1570</v>
      </c>
      <c r="QI66" s="950"/>
      <c r="QJ66" s="950"/>
      <c r="QK66" s="950"/>
      <c r="QL66" s="950"/>
      <c r="QM66" s="950"/>
      <c r="QN66" s="958">
        <f>+VLOOKUP(QH13,'Cost x Depart'!$A$1:$AL$72,8,0)</f>
        <v>0</v>
      </c>
      <c r="QO66" s="926"/>
      <c r="QS66" s="961"/>
      <c r="QU66" s="922">
        <v>8</v>
      </c>
      <c r="QV66" s="949" t="s">
        <v>1570</v>
      </c>
      <c r="QW66" s="950"/>
      <c r="QX66" s="950"/>
      <c r="QY66" s="950"/>
      <c r="QZ66" s="950"/>
      <c r="RA66" s="950"/>
      <c r="RB66" s="958">
        <f>+VLOOKUP(QV13,'Cost x Depart'!$A$1:$AL$72,8,0)</f>
        <v>600</v>
      </c>
      <c r="RC66" s="926"/>
      <c r="RG66" s="961"/>
      <c r="RI66" s="922">
        <v>8</v>
      </c>
      <c r="RJ66" s="949" t="s">
        <v>1570</v>
      </c>
      <c r="RK66" s="950"/>
      <c r="RL66" s="950"/>
      <c r="RM66" s="950"/>
      <c r="RN66" s="950"/>
      <c r="RO66" s="950"/>
      <c r="RP66" s="958">
        <f>+VLOOKUP(RJ13,'Cost x Depart'!$A$1:$AL$72,8,0)</f>
        <v>100</v>
      </c>
      <c r="RQ66" s="926"/>
      <c r="RU66" s="961"/>
      <c r="RW66" s="922">
        <v>8</v>
      </c>
      <c r="RX66" s="949" t="s">
        <v>1570</v>
      </c>
      <c r="RY66" s="950"/>
      <c r="RZ66" s="950"/>
      <c r="SA66" s="950"/>
      <c r="SB66" s="950"/>
      <c r="SC66" s="950"/>
      <c r="SD66" s="958">
        <f>+VLOOKUP(RX13,'Cost x Depart'!$A$1:$AL$72,8,0)</f>
        <v>350</v>
      </c>
      <c r="SE66" s="926"/>
      <c r="SI66" s="961"/>
      <c r="SK66" s="922">
        <v>8</v>
      </c>
      <c r="SL66" s="949" t="s">
        <v>1570</v>
      </c>
      <c r="SM66" s="950"/>
      <c r="SN66" s="950"/>
      <c r="SO66" s="950"/>
      <c r="SP66" s="950"/>
      <c r="SQ66" s="950"/>
      <c r="SR66" s="958">
        <f>+VLOOKUP(SL13,'Cost x Depart'!$A$1:$AL$72,8,0)</f>
        <v>0</v>
      </c>
      <c r="SS66" s="926"/>
      <c r="SW66" s="961"/>
      <c r="SY66" s="922">
        <v>8</v>
      </c>
      <c r="SZ66" s="949" t="s">
        <v>1570</v>
      </c>
      <c r="TA66" s="950"/>
      <c r="TB66" s="950"/>
      <c r="TC66" s="950"/>
      <c r="TD66" s="950"/>
      <c r="TE66" s="950"/>
      <c r="TF66" s="115">
        <f>+H66+AX66+BL66+BZ66+CN66+DB66+DP66+ED66+ER66+FF66+FT66+GH66+HJ66+HX66+JN66+KB66+KP66+LD66+LR66+MF66+MT66+NH66+NV66+OJ66+OX66+PL66+PZ66+QN66+RB66+RP66+SD66+SR66</f>
        <v>15000</v>
      </c>
      <c r="TG66" s="926"/>
      <c r="TK66" s="961"/>
      <c r="TM66" s="941">
        <f>+$H$66+$AX$66+$BL$66+$BZ$66+$CN$66+$DB$66+$DP$66+$ED$66+$ER$66+$FF$66+$FT$66+$GH$66+$HJ$66+$HX$66+$JN$66+$KB$66+$KP$66+$LD$66+$LR$66+$MF$66+$MT$66+$NH$66+$NV$66+$OJ$66+$OX$66+$PL$66+$PZ$66+$QN$66+$RB$66+$RP$66+$SD$66+$SR$66-$TF$66</f>
        <v>0</v>
      </c>
      <c r="TN66" s="927"/>
    </row>
    <row r="67" spans="1:534" ht="18.75" customHeight="1" thickBot="1">
      <c r="B67" s="949" t="s">
        <v>1631</v>
      </c>
      <c r="C67" s="950"/>
      <c r="D67" s="950"/>
      <c r="E67" s="950"/>
      <c r="F67" s="950"/>
      <c r="G67" s="950"/>
      <c r="H67" s="951">
        <f>+IF(H66=0,0,H65/H66/E11)</f>
        <v>38934.204740655099</v>
      </c>
      <c r="M67" s="961"/>
      <c r="P67" s="659"/>
      <c r="Q67" s="120"/>
      <c r="R67" s="120"/>
      <c r="S67" s="120"/>
      <c r="T67" s="120"/>
      <c r="U67" s="120"/>
      <c r="V67" s="670"/>
      <c r="AD67" s="659"/>
      <c r="AE67" s="120"/>
      <c r="AF67" s="120"/>
      <c r="AG67" s="120"/>
      <c r="AH67" s="120"/>
      <c r="AI67" s="120"/>
      <c r="AJ67" s="670"/>
      <c r="AR67" s="949" t="s">
        <v>1631</v>
      </c>
      <c r="AS67" s="950"/>
      <c r="AT67" s="950"/>
      <c r="AU67" s="950"/>
      <c r="AV67" s="950"/>
      <c r="AW67" s="950"/>
      <c r="AX67" s="951">
        <f>+IF(AX66=0,0,AX65/AX66/AU11)</f>
        <v>0</v>
      </c>
      <c r="BC67" s="961"/>
      <c r="BF67" s="949" t="s">
        <v>1631</v>
      </c>
      <c r="BG67" s="950"/>
      <c r="BH67" s="950"/>
      <c r="BI67" s="950"/>
      <c r="BJ67" s="950"/>
      <c r="BK67" s="950"/>
      <c r="BL67" s="951">
        <f>+IF(BL66=0,0,BL65/BL66/BI11)</f>
        <v>38268.051833160542</v>
      </c>
      <c r="BQ67" s="961"/>
      <c r="BT67" s="949" t="s">
        <v>1631</v>
      </c>
      <c r="BU67" s="950"/>
      <c r="BV67" s="950"/>
      <c r="BW67" s="950"/>
      <c r="BX67" s="950"/>
      <c r="BY67" s="950"/>
      <c r="BZ67" s="951">
        <f>+IF(BZ66=0,0,BZ65/BZ66/BW11)</f>
        <v>0</v>
      </c>
      <c r="CE67" s="961"/>
      <c r="CH67" s="949" t="s">
        <v>1631</v>
      </c>
      <c r="CI67" s="950"/>
      <c r="CJ67" s="950"/>
      <c r="CK67" s="950"/>
      <c r="CL67" s="950"/>
      <c r="CM67" s="950"/>
      <c r="CN67" s="951">
        <f>+IF(CN66=0,0,CN65/CN66/CK11)</f>
        <v>38203.509713526597</v>
      </c>
      <c r="CS67" s="961"/>
      <c r="CV67" s="949" t="s">
        <v>1631</v>
      </c>
      <c r="CW67" s="950"/>
      <c r="CX67" s="950"/>
      <c r="CY67" s="950"/>
      <c r="CZ67" s="950"/>
      <c r="DA67" s="950"/>
      <c r="DB67" s="951">
        <f>+IF(DB66=0,0,DB65/DB66/CY11)</f>
        <v>42397.867369919637</v>
      </c>
      <c r="DG67" s="961"/>
      <c r="DJ67" s="949" t="s">
        <v>1631</v>
      </c>
      <c r="DK67" s="950"/>
      <c r="DL67" s="950"/>
      <c r="DM67" s="950"/>
      <c r="DN67" s="950"/>
      <c r="DO67" s="950"/>
      <c r="DP67" s="951">
        <f>+IF(DP66=0,0,DP65/DP66/DM11)</f>
        <v>43081.818255858714</v>
      </c>
      <c r="DU67" s="961"/>
      <c r="DX67" s="949" t="s">
        <v>1631</v>
      </c>
      <c r="DY67" s="950"/>
      <c r="DZ67" s="950"/>
      <c r="EA67" s="950"/>
      <c r="EB67" s="950"/>
      <c r="EC67" s="950"/>
      <c r="ED67" s="951">
        <f>+IF(ED66=0,0,ED65/ED66/EA11)</f>
        <v>40524.353063878822</v>
      </c>
      <c r="EI67" s="961"/>
      <c r="EL67" s="949" t="s">
        <v>1631</v>
      </c>
      <c r="EM67" s="950"/>
      <c r="EN67" s="950"/>
      <c r="EO67" s="950"/>
      <c r="EP67" s="950"/>
      <c r="EQ67" s="950"/>
      <c r="ER67" s="951">
        <f>+IF(ER66=0,0,ER65/ER66/EO11)</f>
        <v>38268.051833160542</v>
      </c>
      <c r="ES67" s="961"/>
      <c r="EW67" s="961"/>
      <c r="EZ67" s="949" t="s">
        <v>1631</v>
      </c>
      <c r="FA67" s="950"/>
      <c r="FB67" s="950"/>
      <c r="FC67" s="950"/>
      <c r="FD67" s="950"/>
      <c r="FE67" s="950"/>
      <c r="FF67" s="951">
        <f>+IF(FF66=0,0,FF65/FF66/FC11)</f>
        <v>0</v>
      </c>
      <c r="FK67" s="961"/>
      <c r="FN67" s="949" t="s">
        <v>1631</v>
      </c>
      <c r="FO67" s="950"/>
      <c r="FP67" s="950"/>
      <c r="FQ67" s="950"/>
      <c r="FR67" s="950"/>
      <c r="FS67" s="950"/>
      <c r="FT67" s="951">
        <f>+IF(FT66=0,0,FT65/FT66/FQ11)</f>
        <v>72665.937477220461</v>
      </c>
      <c r="FY67" s="961"/>
      <c r="GB67" s="949" t="s">
        <v>1631</v>
      </c>
      <c r="GC67" s="950"/>
      <c r="GD67" s="950"/>
      <c r="GE67" s="950"/>
      <c r="GF67" s="950"/>
      <c r="GG67" s="950"/>
      <c r="GH67" s="951">
        <f>+IF(GH66=0,0,GH65/GH66/GE11)</f>
        <v>37196.644166437807</v>
      </c>
      <c r="GM67" s="961"/>
      <c r="GP67" s="949" t="s">
        <v>1631</v>
      </c>
      <c r="GQ67" s="950"/>
      <c r="GR67" s="950"/>
      <c r="GS67" s="950"/>
      <c r="GT67" s="950"/>
      <c r="GU67" s="950"/>
      <c r="GV67" s="951">
        <f>+IF(GV66=0,0,GV65/GV66/GS11)</f>
        <v>0</v>
      </c>
      <c r="HA67" s="961"/>
      <c r="HD67" s="949" t="s">
        <v>1631</v>
      </c>
      <c r="HE67" s="950"/>
      <c r="HF67" s="950"/>
      <c r="HG67" s="950"/>
      <c r="HH67" s="950"/>
      <c r="HI67" s="950"/>
      <c r="HJ67" s="951">
        <f>+IF(HJ66=0,0,HJ65/HJ66/HG11)</f>
        <v>38268.051833160534</v>
      </c>
      <c r="HO67" s="961"/>
      <c r="HR67" s="949" t="s">
        <v>1631</v>
      </c>
      <c r="HS67" s="950"/>
      <c r="HT67" s="950"/>
      <c r="HU67" s="950"/>
      <c r="HV67" s="950"/>
      <c r="HW67" s="950"/>
      <c r="HX67" s="951">
        <f>+IF(HX66=0,0,HX65/HX66/HU11)</f>
        <v>39812.922881550141</v>
      </c>
      <c r="HY67" s="667"/>
      <c r="IC67" s="961"/>
      <c r="IF67" s="659"/>
      <c r="IG67" s="120"/>
      <c r="IH67" s="120"/>
      <c r="II67" s="120"/>
      <c r="IJ67" s="120"/>
      <c r="IK67" s="120"/>
      <c r="IL67" s="670"/>
      <c r="IT67" s="659"/>
      <c r="IU67" s="120"/>
      <c r="IV67" s="120"/>
      <c r="IW67" s="120"/>
      <c r="IX67" s="120"/>
      <c r="IY67" s="120"/>
      <c r="IZ67" s="670"/>
      <c r="JH67" s="949" t="s">
        <v>1631</v>
      </c>
      <c r="JI67" s="950"/>
      <c r="JJ67" s="950"/>
      <c r="JK67" s="950"/>
      <c r="JL67" s="950"/>
      <c r="JM67" s="950"/>
      <c r="JN67" s="951">
        <f>+IF(JN66=0,0,JN65/JN66/JK11)</f>
        <v>42335.444057243367</v>
      </c>
      <c r="JS67" s="961"/>
      <c r="JV67" s="949" t="s">
        <v>1631</v>
      </c>
      <c r="JW67" s="950"/>
      <c r="JX67" s="950"/>
      <c r="JY67" s="950"/>
      <c r="JZ67" s="950"/>
      <c r="KA67" s="950"/>
      <c r="KB67" s="951">
        <f>+IF(KB66=0,0,KB65/KB66/JY11)</f>
        <v>40174.326154470102</v>
      </c>
      <c r="KG67" s="961"/>
      <c r="KJ67" s="949" t="s">
        <v>1631</v>
      </c>
      <c r="KK67" s="950"/>
      <c r="KL67" s="950"/>
      <c r="KM67" s="950"/>
      <c r="KN67" s="950"/>
      <c r="KO67" s="950"/>
      <c r="KP67" s="951">
        <f>+IF(KP66=0,0,KP65/KP66/KM11)</f>
        <v>0</v>
      </c>
      <c r="KU67" s="961"/>
      <c r="KX67" s="949" t="s">
        <v>1631</v>
      </c>
      <c r="KY67" s="950"/>
      <c r="KZ67" s="950"/>
      <c r="LA67" s="950"/>
      <c r="LB67" s="950"/>
      <c r="LC67" s="950"/>
      <c r="LD67" s="951">
        <f>+IF(LD66=0,0,LD65/LD66/LA11)</f>
        <v>0</v>
      </c>
      <c r="LI67" s="961"/>
      <c r="LL67" s="949" t="s">
        <v>1631</v>
      </c>
      <c r="LM67" s="950"/>
      <c r="LN67" s="950"/>
      <c r="LO67" s="950"/>
      <c r="LP67" s="950"/>
      <c r="LQ67" s="950"/>
      <c r="LR67" s="951">
        <f>+IF(LR66=0,0,LR65/LR66/LO11)</f>
        <v>0</v>
      </c>
      <c r="LW67" s="961"/>
      <c r="LZ67" s="949" t="s">
        <v>1631</v>
      </c>
      <c r="MA67" s="950"/>
      <c r="MB67" s="950"/>
      <c r="MC67" s="950"/>
      <c r="MD67" s="950"/>
      <c r="ME67" s="950"/>
      <c r="MF67" s="951">
        <f>+IF(MF66=0,0,MF65/MF66/MC11)</f>
        <v>40524.353063878807</v>
      </c>
      <c r="MK67" s="961"/>
      <c r="MN67" s="949" t="s">
        <v>1631</v>
      </c>
      <c r="MO67" s="950"/>
      <c r="MP67" s="950"/>
      <c r="MQ67" s="950"/>
      <c r="MR67" s="950"/>
      <c r="MS67" s="950"/>
      <c r="MT67" s="951">
        <f>+IF(MT66=0,0,MT65/MT66/MQ11)</f>
        <v>39570.824738862604</v>
      </c>
      <c r="MU67" s="670">
        <f>+IF(MU66=0,0,MU65/MU66/'Parametros Generales'!$C$6)</f>
        <v>0</v>
      </c>
      <c r="MY67" s="961"/>
      <c r="NB67" s="949" t="s">
        <v>1631</v>
      </c>
      <c r="NC67" s="950"/>
      <c r="ND67" s="950"/>
      <c r="NE67" s="950"/>
      <c r="NF67" s="950"/>
      <c r="NG67" s="950"/>
      <c r="NH67" s="951">
        <f>+IF(NH66=0,0,NH65/NH66/NE11)</f>
        <v>37649.457992608353</v>
      </c>
      <c r="NM67" s="961"/>
      <c r="NP67" s="949" t="s">
        <v>1631</v>
      </c>
      <c r="NQ67" s="950"/>
      <c r="NR67" s="950"/>
      <c r="NS67" s="950"/>
      <c r="NT67" s="950"/>
      <c r="NU67" s="950"/>
      <c r="NV67" s="951">
        <f>+IF(NV66=0,0,NV65/NV66/NS11)</f>
        <v>77444.205734119925</v>
      </c>
      <c r="OA67" s="961"/>
      <c r="OD67" s="949" t="s">
        <v>1631</v>
      </c>
      <c r="OE67" s="950"/>
      <c r="OF67" s="950"/>
      <c r="OG67" s="950"/>
      <c r="OH67" s="950"/>
      <c r="OI67" s="950"/>
      <c r="OJ67" s="951">
        <f>+IF(OJ66=0,0,OJ65/OJ66/OG11)</f>
        <v>56336.194463291016</v>
      </c>
      <c r="OO67" s="961"/>
      <c r="OR67" s="949" t="s">
        <v>1631</v>
      </c>
      <c r="OS67" s="950"/>
      <c r="OT67" s="950"/>
      <c r="OU67" s="950"/>
      <c r="OV67" s="950"/>
      <c r="OW67" s="950"/>
      <c r="OX67" s="951">
        <f>+IF(OX66=0,0,OX65/OX66/OU11)</f>
        <v>44547.282938880482</v>
      </c>
      <c r="PC67" s="961"/>
      <c r="PF67" s="949" t="s">
        <v>1631</v>
      </c>
      <c r="PG67" s="950"/>
      <c r="PH67" s="950"/>
      <c r="PI67" s="950"/>
      <c r="PJ67" s="950"/>
      <c r="PK67" s="950"/>
      <c r="PL67" s="951">
        <f>+IF(PL66=0,0,PL65/PL66/PI11)</f>
        <v>0</v>
      </c>
      <c r="PQ67" s="961"/>
      <c r="PT67" s="949" t="s">
        <v>1631</v>
      </c>
      <c r="PU67" s="950"/>
      <c r="PV67" s="950"/>
      <c r="PW67" s="950"/>
      <c r="PX67" s="950"/>
      <c r="PY67" s="950"/>
      <c r="PZ67" s="951">
        <f>+IF(PZ66=0,0,PZ65/PZ66/PW11)</f>
        <v>0</v>
      </c>
      <c r="QE67" s="961"/>
      <c r="QH67" s="949" t="s">
        <v>1631</v>
      </c>
      <c r="QI67" s="950"/>
      <c r="QJ67" s="950"/>
      <c r="QK67" s="950"/>
      <c r="QL67" s="950"/>
      <c r="QM67" s="950"/>
      <c r="QN67" s="951">
        <f>+IF(QN66=0,0,QN65/QN66/QK11)</f>
        <v>0</v>
      </c>
      <c r="QS67" s="961"/>
      <c r="QV67" s="949" t="s">
        <v>1631</v>
      </c>
      <c r="QW67" s="950"/>
      <c r="QX67" s="950"/>
      <c r="QY67" s="950"/>
      <c r="QZ67" s="950"/>
      <c r="RA67" s="950"/>
      <c r="RB67" s="951">
        <f>+IF(RB66=0,0,RB65/RB66/QY11)</f>
        <v>77444.20573411994</v>
      </c>
      <c r="RG67" s="961"/>
      <c r="RJ67" s="949" t="s">
        <v>1631</v>
      </c>
      <c r="RK67" s="950"/>
      <c r="RL67" s="950"/>
      <c r="RM67" s="950"/>
      <c r="RN67" s="950"/>
      <c r="RO67" s="950"/>
      <c r="RP67" s="951">
        <f>+IF(RP66=0,0,RP65/RP66/RM11)</f>
        <v>88139.421704006221</v>
      </c>
      <c r="RU67" s="961"/>
      <c r="RX67" s="949" t="s">
        <v>1631</v>
      </c>
      <c r="RY67" s="950"/>
      <c r="RZ67" s="950"/>
      <c r="SA67" s="950"/>
      <c r="SB67" s="950"/>
      <c r="SC67" s="950"/>
      <c r="SD67" s="951">
        <f>+IF(SD66=0,0,SD65/SD66/SA11)</f>
        <v>77444.205734119954</v>
      </c>
      <c r="SI67" s="961"/>
      <c r="SL67" s="949" t="s">
        <v>1631</v>
      </c>
      <c r="SM67" s="950"/>
      <c r="SN67" s="950"/>
      <c r="SO67" s="950"/>
      <c r="SP67" s="950"/>
      <c r="SQ67" s="950"/>
      <c r="SR67" s="951">
        <f>+IF(SR66=0,0,SR65/SR66/SO11)</f>
        <v>0</v>
      </c>
      <c r="SW67" s="961"/>
      <c r="SZ67" s="949" t="s">
        <v>1631</v>
      </c>
      <c r="TA67" s="950"/>
      <c r="TB67" s="950"/>
      <c r="TC67" s="950"/>
      <c r="TD67" s="950"/>
      <c r="TE67" s="950"/>
      <c r="TF67" s="951">
        <f>+IF(TF66=0,0,TF65/TF66/TC11)</f>
        <v>46467.764879818889</v>
      </c>
      <c r="TK67" s="961"/>
      <c r="TM67" s="937"/>
      <c r="TN67" s="725"/>
    </row>
    <row r="68" spans="1:534" ht="18.75" customHeight="1" thickBot="1">
      <c r="B68" s="949" t="s">
        <v>1632</v>
      </c>
      <c r="C68" s="950"/>
      <c r="D68" s="950"/>
      <c r="E68" s="950"/>
      <c r="F68" s="950"/>
      <c r="G68" s="950"/>
      <c r="H68" s="951">
        <f>+H67/'Parametros Generales'!$C$11*'Parametros Generales'!$C$14</f>
        <v>6489.0341234425168</v>
      </c>
      <c r="M68" s="934"/>
      <c r="P68" s="659"/>
      <c r="Q68" s="120"/>
      <c r="R68" s="120"/>
      <c r="S68" s="120"/>
      <c r="T68" s="120"/>
      <c r="U68" s="120"/>
      <c r="V68" s="915"/>
      <c r="AA68" s="936"/>
      <c r="AD68" s="659"/>
      <c r="AE68" s="120"/>
      <c r="AF68" s="120"/>
      <c r="AG68" s="120"/>
      <c r="AH68" s="120"/>
      <c r="AI68" s="120"/>
      <c r="AJ68" s="915"/>
      <c r="AO68" s="936"/>
      <c r="AR68" s="949" t="s">
        <v>1632</v>
      </c>
      <c r="AS68" s="950"/>
      <c r="AT68" s="950"/>
      <c r="AU68" s="950"/>
      <c r="AV68" s="950"/>
      <c r="AW68" s="950"/>
      <c r="AX68" s="951">
        <f>+AX67/'Parametros Generales'!$C$11*'Parametros Generales'!$C$14</f>
        <v>0</v>
      </c>
      <c r="BC68" s="934"/>
      <c r="BF68" s="949" t="s">
        <v>1632</v>
      </c>
      <c r="BG68" s="950"/>
      <c r="BH68" s="950"/>
      <c r="BI68" s="950"/>
      <c r="BJ68" s="950"/>
      <c r="BK68" s="950"/>
      <c r="BL68" s="951">
        <f>+BL67/'Parametros Generales'!$C$11*'Parametros Generales'!$C$14</f>
        <v>6378.0086388600903</v>
      </c>
      <c r="BQ68" s="934"/>
      <c r="BT68" s="949" t="s">
        <v>1632</v>
      </c>
      <c r="BU68" s="950"/>
      <c r="BV68" s="950"/>
      <c r="BW68" s="950"/>
      <c r="BX68" s="950"/>
      <c r="BY68" s="950"/>
      <c r="BZ68" s="951">
        <f>+BZ67/'Parametros Generales'!$C$11*'Parametros Generales'!$C$14</f>
        <v>0</v>
      </c>
      <c r="CE68" s="934"/>
      <c r="CH68" s="949" t="s">
        <v>1632</v>
      </c>
      <c r="CI68" s="950"/>
      <c r="CJ68" s="950"/>
      <c r="CK68" s="950"/>
      <c r="CL68" s="950"/>
      <c r="CM68" s="950"/>
      <c r="CN68" s="951">
        <f>+CN67/'Parametros Generales'!$C$11*'Parametros Generales'!$C$14</f>
        <v>6367.2516189210992</v>
      </c>
      <c r="CS68" s="934"/>
      <c r="CV68" s="949" t="s">
        <v>1632</v>
      </c>
      <c r="CW68" s="950"/>
      <c r="CX68" s="950"/>
      <c r="CY68" s="950"/>
      <c r="CZ68" s="950"/>
      <c r="DA68" s="950"/>
      <c r="DB68" s="951">
        <f>+DB67/'Parametros Generales'!$C$11*'Parametros Generales'!$C$14</f>
        <v>7066.3112283199398</v>
      </c>
      <c r="DG68" s="934"/>
      <c r="DJ68" s="949" t="s">
        <v>1632</v>
      </c>
      <c r="DK68" s="950"/>
      <c r="DL68" s="950"/>
      <c r="DM68" s="950"/>
      <c r="DN68" s="950"/>
      <c r="DO68" s="950"/>
      <c r="DP68" s="951">
        <f>+DP67/'Parametros Generales'!$C$11*'Parametros Generales'!$C$14</f>
        <v>7180.3030426431187</v>
      </c>
      <c r="DU68" s="934"/>
      <c r="DX68" s="949" t="s">
        <v>1632</v>
      </c>
      <c r="DY68" s="950"/>
      <c r="DZ68" s="950"/>
      <c r="EA68" s="950"/>
      <c r="EB68" s="950"/>
      <c r="EC68" s="950"/>
      <c r="ED68" s="951">
        <f>+ED67/'Parametros Generales'!$C$11*'Parametros Generales'!$C$14</f>
        <v>6754.0588439798039</v>
      </c>
      <c r="EI68" s="934"/>
      <c r="EL68" s="949" t="s">
        <v>1632</v>
      </c>
      <c r="EM68" s="950"/>
      <c r="EN68" s="950"/>
      <c r="EO68" s="950"/>
      <c r="EP68" s="950"/>
      <c r="EQ68" s="950"/>
      <c r="ER68" s="951">
        <f>+ER67/'Parametros Generales'!$C$11*'Parametros Generales'!$C$14</f>
        <v>6378.0086388600903</v>
      </c>
      <c r="ES68" s="934"/>
      <c r="EW68" s="934"/>
      <c r="EZ68" s="949" t="s">
        <v>1632</v>
      </c>
      <c r="FA68" s="950"/>
      <c r="FB68" s="950"/>
      <c r="FC68" s="950"/>
      <c r="FD68" s="950"/>
      <c r="FE68" s="950"/>
      <c r="FF68" s="951">
        <f>+FF67/'Parametros Generales'!$C$11*'Parametros Generales'!$C$14</f>
        <v>0</v>
      </c>
      <c r="FK68" s="934"/>
      <c r="FN68" s="949" t="s">
        <v>1632</v>
      </c>
      <c r="FO68" s="950"/>
      <c r="FP68" s="950"/>
      <c r="FQ68" s="950"/>
      <c r="FR68" s="950"/>
      <c r="FS68" s="950"/>
      <c r="FT68" s="951">
        <f>+FT67/'Parametros Generales'!$C$11*'Parametros Generales'!$C$14</f>
        <v>12110.989579536743</v>
      </c>
      <c r="FY68" s="934"/>
      <c r="GB68" s="949" t="s">
        <v>1632</v>
      </c>
      <c r="GC68" s="950"/>
      <c r="GD68" s="950"/>
      <c r="GE68" s="950"/>
      <c r="GF68" s="950"/>
      <c r="GG68" s="950"/>
      <c r="GH68" s="951">
        <f>+GH67/'Parametros Generales'!$C$11*'Parametros Generales'!$C$14</f>
        <v>6199.4406944063012</v>
      </c>
      <c r="GM68" s="934"/>
      <c r="GP68" s="949" t="s">
        <v>1632</v>
      </c>
      <c r="GQ68" s="950"/>
      <c r="GR68" s="950"/>
      <c r="GS68" s="950"/>
      <c r="GT68" s="950"/>
      <c r="GU68" s="950"/>
      <c r="GV68" s="951">
        <f>+GV67/'Parametros Generales'!$C$11*'Parametros Generales'!$C$14</f>
        <v>0</v>
      </c>
      <c r="HA68" s="934"/>
      <c r="HD68" s="949" t="s">
        <v>1632</v>
      </c>
      <c r="HE68" s="950"/>
      <c r="HF68" s="950"/>
      <c r="HG68" s="950"/>
      <c r="HH68" s="950"/>
      <c r="HI68" s="950"/>
      <c r="HJ68" s="951">
        <f>+HJ67/'Parametros Generales'!$C$11*'Parametros Generales'!$C$14</f>
        <v>6378.0086388600894</v>
      </c>
      <c r="HO68" s="934"/>
      <c r="HR68" s="949" t="s">
        <v>1632</v>
      </c>
      <c r="HS68" s="950"/>
      <c r="HT68" s="950"/>
      <c r="HU68" s="950"/>
      <c r="HV68" s="950"/>
      <c r="HW68" s="950"/>
      <c r="HX68" s="951">
        <f>+HX67/'Parametros Generales'!$C$11*'Parametros Generales'!$C$14</f>
        <v>6635.4871469250238</v>
      </c>
      <c r="HY68" s="936">
        <f t="shared" ref="HY68:HY69" si="1053">+IF(HT68=0,0,HT68/HT$70)</f>
        <v>0</v>
      </c>
      <c r="IC68" s="934"/>
      <c r="IF68" s="659"/>
      <c r="IG68" s="120"/>
      <c r="IH68" s="120"/>
      <c r="II68" s="120"/>
      <c r="IJ68" s="120"/>
      <c r="IK68" s="120"/>
      <c r="IL68" s="915"/>
      <c r="IQ68" s="936"/>
      <c r="IT68" s="659"/>
      <c r="IU68" s="120"/>
      <c r="IV68" s="120"/>
      <c r="IW68" s="120"/>
      <c r="IX68" s="120"/>
      <c r="IY68" s="120"/>
      <c r="IZ68" s="915"/>
      <c r="JE68" s="936"/>
      <c r="JH68" s="949" t="s">
        <v>1632</v>
      </c>
      <c r="JI68" s="950"/>
      <c r="JJ68" s="950"/>
      <c r="JK68" s="950"/>
      <c r="JL68" s="950"/>
      <c r="JM68" s="950"/>
      <c r="JN68" s="951">
        <f>+JN67/'Parametros Generales'!$C$11*'Parametros Generales'!$C$14</f>
        <v>7055.9073428738948</v>
      </c>
      <c r="JS68" s="934"/>
      <c r="JV68" s="949" t="s">
        <v>1632</v>
      </c>
      <c r="JW68" s="950"/>
      <c r="JX68" s="950"/>
      <c r="JY68" s="950"/>
      <c r="JZ68" s="950"/>
      <c r="KA68" s="950"/>
      <c r="KB68" s="951">
        <f>+KB67/'Parametros Generales'!$C$11*'Parametros Generales'!$C$14</f>
        <v>6695.721025745017</v>
      </c>
      <c r="KG68" s="934"/>
      <c r="KJ68" s="949" t="s">
        <v>1632</v>
      </c>
      <c r="KK68" s="950"/>
      <c r="KL68" s="950"/>
      <c r="KM68" s="950"/>
      <c r="KN68" s="950"/>
      <c r="KO68" s="950"/>
      <c r="KP68" s="951">
        <f>+KP67/'Parametros Generales'!$C$11*'Parametros Generales'!$C$14</f>
        <v>0</v>
      </c>
      <c r="KU68" s="934"/>
      <c r="KX68" s="949" t="s">
        <v>1632</v>
      </c>
      <c r="KY68" s="950"/>
      <c r="KZ68" s="950"/>
      <c r="LA68" s="950"/>
      <c r="LB68" s="950"/>
      <c r="LC68" s="950"/>
      <c r="LD68" s="951">
        <f>+LD67/'Parametros Generales'!$C$11*'Parametros Generales'!$C$14</f>
        <v>0</v>
      </c>
      <c r="LI68" s="934"/>
      <c r="LL68" s="949" t="s">
        <v>1632</v>
      </c>
      <c r="LM68" s="950"/>
      <c r="LN68" s="950"/>
      <c r="LO68" s="950"/>
      <c r="LP68" s="950"/>
      <c r="LQ68" s="950"/>
      <c r="LR68" s="951">
        <f>+LR67/'Parametros Generales'!$C$11*'Parametros Generales'!$C$14</f>
        <v>0</v>
      </c>
      <c r="LW68" s="934"/>
      <c r="LZ68" s="949" t="s">
        <v>1632</v>
      </c>
      <c r="MA68" s="950"/>
      <c r="MB68" s="950"/>
      <c r="MC68" s="950"/>
      <c r="MD68" s="950"/>
      <c r="ME68" s="950"/>
      <c r="MF68" s="951">
        <f>+MF67/'Parametros Generales'!$C$11*'Parametros Generales'!$C$14</f>
        <v>6754.0588439798012</v>
      </c>
      <c r="MK68" s="934"/>
      <c r="MN68" s="949" t="s">
        <v>1632</v>
      </c>
      <c r="MO68" s="950"/>
      <c r="MP68" s="950"/>
      <c r="MQ68" s="950"/>
      <c r="MR68" s="950"/>
      <c r="MS68" s="950"/>
      <c r="MT68" s="951">
        <f>+MT67/'Parametros Generales'!$C$11*'Parametros Generales'!$C$14</f>
        <v>6595.1374564771004</v>
      </c>
      <c r="MY68" s="934"/>
      <c r="NB68" s="949" t="s">
        <v>1632</v>
      </c>
      <c r="NC68" s="950"/>
      <c r="ND68" s="950"/>
      <c r="NE68" s="950"/>
      <c r="NF68" s="950"/>
      <c r="NG68" s="950"/>
      <c r="NH68" s="951">
        <f>+NH67/'Parametros Generales'!$C$11*'Parametros Generales'!$C$14</f>
        <v>6274.9096654347259</v>
      </c>
      <c r="NM68" s="934"/>
      <c r="NP68" s="949" t="s">
        <v>1632</v>
      </c>
      <c r="NQ68" s="950"/>
      <c r="NR68" s="950"/>
      <c r="NS68" s="950"/>
      <c r="NT68" s="950"/>
      <c r="NU68" s="950"/>
      <c r="NV68" s="951">
        <f>+NV67/'Parametros Generales'!$C$11*'Parametros Generales'!$C$14</f>
        <v>12907.36762235332</v>
      </c>
      <c r="OA68" s="934"/>
      <c r="OD68" s="949" t="s">
        <v>1632</v>
      </c>
      <c r="OE68" s="950"/>
      <c r="OF68" s="950"/>
      <c r="OG68" s="950"/>
      <c r="OH68" s="950"/>
      <c r="OI68" s="950"/>
      <c r="OJ68" s="951">
        <f>+OJ67/'Parametros Generales'!$C$11*'Parametros Generales'!$C$14</f>
        <v>9389.3657438818354</v>
      </c>
      <c r="OO68" s="934"/>
      <c r="OR68" s="949" t="s">
        <v>1632</v>
      </c>
      <c r="OS68" s="950"/>
      <c r="OT68" s="950"/>
      <c r="OU68" s="950"/>
      <c r="OV68" s="950"/>
      <c r="OW68" s="950"/>
      <c r="OX68" s="951">
        <f>+OX67/'Parametros Generales'!$C$11*'Parametros Generales'!$C$14</f>
        <v>7424.54715648008</v>
      </c>
      <c r="PC68" s="934"/>
      <c r="PF68" s="949" t="s">
        <v>1632</v>
      </c>
      <c r="PG68" s="950"/>
      <c r="PH68" s="950"/>
      <c r="PI68" s="950"/>
      <c r="PJ68" s="950"/>
      <c r="PK68" s="950"/>
      <c r="PL68" s="951">
        <f>+PL67/'Parametros Generales'!$C$11*'Parametros Generales'!$C$14</f>
        <v>0</v>
      </c>
      <c r="PQ68" s="934"/>
      <c r="PT68" s="949" t="s">
        <v>1632</v>
      </c>
      <c r="PU68" s="950"/>
      <c r="PV68" s="950"/>
      <c r="PW68" s="950"/>
      <c r="PX68" s="950"/>
      <c r="PY68" s="950"/>
      <c r="PZ68" s="951">
        <f>+PZ67/'Parametros Generales'!$C$11*'Parametros Generales'!$C$14</f>
        <v>0</v>
      </c>
      <c r="QE68" s="934"/>
      <c r="QH68" s="949" t="s">
        <v>1632</v>
      </c>
      <c r="QI68" s="950"/>
      <c r="QJ68" s="950"/>
      <c r="QK68" s="950"/>
      <c r="QL68" s="950"/>
      <c r="QM68" s="950"/>
      <c r="QN68" s="951">
        <f>+QN67/'Parametros Generales'!$C$11*'Parametros Generales'!$C$14</f>
        <v>0</v>
      </c>
      <c r="QS68" s="934"/>
      <c r="QV68" s="949" t="s">
        <v>1632</v>
      </c>
      <c r="QW68" s="950"/>
      <c r="QX68" s="950"/>
      <c r="QY68" s="950"/>
      <c r="QZ68" s="950"/>
      <c r="RA68" s="950"/>
      <c r="RB68" s="951">
        <f>+RB67/'Parametros Generales'!$C$11*'Parametros Generales'!$C$14</f>
        <v>12907.367622353324</v>
      </c>
      <c r="RG68" s="934"/>
      <c r="RJ68" s="949" t="s">
        <v>1632</v>
      </c>
      <c r="RK68" s="950"/>
      <c r="RL68" s="950"/>
      <c r="RM68" s="950"/>
      <c r="RN68" s="950"/>
      <c r="RO68" s="950"/>
      <c r="RP68" s="951">
        <f>+RP67/'Parametros Generales'!$C$11*'Parametros Generales'!$C$14</f>
        <v>14689.90361733437</v>
      </c>
      <c r="RU68" s="934"/>
      <c r="RX68" s="949" t="s">
        <v>1632</v>
      </c>
      <c r="RY68" s="950"/>
      <c r="RZ68" s="950"/>
      <c r="SA68" s="950"/>
      <c r="SB68" s="950"/>
      <c r="SC68" s="950"/>
      <c r="SD68" s="951">
        <f>+SD67/'Parametros Generales'!$C$11*'Parametros Generales'!$C$14</f>
        <v>12907.367622353326</v>
      </c>
      <c r="SI68" s="934"/>
      <c r="SL68" s="949" t="s">
        <v>1632</v>
      </c>
      <c r="SM68" s="950"/>
      <c r="SN68" s="950"/>
      <c r="SO68" s="950"/>
      <c r="SP68" s="950"/>
      <c r="SQ68" s="950"/>
      <c r="SR68" s="951">
        <f>+SR67/'Parametros Generales'!$C$11*'Parametros Generales'!$C$14</f>
        <v>0</v>
      </c>
      <c r="SW68" s="934"/>
      <c r="SZ68" s="949" t="s">
        <v>1632</v>
      </c>
      <c r="TA68" s="950"/>
      <c r="TB68" s="950"/>
      <c r="TC68" s="950"/>
      <c r="TD68" s="950"/>
      <c r="TE68" s="950"/>
      <c r="TF68" s="951">
        <f>+TF67/'Parametros Generales'!$C$11*'Parametros Generales'!$C$14</f>
        <v>7744.6274799698149</v>
      </c>
      <c r="TK68" s="934"/>
      <c r="TM68" s="940"/>
      <c r="TN68" s="725"/>
    </row>
    <row r="69" spans="1:534" ht="18.75" customHeight="1" thickBot="1">
      <c r="B69" s="1202" t="s">
        <v>1633</v>
      </c>
      <c r="C69" s="1203"/>
      <c r="D69" s="1203"/>
      <c r="E69" s="1203"/>
      <c r="F69" s="1203"/>
      <c r="G69" s="1204"/>
      <c r="H69" s="952">
        <f>+H68*H66</f>
        <v>4542323.8864097614</v>
      </c>
      <c r="M69" s="933">
        <f>+IF(H69=0,0,H69/H$72)</f>
        <v>2.4669958218933689E-2</v>
      </c>
      <c r="P69" s="659"/>
      <c r="Q69" s="120"/>
      <c r="R69" s="120"/>
      <c r="S69" s="120"/>
      <c r="T69" s="120"/>
      <c r="U69" s="120"/>
      <c r="V69" s="915"/>
      <c r="AA69" s="932"/>
      <c r="AD69" s="659"/>
      <c r="AE69" s="120"/>
      <c r="AF69" s="120"/>
      <c r="AG69" s="120"/>
      <c r="AH69" s="120"/>
      <c r="AI69" s="120"/>
      <c r="AJ69" s="915"/>
      <c r="AO69" s="932"/>
      <c r="AR69" s="1202" t="s">
        <v>1633</v>
      </c>
      <c r="AS69" s="1203"/>
      <c r="AT69" s="1203"/>
      <c r="AU69" s="1203"/>
      <c r="AV69" s="1203"/>
      <c r="AW69" s="1204"/>
      <c r="AX69" s="952">
        <f>+AX68*AX66</f>
        <v>0</v>
      </c>
      <c r="BC69" s="933">
        <f>+IF(AX69=0,0,AX69/AX$72)</f>
        <v>0</v>
      </c>
      <c r="BF69" s="1202" t="s">
        <v>1633</v>
      </c>
      <c r="BG69" s="1203"/>
      <c r="BH69" s="1203"/>
      <c r="BI69" s="1203"/>
      <c r="BJ69" s="1203"/>
      <c r="BK69" s="1204"/>
      <c r="BL69" s="952">
        <f>+BL68*BL66</f>
        <v>11480415.549948163</v>
      </c>
      <c r="BQ69" s="933">
        <f>+IF(BL69=0,0,BL69/BL$72)</f>
        <v>2.466429015019506E-2</v>
      </c>
      <c r="BT69" s="1202" t="s">
        <v>1633</v>
      </c>
      <c r="BU69" s="1203"/>
      <c r="BV69" s="1203"/>
      <c r="BW69" s="1203"/>
      <c r="BX69" s="1203"/>
      <c r="BY69" s="1204"/>
      <c r="BZ69" s="952">
        <f>+BZ68*BZ66</f>
        <v>0</v>
      </c>
      <c r="CE69" s="933">
        <f>+IF(BZ69=0,0,BZ69/BZ$72)</f>
        <v>0</v>
      </c>
      <c r="CH69" s="1202" t="s">
        <v>1633</v>
      </c>
      <c r="CI69" s="1203"/>
      <c r="CJ69" s="1203"/>
      <c r="CK69" s="1203"/>
      <c r="CL69" s="1203"/>
      <c r="CM69" s="1204"/>
      <c r="CN69" s="952">
        <f>+CN68*CN66</f>
        <v>636725.1618921099</v>
      </c>
      <c r="CS69" s="933">
        <f>+IF(CN69=0,0,CN69/CN$72)</f>
        <v>2.4663730620932363E-2</v>
      </c>
      <c r="CV69" s="1202" t="s">
        <v>1633</v>
      </c>
      <c r="CW69" s="1203"/>
      <c r="CX69" s="1203"/>
      <c r="CY69" s="1203"/>
      <c r="CZ69" s="1203"/>
      <c r="DA69" s="1204"/>
      <c r="DB69" s="952">
        <f>+DB68*DB66</f>
        <v>9186204.5968159214</v>
      </c>
      <c r="DG69" s="933">
        <f>+IF(DB69=0,0,DB69/DB$72)</f>
        <v>2.4696593515642355E-2</v>
      </c>
      <c r="DJ69" s="1202" t="s">
        <v>1633</v>
      </c>
      <c r="DK69" s="1203"/>
      <c r="DL69" s="1203"/>
      <c r="DM69" s="1203"/>
      <c r="DN69" s="1203"/>
      <c r="DO69" s="1204"/>
      <c r="DP69" s="952">
        <f>+DP68*DP66</f>
        <v>718030.30426431191</v>
      </c>
      <c r="DU69" s="933">
        <f>+IF(DP69=0,0,DP69/DP$72)</f>
        <v>2.4701352743294765E-2</v>
      </c>
      <c r="DX69" s="1202" t="s">
        <v>1633</v>
      </c>
      <c r="DY69" s="1203"/>
      <c r="DZ69" s="1203"/>
      <c r="EA69" s="1203"/>
      <c r="EB69" s="1203"/>
      <c r="EC69" s="1204"/>
      <c r="ED69" s="952">
        <f>+ED68*ED66</f>
        <v>3377029.4219899019</v>
      </c>
      <c r="EI69" s="933">
        <f>+IF(ED69=0,0,ED69/ED$72)</f>
        <v>2.4682744489970206E-2</v>
      </c>
      <c r="EL69" s="1202" t="s">
        <v>1633</v>
      </c>
      <c r="EM69" s="1203"/>
      <c r="EN69" s="1203"/>
      <c r="EO69" s="1203"/>
      <c r="EP69" s="1203"/>
      <c r="EQ69" s="1204"/>
      <c r="ER69" s="952">
        <f>+ER68*ER66</f>
        <v>5740207.7749740817</v>
      </c>
      <c r="ES69" s="933">
        <f>+IF(EN69=0,0,EN69/EN$72)</f>
        <v>0</v>
      </c>
      <c r="EW69" s="933">
        <f>+IF(ER69=0,0,ER69/ER$72)</f>
        <v>2.466429015019506E-2</v>
      </c>
      <c r="EZ69" s="1202" t="s">
        <v>1633</v>
      </c>
      <c r="FA69" s="1203"/>
      <c r="FB69" s="1203"/>
      <c r="FC69" s="1203"/>
      <c r="FD69" s="1203"/>
      <c r="FE69" s="1204"/>
      <c r="FF69" s="952">
        <f>+FF68*FF66</f>
        <v>0</v>
      </c>
      <c r="FK69" s="933">
        <f>+IF(FF69=0,0,FF69/FF$72)</f>
        <v>0</v>
      </c>
      <c r="FN69" s="1202" t="s">
        <v>1633</v>
      </c>
      <c r="FO69" s="1203"/>
      <c r="FP69" s="1203"/>
      <c r="FQ69" s="1203"/>
      <c r="FR69" s="1203"/>
      <c r="FS69" s="1204"/>
      <c r="FT69" s="952">
        <f>+FT68*FT66</f>
        <v>7872143.2266988829</v>
      </c>
      <c r="FY69" s="933">
        <f>+IF(FT69=0,0,FT69/FT$72)</f>
        <v>2.4822074168291266E-2</v>
      </c>
      <c r="GB69" s="1202" t="s">
        <v>1633</v>
      </c>
      <c r="GC69" s="1203"/>
      <c r="GD69" s="1203"/>
      <c r="GE69" s="1203"/>
      <c r="GF69" s="1203"/>
      <c r="GG69" s="1204"/>
      <c r="GH69" s="952">
        <f>+GH68*GH66</f>
        <v>3719664.4166437807</v>
      </c>
      <c r="GM69" s="933">
        <f>+IF(GH69=0,0,GH69/GH$72)</f>
        <v>2.46547539417107E-2</v>
      </c>
      <c r="GP69" s="1202" t="s">
        <v>1633</v>
      </c>
      <c r="GQ69" s="1203"/>
      <c r="GR69" s="1203"/>
      <c r="GS69" s="1203"/>
      <c r="GT69" s="1203"/>
      <c r="GU69" s="1204"/>
      <c r="GV69" s="952">
        <f>+GV68*GV66</f>
        <v>0</v>
      </c>
      <c r="HA69" s="933">
        <f>+IF(GV69=0,0,GV69/GV$72)</f>
        <v>0</v>
      </c>
      <c r="HD69" s="1202" t="s">
        <v>1633</v>
      </c>
      <c r="HE69" s="1203"/>
      <c r="HF69" s="1203"/>
      <c r="HG69" s="1203"/>
      <c r="HH69" s="1203"/>
      <c r="HI69" s="1204"/>
      <c r="HJ69" s="952">
        <f>+HJ68*HJ66</f>
        <v>1913402.5916580269</v>
      </c>
      <c r="HO69" s="933">
        <f>+IF(HJ69=0,0,HJ69/HJ$72)</f>
        <v>2.4664290150195067E-2</v>
      </c>
      <c r="HR69" s="1202" t="s">
        <v>1633</v>
      </c>
      <c r="HS69" s="1203"/>
      <c r="HT69" s="1203"/>
      <c r="HU69" s="1203"/>
      <c r="HV69" s="1203"/>
      <c r="HW69" s="1204"/>
      <c r="HX69" s="952">
        <f>+HX68*HX66</f>
        <v>7299035.861617526</v>
      </c>
      <c r="HY69" s="932">
        <f t="shared" si="1053"/>
        <v>0</v>
      </c>
      <c r="IC69" s="933">
        <f>+IF(HX69=0,0,HX69/HX$72)</f>
        <v>2.4677148558801078E-2</v>
      </c>
      <c r="IF69" s="659"/>
      <c r="IG69" s="120"/>
      <c r="IH69" s="120"/>
      <c r="II69" s="120"/>
      <c r="IJ69" s="120"/>
      <c r="IK69" s="120"/>
      <c r="IL69" s="915"/>
      <c r="IQ69" s="932"/>
      <c r="IT69" s="659"/>
      <c r="IU69" s="120"/>
      <c r="IV69" s="120"/>
      <c r="IW69" s="120"/>
      <c r="IX69" s="120"/>
      <c r="IY69" s="120"/>
      <c r="IZ69" s="915"/>
      <c r="JE69" s="932"/>
      <c r="JH69" s="1202" t="s">
        <v>1633</v>
      </c>
      <c r="JI69" s="1203"/>
      <c r="JJ69" s="1203"/>
      <c r="JK69" s="1203"/>
      <c r="JL69" s="1203"/>
      <c r="JM69" s="1204"/>
      <c r="JN69" s="952">
        <f>+JN68*JN66</f>
        <v>10583861.014310842</v>
      </c>
      <c r="JS69" s="933">
        <f>+IF(JN69=0,0,JN69/JN$72)</f>
        <v>2.4696151582243572E-2</v>
      </c>
      <c r="JV69" s="1202" t="s">
        <v>1633</v>
      </c>
      <c r="JW69" s="1203"/>
      <c r="JX69" s="1203"/>
      <c r="JY69" s="1203"/>
      <c r="JZ69" s="1203"/>
      <c r="KA69" s="1204"/>
      <c r="KB69" s="952">
        <f>+KB68*KB66</f>
        <v>4352218.6667342614</v>
      </c>
      <c r="KG69" s="933">
        <f>+IF(KB69=0,0,KB69/KB$72)</f>
        <v>2.4680015716845315E-2</v>
      </c>
      <c r="KJ69" s="1202" t="s">
        <v>1633</v>
      </c>
      <c r="KK69" s="1203"/>
      <c r="KL69" s="1203"/>
      <c r="KM69" s="1203"/>
      <c r="KN69" s="1203"/>
      <c r="KO69" s="1204"/>
      <c r="KP69" s="952">
        <f>+KP68*KP66</f>
        <v>0</v>
      </c>
      <c r="KU69" s="933">
        <f>+IF(KP69=0,0,KP69/KP$72)</f>
        <v>0</v>
      </c>
      <c r="KX69" s="1202" t="s">
        <v>1633</v>
      </c>
      <c r="KY69" s="1203"/>
      <c r="KZ69" s="1203"/>
      <c r="LA69" s="1203"/>
      <c r="LB69" s="1203"/>
      <c r="LC69" s="1204"/>
      <c r="LD69" s="952">
        <f>+LD68*LD66</f>
        <v>0</v>
      </c>
      <c r="LI69" s="933">
        <f>+IF(LD69=0,0,LD69/LD$72)</f>
        <v>0</v>
      </c>
      <c r="LL69" s="1202" t="s">
        <v>1633</v>
      </c>
      <c r="LM69" s="1203"/>
      <c r="LN69" s="1203"/>
      <c r="LO69" s="1203"/>
      <c r="LP69" s="1203"/>
      <c r="LQ69" s="1204"/>
      <c r="LR69" s="952">
        <f>+LR68*LR66</f>
        <v>0</v>
      </c>
      <c r="LW69" s="933">
        <f>+IF(LR69=0,0,LR69/LR$72)</f>
        <v>0</v>
      </c>
      <c r="LZ69" s="1202" t="s">
        <v>1633</v>
      </c>
      <c r="MA69" s="1203"/>
      <c r="MB69" s="1203"/>
      <c r="MC69" s="1203"/>
      <c r="MD69" s="1203"/>
      <c r="ME69" s="1204"/>
      <c r="MF69" s="952">
        <f>+MF68*MF66</f>
        <v>3039326.4797909106</v>
      </c>
      <c r="MK69" s="933">
        <f>+IF(MF69=0,0,MF69/MF$72)</f>
        <v>2.4682744489970199E-2</v>
      </c>
      <c r="MN69" s="1202" t="s">
        <v>1633</v>
      </c>
      <c r="MO69" s="1203"/>
      <c r="MP69" s="1203"/>
      <c r="MQ69" s="1203"/>
      <c r="MR69" s="1203"/>
      <c r="MS69" s="1204"/>
      <c r="MT69" s="952">
        <f>+MT68*MT66</f>
        <v>3957082.4738862603</v>
      </c>
      <c r="MY69" s="933">
        <f>+IF(MT69=0,0,MT69/MT$72)</f>
        <v>2.4675198984730751E-2</v>
      </c>
      <c r="NB69" s="1202" t="s">
        <v>1633</v>
      </c>
      <c r="NC69" s="1203"/>
      <c r="ND69" s="1203"/>
      <c r="NE69" s="1203"/>
      <c r="NF69" s="1203"/>
      <c r="NG69" s="1204"/>
      <c r="NH69" s="952">
        <f>+NH68*NH66</f>
        <v>4392436.7658043085</v>
      </c>
      <c r="NM69" s="933">
        <f>+IF(NH69=0,0,NH69/NH$72)</f>
        <v>2.4658849588374047E-2</v>
      </c>
      <c r="NP69" s="1202" t="s">
        <v>1633</v>
      </c>
      <c r="NQ69" s="1203"/>
      <c r="NR69" s="1203"/>
      <c r="NS69" s="1203"/>
      <c r="NT69" s="1203"/>
      <c r="NU69" s="1204"/>
      <c r="NV69" s="952">
        <f>+NV68*NV66</f>
        <v>10325894.097882656</v>
      </c>
      <c r="OA69" s="933">
        <f>+IF(NV69=0,0,NV69/NV$72)</f>
        <v>2.4832978760038302E-2</v>
      </c>
      <c r="OD69" s="1202" t="s">
        <v>1633</v>
      </c>
      <c r="OE69" s="1203"/>
      <c r="OF69" s="1203"/>
      <c r="OG69" s="1203"/>
      <c r="OH69" s="1203"/>
      <c r="OI69" s="1204"/>
      <c r="OJ69" s="952">
        <f>+OJ68*OJ66</f>
        <v>1877873.1487763671</v>
      </c>
      <c r="OO69" s="933">
        <f>+IF(OJ69=0,0,OJ69/OJ$72)</f>
        <v>2.4770972638810836E-2</v>
      </c>
      <c r="OR69" s="1202" t="s">
        <v>1633</v>
      </c>
      <c r="OS69" s="1203"/>
      <c r="OT69" s="1203"/>
      <c r="OU69" s="1203"/>
      <c r="OV69" s="1203"/>
      <c r="OW69" s="1204"/>
      <c r="OX69" s="952">
        <f>+OX68*OX66</f>
        <v>7424547.1564800804</v>
      </c>
      <c r="PC69" s="933">
        <f>+IF(OX69=0,0,OX69/OX$72)</f>
        <v>2.4711063746521052E-2</v>
      </c>
      <c r="PF69" s="1202" t="s">
        <v>1633</v>
      </c>
      <c r="PG69" s="1203"/>
      <c r="PH69" s="1203"/>
      <c r="PI69" s="1203"/>
      <c r="PJ69" s="1203"/>
      <c r="PK69" s="1204"/>
      <c r="PL69" s="952">
        <f>+PL68*PL66</f>
        <v>0</v>
      </c>
      <c r="PQ69" s="933">
        <f>+IF(PL69=0,0,PL69/PL$72)</f>
        <v>0</v>
      </c>
      <c r="PT69" s="1202" t="s">
        <v>1633</v>
      </c>
      <c r="PU69" s="1203"/>
      <c r="PV69" s="1203"/>
      <c r="PW69" s="1203"/>
      <c r="PX69" s="1203"/>
      <c r="PY69" s="1204"/>
      <c r="PZ69" s="952">
        <f>+PZ68*PZ66</f>
        <v>0</v>
      </c>
      <c r="QE69" s="933">
        <f>+IF(PZ69=0,0,PZ69/PZ$72)</f>
        <v>0</v>
      </c>
      <c r="QH69" s="1202" t="s">
        <v>1633</v>
      </c>
      <c r="QI69" s="1203"/>
      <c r="QJ69" s="1203"/>
      <c r="QK69" s="1203"/>
      <c r="QL69" s="1203"/>
      <c r="QM69" s="1204"/>
      <c r="QN69" s="952">
        <f>+QN68*QN66</f>
        <v>0</v>
      </c>
      <c r="QS69" s="933">
        <f>+IF(QN69=0,0,QN69/QN$72)</f>
        <v>0</v>
      </c>
      <c r="QV69" s="1202" t="s">
        <v>1633</v>
      </c>
      <c r="QW69" s="1203"/>
      <c r="QX69" s="1203"/>
      <c r="QY69" s="1203"/>
      <c r="QZ69" s="1203"/>
      <c r="RA69" s="1204"/>
      <c r="RB69" s="952">
        <f>+RB68*RB66</f>
        <v>7744420.5734119946</v>
      </c>
      <c r="RG69" s="933">
        <f>+IF(RB69=0,0,RB69/RB$72)</f>
        <v>2.4832978760038309E-2</v>
      </c>
      <c r="RJ69" s="1202" t="s">
        <v>1633</v>
      </c>
      <c r="RK69" s="1203"/>
      <c r="RL69" s="1203"/>
      <c r="RM69" s="1203"/>
      <c r="RN69" s="1203"/>
      <c r="RO69" s="1204"/>
      <c r="RP69" s="952">
        <f>+RP68*RP66</f>
        <v>1468990.3617334371</v>
      </c>
      <c r="RU69" s="933">
        <f>+IF(RP69=0,0,RP69/RP$72)</f>
        <v>2.4853126766985756E-2</v>
      </c>
      <c r="RX69" s="1202" t="s">
        <v>1633</v>
      </c>
      <c r="RY69" s="1203"/>
      <c r="RZ69" s="1203"/>
      <c r="SA69" s="1203"/>
      <c r="SB69" s="1203"/>
      <c r="SC69" s="1204"/>
      <c r="SD69" s="952">
        <f>+SD68*SD66</f>
        <v>4517578.6678236639</v>
      </c>
      <c r="SI69" s="933">
        <f>+IF(SD69=0,0,SD69/SD$72)</f>
        <v>2.4832978760038302E-2</v>
      </c>
      <c r="SL69" s="1202" t="s">
        <v>1633</v>
      </c>
      <c r="SM69" s="1203"/>
      <c r="SN69" s="1203"/>
      <c r="SO69" s="1203"/>
      <c r="SP69" s="1203"/>
      <c r="SQ69" s="1204"/>
      <c r="SR69" s="952">
        <f>+SR68*SR66</f>
        <v>0</v>
      </c>
      <c r="SW69" s="933">
        <f>+IF(SR69=0,0,SR69/SR$72)</f>
        <v>0</v>
      </c>
      <c r="SZ69" s="1202" t="s">
        <v>1633</v>
      </c>
      <c r="TA69" s="1203"/>
      <c r="TB69" s="1203"/>
      <c r="TC69" s="1203"/>
      <c r="TD69" s="1203"/>
      <c r="TE69" s="1204"/>
      <c r="TF69" s="952">
        <f>+TF68*TF66</f>
        <v>116169412.19954722</v>
      </c>
      <c r="TK69" s="933">
        <f>+IF(TF69=0,0,TF69/TF$72)</f>
        <v>2.4722872917468389E-2</v>
      </c>
      <c r="TM69" s="940"/>
      <c r="TN69" s="725"/>
    </row>
    <row r="70" spans="1:534" ht="18.75" customHeight="1" thickBot="1">
      <c r="B70" s="949" t="s">
        <v>1642</v>
      </c>
      <c r="C70" s="950"/>
      <c r="D70" s="950"/>
      <c r="E70" s="950"/>
      <c r="F70" s="950"/>
      <c r="G70" s="950"/>
      <c r="H70" s="951">
        <f>+(((((((H21/E11/H66)*'Parametros Generales'!$C$15*'Parametros Generales'!$C$16))*(1+G40))*(1+G46+G47))*(1+G59))*(1+G63))</f>
        <v>3472.4864314643764</v>
      </c>
      <c r="M70" s="961"/>
      <c r="P70" s="659"/>
      <c r="Q70" s="120"/>
      <c r="R70" s="120"/>
      <c r="S70" s="120"/>
      <c r="T70" s="120"/>
      <c r="U70" s="120"/>
      <c r="V70" s="915"/>
      <c r="AA70" s="935"/>
      <c r="AD70" s="659"/>
      <c r="AE70" s="120"/>
      <c r="AF70" s="120"/>
      <c r="AG70" s="120"/>
      <c r="AH70" s="120"/>
      <c r="AI70" s="120"/>
      <c r="AJ70" s="915"/>
      <c r="AO70" s="935"/>
      <c r="AR70" s="949" t="s">
        <v>1634</v>
      </c>
      <c r="AS70" s="950"/>
      <c r="AT70" s="950"/>
      <c r="AU70" s="950"/>
      <c r="AV70" s="950"/>
      <c r="AW70" s="950"/>
      <c r="AX70" s="951">
        <f>+IF(AX66=0,0,((((((AX21/AU11/AX66)*'Parametros Generales'!$C$15*'Parametros Generales'!$C$16))*(1+AW40))*(1+AW46+AW47))*(1+AW59))*(1+AW63))</f>
        <v>0</v>
      </c>
      <c r="BC70" s="961"/>
      <c r="BF70" s="949" t="s">
        <v>1642</v>
      </c>
      <c r="BG70" s="950"/>
      <c r="BH70" s="950"/>
      <c r="BI70" s="950"/>
      <c r="BJ70" s="950"/>
      <c r="BK70" s="950"/>
      <c r="BL70" s="951">
        <f>+(((((((BL21/BI11/BL66)*'Parametros Generales'!$C$15*'Parametros Generales'!$C$16))*(1+BK40))*(1+BK46+BK47))*(1+BK59))*(1+BK63))</f>
        <v>3472.4864314643769</v>
      </c>
      <c r="BQ70" s="961"/>
      <c r="BT70" s="949" t="s">
        <v>1634</v>
      </c>
      <c r="BU70" s="950"/>
      <c r="BV70" s="950"/>
      <c r="BW70" s="950"/>
      <c r="BX70" s="950"/>
      <c r="BY70" s="950"/>
      <c r="BZ70" s="951">
        <f>+IF(BZ66=0,0,((((((BZ21/BW11/BZ66)*'Parametros Generales'!$C$15*'Parametros Generales'!$C$16))*(1+BY40))*(1+BY46+BY47))*(1+BY59))*(1+BY63))</f>
        <v>0</v>
      </c>
      <c r="CE70" s="961"/>
      <c r="CH70" s="949" t="s">
        <v>1642</v>
      </c>
      <c r="CI70" s="950"/>
      <c r="CJ70" s="950"/>
      <c r="CK70" s="950"/>
      <c r="CL70" s="950"/>
      <c r="CM70" s="950"/>
      <c r="CN70" s="951">
        <f>+(((((((CN21/CK11/CN66)*'Parametros Generales'!$C$15*'Parametros Generales'!$C$16))*(1+CM40))*(1+CM46+CM47))*(1+CM59))*(1+CM63))</f>
        <v>3472.4864314643764</v>
      </c>
      <c r="CS70" s="961"/>
      <c r="CV70" s="949" t="s">
        <v>1642</v>
      </c>
      <c r="CW70" s="950"/>
      <c r="CX70" s="950"/>
      <c r="CY70" s="950"/>
      <c r="CZ70" s="950"/>
      <c r="DA70" s="950"/>
      <c r="DB70" s="951">
        <f>+(((((((DB21/CY11/DB66)*'Parametros Generales'!$C$15*'Parametros Generales'!$C$16))*(1+DA40))*(1+DA46+DA47))*(1+DA59))*(1+DA63))</f>
        <v>3472.4864314643769</v>
      </c>
      <c r="DG70" s="961"/>
      <c r="DJ70" s="949" t="s">
        <v>1642</v>
      </c>
      <c r="DK70" s="950"/>
      <c r="DL70" s="950"/>
      <c r="DM70" s="950"/>
      <c r="DN70" s="950"/>
      <c r="DO70" s="950"/>
      <c r="DP70" s="951">
        <f>+(((((((DP21/DM11/DP66)*'Parametros Generales'!$C$15*'Parametros Generales'!$C$16))*(1+DO40))*(1+DO46+DO47))*(1+DO59))*(1+DO63))</f>
        <v>3472.4864314643764</v>
      </c>
      <c r="DU70" s="961"/>
      <c r="DX70" s="949" t="s">
        <v>1642</v>
      </c>
      <c r="DY70" s="950"/>
      <c r="DZ70" s="950"/>
      <c r="EA70" s="950"/>
      <c r="EB70" s="950"/>
      <c r="EC70" s="950"/>
      <c r="ED70" s="951">
        <f>+(((((((ED21/EA11/ED66)*'Parametros Generales'!$C$15*'Parametros Generales'!$C$16))*(1+EC40))*(1+EC46+EC47))*(1+EC59))*(1+EC63))</f>
        <v>3472.4864314643769</v>
      </c>
      <c r="EI70" s="961"/>
      <c r="EL70" s="949" t="s">
        <v>1642</v>
      </c>
      <c r="EM70" s="950"/>
      <c r="EN70" s="950"/>
      <c r="EO70" s="950"/>
      <c r="EP70" s="950"/>
      <c r="EQ70" s="950"/>
      <c r="ER70" s="951">
        <f>+(((((((ER21/EO11/ER66)*'Parametros Generales'!$C$15*'Parametros Generales'!$C$16))*(1+EQ40))*(1+EQ46+EQ47))*(1+EQ59))*(1+EQ63))</f>
        <v>3472.4864314643769</v>
      </c>
      <c r="ES70" s="961"/>
      <c r="EW70" s="961"/>
      <c r="EZ70" s="949" t="s">
        <v>1634</v>
      </c>
      <c r="FA70" s="950"/>
      <c r="FB70" s="950"/>
      <c r="FC70" s="950"/>
      <c r="FD70" s="950"/>
      <c r="FE70" s="950"/>
      <c r="FF70" s="951">
        <f>+IF(FF66=0,0,((((((FF21/FC11/FF66)*'Parametros Generales'!$C$15*'Parametros Generales'!$C$16))*(1+FE40))*(1+FE46+FE47))*(1+FE59))*(1+FE63))</f>
        <v>0</v>
      </c>
      <c r="FK70" s="961"/>
      <c r="FN70" s="949" t="s">
        <v>1642</v>
      </c>
      <c r="FO70" s="950"/>
      <c r="FP70" s="950"/>
      <c r="FQ70" s="950"/>
      <c r="FR70" s="950"/>
      <c r="FS70" s="950"/>
      <c r="FT70" s="951">
        <f>+(((((((FT21/FQ11/FT66)*'Parametros Generales'!$C$15*'Parametros Generales'!$C$16))*(1+FS40))*(1+FS46+FS47))*(1+FS59))*(1+FS63))</f>
        <v>3472.4864314643769</v>
      </c>
      <c r="FY70" s="961"/>
      <c r="GB70" s="949" t="s">
        <v>1642</v>
      </c>
      <c r="GC70" s="950"/>
      <c r="GD70" s="950"/>
      <c r="GE70" s="950"/>
      <c r="GF70" s="950"/>
      <c r="GG70" s="950"/>
      <c r="GH70" s="951">
        <f>+(((((((GH21/GE11/GH66)*'Parametros Generales'!$C$15*'Parametros Generales'!$C$16))*(1+GG40))*(1+GG46+GG47))*(1+GG59))*(1+GG63))</f>
        <v>3472.4864314643764</v>
      </c>
      <c r="GM70" s="961"/>
      <c r="GP70" s="949" t="s">
        <v>1634</v>
      </c>
      <c r="GQ70" s="950"/>
      <c r="GR70" s="950"/>
      <c r="GS70" s="950"/>
      <c r="GT70" s="950"/>
      <c r="GU70" s="950"/>
      <c r="GV70" s="951">
        <f>+IF(GV66=0,0,((((((GV21/GS11/GV66)*'Parametros Generales'!$C$15*'Parametros Generales'!$C$16))*(1+GU40))*(1+GU46+GU47))*(1+GU59))*(1+GU63))</f>
        <v>0</v>
      </c>
      <c r="HA70" s="961"/>
      <c r="HD70" s="949" t="s">
        <v>1642</v>
      </c>
      <c r="HE70" s="950"/>
      <c r="HF70" s="950"/>
      <c r="HG70" s="950"/>
      <c r="HH70" s="950"/>
      <c r="HI70" s="950"/>
      <c r="HJ70" s="951">
        <f>+(((((((HJ21/HG11/HJ66)*'Parametros Generales'!$C$15*'Parametros Generales'!$C$16))*(1+HI40))*(1+HI46+HI47))*(1+HI59))*(1+HI63))</f>
        <v>3472.4864314643764</v>
      </c>
      <c r="HO70" s="961"/>
      <c r="HR70" s="949" t="s">
        <v>1642</v>
      </c>
      <c r="HS70" s="950"/>
      <c r="HT70" s="950"/>
      <c r="HU70" s="950"/>
      <c r="HV70" s="950"/>
      <c r="HW70" s="950"/>
      <c r="HX70" s="951">
        <f>+(((((((HX21/HU11/HX66)*'Parametros Generales'!$C$15*'Parametros Generales'!$C$16))*(1+HW40))*(1+HW46+HW47))*(1+HW59))*(1+HW63))</f>
        <v>3472.4864314643764</v>
      </c>
      <c r="HY70" s="935" t="e">
        <f>+HY65+HY68+HY69</f>
        <v>#DIV/0!</v>
      </c>
      <c r="IC70" s="961"/>
      <c r="IF70" s="659"/>
      <c r="IG70" s="120"/>
      <c r="IH70" s="120"/>
      <c r="II70" s="120"/>
      <c r="IJ70" s="120"/>
      <c r="IK70" s="120"/>
      <c r="IL70" s="915"/>
      <c r="IQ70" s="935"/>
      <c r="IT70" s="659"/>
      <c r="IU70" s="120"/>
      <c r="IV70" s="120"/>
      <c r="IW70" s="120"/>
      <c r="IX70" s="120"/>
      <c r="IY70" s="120"/>
      <c r="IZ70" s="915"/>
      <c r="JE70" s="935"/>
      <c r="JH70" s="949" t="s">
        <v>1642</v>
      </c>
      <c r="JI70" s="950"/>
      <c r="JJ70" s="950"/>
      <c r="JK70" s="950"/>
      <c r="JL70" s="950"/>
      <c r="JM70" s="950"/>
      <c r="JN70" s="951">
        <f>+(((((((JN21/JK11/JN66)*'Parametros Generales'!$C$15*'Parametros Generales'!$C$16))*(1+JM40))*(1+JM46+JM47))*(1+JM59))*(1+JM63))</f>
        <v>3472.4864314643764</v>
      </c>
      <c r="JS70" s="961"/>
      <c r="JV70" s="949" t="s">
        <v>1642</v>
      </c>
      <c r="JW70" s="950"/>
      <c r="JX70" s="950"/>
      <c r="JY70" s="950"/>
      <c r="JZ70" s="950"/>
      <c r="KA70" s="950"/>
      <c r="KB70" s="951">
        <f>+(((((((KB21/JY11/KB66)*'Parametros Generales'!$C$15*'Parametros Generales'!$C$16))*(1+KA40))*(1+KA46+KA47))*(1+KA59))*(1+KA63))</f>
        <v>3472.4864314643769</v>
      </c>
      <c r="KG70" s="961"/>
      <c r="KJ70" s="949" t="s">
        <v>1634</v>
      </c>
      <c r="KK70" s="950"/>
      <c r="KL70" s="950"/>
      <c r="KM70" s="950"/>
      <c r="KN70" s="950"/>
      <c r="KO70" s="950"/>
      <c r="KP70" s="951">
        <f>+IF(KP66=0,0,((((((KP21/KM11/KP66)*'Parametros Generales'!$C$15*'Parametros Generales'!$C$16))*(1+KO40))*(1+KO46+KO47))*(1+KO59))*(1+KO63))</f>
        <v>0</v>
      </c>
      <c r="KU70" s="961"/>
      <c r="KX70" s="949" t="s">
        <v>1634</v>
      </c>
      <c r="KY70" s="950"/>
      <c r="KZ70" s="950"/>
      <c r="LA70" s="950"/>
      <c r="LB70" s="950"/>
      <c r="LC70" s="950"/>
      <c r="LD70" s="951">
        <f>+IF(LD66=0,0,((((((LD21/LA11/LD66)*'Parametros Generales'!$C$15*'Parametros Generales'!$C$16))*(1+LC40))*(1+LC46+LC47))*(1+LC59))*(1+LC63))</f>
        <v>0</v>
      </c>
      <c r="LI70" s="961"/>
      <c r="LL70" s="949" t="s">
        <v>1634</v>
      </c>
      <c r="LM70" s="950"/>
      <c r="LN70" s="950"/>
      <c r="LO70" s="950"/>
      <c r="LP70" s="950"/>
      <c r="LQ70" s="950"/>
      <c r="LR70" s="951">
        <f>+IF(LR66=0,0,((((((LR21/LO11/LR66)*'Parametros Generales'!$C$15*'Parametros Generales'!$C$16))*(1+LQ40))*(1+LQ46+LQ47))*(1+LQ59))*(1+LQ63))</f>
        <v>0</v>
      </c>
      <c r="LW70" s="961"/>
      <c r="LZ70" s="949" t="s">
        <v>1642</v>
      </c>
      <c r="MA70" s="950"/>
      <c r="MB70" s="950"/>
      <c r="MC70" s="950"/>
      <c r="MD70" s="950"/>
      <c r="ME70" s="950"/>
      <c r="MF70" s="951">
        <f>+(((((((MF21/MC11/MF66)*'Parametros Generales'!$C$15*'Parametros Generales'!$C$16))*(1+ME40))*(1+ME46+ME47))*(1+ME59))*(1+ME63))</f>
        <v>3472.4864314643769</v>
      </c>
      <c r="MK70" s="961"/>
      <c r="MN70" s="949" t="s">
        <v>1642</v>
      </c>
      <c r="MO70" s="950"/>
      <c r="MP70" s="950"/>
      <c r="MQ70" s="950"/>
      <c r="MR70" s="950"/>
      <c r="MS70" s="950"/>
      <c r="MT70" s="951">
        <f>+(((((((MT21/MQ11/MT66)*'Parametros Generales'!$C$15*'Parametros Generales'!$C$16))*(1+MS40))*(1+MS46+MS47))*(1+MS59))*(1+MS63))</f>
        <v>3472.4864314643764</v>
      </c>
      <c r="MY70" s="961"/>
      <c r="NB70" s="949" t="s">
        <v>1642</v>
      </c>
      <c r="NC70" s="950"/>
      <c r="ND70" s="950"/>
      <c r="NE70" s="950"/>
      <c r="NF70" s="950"/>
      <c r="NG70" s="950"/>
      <c r="NH70" s="951">
        <f>+(((((((NH21/NE11/NH66)*'Parametros Generales'!$C$15*'Parametros Generales'!$C$16))*(1+NG40))*(1+NG46+NG47))*(1+NG59))*(1+NG63))</f>
        <v>3472.4864314643764</v>
      </c>
      <c r="NM70" s="961"/>
      <c r="NP70" s="949" t="s">
        <v>1642</v>
      </c>
      <c r="NQ70" s="950"/>
      <c r="NR70" s="950"/>
      <c r="NS70" s="950"/>
      <c r="NT70" s="950"/>
      <c r="NU70" s="950"/>
      <c r="NV70" s="951">
        <f>+(((((((NV21/NS11/NV66)*'Parametros Generales'!$C$15*'Parametros Generales'!$C$16))*(1+NU40))*(1+NU46+NU47))*(1+NU59))*(1+NU63))</f>
        <v>3472.4864314643764</v>
      </c>
      <c r="OA70" s="961"/>
      <c r="OD70" s="949" t="s">
        <v>1642</v>
      </c>
      <c r="OE70" s="950"/>
      <c r="OF70" s="950"/>
      <c r="OG70" s="950"/>
      <c r="OH70" s="950"/>
      <c r="OI70" s="950"/>
      <c r="OJ70" s="951">
        <f>+(((((((OJ21/OG11/OJ66)*'Parametros Generales'!$C$15*'Parametros Generales'!$C$16))*(1+OI40))*(1+OI46+OI47))*(1+OI59))*(1+OI63))</f>
        <v>3472.4864314643764</v>
      </c>
      <c r="OO70" s="961"/>
      <c r="OR70" s="949" t="s">
        <v>1642</v>
      </c>
      <c r="OS70" s="950"/>
      <c r="OT70" s="950"/>
      <c r="OU70" s="950"/>
      <c r="OV70" s="950"/>
      <c r="OW70" s="950"/>
      <c r="OX70" s="951">
        <f>+(((((((OX21/OU11/OX66)*'Parametros Generales'!$C$15*'Parametros Generales'!$C$16))*(1+OW40))*(1+OW46+OW47))*(1+OW59))*(1+OW63))</f>
        <v>3472.4864314643769</v>
      </c>
      <c r="PC70" s="961"/>
      <c r="PF70" s="949" t="s">
        <v>1634</v>
      </c>
      <c r="PG70" s="950"/>
      <c r="PH70" s="950"/>
      <c r="PI70" s="950"/>
      <c r="PJ70" s="950"/>
      <c r="PK70" s="950"/>
      <c r="PL70" s="951">
        <f>+IF(PL66=0,0,((((((PL21/PI11/PL66)*'Parametros Generales'!$C$15*'Parametros Generales'!$C$16))*(1+PK40))*(1+PK46+PK47))*(1+PK59))*(1+PK63))</f>
        <v>0</v>
      </c>
      <c r="PQ70" s="961"/>
      <c r="PT70" s="949" t="s">
        <v>1634</v>
      </c>
      <c r="PU70" s="950"/>
      <c r="PV70" s="950"/>
      <c r="PW70" s="950"/>
      <c r="PX70" s="950"/>
      <c r="PY70" s="950"/>
      <c r="PZ70" s="951">
        <f>+IF(PZ66=0,0,((((((PZ21/PW11/PZ66)*'Parametros Generales'!$C$15*'Parametros Generales'!$C$16))*(1+PY40))*(1+PY46+PY47))*(1+PY59))*(1+PY63))</f>
        <v>0</v>
      </c>
      <c r="QE70" s="961"/>
      <c r="QH70" s="949" t="s">
        <v>1634</v>
      </c>
      <c r="QI70" s="950"/>
      <c r="QJ70" s="950"/>
      <c r="QK70" s="950"/>
      <c r="QL70" s="950"/>
      <c r="QM70" s="950"/>
      <c r="QN70" s="951">
        <f>+IF(QN66=0,0,((((((QN21/QK11/QN66)*'Parametros Generales'!$C$15*'Parametros Generales'!$C$16))*(1+QM40))*(1+QM46+QM47))*(1+QM59))*(1+QM63))</f>
        <v>0</v>
      </c>
      <c r="QS70" s="961"/>
      <c r="QV70" s="949" t="s">
        <v>1642</v>
      </c>
      <c r="QW70" s="950"/>
      <c r="QX70" s="950"/>
      <c r="QY70" s="950"/>
      <c r="QZ70" s="950"/>
      <c r="RA70" s="950"/>
      <c r="RB70" s="951">
        <f>+(((((((RB21/QY11/RB66)*'Parametros Generales'!$C$15*'Parametros Generales'!$C$16))*(1+RA40))*(1+RA46+RA47))*(1+RA59))*(1+RA63))</f>
        <v>3472.4864314643764</v>
      </c>
      <c r="RG70" s="961"/>
      <c r="RJ70" s="949" t="s">
        <v>1642</v>
      </c>
      <c r="RK70" s="950"/>
      <c r="RL70" s="950"/>
      <c r="RM70" s="950"/>
      <c r="RN70" s="950"/>
      <c r="RO70" s="950"/>
      <c r="RP70" s="951">
        <f>+(((((((RP21/RM11/RP66)*'Parametros Generales'!$C$15*'Parametros Generales'!$C$16))*(1+RO40))*(1+RO46+RO47))*(1+RO59))*(1+RO63))</f>
        <v>3472.4864314643764</v>
      </c>
      <c r="RU70" s="961"/>
      <c r="RX70" s="949" t="s">
        <v>1642</v>
      </c>
      <c r="RY70" s="950"/>
      <c r="RZ70" s="950"/>
      <c r="SA70" s="950"/>
      <c r="SB70" s="950"/>
      <c r="SC70" s="950"/>
      <c r="SD70" s="951">
        <f>+(((((((SD21/SA11/SD66)*'Parametros Generales'!$C$15*'Parametros Generales'!$C$16))*(1+SC40))*(1+SC46+SC47))*(1+SC59))*(1+SC63))</f>
        <v>3472.4864314643764</v>
      </c>
      <c r="SI70" s="961"/>
      <c r="SL70" s="949" t="s">
        <v>1634</v>
      </c>
      <c r="SM70" s="950"/>
      <c r="SN70" s="950"/>
      <c r="SO70" s="950"/>
      <c r="SP70" s="950"/>
      <c r="SQ70" s="950"/>
      <c r="SR70" s="951">
        <f>+IF(SR66=0,0,((((((SR21/SO11/SR66)*'Parametros Generales'!$C$15*'Parametros Generales'!$C$16))*(1+SQ40))*(1+SQ46+SQ47))*(1+SQ59))*(1+SQ63))</f>
        <v>0</v>
      </c>
      <c r="SW70" s="961"/>
      <c r="SZ70" s="949" t="s">
        <v>1642</v>
      </c>
      <c r="TA70" s="950"/>
      <c r="TB70" s="950"/>
      <c r="TC70" s="950"/>
      <c r="TD70" s="950"/>
      <c r="TE70" s="950"/>
      <c r="TF70" s="951">
        <f>+(((((((TF21/TC11/TF66)*'Parametros Generales'!$C$15*'Parametros Generales'!$C$16))*(1+TE40))*(1+TE46+TE47))*(1+TE59))*(1+TE63))</f>
        <v>3472.4864314643764</v>
      </c>
      <c r="TK70" s="961"/>
      <c r="TM70" s="938"/>
      <c r="TN70" s="725"/>
    </row>
    <row r="71" spans="1:534" ht="18.75" customHeight="1" thickBot="1">
      <c r="B71" s="1202" t="s">
        <v>1635</v>
      </c>
      <c r="C71" s="1203"/>
      <c r="D71" s="1203"/>
      <c r="E71" s="1203"/>
      <c r="F71" s="1203"/>
      <c r="G71" s="1204"/>
      <c r="H71" s="952">
        <f>+H70*H66</f>
        <v>2430740.5020250636</v>
      </c>
      <c r="M71" s="933">
        <f>+IF(H71=0,0,H71/H$72)</f>
        <v>1.3201671242652266E-2</v>
      </c>
      <c r="P71" s="954"/>
      <c r="Q71" s="955"/>
      <c r="R71" s="955"/>
      <c r="S71" s="955"/>
      <c r="T71" s="955"/>
      <c r="U71" s="955"/>
      <c r="V71" s="956"/>
      <c r="AA71" s="957"/>
      <c r="AD71" s="954"/>
      <c r="AE71" s="955"/>
      <c r="AF71" s="955"/>
      <c r="AG71" s="955"/>
      <c r="AH71" s="955"/>
      <c r="AI71" s="955"/>
      <c r="AJ71" s="956"/>
      <c r="AO71" s="957"/>
      <c r="AR71" s="1202" t="s">
        <v>1635</v>
      </c>
      <c r="AS71" s="1203"/>
      <c r="AT71" s="1203"/>
      <c r="AU71" s="1203"/>
      <c r="AV71" s="1203"/>
      <c r="AW71" s="1204"/>
      <c r="AX71" s="952">
        <f>+AX70*AX66</f>
        <v>0</v>
      </c>
      <c r="BC71" s="933">
        <f>+IF(AX71=0,0,AX71/AX$72)</f>
        <v>0</v>
      </c>
      <c r="BF71" s="1202" t="s">
        <v>1635</v>
      </c>
      <c r="BG71" s="1203"/>
      <c r="BH71" s="1203"/>
      <c r="BI71" s="1203"/>
      <c r="BJ71" s="1203"/>
      <c r="BK71" s="1204"/>
      <c r="BL71" s="952">
        <f>+BL70*BL66</f>
        <v>6250475.5766358785</v>
      </c>
      <c r="BQ71" s="933">
        <f>+IF(BL71=0,0,BL71/BL$72)</f>
        <v>1.3428393992197536E-2</v>
      </c>
      <c r="BT71" s="1202" t="s">
        <v>1635</v>
      </c>
      <c r="BU71" s="1203"/>
      <c r="BV71" s="1203"/>
      <c r="BW71" s="1203"/>
      <c r="BX71" s="1203"/>
      <c r="BY71" s="1204"/>
      <c r="BZ71" s="952">
        <f>+BZ70*BZ66</f>
        <v>0</v>
      </c>
      <c r="CE71" s="933">
        <f>+IF(BZ71=0,0,BZ71/BZ$72)</f>
        <v>0</v>
      </c>
      <c r="CH71" s="1202" t="s">
        <v>1635</v>
      </c>
      <c r="CI71" s="1203"/>
      <c r="CJ71" s="1203"/>
      <c r="CK71" s="1203"/>
      <c r="CL71" s="1203"/>
      <c r="CM71" s="1204"/>
      <c r="CN71" s="952">
        <f>+CN70*CN66</f>
        <v>347248.64314643765</v>
      </c>
      <c r="CS71" s="933">
        <f>+IF(CN71=0,0,CN71/CN$72)</f>
        <v>1.3450775162705467E-2</v>
      </c>
      <c r="CV71" s="1202" t="s">
        <v>1635</v>
      </c>
      <c r="CW71" s="1203"/>
      <c r="CX71" s="1203"/>
      <c r="CY71" s="1203"/>
      <c r="CZ71" s="1203"/>
      <c r="DA71" s="1204"/>
      <c r="DB71" s="952">
        <f>+DB70*DB66</f>
        <v>4514232.3609036896</v>
      </c>
      <c r="DG71" s="933">
        <f>+IF(DB71=0,0,DB71/DB$72)</f>
        <v>1.2136259374305658E-2</v>
      </c>
      <c r="DJ71" s="1202" t="s">
        <v>1635</v>
      </c>
      <c r="DK71" s="1203"/>
      <c r="DL71" s="1203"/>
      <c r="DM71" s="1203"/>
      <c r="DN71" s="1203"/>
      <c r="DO71" s="1204"/>
      <c r="DP71" s="952">
        <f>+DP70*DP66</f>
        <v>347248.64314643765</v>
      </c>
      <c r="DU71" s="933">
        <f>+IF(DP71=0,0,DP71/DP$72)</f>
        <v>1.1945890268209629E-2</v>
      </c>
      <c r="DX71" s="1202" t="s">
        <v>1635</v>
      </c>
      <c r="DY71" s="1203"/>
      <c r="DZ71" s="1203"/>
      <c r="EA71" s="1203"/>
      <c r="EB71" s="1203"/>
      <c r="EC71" s="1204"/>
      <c r="ED71" s="952">
        <f>+ED70*ED66</f>
        <v>1736243.2157321884</v>
      </c>
      <c r="EI71" s="933">
        <f>+IF(ED71=0,0,ED71/ED$72)</f>
        <v>1.2690220401191983E-2</v>
      </c>
      <c r="EL71" s="1202" t="s">
        <v>1635</v>
      </c>
      <c r="EM71" s="1203"/>
      <c r="EN71" s="1203"/>
      <c r="EO71" s="1203"/>
      <c r="EP71" s="1203"/>
      <c r="EQ71" s="1204"/>
      <c r="ER71" s="952">
        <f>+ER70*ER66</f>
        <v>3125237.7883179393</v>
      </c>
      <c r="ES71" s="933">
        <f>+IF(EN71=0,0,EN71/EN$72)</f>
        <v>0</v>
      </c>
      <c r="EW71" s="933">
        <f>+IF(ER71=0,0,ER71/ER$72)</f>
        <v>1.3428393992197536E-2</v>
      </c>
      <c r="EZ71" s="1202" t="s">
        <v>1635</v>
      </c>
      <c r="FA71" s="1203"/>
      <c r="FB71" s="1203"/>
      <c r="FC71" s="1203"/>
      <c r="FD71" s="1203"/>
      <c r="FE71" s="1204"/>
      <c r="FF71" s="952">
        <f>+FF70*FF66</f>
        <v>0</v>
      </c>
      <c r="FK71" s="933">
        <f>+IF(FF71=0,0,FF71/FF$72)</f>
        <v>0</v>
      </c>
      <c r="FN71" s="1202" t="s">
        <v>1635</v>
      </c>
      <c r="FO71" s="1203"/>
      <c r="FP71" s="1203"/>
      <c r="FQ71" s="1203"/>
      <c r="FR71" s="1203"/>
      <c r="FS71" s="1204"/>
      <c r="FT71" s="952">
        <f>+FT70*FT66</f>
        <v>2257116.1804518448</v>
      </c>
      <c r="FY71" s="933">
        <f>+IF(FT71=0,0,FT71/FT$72)</f>
        <v>7.1170332683492283E-3</v>
      </c>
      <c r="GB71" s="1202" t="s">
        <v>1635</v>
      </c>
      <c r="GC71" s="1203"/>
      <c r="GD71" s="1203"/>
      <c r="GE71" s="1203"/>
      <c r="GF71" s="1203"/>
      <c r="GG71" s="1204"/>
      <c r="GH71" s="952">
        <f>+GH70*GH66</f>
        <v>2083491.8588786258</v>
      </c>
      <c r="GM71" s="933">
        <f>+IF(GH71=0,0,GH71/GH$72)</f>
        <v>1.3809842331572161E-2</v>
      </c>
      <c r="GP71" s="1202" t="s">
        <v>1635</v>
      </c>
      <c r="GQ71" s="1203"/>
      <c r="GR71" s="1203"/>
      <c r="GS71" s="1203"/>
      <c r="GT71" s="1203"/>
      <c r="GU71" s="1204"/>
      <c r="GV71" s="952">
        <f>+GV70*GV66</f>
        <v>0</v>
      </c>
      <c r="HA71" s="933">
        <f>+IF(GV71=0,0,GV71/GV$72)</f>
        <v>0</v>
      </c>
      <c r="HD71" s="1202" t="s">
        <v>1635</v>
      </c>
      <c r="HE71" s="1203"/>
      <c r="HF71" s="1203"/>
      <c r="HG71" s="1203"/>
      <c r="HH71" s="1203"/>
      <c r="HI71" s="1204"/>
      <c r="HJ71" s="952">
        <f>+HJ70*HJ66</f>
        <v>1041745.9294393129</v>
      </c>
      <c r="HO71" s="933">
        <f>+IF(HJ71=0,0,HJ71/HJ$72)</f>
        <v>1.342839399219754E-2</v>
      </c>
      <c r="HR71" s="1202" t="s">
        <v>1635</v>
      </c>
      <c r="HS71" s="1203"/>
      <c r="HT71" s="1203"/>
      <c r="HU71" s="1203"/>
      <c r="HV71" s="1203"/>
      <c r="HW71" s="1204"/>
      <c r="HX71" s="952">
        <f>+HX70*HX66</f>
        <v>3819735.074610814</v>
      </c>
      <c r="HY71" s="957"/>
      <c r="IC71" s="933">
        <f>+IF(HX71=0,0,HX71/HX$72)</f>
        <v>1.2914057647956993E-2</v>
      </c>
      <c r="IF71" s="954"/>
      <c r="IG71" s="955"/>
      <c r="IH71" s="955"/>
      <c r="II71" s="955"/>
      <c r="IJ71" s="955"/>
      <c r="IK71" s="955"/>
      <c r="IL71" s="956"/>
      <c r="IQ71" s="957"/>
      <c r="IT71" s="954"/>
      <c r="IU71" s="955"/>
      <c r="IV71" s="955"/>
      <c r="IW71" s="955"/>
      <c r="IX71" s="955"/>
      <c r="IY71" s="955"/>
      <c r="IZ71" s="956"/>
      <c r="JE71" s="957"/>
      <c r="JH71" s="1202" t="s">
        <v>1635</v>
      </c>
      <c r="JI71" s="1203"/>
      <c r="JJ71" s="1203"/>
      <c r="JK71" s="1203"/>
      <c r="JL71" s="1203"/>
      <c r="JM71" s="1204"/>
      <c r="JN71" s="952">
        <f>+JN70*JN66</f>
        <v>5208729.6471965648</v>
      </c>
      <c r="JS71" s="933">
        <f>+IF(JN71=0,0,JN71/JN$72)</f>
        <v>1.215393671025719E-2</v>
      </c>
      <c r="JV71" s="1202" t="s">
        <v>1635</v>
      </c>
      <c r="JW71" s="1203"/>
      <c r="JX71" s="1203"/>
      <c r="JY71" s="1203"/>
      <c r="JZ71" s="1203"/>
      <c r="KA71" s="1204"/>
      <c r="KB71" s="952">
        <f>+KB70*KB66</f>
        <v>2257116.1804518448</v>
      </c>
      <c r="KG71" s="933">
        <f>+IF(KB71=0,0,KB71/KB$72)</f>
        <v>1.2799371326187706E-2</v>
      </c>
      <c r="KJ71" s="1202" t="s">
        <v>1635</v>
      </c>
      <c r="KK71" s="1203"/>
      <c r="KL71" s="1203"/>
      <c r="KM71" s="1203"/>
      <c r="KN71" s="1203"/>
      <c r="KO71" s="1204"/>
      <c r="KP71" s="952">
        <f>+KP70*KP66</f>
        <v>0</v>
      </c>
      <c r="KU71" s="933">
        <f>+IF(KP71=0,0,KP71/KP$72)</f>
        <v>0</v>
      </c>
      <c r="KX71" s="1202" t="s">
        <v>1635</v>
      </c>
      <c r="KY71" s="1203"/>
      <c r="KZ71" s="1203"/>
      <c r="LA71" s="1203"/>
      <c r="LB71" s="1203"/>
      <c r="LC71" s="1204"/>
      <c r="LD71" s="952">
        <f>+LD70*LD66</f>
        <v>0</v>
      </c>
      <c r="LI71" s="933">
        <f>+IF(LD71=0,0,LD71/LD$72)</f>
        <v>0</v>
      </c>
      <c r="LL71" s="1202" t="s">
        <v>1635</v>
      </c>
      <c r="LM71" s="1203"/>
      <c r="LN71" s="1203"/>
      <c r="LO71" s="1203"/>
      <c r="LP71" s="1203"/>
      <c r="LQ71" s="1204"/>
      <c r="LR71" s="952">
        <f>+LR70*LR66</f>
        <v>0</v>
      </c>
      <c r="LW71" s="933">
        <f>+IF(LR71=0,0,LR71/LR$72)</f>
        <v>0</v>
      </c>
      <c r="LZ71" s="1202" t="s">
        <v>1635</v>
      </c>
      <c r="MA71" s="1203"/>
      <c r="MB71" s="1203"/>
      <c r="MC71" s="1203"/>
      <c r="MD71" s="1203"/>
      <c r="ME71" s="1204"/>
      <c r="MF71" s="952">
        <f>+MF70*MF66</f>
        <v>1562618.8941589696</v>
      </c>
      <c r="MK71" s="933">
        <f>+IF(MF71=0,0,MF71/MF$72)</f>
        <v>1.2690220401191984E-2</v>
      </c>
      <c r="MN71" s="1202" t="s">
        <v>1635</v>
      </c>
      <c r="MO71" s="1203"/>
      <c r="MP71" s="1203"/>
      <c r="MQ71" s="1203"/>
      <c r="MR71" s="1203"/>
      <c r="MS71" s="1204"/>
      <c r="MT71" s="952">
        <f>+MT70*MT66</f>
        <v>2083491.8588786258</v>
      </c>
      <c r="MY71" s="933">
        <f>+IF(MT71=0,0,MT71/MT$72)</f>
        <v>1.2992040610770035E-2</v>
      </c>
      <c r="NB71" s="1202" t="s">
        <v>1635</v>
      </c>
      <c r="NC71" s="1203"/>
      <c r="ND71" s="1203"/>
      <c r="NE71" s="1203"/>
      <c r="NF71" s="1203"/>
      <c r="NG71" s="1204"/>
      <c r="NH71" s="952">
        <f>+NH70*NH66</f>
        <v>2430740.5020250636</v>
      </c>
      <c r="NM71" s="933">
        <f>+IF(NH71=0,0,NH71/NH$72)</f>
        <v>1.3646016465038231E-2</v>
      </c>
      <c r="NP71" s="1202" t="s">
        <v>1635</v>
      </c>
      <c r="NQ71" s="1203"/>
      <c r="NR71" s="1203"/>
      <c r="NS71" s="1203"/>
      <c r="NT71" s="1203"/>
      <c r="NU71" s="1204"/>
      <c r="NV71" s="952">
        <f>+NV70*NV66</f>
        <v>2777989.1451715012</v>
      </c>
      <c r="OA71" s="933">
        <f>+IF(NV71=0,0,NV71/NV$72)</f>
        <v>6.6808495984678464E-3</v>
      </c>
      <c r="OD71" s="1202" t="s">
        <v>1635</v>
      </c>
      <c r="OE71" s="1203"/>
      <c r="OF71" s="1203"/>
      <c r="OG71" s="1203"/>
      <c r="OH71" s="1203"/>
      <c r="OI71" s="1204"/>
      <c r="OJ71" s="952">
        <f>+OJ70*OJ66</f>
        <v>694497.2862928753</v>
      </c>
      <c r="OO71" s="933">
        <f>+IF(OJ71=0,0,OJ71/OJ$72)</f>
        <v>9.16109444756639E-3</v>
      </c>
      <c r="OR71" s="1202" t="s">
        <v>1635</v>
      </c>
      <c r="OS71" s="1203"/>
      <c r="OT71" s="1203"/>
      <c r="OU71" s="1203"/>
      <c r="OV71" s="1203"/>
      <c r="OW71" s="1204"/>
      <c r="OX71" s="952">
        <f>+OX70*OX66</f>
        <v>3472486.4314643769</v>
      </c>
      <c r="PC71" s="933">
        <f>+IF(OX71=0,0,OX71/OX$72)</f>
        <v>1.1557450139157972E-2</v>
      </c>
      <c r="PF71" s="1202" t="s">
        <v>1635</v>
      </c>
      <c r="PG71" s="1203"/>
      <c r="PH71" s="1203"/>
      <c r="PI71" s="1203"/>
      <c r="PJ71" s="1203"/>
      <c r="PK71" s="1204"/>
      <c r="PL71" s="952">
        <f>+PL70*PL66</f>
        <v>0</v>
      </c>
      <c r="PQ71" s="933">
        <f>+IF(PL71=0,0,PL71/PL$72)</f>
        <v>0</v>
      </c>
      <c r="PT71" s="1202" t="s">
        <v>1635</v>
      </c>
      <c r="PU71" s="1203"/>
      <c r="PV71" s="1203"/>
      <c r="PW71" s="1203"/>
      <c r="PX71" s="1203"/>
      <c r="PY71" s="1204"/>
      <c r="PZ71" s="952">
        <f>+PZ70*PZ66</f>
        <v>0</v>
      </c>
      <c r="QE71" s="933">
        <f>+IF(PZ71=0,0,PZ71/PZ$72)</f>
        <v>0</v>
      </c>
      <c r="QH71" s="1202" t="s">
        <v>1635</v>
      </c>
      <c r="QI71" s="1203"/>
      <c r="QJ71" s="1203"/>
      <c r="QK71" s="1203"/>
      <c r="QL71" s="1203"/>
      <c r="QM71" s="1204"/>
      <c r="QN71" s="952">
        <f>+QN70*QN66</f>
        <v>0</v>
      </c>
      <c r="QS71" s="933">
        <f>+IF(QN71=0,0,QN71/QN$72)</f>
        <v>0</v>
      </c>
      <c r="QV71" s="1202" t="s">
        <v>1635</v>
      </c>
      <c r="QW71" s="1203"/>
      <c r="QX71" s="1203"/>
      <c r="QY71" s="1203"/>
      <c r="QZ71" s="1203"/>
      <c r="RA71" s="1204"/>
      <c r="RB71" s="952">
        <f>+RB70*RB66</f>
        <v>2083491.8588786258</v>
      </c>
      <c r="RG71" s="933">
        <f>+IF(RB71=0,0,RB71/RB$72)</f>
        <v>6.6808495984678456E-3</v>
      </c>
      <c r="RJ71" s="1202" t="s">
        <v>1635</v>
      </c>
      <c r="RK71" s="1203"/>
      <c r="RL71" s="1203"/>
      <c r="RM71" s="1203"/>
      <c r="RN71" s="1203"/>
      <c r="RO71" s="1204"/>
      <c r="RP71" s="952">
        <f>+RP70*RP66</f>
        <v>347248.64314643765</v>
      </c>
      <c r="RU71" s="933">
        <f>+IF(RP71=0,0,RP71/RP$72)</f>
        <v>5.8749293205698052E-3</v>
      </c>
      <c r="RX71" s="1202" t="s">
        <v>1635</v>
      </c>
      <c r="RY71" s="1203"/>
      <c r="RZ71" s="1203"/>
      <c r="SA71" s="1203"/>
      <c r="SB71" s="1203"/>
      <c r="SC71" s="1204"/>
      <c r="SD71" s="952">
        <f>+SD70*SD66</f>
        <v>1215370.2510125318</v>
      </c>
      <c r="SI71" s="933">
        <f>+IF(SD71=0,0,SD71/SD$72)</f>
        <v>6.6808495984678438E-3</v>
      </c>
      <c r="SL71" s="1202" t="s">
        <v>1635</v>
      </c>
      <c r="SM71" s="1203"/>
      <c r="SN71" s="1203"/>
      <c r="SO71" s="1203"/>
      <c r="SP71" s="1203"/>
      <c r="SQ71" s="1204"/>
      <c r="SR71" s="952">
        <f>+SR70*SR66</f>
        <v>0</v>
      </c>
      <c r="SW71" s="933">
        <f>+IF(SR71=0,0,SR71/SR$72)</f>
        <v>0</v>
      </c>
      <c r="SZ71" s="1202" t="s">
        <v>1635</v>
      </c>
      <c r="TA71" s="1203"/>
      <c r="TB71" s="1203"/>
      <c r="TC71" s="1203"/>
      <c r="TD71" s="1203"/>
      <c r="TE71" s="1204"/>
      <c r="TF71" s="952">
        <f>+TF70*TF66</f>
        <v>52087296.471965648</v>
      </c>
      <c r="TK71" s="933">
        <f>+IF(TF71=0,0,TF71/TF$72)</f>
        <v>1.108508330126444E-2</v>
      </c>
      <c r="TM71" s="938"/>
      <c r="TN71" s="725"/>
    </row>
    <row r="72" spans="1:534" ht="18.75" customHeight="1" thickBot="1">
      <c r="B72" s="1202" t="s">
        <v>1612</v>
      </c>
      <c r="C72" s="1203"/>
      <c r="D72" s="1203"/>
      <c r="E72" s="1203"/>
      <c r="F72" s="1203"/>
      <c r="G72" s="1204"/>
      <c r="H72" s="952">
        <f>+H65+H69+H71</f>
        <v>184123695.95841554</v>
      </c>
      <c r="M72" s="935">
        <f>+M65+M69+M71</f>
        <v>1</v>
      </c>
      <c r="P72" s="954"/>
      <c r="Q72" s="955"/>
      <c r="R72" s="955"/>
      <c r="S72" s="955"/>
      <c r="T72" s="955"/>
      <c r="U72" s="955"/>
      <c r="V72" s="956"/>
      <c r="AA72" s="957"/>
      <c r="AD72" s="954"/>
      <c r="AE72" s="955"/>
      <c r="AF72" s="955"/>
      <c r="AG72" s="955"/>
      <c r="AH72" s="955"/>
      <c r="AI72" s="955"/>
      <c r="AJ72" s="956"/>
      <c r="AO72" s="957"/>
      <c r="AR72" s="1202" t="s">
        <v>1612</v>
      </c>
      <c r="AS72" s="1203"/>
      <c r="AT72" s="1203"/>
      <c r="AU72" s="1203"/>
      <c r="AV72" s="1203"/>
      <c r="AW72" s="1204"/>
      <c r="AX72" s="952">
        <f>+AX65+AX69+AX71</f>
        <v>0</v>
      </c>
      <c r="BC72" s="935">
        <f>+BC65+BC69+BC71</f>
        <v>0</v>
      </c>
      <c r="BF72" s="1202" t="s">
        <v>1612</v>
      </c>
      <c r="BG72" s="1203"/>
      <c r="BH72" s="1203"/>
      <c r="BI72" s="1203"/>
      <c r="BJ72" s="1203"/>
      <c r="BK72" s="1204"/>
      <c r="BL72" s="952">
        <f>+BL65+BL69+BL71</f>
        <v>465467097.57456243</v>
      </c>
      <c r="BQ72" s="935">
        <f>+BQ65+BQ69+BQ71</f>
        <v>0.99999999999999989</v>
      </c>
      <c r="BT72" s="1202" t="s">
        <v>1612</v>
      </c>
      <c r="BU72" s="1203"/>
      <c r="BV72" s="1203"/>
      <c r="BW72" s="1203"/>
      <c r="BX72" s="1203"/>
      <c r="BY72" s="1204"/>
      <c r="BZ72" s="952">
        <f>+BZ65+BZ69+BZ71</f>
        <v>0</v>
      </c>
      <c r="CE72" s="935">
        <f>+CE65+CE69+CE71</f>
        <v>0</v>
      </c>
      <c r="CH72" s="1202" t="s">
        <v>1612</v>
      </c>
      <c r="CI72" s="1203"/>
      <c r="CJ72" s="1203"/>
      <c r="CK72" s="1203"/>
      <c r="CL72" s="1203"/>
      <c r="CM72" s="1204"/>
      <c r="CN72" s="952">
        <f>+CN65+CN69+CN71</f>
        <v>25816255.118830834</v>
      </c>
      <c r="CS72" s="935">
        <f>+CS65+CS69+CS71</f>
        <v>1.0000000000000002</v>
      </c>
      <c r="CV72" s="1202" t="s">
        <v>1612</v>
      </c>
      <c r="CW72" s="1203"/>
      <c r="CX72" s="1203"/>
      <c r="CY72" s="1203"/>
      <c r="CZ72" s="1203"/>
      <c r="DA72" s="1204"/>
      <c r="DB72" s="952">
        <f>+DB65+DB69+DB71</f>
        <v>371962416.23354059</v>
      </c>
      <c r="DG72" s="935">
        <f>+DG65+DG69+DG71</f>
        <v>0.99999999999999956</v>
      </c>
      <c r="DJ72" s="1202" t="s">
        <v>1612</v>
      </c>
      <c r="DK72" s="1203"/>
      <c r="DL72" s="1203"/>
      <c r="DM72" s="1203"/>
      <c r="DN72" s="1203"/>
      <c r="DO72" s="1204"/>
      <c r="DP72" s="952">
        <f>+DP65+DP69+DP71</f>
        <v>29068460.813718908</v>
      </c>
      <c r="DU72" s="935">
        <f>+DU65+DU69+DU71</f>
        <v>1</v>
      </c>
      <c r="DX72" s="1202" t="s">
        <v>1612</v>
      </c>
      <c r="DY72" s="1203"/>
      <c r="DZ72" s="1203"/>
      <c r="EA72" s="1203"/>
      <c r="EB72" s="1203"/>
      <c r="EC72" s="1204"/>
      <c r="ED72" s="952">
        <f>+ED65+ED69+ED71</f>
        <v>136817420.09532824</v>
      </c>
      <c r="EI72" s="935">
        <f>+EI65+EI69+EI71</f>
        <v>0.99999999999999989</v>
      </c>
      <c r="EL72" s="1202" t="s">
        <v>1612</v>
      </c>
      <c r="EM72" s="1203"/>
      <c r="EN72" s="1203"/>
      <c r="EO72" s="1203"/>
      <c r="EP72" s="1203"/>
      <c r="EQ72" s="1204"/>
      <c r="ER72" s="952">
        <f>+ER65+ER69+ER71</f>
        <v>232733548.78728122</v>
      </c>
      <c r="ES72" s="935" t="e">
        <f>+ES65+ES69+ES71</f>
        <v>#DIV/0!</v>
      </c>
      <c r="EW72" s="935">
        <f>+EW65+EW69+EW71</f>
        <v>0.99999999999999989</v>
      </c>
      <c r="EZ72" s="1202" t="s">
        <v>1612</v>
      </c>
      <c r="FA72" s="1203"/>
      <c r="FB72" s="1203"/>
      <c r="FC72" s="1203"/>
      <c r="FD72" s="1203"/>
      <c r="FE72" s="1204"/>
      <c r="FF72" s="952">
        <f>+FF65+FF69+FF71</f>
        <v>0</v>
      </c>
      <c r="FK72" s="935">
        <f>+FK65+FK69+FK71</f>
        <v>0</v>
      </c>
      <c r="FN72" s="1202" t="s">
        <v>1612</v>
      </c>
      <c r="FO72" s="1203"/>
      <c r="FP72" s="1203"/>
      <c r="FQ72" s="1203"/>
      <c r="FR72" s="1203"/>
      <c r="FS72" s="1204"/>
      <c r="FT72" s="952">
        <f>+FT65+FT69+FT71</f>
        <v>317142845.24840719</v>
      </c>
      <c r="FY72" s="935">
        <f>+FY65+FY69+FY71</f>
        <v>0.99999999999999967</v>
      </c>
      <c r="GB72" s="1202" t="s">
        <v>1612</v>
      </c>
      <c r="GC72" s="1203"/>
      <c r="GD72" s="1203"/>
      <c r="GE72" s="1203"/>
      <c r="GF72" s="1203"/>
      <c r="GG72" s="1204"/>
      <c r="GH72" s="952">
        <f>+GH65+GH69+GH71</f>
        <v>150870068.52462983</v>
      </c>
      <c r="GM72" s="935">
        <f>+GM65+GM69+GM71</f>
        <v>1.0000000000000002</v>
      </c>
      <c r="GP72" s="1202" t="s">
        <v>1612</v>
      </c>
      <c r="GQ72" s="1203"/>
      <c r="GR72" s="1203"/>
      <c r="GS72" s="1203"/>
      <c r="GT72" s="1203"/>
      <c r="GU72" s="1204"/>
      <c r="GV72" s="952">
        <f>+GV65+GV69+GV71</f>
        <v>0</v>
      </c>
      <c r="HA72" s="935">
        <f>+HA65+HA69+HA71</f>
        <v>0</v>
      </c>
      <c r="HD72" s="1202" t="s">
        <v>1612</v>
      </c>
      <c r="HE72" s="1203"/>
      <c r="HF72" s="1203"/>
      <c r="HG72" s="1203"/>
      <c r="HH72" s="1203"/>
      <c r="HI72" s="1204"/>
      <c r="HJ72" s="952">
        <f>+HJ65+HJ69+HJ71</f>
        <v>77577849.595760375</v>
      </c>
      <c r="HO72" s="935">
        <f>+HO65+HO69+HO71</f>
        <v>1.0000000000000002</v>
      </c>
      <c r="HR72" s="1202" t="s">
        <v>1612</v>
      </c>
      <c r="HS72" s="1203"/>
      <c r="HT72" s="1203"/>
      <c r="HU72" s="1203"/>
      <c r="HV72" s="1203"/>
      <c r="HW72" s="1204"/>
      <c r="HX72" s="952">
        <f>+HX65+HX69+HX71</f>
        <v>295781169.53931183</v>
      </c>
      <c r="HY72" s="957"/>
      <c r="IC72" s="935">
        <f>+IC65+IC69+IC71</f>
        <v>0.99999999999999989</v>
      </c>
      <c r="IF72" s="954"/>
      <c r="IG72" s="955"/>
      <c r="IH72" s="955"/>
      <c r="II72" s="955"/>
      <c r="IJ72" s="955"/>
      <c r="IK72" s="955"/>
      <c r="IL72" s="956"/>
      <c r="IQ72" s="957"/>
      <c r="IT72" s="954"/>
      <c r="IU72" s="955"/>
      <c r="IV72" s="955"/>
      <c r="IW72" s="955"/>
      <c r="IX72" s="955"/>
      <c r="IY72" s="955"/>
      <c r="IZ72" s="956"/>
      <c r="JE72" s="957"/>
      <c r="JH72" s="1202" t="s">
        <v>1612</v>
      </c>
      <c r="JI72" s="1203"/>
      <c r="JJ72" s="1203"/>
      <c r="JK72" s="1203"/>
      <c r="JL72" s="1203"/>
      <c r="JM72" s="1204"/>
      <c r="JN72" s="952">
        <f>+JN65+JN69+JN71</f>
        <v>428563170.21963024</v>
      </c>
      <c r="JS72" s="935">
        <f>+JS65+JS69+JS71</f>
        <v>0.99999999999999989</v>
      </c>
      <c r="JV72" s="1202" t="s">
        <v>1612</v>
      </c>
      <c r="JW72" s="1203"/>
      <c r="JX72" s="1203"/>
      <c r="JY72" s="1203"/>
      <c r="JZ72" s="1203"/>
      <c r="KA72" s="1204"/>
      <c r="KB72" s="952">
        <f>+KB65+KB69+KB71</f>
        <v>176345862.84982225</v>
      </c>
      <c r="KG72" s="935">
        <f>+KG65+KG69+KG71</f>
        <v>1</v>
      </c>
      <c r="KJ72" s="1202" t="s">
        <v>1612</v>
      </c>
      <c r="KK72" s="1203"/>
      <c r="KL72" s="1203"/>
      <c r="KM72" s="1203"/>
      <c r="KN72" s="1203"/>
      <c r="KO72" s="1204"/>
      <c r="KP72" s="952">
        <f>+KP65+KP69+KP71</f>
        <v>0</v>
      </c>
      <c r="KU72" s="935">
        <f>+KU65+KU69+KU71</f>
        <v>0</v>
      </c>
      <c r="KX72" s="1202" t="s">
        <v>1612</v>
      </c>
      <c r="KY72" s="1203"/>
      <c r="KZ72" s="1203"/>
      <c r="LA72" s="1203"/>
      <c r="LB72" s="1203"/>
      <c r="LC72" s="1204"/>
      <c r="LD72" s="952">
        <f>+LD65+LD69+LD71</f>
        <v>0</v>
      </c>
      <c r="LI72" s="935">
        <f>+LI65+LI69+LI71</f>
        <v>0</v>
      </c>
      <c r="LL72" s="1202" t="s">
        <v>1612</v>
      </c>
      <c r="LM72" s="1203"/>
      <c r="LN72" s="1203"/>
      <c r="LO72" s="1203"/>
      <c r="LP72" s="1203"/>
      <c r="LQ72" s="1204"/>
      <c r="LR72" s="952">
        <f>+LR65+LR69+LR71</f>
        <v>0</v>
      </c>
      <c r="LW72" s="935">
        <f>+LW65+LW69+LW71</f>
        <v>0</v>
      </c>
      <c r="LZ72" s="1202" t="s">
        <v>1612</v>
      </c>
      <c r="MA72" s="1203"/>
      <c r="MB72" s="1203"/>
      <c r="MC72" s="1203"/>
      <c r="MD72" s="1203"/>
      <c r="ME72" s="1204"/>
      <c r="MF72" s="952">
        <f>+MF65+MF69+MF71</f>
        <v>123135678.0857954</v>
      </c>
      <c r="MK72" s="935">
        <f>+MK65+MK69+MK71</f>
        <v>0.99999999999999989</v>
      </c>
      <c r="MN72" s="1202" t="s">
        <v>1612</v>
      </c>
      <c r="MO72" s="1203"/>
      <c r="MP72" s="1203"/>
      <c r="MQ72" s="1203"/>
      <c r="MR72" s="1203"/>
      <c r="MS72" s="1204"/>
      <c r="MT72" s="952">
        <f>+MT65+MT69+MT71</f>
        <v>160366790.81432903</v>
      </c>
      <c r="MY72" s="935">
        <f>+MY65+MY69+MY71</f>
        <v>1.0000000000000004</v>
      </c>
      <c r="NB72" s="1202" t="s">
        <v>1612</v>
      </c>
      <c r="NC72" s="1203"/>
      <c r="ND72" s="1203"/>
      <c r="NE72" s="1203"/>
      <c r="NF72" s="1203"/>
      <c r="NG72" s="1204"/>
      <c r="NH72" s="952">
        <f>+NH65+NH69+NH71</f>
        <v>178128211.13419738</v>
      </c>
      <c r="NM72" s="935">
        <f>+NM65+NM69+NM71</f>
        <v>1.0000000000000002</v>
      </c>
      <c r="NP72" s="1202" t="s">
        <v>1612</v>
      </c>
      <c r="NQ72" s="1203"/>
      <c r="NR72" s="1203"/>
      <c r="NS72" s="1203"/>
      <c r="NT72" s="1203"/>
      <c r="NU72" s="1204"/>
      <c r="NV72" s="952">
        <f>+NV65+NV69+NV71</f>
        <v>415813753.06047779</v>
      </c>
      <c r="OA72" s="935">
        <f>+OA65+OA69+OA71</f>
        <v>1.0000000000000002</v>
      </c>
      <c r="OD72" s="1202" t="s">
        <v>1612</v>
      </c>
      <c r="OE72" s="1203"/>
      <c r="OF72" s="1203"/>
      <c r="OG72" s="1203"/>
      <c r="OH72" s="1203"/>
      <c r="OI72" s="1204"/>
      <c r="OJ72" s="952">
        <f>+OJ65+OJ69+OJ71</f>
        <v>75809423.237347573</v>
      </c>
      <c r="OO72" s="935">
        <f>+OO65+OO69+OO71</f>
        <v>0.99999999999999989</v>
      </c>
      <c r="OR72" s="1202" t="s">
        <v>1612</v>
      </c>
      <c r="OS72" s="1203"/>
      <c r="OT72" s="1203"/>
      <c r="OU72" s="1203"/>
      <c r="OV72" s="1203"/>
      <c r="OW72" s="1204"/>
      <c r="OX72" s="952">
        <f>+OX65+OX69+OX71</f>
        <v>300454372.69066757</v>
      </c>
      <c r="PC72" s="935">
        <f>+PC65+PC69+PC71</f>
        <v>1</v>
      </c>
      <c r="PF72" s="1202" t="s">
        <v>1612</v>
      </c>
      <c r="PG72" s="1203"/>
      <c r="PH72" s="1203"/>
      <c r="PI72" s="1203"/>
      <c r="PJ72" s="1203"/>
      <c r="PK72" s="1204"/>
      <c r="PL72" s="952">
        <f>+PL65+PL69+PL71</f>
        <v>0</v>
      </c>
      <c r="PQ72" s="935">
        <f>+PQ65+PQ69+PQ71</f>
        <v>0</v>
      </c>
      <c r="PT72" s="1202" t="s">
        <v>1612</v>
      </c>
      <c r="PU72" s="1203"/>
      <c r="PV72" s="1203"/>
      <c r="PW72" s="1203"/>
      <c r="PX72" s="1203"/>
      <c r="PY72" s="1204"/>
      <c r="PZ72" s="952">
        <f>+PZ65+PZ69+PZ71</f>
        <v>0</v>
      </c>
      <c r="QE72" s="935">
        <f>+QE65+QE69+QE71</f>
        <v>0</v>
      </c>
      <c r="QH72" s="1202" t="s">
        <v>1612</v>
      </c>
      <c r="QI72" s="1203"/>
      <c r="QJ72" s="1203"/>
      <c r="QK72" s="1203"/>
      <c r="QL72" s="1203"/>
      <c r="QM72" s="1204"/>
      <c r="QN72" s="952">
        <f>+QN65+QN69+QN71</f>
        <v>0</v>
      </c>
      <c r="QS72" s="935">
        <f>+QS65+QS69+QS71</f>
        <v>0</v>
      </c>
      <c r="QV72" s="1202" t="s">
        <v>1612</v>
      </c>
      <c r="QW72" s="1203"/>
      <c r="QX72" s="1203"/>
      <c r="QY72" s="1203"/>
      <c r="QZ72" s="1203"/>
      <c r="RA72" s="1204"/>
      <c r="RB72" s="952">
        <f>+RB65+RB69+RB71</f>
        <v>311860314.79535836</v>
      </c>
      <c r="RG72" s="935">
        <f>+RG65+RG69+RG71</f>
        <v>1.0000000000000002</v>
      </c>
      <c r="RJ72" s="1202" t="s">
        <v>1612</v>
      </c>
      <c r="RK72" s="1203"/>
      <c r="RL72" s="1203"/>
      <c r="RM72" s="1203"/>
      <c r="RN72" s="1203"/>
      <c r="RO72" s="1204"/>
      <c r="RP72" s="952">
        <f>+RP65+RP69+RP71</f>
        <v>59106863.112483919</v>
      </c>
      <c r="RU72" s="935">
        <f>+RU65+RU69+RU71</f>
        <v>1</v>
      </c>
      <c r="RX72" s="1202" t="s">
        <v>1612</v>
      </c>
      <c r="RY72" s="1203"/>
      <c r="RZ72" s="1203"/>
      <c r="SA72" s="1203"/>
      <c r="SB72" s="1203"/>
      <c r="SC72" s="1204"/>
      <c r="SD72" s="952">
        <f>+SD65+SD69+SD71</f>
        <v>181918516.9639591</v>
      </c>
      <c r="SI72" s="935">
        <f>+SI65+SI69+SI71</f>
        <v>1</v>
      </c>
      <c r="SL72" s="1202" t="s">
        <v>1612</v>
      </c>
      <c r="SM72" s="1203"/>
      <c r="SN72" s="1203"/>
      <c r="SO72" s="1203"/>
      <c r="SP72" s="1203"/>
      <c r="SQ72" s="1204"/>
      <c r="SR72" s="952">
        <f>+SR65+SR69+SR71</f>
        <v>0</v>
      </c>
      <c r="SW72" s="935">
        <f>+SW65+SW69+SW71</f>
        <v>0</v>
      </c>
      <c r="SZ72" s="1202" t="s">
        <v>1612</v>
      </c>
      <c r="TA72" s="1203"/>
      <c r="TB72" s="1203"/>
      <c r="TC72" s="1203"/>
      <c r="TD72" s="1203"/>
      <c r="TE72" s="1204"/>
      <c r="TF72" s="952">
        <f>+TF65+TF69+TF71</f>
        <v>4698863784.4538546</v>
      </c>
      <c r="TK72" s="935">
        <f>+TK65+TK69+TK71</f>
        <v>1.0000000000000002</v>
      </c>
      <c r="TM72" s="938"/>
      <c r="TN72" s="725"/>
    </row>
    <row r="73" spans="1:534" ht="18.75" customHeight="1" thickBot="1">
      <c r="B73" s="959"/>
      <c r="C73" s="959"/>
      <c r="D73" s="959"/>
      <c r="E73" s="959"/>
      <c r="F73" s="1205" t="s">
        <v>1599</v>
      </c>
      <c r="G73" s="1205"/>
      <c r="H73" s="914">
        <f>(VLOOKUP(B13,'Cost x Depart'!$A$1:$AL$72,38,0))-H67</f>
        <v>0</v>
      </c>
      <c r="M73" s="957"/>
      <c r="P73" s="954"/>
      <c r="Q73" s="955"/>
      <c r="R73" s="955"/>
      <c r="S73" s="955"/>
      <c r="T73" s="955"/>
      <c r="U73" s="955"/>
      <c r="V73" s="956"/>
      <c r="AA73" s="957"/>
      <c r="AD73" s="954"/>
      <c r="AE73" s="955"/>
      <c r="AF73" s="955"/>
      <c r="AG73" s="955"/>
      <c r="AH73" s="955"/>
      <c r="AI73" s="955"/>
      <c r="AJ73" s="956"/>
      <c r="AO73" s="957"/>
      <c r="AR73" s="959"/>
      <c r="AS73" s="959"/>
      <c r="AT73" s="959"/>
      <c r="AU73" s="959"/>
      <c r="AV73" s="1205" t="s">
        <v>1599</v>
      </c>
      <c r="AW73" s="1205"/>
      <c r="AX73" s="914">
        <f>(VLOOKUP(AR13,'Cost x Depart'!$A$1:$AL$72,38,0))-AX67</f>
        <v>0</v>
      </c>
      <c r="BC73" s="957"/>
      <c r="BF73" s="959"/>
      <c r="BG73" s="959"/>
      <c r="BH73" s="959"/>
      <c r="BI73" s="959"/>
      <c r="BJ73" s="1205" t="s">
        <v>1599</v>
      </c>
      <c r="BK73" s="1205"/>
      <c r="BL73" s="914">
        <f>(VLOOKUP(BF13,'Cost x Depart'!$A$1:$AL$72,38,0))-BL67</f>
        <v>0</v>
      </c>
      <c r="BQ73" s="957"/>
      <c r="BT73" s="959"/>
      <c r="BU73" s="959"/>
      <c r="BV73" s="959"/>
      <c r="BW73" s="959"/>
      <c r="BX73" s="1205" t="s">
        <v>1599</v>
      </c>
      <c r="BY73" s="1205"/>
      <c r="BZ73" s="914">
        <f>(VLOOKUP(BT13,'Cost x Depart'!$A$1:$AL$72,38,0))-BZ67</f>
        <v>0</v>
      </c>
      <c r="CE73" s="957"/>
      <c r="CH73" s="959"/>
      <c r="CI73" s="959"/>
      <c r="CJ73" s="959"/>
      <c r="CK73" s="959"/>
      <c r="CL73" s="1205" t="s">
        <v>1599</v>
      </c>
      <c r="CM73" s="1205"/>
      <c r="CN73" s="914">
        <f>(VLOOKUP(CH13,'Cost x Depart'!$A$1:$AL$72,38,0))-CN67</f>
        <v>0</v>
      </c>
      <c r="CS73" s="957"/>
      <c r="CV73" s="959"/>
      <c r="CW73" s="959"/>
      <c r="CX73" s="959"/>
      <c r="CY73" s="959"/>
      <c r="CZ73" s="1205" t="s">
        <v>1599</v>
      </c>
      <c r="DA73" s="1205"/>
      <c r="DB73" s="914">
        <f>(VLOOKUP(CV13,'Cost x Depart'!$A$1:$AL$72,38,0))-DB67</f>
        <v>0</v>
      </c>
      <c r="DG73" s="957"/>
      <c r="DJ73" s="959"/>
      <c r="DK73" s="959"/>
      <c r="DL73" s="959"/>
      <c r="DM73" s="959"/>
      <c r="DN73" s="1205" t="s">
        <v>1599</v>
      </c>
      <c r="DO73" s="1205"/>
      <c r="DP73" s="914">
        <f>(VLOOKUP(DJ13,'Cost x Depart'!$A$1:$AL$72,38,0))-DP67</f>
        <v>0</v>
      </c>
      <c r="DU73" s="957"/>
      <c r="DX73" s="959"/>
      <c r="DY73" s="959"/>
      <c r="DZ73" s="959"/>
      <c r="EA73" s="959"/>
      <c r="EB73" s="1205" t="s">
        <v>1599</v>
      </c>
      <c r="EC73" s="1205"/>
      <c r="ED73" s="914">
        <f>(VLOOKUP(DX13,'Cost x Depart'!$A$1:$AL$72,38,0))-ED67</f>
        <v>0</v>
      </c>
      <c r="EI73" s="957"/>
      <c r="EL73" s="959"/>
      <c r="EM73" s="959"/>
      <c r="EN73" s="959"/>
      <c r="EO73" s="959"/>
      <c r="EP73" s="1205" t="s">
        <v>1599</v>
      </c>
      <c r="EQ73" s="1205"/>
      <c r="ER73" s="914">
        <f>(VLOOKUP(EL13,'Cost x Depart'!$A$1:$AL$72,38,0))-ER67</f>
        <v>0</v>
      </c>
      <c r="EW73" s="957"/>
      <c r="EZ73" s="959"/>
      <c r="FA73" s="959"/>
      <c r="FB73" s="959"/>
      <c r="FC73" s="959"/>
      <c r="FD73" s="1205" t="s">
        <v>1599</v>
      </c>
      <c r="FE73" s="1205"/>
      <c r="FF73" s="914">
        <f>(VLOOKUP(EZ13,'Cost x Depart'!$A$1:$AL$72,38,0))-FF67</f>
        <v>0</v>
      </c>
      <c r="FK73" s="957"/>
      <c r="FN73" s="959"/>
      <c r="FO73" s="959"/>
      <c r="FP73" s="959"/>
      <c r="FQ73" s="959"/>
      <c r="FR73" s="1205" t="s">
        <v>1599</v>
      </c>
      <c r="FS73" s="1205"/>
      <c r="FT73" s="914">
        <f>(VLOOKUP(FN13,'Cost x Depart'!$A$1:$AL$72,38,0))-FT67</f>
        <v>0</v>
      </c>
      <c r="FY73" s="957"/>
      <c r="GB73" s="959"/>
      <c r="GC73" s="959"/>
      <c r="GD73" s="959"/>
      <c r="GE73" s="959"/>
      <c r="GF73" s="1205" t="s">
        <v>1599</v>
      </c>
      <c r="GG73" s="1205"/>
      <c r="GH73" s="914">
        <f>(VLOOKUP(GB13,'Cost x Depart'!$A$1:$AL$72,38,0))-GH67</f>
        <v>0</v>
      </c>
      <c r="GM73" s="957"/>
      <c r="GP73" s="959"/>
      <c r="GQ73" s="959"/>
      <c r="GR73" s="959"/>
      <c r="GS73" s="959"/>
      <c r="GT73" s="1205" t="s">
        <v>1599</v>
      </c>
      <c r="GU73" s="1205"/>
      <c r="GV73" s="914">
        <f>(VLOOKUP(GP13,'Cost x Depart'!$A$1:$AL$72,38,0))-GV67</f>
        <v>0</v>
      </c>
      <c r="HA73" s="957"/>
      <c r="HD73" s="959"/>
      <c r="HE73" s="959"/>
      <c r="HF73" s="959"/>
      <c r="HG73" s="959"/>
      <c r="HH73" s="1205" t="s">
        <v>1599</v>
      </c>
      <c r="HI73" s="1205"/>
      <c r="HJ73" s="914">
        <f>(VLOOKUP(HD13,'Cost x Depart'!$A$1:$AL$72,38,0))-HJ67</f>
        <v>0</v>
      </c>
      <c r="HO73" s="957"/>
      <c r="HR73" s="959"/>
      <c r="HS73" s="959"/>
      <c r="HT73" s="959"/>
      <c r="HU73" s="959"/>
      <c r="HV73" s="1205" t="s">
        <v>1599</v>
      </c>
      <c r="HW73" s="1205"/>
      <c r="HX73" s="914">
        <f>(VLOOKUP(HR13,'Cost x Depart'!$A$1:$AL$72,38,0))-HX67</f>
        <v>0</v>
      </c>
      <c r="HY73" s="957"/>
      <c r="IF73" s="954"/>
      <c r="IG73" s="955"/>
      <c r="IH73" s="955"/>
      <c r="II73" s="955"/>
      <c r="IJ73" s="955"/>
      <c r="IK73" s="955"/>
      <c r="IL73" s="956"/>
      <c r="IQ73" s="957"/>
      <c r="IT73" s="954"/>
      <c r="IU73" s="955"/>
      <c r="IV73" s="955"/>
      <c r="IW73" s="955"/>
      <c r="IX73" s="955"/>
      <c r="IY73" s="955"/>
      <c r="IZ73" s="956"/>
      <c r="JE73" s="957"/>
      <c r="JH73" s="959"/>
      <c r="JI73" s="959"/>
      <c r="JJ73" s="959"/>
      <c r="JK73" s="959"/>
      <c r="JL73" s="1205" t="s">
        <v>1599</v>
      </c>
      <c r="JM73" s="1205"/>
      <c r="JN73" s="914">
        <f>(VLOOKUP(JH13,'Cost x Depart'!$A$1:$AL$72,38,0))-JN67</f>
        <v>0</v>
      </c>
      <c r="JS73" s="957"/>
      <c r="JV73" s="959"/>
      <c r="JW73" s="959"/>
      <c r="JX73" s="959"/>
      <c r="JY73" s="959"/>
      <c r="JZ73" s="1205" t="s">
        <v>1599</v>
      </c>
      <c r="KA73" s="1205"/>
      <c r="KB73" s="914">
        <f>(VLOOKUP(JV13,'Cost x Depart'!$A$1:$AL$72,38,0))-KB67</f>
        <v>0</v>
      </c>
      <c r="KG73" s="957"/>
      <c r="KJ73" s="959"/>
      <c r="KK73" s="959"/>
      <c r="KL73" s="959"/>
      <c r="KM73" s="959"/>
      <c r="KN73" s="1205" t="s">
        <v>1599</v>
      </c>
      <c r="KO73" s="1205"/>
      <c r="KP73" s="914">
        <f>(VLOOKUP(KJ13,'Cost x Depart'!$A$1:$AL$72,38,0))-KP67</f>
        <v>0</v>
      </c>
      <c r="KU73" s="957"/>
      <c r="KX73" s="959"/>
      <c r="KY73" s="959"/>
      <c r="KZ73" s="959"/>
      <c r="LA73" s="959"/>
      <c r="LB73" s="1205" t="s">
        <v>1599</v>
      </c>
      <c r="LC73" s="1205"/>
      <c r="LD73" s="914">
        <f>(VLOOKUP(KX13,'Cost x Depart'!$A$1:$AL$72,38,0))-LD67</f>
        <v>0</v>
      </c>
      <c r="LI73" s="957"/>
      <c r="LL73" s="959"/>
      <c r="LM73" s="959"/>
      <c r="LN73" s="959"/>
      <c r="LO73" s="959"/>
      <c r="LP73" s="1205" t="s">
        <v>1599</v>
      </c>
      <c r="LQ73" s="1205"/>
      <c r="LR73" s="914">
        <f>(VLOOKUP(LL13,'Cost x Depart'!$A$1:$AL$72,38,0))-LR67</f>
        <v>0</v>
      </c>
      <c r="LW73" s="957"/>
      <c r="LZ73" s="959"/>
      <c r="MA73" s="959"/>
      <c r="MB73" s="959"/>
      <c r="MC73" s="959"/>
      <c r="MD73" s="1205" t="s">
        <v>1599</v>
      </c>
      <c r="ME73" s="1205"/>
      <c r="MF73" s="914">
        <f>(VLOOKUP(LZ13,'Cost x Depart'!$A$1:$AL$72,38,0))-MF67</f>
        <v>0</v>
      </c>
      <c r="MK73" s="957"/>
      <c r="MN73" s="959"/>
      <c r="MO73" s="959"/>
      <c r="MP73" s="959"/>
      <c r="MQ73" s="959"/>
      <c r="MR73" s="1205" t="s">
        <v>1599</v>
      </c>
      <c r="MS73" s="1205"/>
      <c r="MT73" s="914">
        <f>(VLOOKUP(MN13,'Cost x Depart'!$A$1:$AL$72,38,0))-MT67</f>
        <v>0</v>
      </c>
      <c r="MY73" s="957"/>
      <c r="NB73" s="959"/>
      <c r="NC73" s="959"/>
      <c r="ND73" s="959"/>
      <c r="NE73" s="959"/>
      <c r="NF73" s="1205" t="s">
        <v>1599</v>
      </c>
      <c r="NG73" s="1205"/>
      <c r="NH73" s="914">
        <f>(VLOOKUP(NB13,'Cost x Depart'!$A$1:$AL$72,38,0))-NH67</f>
        <v>0</v>
      </c>
      <c r="NM73" s="957"/>
      <c r="NP73" s="959"/>
      <c r="NQ73" s="959"/>
      <c r="NR73" s="959"/>
      <c r="NS73" s="959"/>
      <c r="NT73" s="1205" t="s">
        <v>1599</v>
      </c>
      <c r="NU73" s="1205"/>
      <c r="NV73" s="914">
        <f>(VLOOKUP(NP13,'Cost x Depart'!$A$1:$AL$72,38,0))-NV67</f>
        <v>0</v>
      </c>
      <c r="OA73" s="957"/>
      <c r="OD73" s="959"/>
      <c r="OE73" s="959"/>
      <c r="OF73" s="959"/>
      <c r="OG73" s="959"/>
      <c r="OH73" s="1205" t="s">
        <v>1599</v>
      </c>
      <c r="OI73" s="1205"/>
      <c r="OJ73" s="914">
        <f>(VLOOKUP(OD13,'Cost x Depart'!$A$1:$AL$72,38,0))-OJ67</f>
        <v>0</v>
      </c>
      <c r="OO73" s="957"/>
      <c r="OR73" s="959"/>
      <c r="OS73" s="959"/>
      <c r="OT73" s="959"/>
      <c r="OU73" s="959"/>
      <c r="OV73" s="1205" t="s">
        <v>1599</v>
      </c>
      <c r="OW73" s="1205"/>
      <c r="OX73" s="914">
        <f>(VLOOKUP(OR13,'Cost x Depart'!$A$1:$AL$72,38,0))-OX67</f>
        <v>0</v>
      </c>
      <c r="PC73" s="957"/>
      <c r="PF73" s="959"/>
      <c r="PG73" s="959"/>
      <c r="PH73" s="959"/>
      <c r="PI73" s="959"/>
      <c r="PJ73" s="1205" t="s">
        <v>1599</v>
      </c>
      <c r="PK73" s="1205"/>
      <c r="PL73" s="914">
        <f>(VLOOKUP(PF13,'Cost x Depart'!$A$1:$AL$72,38,0))-PL67</f>
        <v>0</v>
      </c>
      <c r="PQ73" s="957"/>
      <c r="PT73" s="959"/>
      <c r="PU73" s="959"/>
      <c r="PV73" s="959"/>
      <c r="PW73" s="959"/>
      <c r="PX73" s="1205" t="s">
        <v>1599</v>
      </c>
      <c r="PY73" s="1205"/>
      <c r="PZ73" s="914">
        <f>(VLOOKUP(PT13,'Cost x Depart'!$A$1:$AL$72,38,0))-PZ67</f>
        <v>0</v>
      </c>
      <c r="QE73" s="957"/>
      <c r="QH73" s="959"/>
      <c r="QI73" s="959"/>
      <c r="QJ73" s="959"/>
      <c r="QK73" s="959"/>
      <c r="QL73" s="1205" t="s">
        <v>1599</v>
      </c>
      <c r="QM73" s="1205"/>
      <c r="QN73" s="914">
        <f>(VLOOKUP(QH13,'Cost x Depart'!$A$1:$AL$72,38,0))-QN67</f>
        <v>0</v>
      </c>
      <c r="QS73" s="957"/>
      <c r="QV73" s="959"/>
      <c r="QW73" s="959"/>
      <c r="QX73" s="959"/>
      <c r="QY73" s="959"/>
      <c r="QZ73" s="1205" t="s">
        <v>1599</v>
      </c>
      <c r="RA73" s="1205"/>
      <c r="RB73" s="914">
        <f>(VLOOKUP(QV13,'Cost x Depart'!$A$1:$AL$72,38,0))-RB67</f>
        <v>0</v>
      </c>
      <c r="RG73" s="957"/>
      <c r="RJ73" s="959"/>
      <c r="RK73" s="959"/>
      <c r="RL73" s="959"/>
      <c r="RM73" s="959"/>
      <c r="RN73" s="1205" t="s">
        <v>1599</v>
      </c>
      <c r="RO73" s="1205"/>
      <c r="RP73" s="914">
        <f>(VLOOKUP(RJ13,'Cost x Depart'!$A$1:$AL$72,38,0))-RP67</f>
        <v>0</v>
      </c>
      <c r="RU73" s="957"/>
      <c r="RX73" s="959"/>
      <c r="RY73" s="959"/>
      <c r="RZ73" s="959"/>
      <c r="SA73" s="959"/>
      <c r="SB73" s="1205" t="s">
        <v>1599</v>
      </c>
      <c r="SC73" s="1205"/>
      <c r="SD73" s="914">
        <f>(VLOOKUP(RX13,'Cost x Depart'!$A$1:$AL$72,38,0))-SD67</f>
        <v>0</v>
      </c>
      <c r="SI73" s="957"/>
      <c r="SL73" s="959"/>
      <c r="SM73" s="959"/>
      <c r="SN73" s="959"/>
      <c r="SO73" s="959"/>
      <c r="SP73" s="1205" t="s">
        <v>1599</v>
      </c>
      <c r="SQ73" s="1205"/>
      <c r="SR73" s="914">
        <f>(VLOOKUP(SL13,'Cost x Depart'!$A$1:$AL$72,38,0))-SR67</f>
        <v>0</v>
      </c>
      <c r="SW73" s="957"/>
      <c r="SZ73" s="959"/>
      <c r="TA73" s="959"/>
      <c r="TB73" s="959"/>
      <c r="TC73" s="959"/>
      <c r="TD73" s="1205" t="s">
        <v>1599</v>
      </c>
      <c r="TE73" s="1205"/>
      <c r="TF73" s="914">
        <f>+'Cost x Depart'!AL72-TF67</f>
        <v>0</v>
      </c>
      <c r="TK73" s="957"/>
      <c r="TM73" s="938"/>
      <c r="TN73" s="725"/>
    </row>
    <row r="74" spans="1:534" ht="18.75" customHeight="1">
      <c r="B74" s="960"/>
      <c r="C74" s="960"/>
      <c r="D74" s="960"/>
      <c r="E74" s="960"/>
      <c r="F74" s="1206"/>
      <c r="G74" s="1206"/>
      <c r="H74" s="916">
        <f>VLOOKUP(B13,'Cost x Depart'!$A$1:$AQ$72,43,0)-H72</f>
        <v>0</v>
      </c>
      <c r="M74" s="957"/>
      <c r="P74" s="954"/>
      <c r="Q74" s="955"/>
      <c r="R74" s="955"/>
      <c r="S74" s="955"/>
      <c r="T74" s="955"/>
      <c r="U74" s="955"/>
      <c r="V74" s="956"/>
      <c r="AA74" s="957"/>
      <c r="AD74" s="954"/>
      <c r="AE74" s="955"/>
      <c r="AF74" s="955"/>
      <c r="AG74" s="955"/>
      <c r="AH74" s="955"/>
      <c r="AI74" s="955"/>
      <c r="AJ74" s="956"/>
      <c r="AO74" s="957"/>
      <c r="AR74" s="960"/>
      <c r="AS74" s="960"/>
      <c r="AT74" s="960"/>
      <c r="AU74" s="960"/>
      <c r="AV74" s="1206"/>
      <c r="AW74" s="1206"/>
      <c r="AX74" s="916">
        <f>VLOOKUP(AR13,'Cost x Depart'!$A$1:$AQ$72,43,0)-AX72</f>
        <v>0</v>
      </c>
      <c r="BC74" s="957"/>
      <c r="BF74" s="960"/>
      <c r="BG74" s="960"/>
      <c r="BH74" s="960"/>
      <c r="BI74" s="960"/>
      <c r="BJ74" s="1206"/>
      <c r="BK74" s="1206"/>
      <c r="BL74" s="916">
        <f>VLOOKUP(BF13,'Cost x Depart'!$A$1:$AQ$72,43,0)-BL72</f>
        <v>0</v>
      </c>
      <c r="BQ74" s="957"/>
      <c r="BT74" s="960"/>
      <c r="BU74" s="960"/>
      <c r="BV74" s="960"/>
      <c r="BW74" s="960"/>
      <c r="BX74" s="1206"/>
      <c r="BY74" s="1206"/>
      <c r="BZ74" s="916">
        <f>VLOOKUP(BT13,'Cost x Depart'!$A$1:$AQ$72,43,0)-BZ72</f>
        <v>0</v>
      </c>
      <c r="CE74" s="957"/>
      <c r="CH74" s="960"/>
      <c r="CI74" s="960"/>
      <c r="CJ74" s="960"/>
      <c r="CK74" s="960"/>
      <c r="CL74" s="1206"/>
      <c r="CM74" s="1206"/>
      <c r="CN74" s="916">
        <f>VLOOKUP(CH13,'Cost x Depart'!$A$1:$AQ$72,43,0)-CN72</f>
        <v>0</v>
      </c>
      <c r="CS74" s="957"/>
      <c r="CV74" s="960"/>
      <c r="CW74" s="960"/>
      <c r="CX74" s="960"/>
      <c r="CY74" s="960"/>
      <c r="CZ74" s="1206"/>
      <c r="DA74" s="1206"/>
      <c r="DB74" s="916">
        <f>VLOOKUP(CV13,'Cost x Depart'!$A$1:$AQ$72,43,0)-DB72</f>
        <v>0</v>
      </c>
      <c r="DG74" s="957"/>
      <c r="DJ74" s="960"/>
      <c r="DK74" s="960"/>
      <c r="DL74" s="960"/>
      <c r="DM74" s="960"/>
      <c r="DN74" s="1206"/>
      <c r="DO74" s="1206"/>
      <c r="DP74" s="916">
        <f>VLOOKUP(DJ13,'Cost x Depart'!$A$1:$AQ$72,43,0)-DP72</f>
        <v>0</v>
      </c>
      <c r="DU74" s="957"/>
      <c r="DX74" s="960"/>
      <c r="DY74" s="960"/>
      <c r="DZ74" s="960"/>
      <c r="EA74" s="960"/>
      <c r="EB74" s="1206"/>
      <c r="EC74" s="1206"/>
      <c r="ED74" s="916">
        <f>VLOOKUP(DX13,'Cost x Depart'!$A$1:$AQ$72,43,0)-ED72</f>
        <v>0</v>
      </c>
      <c r="EI74" s="957"/>
      <c r="EL74" s="960"/>
      <c r="EM74" s="960"/>
      <c r="EN74" s="960"/>
      <c r="EO74" s="960"/>
      <c r="EP74" s="1206"/>
      <c r="EQ74" s="1206"/>
      <c r="ER74" s="916">
        <f>VLOOKUP(EL13,'Cost x Depart'!$A$1:$AQ$72,43,0)-ER72</f>
        <v>0</v>
      </c>
      <c r="EW74" s="957"/>
      <c r="EZ74" s="960"/>
      <c r="FA74" s="960"/>
      <c r="FB74" s="960"/>
      <c r="FC74" s="960"/>
      <c r="FD74" s="1206"/>
      <c r="FE74" s="1206"/>
      <c r="FF74" s="916">
        <f>VLOOKUP(EZ13,'Cost x Depart'!$A$1:$AQ$72,43,0)-FF72</f>
        <v>0</v>
      </c>
      <c r="FK74" s="957"/>
      <c r="FN74" s="960"/>
      <c r="FO74" s="960"/>
      <c r="FP74" s="960"/>
      <c r="FQ74" s="960"/>
      <c r="FR74" s="1206"/>
      <c r="FS74" s="1206"/>
      <c r="FT74" s="916">
        <f>VLOOKUP(FN13,'Cost x Depart'!$A$1:$AQ$72,43,0)-FT72</f>
        <v>0</v>
      </c>
      <c r="FY74" s="957"/>
      <c r="GB74" s="960"/>
      <c r="GC74" s="960"/>
      <c r="GD74" s="960"/>
      <c r="GE74" s="960"/>
      <c r="GF74" s="1206"/>
      <c r="GG74" s="1206"/>
      <c r="GH74" s="916">
        <f>VLOOKUP(GB13,'Cost x Depart'!$A$1:$AQ$72,43,0)-GH72</f>
        <v>0</v>
      </c>
      <c r="GM74" s="957"/>
      <c r="GP74" s="960"/>
      <c r="GQ74" s="960"/>
      <c r="GR74" s="960"/>
      <c r="GS74" s="960"/>
      <c r="GT74" s="1206"/>
      <c r="GU74" s="1206"/>
      <c r="GV74" s="916">
        <f>VLOOKUP(GP13,'Cost x Depart'!$A$1:$AQ$72,43,0)-GV72</f>
        <v>0</v>
      </c>
      <c r="HA74" s="957"/>
      <c r="HD74" s="960"/>
      <c r="HE74" s="960"/>
      <c r="HF74" s="960"/>
      <c r="HG74" s="960"/>
      <c r="HH74" s="1206"/>
      <c r="HI74" s="1206"/>
      <c r="HJ74" s="916">
        <f>VLOOKUP(HD13,'Cost x Depart'!$A$1:$AQ$72,43,0)-HJ72</f>
        <v>0</v>
      </c>
      <c r="HO74" s="957"/>
      <c r="HR74" s="960"/>
      <c r="HS74" s="960"/>
      <c r="HT74" s="960"/>
      <c r="HU74" s="960"/>
      <c r="HV74" s="1206"/>
      <c r="HW74" s="1206"/>
      <c r="HX74" s="916">
        <f>VLOOKUP(HR13,'Cost x Depart'!$A$1:$AQ$72,43,0)-HX72</f>
        <v>0</v>
      </c>
      <c r="HY74" s="957"/>
      <c r="IF74" s="954"/>
      <c r="IG74" s="955"/>
      <c r="IH74" s="955"/>
      <c r="II74" s="955"/>
      <c r="IJ74" s="955"/>
      <c r="IK74" s="955"/>
      <c r="IL74" s="956"/>
      <c r="IQ74" s="957"/>
      <c r="IT74" s="954"/>
      <c r="IU74" s="955"/>
      <c r="IV74" s="955"/>
      <c r="IW74" s="955"/>
      <c r="IX74" s="955"/>
      <c r="IY74" s="955"/>
      <c r="IZ74" s="956"/>
      <c r="JE74" s="957"/>
      <c r="JH74" s="960"/>
      <c r="JI74" s="960"/>
      <c r="JJ74" s="960"/>
      <c r="JK74" s="960"/>
      <c r="JL74" s="1206"/>
      <c r="JM74" s="1206"/>
      <c r="JN74" s="916">
        <f>VLOOKUP(JH13,'Cost x Depart'!$A$1:$AQ$72,43,0)-JN72</f>
        <v>0</v>
      </c>
      <c r="JS74" s="957"/>
      <c r="JV74" s="960"/>
      <c r="JW74" s="960"/>
      <c r="JX74" s="960"/>
      <c r="JY74" s="960"/>
      <c r="JZ74" s="1206"/>
      <c r="KA74" s="1206"/>
      <c r="KB74" s="916">
        <f>VLOOKUP(JV13,'Cost x Depart'!$A$1:$AQ$72,43,0)-KB72</f>
        <v>0</v>
      </c>
      <c r="KG74" s="957"/>
      <c r="KJ74" s="960"/>
      <c r="KK74" s="960"/>
      <c r="KL74" s="960"/>
      <c r="KM74" s="960"/>
      <c r="KN74" s="1206"/>
      <c r="KO74" s="1206"/>
      <c r="KP74" s="916">
        <f>VLOOKUP(KJ13,'Cost x Depart'!$A$1:$AQ$72,43,0)-KP72</f>
        <v>0</v>
      </c>
      <c r="KU74" s="957"/>
      <c r="KX74" s="960"/>
      <c r="KY74" s="960"/>
      <c r="KZ74" s="960"/>
      <c r="LA74" s="960"/>
      <c r="LB74" s="1206"/>
      <c r="LC74" s="1206"/>
      <c r="LD74" s="916">
        <f>VLOOKUP(KX13,'Cost x Depart'!$A$1:$AQ$72,43,0)-LD72</f>
        <v>0</v>
      </c>
      <c r="LI74" s="957"/>
      <c r="LL74" s="960"/>
      <c r="LM74" s="960"/>
      <c r="LN74" s="960"/>
      <c r="LO74" s="960"/>
      <c r="LP74" s="1206"/>
      <c r="LQ74" s="1206"/>
      <c r="LR74" s="916">
        <f>VLOOKUP(LL13,'Cost x Depart'!$A$1:$AQ$72,43,0)-LR72</f>
        <v>0</v>
      </c>
      <c r="LW74" s="957"/>
      <c r="LZ74" s="960"/>
      <c r="MA74" s="960"/>
      <c r="MB74" s="960"/>
      <c r="MC74" s="960"/>
      <c r="MD74" s="1206"/>
      <c r="ME74" s="1206"/>
      <c r="MF74" s="916">
        <f>VLOOKUP(LZ13,'Cost x Depart'!$A$1:$AQ$72,43,0)-MF72</f>
        <v>0</v>
      </c>
      <c r="MK74" s="957"/>
      <c r="MN74" s="960"/>
      <c r="MO74" s="960"/>
      <c r="MP74" s="960"/>
      <c r="MQ74" s="960"/>
      <c r="MR74" s="1206"/>
      <c r="MS74" s="1206"/>
      <c r="MT74" s="916">
        <f>VLOOKUP(MN13,'Cost x Depart'!$A$1:$AQ$72,43,0)-MT72</f>
        <v>0</v>
      </c>
      <c r="MY74" s="957"/>
      <c r="NB74" s="960"/>
      <c r="NC74" s="960"/>
      <c r="ND74" s="960"/>
      <c r="NE74" s="960"/>
      <c r="NF74" s="1206"/>
      <c r="NG74" s="1206"/>
      <c r="NH74" s="916">
        <f>VLOOKUP(NB13,'Cost x Depart'!$A$1:$AQ$72,43,0)-NH72</f>
        <v>0</v>
      </c>
      <c r="NM74" s="957"/>
      <c r="NP74" s="960"/>
      <c r="NQ74" s="960"/>
      <c r="NR74" s="960"/>
      <c r="NS74" s="960"/>
      <c r="NT74" s="1206"/>
      <c r="NU74" s="1206"/>
      <c r="NV74" s="916">
        <f>VLOOKUP(NP13,'Cost x Depart'!$A$1:$AQ$72,43,0)-NV72</f>
        <v>0</v>
      </c>
      <c r="OA74" s="957"/>
      <c r="OD74" s="960"/>
      <c r="OE74" s="960"/>
      <c r="OF74" s="960"/>
      <c r="OG74" s="960"/>
      <c r="OH74" s="1206"/>
      <c r="OI74" s="1206"/>
      <c r="OJ74" s="916">
        <f>VLOOKUP(OD13,'Cost x Depart'!$A$1:$AQ$72,43,0)-OJ72</f>
        <v>0</v>
      </c>
      <c r="OO74" s="957"/>
      <c r="OR74" s="960"/>
      <c r="OS74" s="960"/>
      <c r="OT74" s="960"/>
      <c r="OU74" s="960"/>
      <c r="OV74" s="1206"/>
      <c r="OW74" s="1206"/>
      <c r="OX74" s="916">
        <f>VLOOKUP(OR13,'Cost x Depart'!$A$1:$AQ$72,43,0)-OX72</f>
        <v>0</v>
      </c>
      <c r="PC74" s="957"/>
      <c r="PF74" s="960"/>
      <c r="PG74" s="960"/>
      <c r="PH74" s="960"/>
      <c r="PI74" s="960"/>
      <c r="PJ74" s="1206"/>
      <c r="PK74" s="1206"/>
      <c r="PL74" s="916">
        <f>VLOOKUP(PF13,'Cost x Depart'!$A$1:$AQ$72,43,0)-PL72</f>
        <v>0</v>
      </c>
      <c r="PQ74" s="957"/>
      <c r="PT74" s="960"/>
      <c r="PU74" s="960"/>
      <c r="PV74" s="960"/>
      <c r="PW74" s="960"/>
      <c r="PX74" s="1206"/>
      <c r="PY74" s="1206"/>
      <c r="PZ74" s="916">
        <f>VLOOKUP(PT13,'Cost x Depart'!$A$1:$AQ$72,43,0)-PZ72</f>
        <v>0</v>
      </c>
      <c r="QE74" s="957"/>
      <c r="QH74" s="960"/>
      <c r="QI74" s="960"/>
      <c r="QJ74" s="960"/>
      <c r="QK74" s="960"/>
      <c r="QL74" s="1206"/>
      <c r="QM74" s="1206"/>
      <c r="QN74" s="916">
        <f>VLOOKUP(QH13,'Cost x Depart'!$A$1:$AQ$72,43,0)-QN72</f>
        <v>0</v>
      </c>
      <c r="QS74" s="957"/>
      <c r="QV74" s="960"/>
      <c r="QW74" s="960"/>
      <c r="QX74" s="960"/>
      <c r="QY74" s="960"/>
      <c r="QZ74" s="1206"/>
      <c r="RA74" s="1206"/>
      <c r="RB74" s="916">
        <f>VLOOKUP(QV13,'Cost x Depart'!$A$1:$AQ$72,43,0)-RB72</f>
        <v>0</v>
      </c>
      <c r="RG74" s="957"/>
      <c r="RJ74" s="960"/>
      <c r="RK74" s="960"/>
      <c r="RL74" s="960"/>
      <c r="RM74" s="960"/>
      <c r="RN74" s="1206"/>
      <c r="RO74" s="1206"/>
      <c r="RP74" s="916">
        <f>VLOOKUP(RJ13,'Cost x Depart'!$A$1:$AQ$72,43,0)-RP72</f>
        <v>0</v>
      </c>
      <c r="RU74" s="957"/>
      <c r="RX74" s="960"/>
      <c r="RY74" s="960"/>
      <c r="RZ74" s="960"/>
      <c r="SA74" s="960"/>
      <c r="SB74" s="1206"/>
      <c r="SC74" s="1206"/>
      <c r="SD74" s="916">
        <f>VLOOKUP(RX13,'Cost x Depart'!$A$1:$AQ$72,43,0)-SD72</f>
        <v>0</v>
      </c>
      <c r="SI74" s="957"/>
      <c r="SL74" s="960"/>
      <c r="SM74" s="960"/>
      <c r="SN74" s="960"/>
      <c r="SO74" s="960"/>
      <c r="SP74" s="1206"/>
      <c r="SQ74" s="1206"/>
      <c r="SR74" s="916">
        <f>VLOOKUP(SL13,'Cost x Depart'!$A$1:$AQ$72,43,0)-SR72</f>
        <v>0</v>
      </c>
      <c r="SW74" s="957"/>
      <c r="SZ74" s="960"/>
      <c r="TA74" s="960"/>
      <c r="TB74" s="960"/>
      <c r="TC74" s="960"/>
      <c r="TD74" s="1206"/>
      <c r="TE74" s="1206"/>
      <c r="TF74" s="916">
        <f>+TF72-'Cost x Depart'!AQ72</f>
        <v>0</v>
      </c>
      <c r="TK74" s="957"/>
      <c r="TM74" s="938"/>
      <c r="TN74" s="725"/>
    </row>
    <row r="75" spans="1:534" ht="15.75" customHeight="1">
      <c r="B75" s="673">
        <f>+B13</f>
        <v>1</v>
      </c>
      <c r="C75" s="673" t="str">
        <f>+C13</f>
        <v>ANTIOQUIA</v>
      </c>
      <c r="P75" s="673"/>
      <c r="Q75" s="673"/>
      <c r="AD75" s="673"/>
      <c r="AE75" s="673"/>
      <c r="AR75" s="673">
        <f>+AR13</f>
        <v>3</v>
      </c>
      <c r="AS75" s="673" t="str">
        <f>+AS13</f>
        <v>ATLÁNTICO</v>
      </c>
      <c r="BF75" s="673">
        <f>+BF13</f>
        <v>4</v>
      </c>
      <c r="BG75" s="673" t="str">
        <f>+BG13</f>
        <v>BOLÍVAR</v>
      </c>
      <c r="BT75" s="673">
        <f>+BT13</f>
        <v>5</v>
      </c>
      <c r="BU75" s="673" t="str">
        <f>+BU13</f>
        <v>BOYACÁ</v>
      </c>
      <c r="CH75" s="673">
        <f>+CH13</f>
        <v>6</v>
      </c>
      <c r="CI75" s="673" t="str">
        <f>+CI13</f>
        <v>CALDAS</v>
      </c>
      <c r="CV75" s="673">
        <f>+CV13</f>
        <v>7</v>
      </c>
      <c r="CW75" s="673" t="str">
        <f>+CW13</f>
        <v>CAQUETÁ</v>
      </c>
      <c r="DJ75" s="673">
        <f>+DJ13</f>
        <v>8</v>
      </c>
      <c r="DK75" s="673" t="str">
        <f>+DK13</f>
        <v>CAUCA</v>
      </c>
      <c r="DX75" s="673">
        <f>+DX13</f>
        <v>9</v>
      </c>
      <c r="DY75" s="673" t="str">
        <f>+DY13</f>
        <v>CESAR</v>
      </c>
      <c r="EL75" s="673">
        <f>+EL13</f>
        <v>10</v>
      </c>
      <c r="EM75" s="673" t="str">
        <f>+EM13</f>
        <v>CÓRDOBA</v>
      </c>
      <c r="EZ75" s="673">
        <f>+EZ13</f>
        <v>11</v>
      </c>
      <c r="FA75" s="673" t="str">
        <f>+FA13</f>
        <v>CUNDINAMARCA</v>
      </c>
      <c r="FN75" s="673">
        <f>+FN13</f>
        <v>12</v>
      </c>
      <c r="FO75" s="673" t="str">
        <f>+FO13</f>
        <v>CHOCÓ</v>
      </c>
      <c r="GB75" s="673">
        <f>+GB13</f>
        <v>13</v>
      </c>
      <c r="GC75" s="673" t="str">
        <f>+GC13</f>
        <v>HUILA</v>
      </c>
      <c r="GP75" s="673">
        <f>+GP13</f>
        <v>14</v>
      </c>
      <c r="GQ75" s="673" t="str">
        <f>+GQ13</f>
        <v>LA GUAJIRA</v>
      </c>
      <c r="HD75" s="673">
        <f>+HD13</f>
        <v>15</v>
      </c>
      <c r="HE75" s="673" t="str">
        <f>+HE13</f>
        <v>MAGDALENA</v>
      </c>
      <c r="HR75" s="673">
        <f>+HR13</f>
        <v>16</v>
      </c>
      <c r="HS75" s="673" t="str">
        <f>+HS13</f>
        <v>META</v>
      </c>
      <c r="IF75" s="673"/>
      <c r="IG75" s="673"/>
      <c r="IT75" s="673"/>
      <c r="IU75" s="673"/>
      <c r="JH75" s="673">
        <f>+JH13</f>
        <v>18</v>
      </c>
      <c r="JI75" s="673" t="str">
        <f>+JI13</f>
        <v xml:space="preserve">NARIÑO </v>
      </c>
      <c r="JN75" s="909"/>
      <c r="JV75" s="673">
        <f>+JV13</f>
        <v>19</v>
      </c>
      <c r="JW75" s="673" t="str">
        <f>+JW13</f>
        <v>NORTE DE SANTANDER</v>
      </c>
      <c r="KJ75" s="673">
        <f>+KJ13</f>
        <v>20</v>
      </c>
      <c r="KK75" s="673" t="str">
        <f>+KK13</f>
        <v>QUINDÍO</v>
      </c>
      <c r="KX75" s="673">
        <f>+KX13</f>
        <v>21</v>
      </c>
      <c r="KY75" s="673" t="str">
        <f>+KY13</f>
        <v>RISARALDA</v>
      </c>
      <c r="LL75" s="673">
        <f>+LL13</f>
        <v>22</v>
      </c>
      <c r="LM75" s="673" t="str">
        <f>+LM13</f>
        <v>SANTANDER</v>
      </c>
      <c r="LZ75" s="673">
        <f>+LZ13</f>
        <v>23</v>
      </c>
      <c r="MA75" s="673" t="str">
        <f>+MA13</f>
        <v>SUCRE</v>
      </c>
      <c r="MN75" s="673">
        <f>+MN13</f>
        <v>24</v>
      </c>
      <c r="MO75" s="673" t="str">
        <f>+MO13</f>
        <v>TOLIMA</v>
      </c>
      <c r="NB75" s="673">
        <f>+NB13</f>
        <v>25</v>
      </c>
      <c r="NC75" s="673" t="str">
        <f>+NC13</f>
        <v>VALLE DEL CAUCA</v>
      </c>
      <c r="NP75" s="673">
        <f>+NP13</f>
        <v>26</v>
      </c>
      <c r="NQ75" s="673" t="str">
        <f>+NQ13</f>
        <v>ARAUCA</v>
      </c>
      <c r="OD75" s="673">
        <f>+OD13</f>
        <v>27</v>
      </c>
      <c r="OE75" s="673" t="str">
        <f>+OE13</f>
        <v>CASANARE</v>
      </c>
      <c r="OR75" s="673">
        <f>+OR13</f>
        <v>28</v>
      </c>
      <c r="OS75" s="673" t="str">
        <f>+OS13</f>
        <v>PUTUMAYO</v>
      </c>
      <c r="OX75" s="943"/>
      <c r="PF75" s="673">
        <f>+PF13</f>
        <v>29</v>
      </c>
      <c r="PG75" s="673" t="str">
        <f>+PG13</f>
        <v>SAN ANDRÉS</v>
      </c>
      <c r="PT75" s="673">
        <f>+PT13</f>
        <v>30</v>
      </c>
      <c r="PU75" s="673" t="str">
        <f>+PU13</f>
        <v>AMAZONAS</v>
      </c>
      <c r="QH75" s="673">
        <f>+QH13</f>
        <v>31</v>
      </c>
      <c r="QI75" s="673" t="str">
        <f>+QI13</f>
        <v>GUAINÍA</v>
      </c>
      <c r="QV75" s="673">
        <f>+QV13</f>
        <v>32</v>
      </c>
      <c r="QW75" s="673" t="str">
        <f>+QW13</f>
        <v>GUAVIARE</v>
      </c>
      <c r="RJ75" s="673">
        <f>+RJ13</f>
        <v>33</v>
      </c>
      <c r="RK75" s="673" t="str">
        <f>+RK13</f>
        <v>VAUPÉS</v>
      </c>
      <c r="RX75" s="673">
        <f>+RX13</f>
        <v>34</v>
      </c>
      <c r="RY75" s="673" t="str">
        <f>+RY13</f>
        <v>VICHADA</v>
      </c>
      <c r="SL75" s="673">
        <f>+SL13</f>
        <v>35</v>
      </c>
      <c r="SM75" s="673" t="str">
        <f>+SM13</f>
        <v>BOGOTÁ</v>
      </c>
      <c r="SZ75" s="673">
        <f>+SZ13</f>
        <v>0</v>
      </c>
      <c r="TA75" s="673" t="str">
        <f>+TA13</f>
        <v>TOTAL PAÍS</v>
      </c>
      <c r="TF75" s="942"/>
    </row>
    <row r="76" spans="1:534" ht="15.75" customHeight="1" thickBot="1">
      <c r="TF76" s="284"/>
    </row>
    <row r="77" spans="1:534" ht="15.75" customHeight="1" thickBot="1">
      <c r="B77" s="678" t="s">
        <v>1583</v>
      </c>
      <c r="C77" s="678" t="s">
        <v>1577</v>
      </c>
      <c r="P77" s="678"/>
      <c r="Q77" s="678"/>
      <c r="AD77" s="678"/>
      <c r="AE77" s="678"/>
      <c r="AR77" s="678" t="s">
        <v>1583</v>
      </c>
      <c r="AS77" s="678" t="s">
        <v>1577</v>
      </c>
      <c r="BF77" s="678" t="s">
        <v>1583</v>
      </c>
      <c r="BG77" s="678" t="s">
        <v>1577</v>
      </c>
      <c r="BT77" s="678" t="s">
        <v>1583</v>
      </c>
      <c r="BU77" s="678" t="s">
        <v>1577</v>
      </c>
      <c r="CH77" s="678" t="s">
        <v>1583</v>
      </c>
      <c r="CI77" s="678" t="s">
        <v>1577</v>
      </c>
      <c r="CV77" s="678" t="s">
        <v>1583</v>
      </c>
      <c r="CW77" s="678" t="s">
        <v>1577</v>
      </c>
      <c r="DJ77" s="678" t="s">
        <v>1583</v>
      </c>
      <c r="DK77" s="678" t="s">
        <v>1577</v>
      </c>
      <c r="DX77" s="678" t="s">
        <v>1583</v>
      </c>
      <c r="DY77" s="678" t="s">
        <v>1577</v>
      </c>
      <c r="EL77" s="678" t="s">
        <v>1583</v>
      </c>
      <c r="EM77" s="678" t="s">
        <v>1577</v>
      </c>
      <c r="EZ77" s="678" t="s">
        <v>1583</v>
      </c>
      <c r="FA77" s="678" t="s">
        <v>1577</v>
      </c>
      <c r="FN77" s="678" t="s">
        <v>1583</v>
      </c>
      <c r="FO77" s="678" t="s">
        <v>1577</v>
      </c>
      <c r="GB77" s="678" t="s">
        <v>1583</v>
      </c>
      <c r="GC77" s="678" t="s">
        <v>1577</v>
      </c>
      <c r="GP77" s="678" t="s">
        <v>1583</v>
      </c>
      <c r="GQ77" s="678" t="s">
        <v>1577</v>
      </c>
      <c r="HD77" s="678" t="s">
        <v>1583</v>
      </c>
      <c r="HE77" s="678" t="s">
        <v>1577</v>
      </c>
      <c r="HR77" s="678" t="s">
        <v>1583</v>
      </c>
      <c r="HS77" s="678" t="s">
        <v>1577</v>
      </c>
      <c r="IF77" s="678"/>
      <c r="IG77" s="678"/>
      <c r="IT77" s="678"/>
      <c r="IU77" s="678"/>
      <c r="JH77" s="678" t="s">
        <v>1583</v>
      </c>
      <c r="JI77" s="678" t="s">
        <v>1577</v>
      </c>
      <c r="JV77" s="678" t="s">
        <v>1583</v>
      </c>
      <c r="JW77" s="678" t="s">
        <v>1577</v>
      </c>
      <c r="KJ77" s="678" t="s">
        <v>1583</v>
      </c>
      <c r="KK77" s="678" t="s">
        <v>1577</v>
      </c>
      <c r="KX77" s="678" t="s">
        <v>1583</v>
      </c>
      <c r="KY77" s="678" t="s">
        <v>1577</v>
      </c>
      <c r="LL77" s="678" t="s">
        <v>1583</v>
      </c>
      <c r="LM77" s="678" t="s">
        <v>1577</v>
      </c>
      <c r="LZ77" s="678" t="s">
        <v>1583</v>
      </c>
      <c r="MA77" s="678" t="s">
        <v>1577</v>
      </c>
      <c r="MN77" s="678" t="s">
        <v>1583</v>
      </c>
      <c r="MO77" s="678" t="s">
        <v>1577</v>
      </c>
      <c r="NB77" s="678" t="s">
        <v>1583</v>
      </c>
      <c r="NC77" s="678" t="s">
        <v>1577</v>
      </c>
      <c r="NP77" s="678" t="s">
        <v>1583</v>
      </c>
      <c r="NQ77" s="678" t="s">
        <v>1577</v>
      </c>
      <c r="OD77" s="678" t="s">
        <v>1583</v>
      </c>
      <c r="OE77" s="678" t="s">
        <v>1577</v>
      </c>
      <c r="OR77" s="678" t="s">
        <v>1583</v>
      </c>
      <c r="OS77" s="678" t="s">
        <v>1577</v>
      </c>
      <c r="PF77" s="678" t="s">
        <v>1583</v>
      </c>
      <c r="PG77" s="678" t="s">
        <v>1577</v>
      </c>
      <c r="PT77" s="678" t="s">
        <v>1583</v>
      </c>
      <c r="PU77" s="678" t="s">
        <v>1577</v>
      </c>
      <c r="QH77" s="678" t="s">
        <v>1583</v>
      </c>
      <c r="QI77" s="678" t="s">
        <v>1577</v>
      </c>
      <c r="QV77" s="678" t="s">
        <v>1583</v>
      </c>
      <c r="QW77" s="678" t="s">
        <v>1577</v>
      </c>
      <c r="RJ77" s="678" t="s">
        <v>1583</v>
      </c>
      <c r="RK77" s="678" t="s">
        <v>1577</v>
      </c>
      <c r="RX77" s="678" t="s">
        <v>1583</v>
      </c>
      <c r="RY77" s="678" t="s">
        <v>1577</v>
      </c>
      <c r="SL77" s="678" t="s">
        <v>1583</v>
      </c>
      <c r="SM77" s="678" t="s">
        <v>1577</v>
      </c>
      <c r="SZ77" s="678" t="s">
        <v>1583</v>
      </c>
      <c r="TA77" s="678" t="s">
        <v>1577</v>
      </c>
    </row>
    <row r="78" spans="1:534" ht="15.75" customHeight="1">
      <c r="B78" s="917">
        <f>+H21</f>
        <v>57597450.630413651</v>
      </c>
      <c r="C78" s="680" t="s">
        <v>1578</v>
      </c>
      <c r="P78" s="917"/>
      <c r="Q78" s="680"/>
      <c r="AD78" s="917"/>
      <c r="AE78" s="680"/>
      <c r="AR78" s="917">
        <f>+AX21</f>
        <v>0</v>
      </c>
      <c r="AS78" s="680" t="s">
        <v>1578</v>
      </c>
      <c r="BF78" s="917">
        <f>+BL21</f>
        <v>148107730.19249225</v>
      </c>
      <c r="BG78" s="680" t="s">
        <v>1578</v>
      </c>
      <c r="BT78" s="917">
        <f>+BZ21</f>
        <v>0</v>
      </c>
      <c r="BU78" s="680" t="s">
        <v>1578</v>
      </c>
      <c r="CH78" s="917">
        <f>+CN21</f>
        <v>8228207.2329162359</v>
      </c>
      <c r="CI78" s="680" t="s">
        <v>1578</v>
      </c>
      <c r="CV78" s="917">
        <f>+DB21</f>
        <v>106966694.02791107</v>
      </c>
      <c r="CW78" s="680" t="s">
        <v>1578</v>
      </c>
      <c r="DJ78" s="917">
        <f>+DP21</f>
        <v>8228207.2329162359</v>
      </c>
      <c r="DK78" s="680" t="s">
        <v>1578</v>
      </c>
      <c r="DX78" s="917">
        <f>+ED21</f>
        <v>41141036.16458118</v>
      </c>
      <c r="DY78" s="680" t="s">
        <v>1578</v>
      </c>
      <c r="EL78" s="917">
        <f>+ER21</f>
        <v>74053865.096246123</v>
      </c>
      <c r="EM78" s="680" t="s">
        <v>1578</v>
      </c>
      <c r="EZ78" s="917">
        <f>+FF21</f>
        <v>0</v>
      </c>
      <c r="FA78" s="680" t="s">
        <v>1578</v>
      </c>
      <c r="FN78" s="917">
        <f>+FT21</f>
        <v>53483347.013955534</v>
      </c>
      <c r="FO78" s="680" t="s">
        <v>1578</v>
      </c>
      <c r="GB78" s="917">
        <f>+GH21</f>
        <v>49369243.397497408</v>
      </c>
      <c r="GC78" s="680" t="s">
        <v>1578</v>
      </c>
      <c r="GP78" s="917">
        <f>+GV21</f>
        <v>0</v>
      </c>
      <c r="GQ78" s="680" t="s">
        <v>1578</v>
      </c>
      <c r="HD78" s="917">
        <f>+HJ21</f>
        <v>24684621.698748704</v>
      </c>
      <c r="HE78" s="680" t="s">
        <v>1578</v>
      </c>
      <c r="HR78" s="917">
        <f>+HX21</f>
        <v>90510279.562078595</v>
      </c>
      <c r="HS78" s="680" t="s">
        <v>1578</v>
      </c>
      <c r="IF78" s="917"/>
      <c r="IG78" s="680"/>
      <c r="IT78" s="917"/>
      <c r="IU78" s="680"/>
      <c r="JH78" s="917">
        <f>+JN21</f>
        <v>123423108.49374352</v>
      </c>
      <c r="JI78" s="680" t="s">
        <v>1578</v>
      </c>
      <c r="JV78" s="917">
        <f>+KB21</f>
        <v>53483347.013955534</v>
      </c>
      <c r="JW78" s="680" t="s">
        <v>1578</v>
      </c>
      <c r="KJ78" s="917">
        <f>+KP21</f>
        <v>0</v>
      </c>
      <c r="KK78" s="680" t="s">
        <v>1578</v>
      </c>
      <c r="KX78" s="917">
        <f>+LD21</f>
        <v>0</v>
      </c>
      <c r="KY78" s="680" t="s">
        <v>1578</v>
      </c>
      <c r="LL78" s="917">
        <f>+LR21</f>
        <v>0</v>
      </c>
      <c r="LM78" s="680" t="s">
        <v>1578</v>
      </c>
      <c r="LZ78" s="917">
        <f>+MF21</f>
        <v>37026932.548123062</v>
      </c>
      <c r="MA78" s="680" t="s">
        <v>1578</v>
      </c>
      <c r="MN78" s="917">
        <f>+MT21</f>
        <v>49369243.397497408</v>
      </c>
      <c r="MO78" s="680" t="s">
        <v>1578</v>
      </c>
      <c r="NB78" s="917">
        <f>+NH21</f>
        <v>57597450.630413651</v>
      </c>
      <c r="NC78" s="680" t="s">
        <v>1578</v>
      </c>
      <c r="NP78" s="917">
        <f>+NV21</f>
        <v>65825657.863329887</v>
      </c>
      <c r="NQ78" s="680" t="s">
        <v>1578</v>
      </c>
      <c r="OD78" s="917">
        <f>+OJ21</f>
        <v>16456414.465832472</v>
      </c>
      <c r="OE78" s="680" t="s">
        <v>1578</v>
      </c>
      <c r="OR78" s="917">
        <f>+OX21</f>
        <v>82282072.329162359</v>
      </c>
      <c r="OS78" s="680" t="s">
        <v>1578</v>
      </c>
      <c r="PF78" s="917">
        <f>+PL21</f>
        <v>0</v>
      </c>
      <c r="PG78" s="680" t="s">
        <v>1578</v>
      </c>
      <c r="PT78" s="917">
        <f>+PZ21</f>
        <v>0</v>
      </c>
      <c r="PU78" s="680" t="s">
        <v>1578</v>
      </c>
      <c r="QH78" s="917">
        <f>+QN21</f>
        <v>0</v>
      </c>
      <c r="QI78" s="680" t="s">
        <v>1578</v>
      </c>
      <c r="QV78" s="917">
        <f>+RB21</f>
        <v>49369243.397497408</v>
      </c>
      <c r="QW78" s="680" t="s">
        <v>1578</v>
      </c>
      <c r="RJ78" s="917">
        <f>+RP21</f>
        <v>8228207.2329162359</v>
      </c>
      <c r="RK78" s="680" t="s">
        <v>1578</v>
      </c>
      <c r="RX78" s="917">
        <f>+SD21</f>
        <v>28798725.315206826</v>
      </c>
      <c r="RY78" s="680" t="s">
        <v>1578</v>
      </c>
      <c r="SL78" s="917">
        <f>+SR21</f>
        <v>0</v>
      </c>
      <c r="SM78" s="680" t="s">
        <v>1578</v>
      </c>
      <c r="SZ78" s="917">
        <f>+TF21</f>
        <v>1234231084.9374354</v>
      </c>
      <c r="TA78" s="680" t="s">
        <v>1578</v>
      </c>
    </row>
    <row r="79" spans="1:534" ht="15.75" customHeight="1">
      <c r="B79" s="918">
        <f>+H26</f>
        <v>8008406.0621285765</v>
      </c>
      <c r="C79" s="681" t="s">
        <v>1510</v>
      </c>
      <c r="P79" s="918"/>
      <c r="Q79" s="681"/>
      <c r="AD79" s="918"/>
      <c r="AE79" s="681"/>
      <c r="AR79" s="918">
        <f>+AX26</f>
        <v>0</v>
      </c>
      <c r="AS79" s="681" t="s">
        <v>1510</v>
      </c>
      <c r="BF79" s="918">
        <f>+BL26</f>
        <v>13489892.208165955</v>
      </c>
      <c r="BG79" s="681" t="s">
        <v>1510</v>
      </c>
      <c r="BT79" s="918">
        <f>+BZ26</f>
        <v>0</v>
      </c>
      <c r="BU79" s="681" t="s">
        <v>1510</v>
      </c>
      <c r="CH79" s="918">
        <f>+CN26</f>
        <v>711204.61794525094</v>
      </c>
      <c r="CI79" s="681" t="s">
        <v>1510</v>
      </c>
      <c r="CV79" s="918">
        <f>+DB26</f>
        <v>41546475.380593829</v>
      </c>
      <c r="CW79" s="681" t="s">
        <v>1510</v>
      </c>
      <c r="DJ79" s="918">
        <f>+DP26</f>
        <v>3601045.5449468596</v>
      </c>
      <c r="DK79" s="681" t="s">
        <v>1510</v>
      </c>
      <c r="DX79" s="918">
        <f>+ED26</f>
        <v>10430196.833358629</v>
      </c>
      <c r="DY79" s="681" t="s">
        <v>1510</v>
      </c>
      <c r="EL79" s="918">
        <f>+ER26</f>
        <v>6744946.1040829774</v>
      </c>
      <c r="EM79" s="681" t="s">
        <v>1510</v>
      </c>
      <c r="EZ79" s="918">
        <f>+FF26</f>
        <v>0</v>
      </c>
      <c r="FA79" s="681" t="s">
        <v>1510</v>
      </c>
      <c r="FN79" s="918">
        <f>+FT26</f>
        <v>137320683.51493233</v>
      </c>
      <c r="FO79" s="681" t="s">
        <v>1510</v>
      </c>
      <c r="GB79" s="918">
        <f>+GH26</f>
        <v>688510.32145132835</v>
      </c>
      <c r="GC79" s="681" t="s">
        <v>1510</v>
      </c>
      <c r="GP79" s="918">
        <f>+GV26</f>
        <v>0</v>
      </c>
      <c r="GQ79" s="681" t="s">
        <v>1510</v>
      </c>
      <c r="HD79" s="918">
        <f>+HJ26</f>
        <v>2248315.3680276591</v>
      </c>
      <c r="HE79" s="681" t="s">
        <v>1510</v>
      </c>
      <c r="HR79" s="918">
        <f>+HX26</f>
        <v>18310580.168132819</v>
      </c>
      <c r="HS79" s="681" t="s">
        <v>1510</v>
      </c>
      <c r="IF79" s="918"/>
      <c r="IG79" s="681"/>
      <c r="IT79" s="918"/>
      <c r="IU79" s="681"/>
      <c r="JH79" s="918">
        <f>+JN26</f>
        <v>47383560.5215462</v>
      </c>
      <c r="JI79" s="681" t="s">
        <v>1510</v>
      </c>
      <c r="JV79" s="918">
        <f>+KB26</f>
        <v>12211474.471572882</v>
      </c>
      <c r="JW79" s="681" t="s">
        <v>1510</v>
      </c>
      <c r="KJ79" s="918">
        <f>+KP26</f>
        <v>0</v>
      </c>
      <c r="KK79" s="681" t="s">
        <v>1510</v>
      </c>
      <c r="KX79" s="918">
        <f>+LD26</f>
        <v>0</v>
      </c>
      <c r="KY79" s="681" t="s">
        <v>1510</v>
      </c>
      <c r="LL79" s="918">
        <f>+LR26</f>
        <v>0</v>
      </c>
      <c r="LM79" s="681" t="s">
        <v>1510</v>
      </c>
      <c r="LZ79" s="918">
        <f>+MF26</f>
        <v>9387177.1500227675</v>
      </c>
      <c r="MA79" s="681" t="s">
        <v>1510</v>
      </c>
      <c r="MN79" s="918">
        <f>+MT26</f>
        <v>9127096.1059479229</v>
      </c>
      <c r="MO79" s="681" t="s">
        <v>1510</v>
      </c>
      <c r="NB79" s="918">
        <f>+NH26</f>
        <v>2680945.548337521</v>
      </c>
      <c r="NC79" s="681" t="s">
        <v>1510</v>
      </c>
      <c r="NP79" s="918">
        <f>+NV26</f>
        <v>191654699.84239793</v>
      </c>
      <c r="NQ79" s="681" t="s">
        <v>1510</v>
      </c>
      <c r="OD79" s="918">
        <f>+OJ26</f>
        <v>22905500.783534497</v>
      </c>
      <c r="OE79" s="681" t="s">
        <v>1510</v>
      </c>
      <c r="OR79" s="918">
        <f>+OX26</f>
        <v>44691660.792104073</v>
      </c>
      <c r="OS79" s="681" t="s">
        <v>1510</v>
      </c>
      <c r="PF79" s="918">
        <f>+PL26</f>
        <v>0</v>
      </c>
      <c r="PG79" s="681" t="s">
        <v>1510</v>
      </c>
      <c r="PT79" s="918">
        <f>+PZ26</f>
        <v>0</v>
      </c>
      <c r="PU79" s="681" t="s">
        <v>1510</v>
      </c>
      <c r="QH79" s="918">
        <f>+QN26</f>
        <v>0</v>
      </c>
      <c r="QI79" s="681" t="s">
        <v>1510</v>
      </c>
      <c r="QV79" s="918">
        <f>+RB26</f>
        <v>143741024.88179845</v>
      </c>
      <c r="QW79" s="681" t="s">
        <v>1510</v>
      </c>
      <c r="RJ79" s="918">
        <f>+RP26</f>
        <v>30292532.027845331</v>
      </c>
      <c r="RK79" s="681" t="s">
        <v>1510</v>
      </c>
      <c r="RX79" s="918">
        <f>+SD26</f>
        <v>83848931.181049109</v>
      </c>
      <c r="RY79" s="681" t="s">
        <v>1510</v>
      </c>
      <c r="SL79" s="918">
        <f>+SR26</f>
        <v>0</v>
      </c>
      <c r="SM79" s="681" t="s">
        <v>1510</v>
      </c>
      <c r="SZ79" s="918">
        <f>+TF26</f>
        <v>841024859.42992294</v>
      </c>
      <c r="TA79" s="681" t="s">
        <v>1510</v>
      </c>
    </row>
    <row r="80" spans="1:534" ht="15.75" customHeight="1">
      <c r="B80" s="918">
        <f>+H35</f>
        <v>95842645.673427716</v>
      </c>
      <c r="C80" s="681" t="s">
        <v>1579</v>
      </c>
      <c r="P80" s="918"/>
      <c r="Q80" s="681"/>
      <c r="AD80" s="918"/>
      <c r="AE80" s="681"/>
      <c r="AR80" s="918">
        <f>+AX35</f>
        <v>0</v>
      </c>
      <c r="AS80" s="681" t="s">
        <v>1579</v>
      </c>
      <c r="BF80" s="918">
        <f>+BL35</f>
        <v>246452517.44595701</v>
      </c>
      <c r="BG80" s="681" t="s">
        <v>1579</v>
      </c>
      <c r="BT80" s="918">
        <f>+BZ35</f>
        <v>0</v>
      </c>
      <c r="BU80" s="681" t="s">
        <v>1579</v>
      </c>
      <c r="CH80" s="918">
        <f>+CN35</f>
        <v>13691806.524775388</v>
      </c>
      <c r="CI80" s="681" t="s">
        <v>1579</v>
      </c>
      <c r="CV80" s="918">
        <f>+DB35</f>
        <v>177993484.82208008</v>
      </c>
      <c r="CW80" s="681" t="s">
        <v>1579</v>
      </c>
      <c r="DJ80" s="918">
        <f>+DP35</f>
        <v>13691806.524775388</v>
      </c>
      <c r="DK80" s="681" t="s">
        <v>1579</v>
      </c>
      <c r="DX80" s="918">
        <f>+ED35</f>
        <v>68459032.623876944</v>
      </c>
      <c r="DY80" s="681" t="s">
        <v>1579</v>
      </c>
      <c r="EL80" s="918">
        <f>+ER35</f>
        <v>123226258.7229785</v>
      </c>
      <c r="EM80" s="681" t="s">
        <v>1579</v>
      </c>
      <c r="EZ80" s="918">
        <f>+FF35</f>
        <v>0</v>
      </c>
      <c r="FA80" s="681" t="s">
        <v>1579</v>
      </c>
      <c r="FN80" s="918">
        <f>+FT35</f>
        <v>88996742.411040038</v>
      </c>
      <c r="FO80" s="681" t="s">
        <v>1579</v>
      </c>
      <c r="GB80" s="918">
        <f>+GH35</f>
        <v>82150839.148652315</v>
      </c>
      <c r="GC80" s="681" t="s">
        <v>1579</v>
      </c>
      <c r="GP80" s="918">
        <f>+GV35</f>
        <v>0</v>
      </c>
      <c r="GQ80" s="681" t="s">
        <v>1579</v>
      </c>
      <c r="HD80" s="918">
        <f>+HJ35</f>
        <v>41075419.574326158</v>
      </c>
      <c r="HE80" s="681" t="s">
        <v>1579</v>
      </c>
      <c r="HR80" s="918">
        <f>+HX35</f>
        <v>150609871.77252927</v>
      </c>
      <c r="HS80" s="681" t="s">
        <v>1579</v>
      </c>
      <c r="IF80" s="918"/>
      <c r="IG80" s="681"/>
      <c r="IT80" s="918"/>
      <c r="IU80" s="681"/>
      <c r="JH80" s="918">
        <f>+JN35</f>
        <v>205377097.87163082</v>
      </c>
      <c r="JI80" s="681" t="s">
        <v>1579</v>
      </c>
      <c r="JV80" s="918">
        <f>+KB35</f>
        <v>88996742.411040038</v>
      </c>
      <c r="JW80" s="681" t="s">
        <v>1579</v>
      </c>
      <c r="KJ80" s="918">
        <f>+KP35</f>
        <v>0</v>
      </c>
      <c r="KK80" s="681" t="s">
        <v>1579</v>
      </c>
      <c r="KX80" s="918">
        <f>+LD35</f>
        <v>0</v>
      </c>
      <c r="KY80" s="681" t="s">
        <v>1579</v>
      </c>
      <c r="LL80" s="918">
        <f>+LR35</f>
        <v>0</v>
      </c>
      <c r="LM80" s="681" t="s">
        <v>1579</v>
      </c>
      <c r="LZ80" s="918">
        <f>+MF35</f>
        <v>61613129.361489251</v>
      </c>
      <c r="MA80" s="681" t="s">
        <v>1579</v>
      </c>
      <c r="MN80" s="918">
        <f>+MT35</f>
        <v>82150839.148652315</v>
      </c>
      <c r="MO80" s="681" t="s">
        <v>1579</v>
      </c>
      <c r="NB80" s="918">
        <f>+NH35</f>
        <v>95842645.673427716</v>
      </c>
      <c r="NC80" s="681" t="s">
        <v>1579</v>
      </c>
      <c r="NP80" s="918">
        <f>+NV35</f>
        <v>109534452.1982031</v>
      </c>
      <c r="NQ80" s="681" t="s">
        <v>1579</v>
      </c>
      <c r="OD80" s="918">
        <f>+OJ35</f>
        <v>27383613.049550775</v>
      </c>
      <c r="OE80" s="681" t="s">
        <v>1579</v>
      </c>
      <c r="OR80" s="918">
        <f>+OX35</f>
        <v>136918065.24775389</v>
      </c>
      <c r="OS80" s="681" t="s">
        <v>1579</v>
      </c>
      <c r="PF80" s="918">
        <f>+PL35</f>
        <v>0</v>
      </c>
      <c r="PG80" s="681" t="s">
        <v>1579</v>
      </c>
      <c r="PT80" s="918">
        <f>+PZ35</f>
        <v>0</v>
      </c>
      <c r="PU80" s="681" t="s">
        <v>1579</v>
      </c>
      <c r="QH80" s="918">
        <f>+QN35</f>
        <v>0</v>
      </c>
      <c r="QI80" s="681" t="s">
        <v>1579</v>
      </c>
      <c r="QV80" s="918">
        <f>+RB35</f>
        <v>82150839.148652315</v>
      </c>
      <c r="QW80" s="681" t="s">
        <v>1579</v>
      </c>
      <c r="RJ80" s="918">
        <f>+RP35</f>
        <v>13691806.524775388</v>
      </c>
      <c r="RK80" s="681" t="s">
        <v>1579</v>
      </c>
      <c r="RX80" s="918">
        <f>+SD35</f>
        <v>47921322.836713858</v>
      </c>
      <c r="RY80" s="681" t="s">
        <v>1579</v>
      </c>
      <c r="SL80" s="918">
        <f>+SR35</f>
        <v>0</v>
      </c>
      <c r="SM80" s="681" t="s">
        <v>1579</v>
      </c>
      <c r="SZ80" s="918">
        <f>+TF35</f>
        <v>2053770978.7163084</v>
      </c>
      <c r="TA80" s="681" t="s">
        <v>1579</v>
      </c>
    </row>
    <row r="81" spans="2:531" ht="15.75" customHeight="1">
      <c r="B81" s="918">
        <f>+H41</f>
        <v>12915880.189277597</v>
      </c>
      <c r="C81" s="681" t="s">
        <v>1580</v>
      </c>
      <c r="P81" s="918"/>
      <c r="Q81" s="681"/>
      <c r="AD81" s="918"/>
      <c r="AE81" s="681"/>
      <c r="AR81" s="918">
        <f>+AX41</f>
        <v>0</v>
      </c>
      <c r="AS81" s="681" t="s">
        <v>1580</v>
      </c>
      <c r="BF81" s="918">
        <f>+BL41</f>
        <v>32644011.187729217</v>
      </c>
      <c r="BG81" s="681" t="s">
        <v>1580</v>
      </c>
      <c r="BT81" s="918">
        <f>+BZ41</f>
        <v>0</v>
      </c>
      <c r="BU81" s="681" t="s">
        <v>1580</v>
      </c>
      <c r="CH81" s="918">
        <f>+CN41</f>
        <v>1810497.4700509501</v>
      </c>
      <c r="CI81" s="681" t="s">
        <v>1580</v>
      </c>
      <c r="CV81" s="918">
        <f>+DB41</f>
        <v>26120532.3384468</v>
      </c>
      <c r="CW81" s="681" t="s">
        <v>1580</v>
      </c>
      <c r="DJ81" s="918">
        <f>+DP41</f>
        <v>2041684.7442110789</v>
      </c>
      <c r="DK81" s="681" t="s">
        <v>1580</v>
      </c>
      <c r="DX81" s="918">
        <f>+ED41</f>
        <v>9602421.249745341</v>
      </c>
      <c r="DY81" s="681" t="s">
        <v>1580</v>
      </c>
      <c r="EL81" s="918">
        <f>+ER41</f>
        <v>16322005.593864609</v>
      </c>
      <c r="EM81" s="681" t="s">
        <v>1580</v>
      </c>
      <c r="EZ81" s="918">
        <f>+FF41</f>
        <v>0</v>
      </c>
      <c r="FA81" s="681" t="s">
        <v>1580</v>
      </c>
      <c r="FN81" s="918">
        <f>+FT41</f>
        <v>22384061.835194234</v>
      </c>
      <c r="FO81" s="681" t="s">
        <v>1580</v>
      </c>
      <c r="GB81" s="918">
        <f>+GH41</f>
        <v>10576687.429408085</v>
      </c>
      <c r="GC81" s="681" t="s">
        <v>1580</v>
      </c>
      <c r="GP81" s="918">
        <f>+GV41</f>
        <v>0</v>
      </c>
      <c r="GQ81" s="681" t="s">
        <v>1580</v>
      </c>
      <c r="HD81" s="918">
        <f>+HJ41</f>
        <v>5440668.5312882019</v>
      </c>
      <c r="HE81" s="681" t="s">
        <v>1580</v>
      </c>
      <c r="HR81" s="918">
        <f>+HX41</f>
        <v>20754458.520219255</v>
      </c>
      <c r="HS81" s="681" t="s">
        <v>1580</v>
      </c>
      <c r="IF81" s="918"/>
      <c r="IG81" s="681"/>
      <c r="IT81" s="918"/>
      <c r="IU81" s="681"/>
      <c r="JH81" s="918">
        <f>+JN41</f>
        <v>30094701.350953646</v>
      </c>
      <c r="JI81" s="681" t="s">
        <v>1580</v>
      </c>
      <c r="JV81" s="918">
        <f>+KB41</f>
        <v>12375325.111725476</v>
      </c>
      <c r="JW81" s="681" t="s">
        <v>1580</v>
      </c>
      <c r="KJ81" s="918">
        <f>+KP41</f>
        <v>0</v>
      </c>
      <c r="KK81" s="681" t="s">
        <v>1580</v>
      </c>
      <c r="KX81" s="918">
        <f>+LD41</f>
        <v>0</v>
      </c>
      <c r="KY81" s="681" t="s">
        <v>1580</v>
      </c>
      <c r="LL81" s="918">
        <f>+LR41</f>
        <v>0</v>
      </c>
      <c r="LM81" s="681" t="s">
        <v>1580</v>
      </c>
      <c r="LZ81" s="918">
        <f>+MF41</f>
        <v>8642179.1247708052</v>
      </c>
      <c r="MA81" s="681" t="s">
        <v>1580</v>
      </c>
      <c r="MN81" s="918">
        <f>+MT41</f>
        <v>11251774.292167811</v>
      </c>
      <c r="MO81" s="681" t="s">
        <v>1580</v>
      </c>
      <c r="NB81" s="918">
        <f>+NH41</f>
        <v>12489683.348174309</v>
      </c>
      <c r="NC81" s="681" t="s">
        <v>1580</v>
      </c>
      <c r="NP81" s="918">
        <f>+NV41</f>
        <v>29361184.792314474</v>
      </c>
      <c r="NQ81" s="681" t="s">
        <v>1580</v>
      </c>
      <c r="OD81" s="918">
        <f>+OJ41</f>
        <v>5339642.2639134191</v>
      </c>
      <c r="OE81" s="681" t="s">
        <v>1580</v>
      </c>
      <c r="OR81" s="918">
        <f>+OX41</f>
        <v>21111343.869521625</v>
      </c>
      <c r="OS81" s="681" t="s">
        <v>1580</v>
      </c>
      <c r="PF81" s="918">
        <f>+PL41</f>
        <v>0</v>
      </c>
      <c r="PG81" s="681" t="s">
        <v>1580</v>
      </c>
      <c r="PT81" s="918">
        <f>+PZ41</f>
        <v>0</v>
      </c>
      <c r="PU81" s="681" t="s">
        <v>1580</v>
      </c>
      <c r="QH81" s="918">
        <f>+QN41</f>
        <v>0</v>
      </c>
      <c r="QI81" s="681" t="s">
        <v>1580</v>
      </c>
      <c r="QV81" s="918">
        <f>+RB41</f>
        <v>22020888.594235856</v>
      </c>
      <c r="QW81" s="681" t="s">
        <v>1580</v>
      </c>
      <c r="RJ81" s="918">
        <f>+RP41</f>
        <v>4177003.6628429564</v>
      </c>
      <c r="RK81" s="681" t="s">
        <v>1580</v>
      </c>
      <c r="RX81" s="918">
        <f>+SD41</f>
        <v>12845518.346637582</v>
      </c>
      <c r="RY81" s="681" t="s">
        <v>1580</v>
      </c>
      <c r="SL81" s="918">
        <f>+SR41</f>
        <v>0</v>
      </c>
      <c r="SM81" s="681" t="s">
        <v>1580</v>
      </c>
      <c r="SZ81" s="918">
        <f>+TF41</f>
        <v>330322153.84669334</v>
      </c>
      <c r="TA81" s="681" t="s">
        <v>1580</v>
      </c>
    </row>
    <row r="82" spans="2:531" ht="15.75" customHeight="1">
      <c r="B82" s="918">
        <f>+H48</f>
        <v>1684359.9354836913</v>
      </c>
      <c r="C82" s="682" t="s">
        <v>1581</v>
      </c>
      <c r="P82" s="918"/>
      <c r="Q82" s="682"/>
      <c r="AD82" s="918"/>
      <c r="AE82" s="682"/>
      <c r="AR82" s="918">
        <f>+AX48</f>
        <v>0</v>
      </c>
      <c r="AS82" s="682" t="s">
        <v>1581</v>
      </c>
      <c r="BF82" s="918">
        <f>+BL48</f>
        <v>4257105.4989917669</v>
      </c>
      <c r="BG82" s="682" t="s">
        <v>1581</v>
      </c>
      <c r="BT82" s="918">
        <f>+BZ48</f>
        <v>0</v>
      </c>
      <c r="BU82" s="682" t="s">
        <v>1581</v>
      </c>
      <c r="CH82" s="918">
        <f>+CN48</f>
        <v>236106.97506934439</v>
      </c>
      <c r="CI82" s="682" t="s">
        <v>1581</v>
      </c>
      <c r="CV82" s="918">
        <f>+DB48</f>
        <v>3406378.6222568471</v>
      </c>
      <c r="CW82" s="682" t="s">
        <v>1581</v>
      </c>
      <c r="DJ82" s="918">
        <f>+DP48</f>
        <v>266256.10749256681</v>
      </c>
      <c r="DK82" s="682" t="s">
        <v>1581</v>
      </c>
      <c r="DX82" s="918">
        <f>+ED48</f>
        <v>1252251.75517929</v>
      </c>
      <c r="DY82" s="682" t="s">
        <v>1581</v>
      </c>
      <c r="EL82" s="918">
        <f>+ER48</f>
        <v>2128552.7494958835</v>
      </c>
      <c r="EM82" s="682" t="s">
        <v>1581</v>
      </c>
      <c r="EZ82" s="918">
        <f>+FF48</f>
        <v>0</v>
      </c>
      <c r="FA82" s="682" t="s">
        <v>1581</v>
      </c>
      <c r="FN82" s="918">
        <f>+FT48</f>
        <v>2919105.5039276802</v>
      </c>
      <c r="FO82" s="682" t="s">
        <v>1581</v>
      </c>
      <c r="GB82" s="918">
        <f>+GH48</f>
        <v>1379305.8076691083</v>
      </c>
      <c r="GC82" s="682" t="s">
        <v>1581</v>
      </c>
      <c r="GP82" s="918">
        <f>+GV48</f>
        <v>0</v>
      </c>
      <c r="GQ82" s="682" t="s">
        <v>1581</v>
      </c>
      <c r="HD82" s="918">
        <f>+HJ48</f>
        <v>709517.58316529449</v>
      </c>
      <c r="HE82" s="682" t="s">
        <v>1581</v>
      </c>
      <c r="HR82" s="918">
        <f>+HX48</f>
        <v>2706588.9356217929</v>
      </c>
      <c r="HS82" s="682" t="s">
        <v>1581</v>
      </c>
      <c r="IF82" s="918"/>
      <c r="IG82" s="682"/>
      <c r="IT82" s="918"/>
      <c r="IU82" s="682"/>
      <c r="JH82" s="918">
        <f>+JN48</f>
        <v>3924650.0031778649</v>
      </c>
      <c r="JI82" s="682" t="s">
        <v>1581</v>
      </c>
      <c r="JV82" s="918">
        <f>+KB48</f>
        <v>1613866.1478201193</v>
      </c>
      <c r="JW82" s="682" t="s">
        <v>1581</v>
      </c>
      <c r="KJ82" s="918">
        <f>+KP48</f>
        <v>0</v>
      </c>
      <c r="KK82" s="682" t="s">
        <v>1581</v>
      </c>
      <c r="KX82" s="918">
        <f>+LD48</f>
        <v>0</v>
      </c>
      <c r="KY82" s="682" t="s">
        <v>1581</v>
      </c>
      <c r="LL82" s="918">
        <f>+LR48</f>
        <v>0</v>
      </c>
      <c r="LM82" s="682" t="s">
        <v>1581</v>
      </c>
      <c r="LZ82" s="918">
        <f>+MF48</f>
        <v>1127026.5796613607</v>
      </c>
      <c r="MA82" s="682" t="s">
        <v>1581</v>
      </c>
      <c r="MN82" s="918">
        <f>+MT48</f>
        <v>1467343.8854416043</v>
      </c>
      <c r="MO82" s="682" t="s">
        <v>1581</v>
      </c>
      <c r="NB82" s="918">
        <f>+NH48</f>
        <v>1628779.6054354117</v>
      </c>
      <c r="NC82" s="682" t="s">
        <v>1581</v>
      </c>
      <c r="NP82" s="918">
        <f>+NV48</f>
        <v>3828992.1087657302</v>
      </c>
      <c r="NQ82" s="682" t="s">
        <v>1581</v>
      </c>
      <c r="OD82" s="918">
        <f>+OJ48</f>
        <v>696342.74763694906</v>
      </c>
      <c r="OE82" s="682" t="s">
        <v>1581</v>
      </c>
      <c r="OR82" s="918">
        <f>+OX48</f>
        <v>2753130.3540243153</v>
      </c>
      <c r="OS82" s="682" t="s">
        <v>1581</v>
      </c>
      <c r="PF82" s="918">
        <f>+PL48</f>
        <v>0</v>
      </c>
      <c r="PG82" s="682" t="s">
        <v>1581</v>
      </c>
      <c r="PT82" s="918">
        <f>+PZ48</f>
        <v>0</v>
      </c>
      <c r="PU82" s="682" t="s">
        <v>1581</v>
      </c>
      <c r="QH82" s="918">
        <f>+QN48</f>
        <v>0</v>
      </c>
      <c r="QI82" s="682" t="s">
        <v>1581</v>
      </c>
      <c r="QV82" s="918">
        <f>+RB48</f>
        <v>2871744.0815742975</v>
      </c>
      <c r="QW82" s="682" t="s">
        <v>1581</v>
      </c>
      <c r="RJ82" s="918">
        <f>+RP48</f>
        <v>544723.04767134995</v>
      </c>
      <c r="RK82" s="682" t="s">
        <v>1581</v>
      </c>
      <c r="RX82" s="918">
        <f>+SD48</f>
        <v>1675184.047585007</v>
      </c>
      <c r="RY82" s="682" t="s">
        <v>1581</v>
      </c>
      <c r="SL82" s="918">
        <f>+SR48</f>
        <v>0</v>
      </c>
      <c r="SM82" s="682" t="s">
        <v>1581</v>
      </c>
      <c r="SZ82" s="918">
        <f>+TF48</f>
        <v>43077312.08314728</v>
      </c>
      <c r="TA82" s="682" t="s">
        <v>1581</v>
      </c>
    </row>
    <row r="83" spans="2:531" ht="15.75" customHeight="1">
      <c r="B83" s="918">
        <f>+H59</f>
        <v>396109.67060414533</v>
      </c>
      <c r="C83" s="683" t="s">
        <v>1582</v>
      </c>
      <c r="P83" s="918"/>
      <c r="Q83" s="683"/>
      <c r="AD83" s="918"/>
      <c r="AE83" s="683"/>
      <c r="AR83" s="918">
        <f>+AX59</f>
        <v>0</v>
      </c>
      <c r="AS83" s="683" t="s">
        <v>1582</v>
      </c>
      <c r="BF83" s="918">
        <f>+BL59</f>
        <v>1001140.3272000066</v>
      </c>
      <c r="BG83" s="683" t="s">
        <v>1582</v>
      </c>
      <c r="BT83" s="918">
        <f>+BZ59</f>
        <v>0</v>
      </c>
      <c r="BU83" s="683" t="s">
        <v>1582</v>
      </c>
      <c r="CH83" s="918">
        <f>+CN59</f>
        <v>55525.101346703632</v>
      </c>
      <c r="CI83" s="683" t="s">
        <v>1582</v>
      </c>
      <c r="CV83" s="918">
        <f>+DB59</f>
        <v>801075.52168039954</v>
      </c>
      <c r="CW83" s="683" t="s">
        <v>1582</v>
      </c>
      <c r="DJ83" s="918">
        <f>+DP59</f>
        <v>62615.250347269786</v>
      </c>
      <c r="DK83" s="683" t="s">
        <v>1582</v>
      </c>
      <c r="DX83" s="918">
        <f>+ED59</f>
        <v>294491.11191016814</v>
      </c>
      <c r="DY83" s="683" t="s">
        <v>1582</v>
      </c>
      <c r="EL83" s="918">
        <f>+ER59</f>
        <v>500570.16360000329</v>
      </c>
      <c r="EM83" s="683" t="s">
        <v>1582</v>
      </c>
      <c r="EZ83" s="918">
        <f>+FF59</f>
        <v>0</v>
      </c>
      <c r="FA83" s="683" t="s">
        <v>1582</v>
      </c>
      <c r="FN83" s="918">
        <f>+FT59</f>
        <v>686483.86562786228</v>
      </c>
      <c r="FO83" s="683" t="s">
        <v>1582</v>
      </c>
      <c r="GB83" s="918">
        <f>+GH59</f>
        <v>324370.31873552612</v>
      </c>
      <c r="GC83" s="683" t="s">
        <v>1582</v>
      </c>
      <c r="GP83" s="918">
        <f>+GV59</f>
        <v>0</v>
      </c>
      <c r="GQ83" s="683" t="s">
        <v>1582</v>
      </c>
      <c r="HD83" s="918">
        <f>+HJ59</f>
        <v>166856.72120000105</v>
      </c>
      <c r="HE83" s="683" t="s">
        <v>1582</v>
      </c>
      <c r="HR83" s="918">
        <f>+HX59</f>
        <v>636506.50265680894</v>
      </c>
      <c r="HS83" s="683" t="s">
        <v>1582</v>
      </c>
      <c r="IF83" s="918"/>
      <c r="IG83" s="683"/>
      <c r="IT83" s="918"/>
      <c r="IU83" s="683"/>
      <c r="JH83" s="918">
        <f>+JN59</f>
        <v>922957.01604236721</v>
      </c>
      <c r="JI83" s="683" t="s">
        <v>1582</v>
      </c>
      <c r="JV83" s="918">
        <f>+KB59</f>
        <v>379531.69910125661</v>
      </c>
      <c r="JW83" s="683" t="s">
        <v>1582</v>
      </c>
      <c r="KJ83" s="918">
        <f>+KP59</f>
        <v>0</v>
      </c>
      <c r="KK83" s="683" t="s">
        <v>1582</v>
      </c>
      <c r="KX83" s="918">
        <f>+LD59</f>
        <v>0</v>
      </c>
      <c r="KY83" s="683" t="s">
        <v>1582</v>
      </c>
      <c r="LL83" s="918">
        <f>+LR59</f>
        <v>0</v>
      </c>
      <c r="LM83" s="683" t="s">
        <v>1582</v>
      </c>
      <c r="LZ83" s="918">
        <f>+MF59</f>
        <v>265042.00071915123</v>
      </c>
      <c r="MA83" s="683" t="s">
        <v>1582</v>
      </c>
      <c r="MN83" s="918">
        <f>+MT59</f>
        <v>345074.1678668409</v>
      </c>
      <c r="MO83" s="683" t="s">
        <v>1582</v>
      </c>
      <c r="NB83" s="918">
        <f>+NH59</f>
        <v>383038.88581302436</v>
      </c>
      <c r="NC83" s="683" t="s">
        <v>1582</v>
      </c>
      <c r="NP83" s="918">
        <f>+NV59</f>
        <v>900461.22031127498</v>
      </c>
      <c r="NQ83" s="683" t="s">
        <v>1582</v>
      </c>
      <c r="OD83" s="918">
        <f>+OJ59</f>
        <v>163758.40494855327</v>
      </c>
      <c r="OE83" s="683" t="s">
        <v>1582</v>
      </c>
      <c r="OR83" s="918">
        <f>+OX59</f>
        <v>647451.61333327414</v>
      </c>
      <c r="OS83" s="683" t="s">
        <v>1582</v>
      </c>
      <c r="PF83" s="918">
        <f>+PL59</f>
        <v>0</v>
      </c>
      <c r="PG83" s="683" t="s">
        <v>1582</v>
      </c>
      <c r="PT83" s="918">
        <f>+PZ59</f>
        <v>0</v>
      </c>
      <c r="PU83" s="683" t="s">
        <v>1582</v>
      </c>
      <c r="QH83" s="918">
        <f>+QN59</f>
        <v>0</v>
      </c>
      <c r="QI83" s="683" t="s">
        <v>1582</v>
      </c>
      <c r="QV83" s="918">
        <f>+RB59</f>
        <v>675345.9152334563</v>
      </c>
      <c r="QW83" s="683" t="s">
        <v>1582</v>
      </c>
      <c r="RJ83" s="918">
        <f>+RP59</f>
        <v>128102.11311611536</v>
      </c>
      <c r="RK83" s="683" t="s">
        <v>1582</v>
      </c>
      <c r="RX83" s="918">
        <f>+SD59</f>
        <v>393951.78388618276</v>
      </c>
      <c r="RY83" s="683" t="s">
        <v>1582</v>
      </c>
      <c r="SL83" s="918">
        <f>+SR59</f>
        <v>0</v>
      </c>
      <c r="SM83" s="683" t="s">
        <v>1582</v>
      </c>
      <c r="SZ83" s="918">
        <f>+TF59</f>
        <v>10130459.375280391</v>
      </c>
      <c r="TA83" s="683" t="s">
        <v>1582</v>
      </c>
    </row>
    <row r="84" spans="2:531" ht="15.75" customHeight="1">
      <c r="B84" s="919">
        <f>+H63</f>
        <v>705779.40864534152</v>
      </c>
      <c r="C84" s="682" t="s">
        <v>1576</v>
      </c>
      <c r="P84" s="919"/>
      <c r="Q84" s="682"/>
      <c r="AD84" s="919"/>
      <c r="AE84" s="682"/>
      <c r="AR84" s="919">
        <f>+AX63</f>
        <v>0</v>
      </c>
      <c r="AS84" s="682" t="s">
        <v>1576</v>
      </c>
      <c r="BF84" s="919">
        <f>+BL63</f>
        <v>1783809.587442145</v>
      </c>
      <c r="BG84" s="682" t="s">
        <v>1576</v>
      </c>
      <c r="BT84" s="919">
        <f>+BZ63</f>
        <v>0</v>
      </c>
      <c r="BU84" s="682" t="s">
        <v>1576</v>
      </c>
      <c r="CH84" s="919">
        <f>+CN63</f>
        <v>98933.391688415504</v>
      </c>
      <c r="CI84" s="682" t="s">
        <v>1576</v>
      </c>
      <c r="CV84" s="919">
        <f>+DB63</f>
        <v>1427338.5628518763</v>
      </c>
      <c r="CW84" s="682" t="s">
        <v>1576</v>
      </c>
      <c r="DJ84" s="919">
        <f>+DP63</f>
        <v>111566.4616187576</v>
      </c>
      <c r="DK84" s="682" t="s">
        <v>1576</v>
      </c>
      <c r="DX84" s="919">
        <f>+ED63</f>
        <v>524717.71895460621</v>
      </c>
      <c r="DY84" s="682" t="s">
        <v>1576</v>
      </c>
      <c r="EL84" s="919">
        <f>+ER63</f>
        <v>891904.79372107249</v>
      </c>
      <c r="EM84" s="682" t="s">
        <v>1576</v>
      </c>
      <c r="EZ84" s="919">
        <f>+FF63</f>
        <v>0</v>
      </c>
      <c r="FA84" s="682" t="s">
        <v>1576</v>
      </c>
      <c r="FN84" s="919">
        <f>+FT63</f>
        <v>1223161.696578711</v>
      </c>
      <c r="FO84" s="682" t="s">
        <v>1576</v>
      </c>
      <c r="GB84" s="919">
        <f>+GH63</f>
        <v>577955.82569365518</v>
      </c>
      <c r="GC84" s="682" t="s">
        <v>1576</v>
      </c>
      <c r="GP84" s="919">
        <f>+GV63</f>
        <v>0</v>
      </c>
      <c r="GQ84" s="682" t="s">
        <v>1576</v>
      </c>
      <c r="HD84" s="919">
        <f>+HJ63</f>
        <v>297301.59790702409</v>
      </c>
      <c r="HE84" s="682" t="s">
        <v>1576</v>
      </c>
      <c r="HR84" s="919">
        <f>+HX63</f>
        <v>1134113.1418449543</v>
      </c>
      <c r="HS84" s="682" t="s">
        <v>1576</v>
      </c>
      <c r="IF84" s="919"/>
      <c r="IG84" s="682"/>
      <c r="IT84" s="919"/>
      <c r="IU84" s="682"/>
      <c r="JH84" s="919">
        <f>+JN63</f>
        <v>1644504.3010283778</v>
      </c>
      <c r="JI84" s="682" t="s">
        <v>1576</v>
      </c>
      <c r="JV84" s="919">
        <f>+KB63</f>
        <v>676241.14742086129</v>
      </c>
      <c r="JW84" s="682" t="s">
        <v>1576</v>
      </c>
      <c r="KJ84" s="919">
        <f>+KP63</f>
        <v>0</v>
      </c>
      <c r="KK84" s="682" t="s">
        <v>1576</v>
      </c>
      <c r="KX84" s="919">
        <f>+LD63</f>
        <v>0</v>
      </c>
      <c r="KY84" s="682" t="s">
        <v>1576</v>
      </c>
      <c r="LL84" s="919">
        <f>+LR63</f>
        <v>0</v>
      </c>
      <c r="LM84" s="682" t="s">
        <v>1576</v>
      </c>
      <c r="LZ84" s="919">
        <f>+MF63</f>
        <v>472245.94705914555</v>
      </c>
      <c r="MA84" s="682" t="s">
        <v>1576</v>
      </c>
      <c r="MN84" s="919">
        <f>+MT63</f>
        <v>614845.48399029556</v>
      </c>
      <c r="MO84" s="682" t="s">
        <v>1576</v>
      </c>
      <c r="NB84" s="919">
        <f>+NH63</f>
        <v>682490.17476640642</v>
      </c>
      <c r="NC84" s="682" t="s">
        <v>1576</v>
      </c>
      <c r="NP84" s="919">
        <f>+NV63</f>
        <v>1604421.7921012896</v>
      </c>
      <c r="NQ84" s="682" t="s">
        <v>1576</v>
      </c>
      <c r="OD84" s="919">
        <f>+OJ63</f>
        <v>291781.08686166664</v>
      </c>
      <c r="OE84" s="682" t="s">
        <v>1576</v>
      </c>
      <c r="OR84" s="919">
        <f>+OX63</f>
        <v>1153614.8968235981</v>
      </c>
      <c r="OS84" s="682" t="s">
        <v>1576</v>
      </c>
      <c r="PF84" s="919">
        <f>+PL63</f>
        <v>0</v>
      </c>
      <c r="PG84" s="682" t="s">
        <v>1576</v>
      </c>
      <c r="PT84" s="919">
        <f>+PZ63</f>
        <v>0</v>
      </c>
      <c r="PU84" s="682" t="s">
        <v>1576</v>
      </c>
      <c r="QH84" s="919">
        <f>+QN63</f>
        <v>0</v>
      </c>
      <c r="QI84" s="682" t="s">
        <v>1576</v>
      </c>
      <c r="QV84" s="919">
        <f>+RB63</f>
        <v>1203316.3440759671</v>
      </c>
      <c r="QW84" s="682" t="s">
        <v>1576</v>
      </c>
      <c r="RJ84" s="919">
        <f>+RP63</f>
        <v>228249.4984366695</v>
      </c>
      <c r="RK84" s="682" t="s">
        <v>1576</v>
      </c>
      <c r="RX84" s="919">
        <f>+SD63</f>
        <v>701934.53404431429</v>
      </c>
      <c r="RY84" s="682" t="s">
        <v>1576</v>
      </c>
      <c r="SL84" s="919">
        <f>+SR63</f>
        <v>0</v>
      </c>
      <c r="SM84" s="682" t="s">
        <v>1576</v>
      </c>
      <c r="SZ84" s="919">
        <f>+TF63</f>
        <v>18050227.393555149</v>
      </c>
      <c r="TA84" s="682" t="s">
        <v>1576</v>
      </c>
    </row>
    <row r="85" spans="2:531" ht="15.75" customHeight="1">
      <c r="B85" s="919">
        <f>+H69</f>
        <v>4542323.8864097614</v>
      </c>
      <c r="C85" s="682" t="s">
        <v>1629</v>
      </c>
      <c r="P85" s="919"/>
      <c r="Q85" s="682"/>
      <c r="AD85" s="919"/>
      <c r="AE85" s="682"/>
      <c r="AR85" s="919">
        <f>+AX69</f>
        <v>0</v>
      </c>
      <c r="AS85" s="682" t="s">
        <v>1629</v>
      </c>
      <c r="BF85" s="919">
        <f>+BL69</f>
        <v>11480415.549948163</v>
      </c>
      <c r="BG85" s="682" t="s">
        <v>1629</v>
      </c>
      <c r="BT85" s="919">
        <f>+BZ69</f>
        <v>0</v>
      </c>
      <c r="BU85" s="682" t="s">
        <v>1629</v>
      </c>
      <c r="CH85" s="919">
        <f>+CN69</f>
        <v>636725.1618921099</v>
      </c>
      <c r="CI85" s="682" t="s">
        <v>1629</v>
      </c>
      <c r="CV85" s="919">
        <f>+DB69</f>
        <v>9186204.5968159214</v>
      </c>
      <c r="CW85" s="682" t="s">
        <v>1629</v>
      </c>
      <c r="DJ85" s="919">
        <f>+DP69</f>
        <v>718030.30426431191</v>
      </c>
      <c r="DK85" s="682" t="s">
        <v>1629</v>
      </c>
      <c r="DX85" s="919">
        <f>+ED69</f>
        <v>3377029.4219899019</v>
      </c>
      <c r="DY85" s="682" t="s">
        <v>1629</v>
      </c>
      <c r="EL85" s="919">
        <f>+ER69</f>
        <v>5740207.7749740817</v>
      </c>
      <c r="EM85" s="682" t="s">
        <v>1629</v>
      </c>
      <c r="EZ85" s="919">
        <f>+FF69</f>
        <v>0</v>
      </c>
      <c r="FA85" s="682" t="s">
        <v>1629</v>
      </c>
      <c r="FN85" s="919">
        <f>+FT69</f>
        <v>7872143.2266988829</v>
      </c>
      <c r="FO85" s="682" t="s">
        <v>1629</v>
      </c>
      <c r="GB85" s="919">
        <f>+GH69</f>
        <v>3719664.4166437807</v>
      </c>
      <c r="GC85" s="682" t="s">
        <v>1629</v>
      </c>
      <c r="GP85" s="919">
        <f>+GV69</f>
        <v>0</v>
      </c>
      <c r="GQ85" s="682" t="s">
        <v>1629</v>
      </c>
      <c r="HD85" s="919">
        <f>+HJ69</f>
        <v>1913402.5916580269</v>
      </c>
      <c r="HE85" s="682" t="s">
        <v>1629</v>
      </c>
      <c r="HR85" s="919">
        <f>+HX69</f>
        <v>7299035.861617526</v>
      </c>
      <c r="HS85" s="682" t="s">
        <v>1629</v>
      </c>
      <c r="IF85" s="919"/>
      <c r="IG85" s="682"/>
      <c r="IT85" s="919"/>
      <c r="IU85" s="682"/>
      <c r="JH85" s="919">
        <f>+JN69</f>
        <v>10583861.014310842</v>
      </c>
      <c r="JI85" s="682" t="s">
        <v>1629</v>
      </c>
      <c r="JV85" s="919">
        <f>+KB69</f>
        <v>4352218.6667342614</v>
      </c>
      <c r="JW85" s="682" t="s">
        <v>1629</v>
      </c>
      <c r="KJ85" s="919">
        <f>+KP69</f>
        <v>0</v>
      </c>
      <c r="KK85" s="682" t="s">
        <v>1629</v>
      </c>
      <c r="KX85" s="919">
        <f>+LD69</f>
        <v>0</v>
      </c>
      <c r="KY85" s="682" t="s">
        <v>1629</v>
      </c>
      <c r="LL85" s="919">
        <f>+LR69</f>
        <v>0</v>
      </c>
      <c r="LM85" s="682" t="s">
        <v>1629</v>
      </c>
      <c r="LZ85" s="919">
        <f>+MF69</f>
        <v>3039326.4797909106</v>
      </c>
      <c r="MA85" s="682" t="s">
        <v>1629</v>
      </c>
      <c r="MN85" s="919">
        <f>+MT69</f>
        <v>3957082.4738862603</v>
      </c>
      <c r="MO85" s="682" t="s">
        <v>1629</v>
      </c>
      <c r="NB85" s="919">
        <f>+NH69</f>
        <v>4392436.7658043085</v>
      </c>
      <c r="NC85" s="682" t="s">
        <v>1629</v>
      </c>
      <c r="NP85" s="919">
        <f>+NV69</f>
        <v>10325894.097882656</v>
      </c>
      <c r="NQ85" s="682" t="s">
        <v>1629</v>
      </c>
      <c r="OD85" s="919">
        <f>+OJ69</f>
        <v>1877873.1487763671</v>
      </c>
      <c r="OE85" s="682" t="s">
        <v>1629</v>
      </c>
      <c r="OR85" s="919">
        <f>+OX69</f>
        <v>7424547.1564800804</v>
      </c>
      <c r="OS85" s="682" t="s">
        <v>1629</v>
      </c>
      <c r="PF85" s="919">
        <f>+PL69</f>
        <v>0</v>
      </c>
      <c r="PG85" s="682" t="s">
        <v>1629</v>
      </c>
      <c r="PT85" s="919">
        <f>+PZ69</f>
        <v>0</v>
      </c>
      <c r="PU85" s="682" t="s">
        <v>1629</v>
      </c>
      <c r="QH85" s="919">
        <f>+QN69</f>
        <v>0</v>
      </c>
      <c r="QI85" s="682" t="s">
        <v>1629</v>
      </c>
      <c r="QV85" s="919">
        <f>+RB69</f>
        <v>7744420.5734119946</v>
      </c>
      <c r="QW85" s="682" t="s">
        <v>1629</v>
      </c>
      <c r="RJ85" s="919">
        <f>+RP69</f>
        <v>1468990.3617334371</v>
      </c>
      <c r="RK85" s="682" t="s">
        <v>1629</v>
      </c>
      <c r="RX85" s="919">
        <f>+SD69</f>
        <v>4517578.6678236639</v>
      </c>
      <c r="RY85" s="682" t="s">
        <v>1629</v>
      </c>
      <c r="SL85" s="919">
        <f>+SR69</f>
        <v>0</v>
      </c>
      <c r="SM85" s="682" t="s">
        <v>1629</v>
      </c>
      <c r="SZ85" s="919">
        <f>+TF69</f>
        <v>116169412.19954722</v>
      </c>
      <c r="TA85" s="682" t="s">
        <v>1629</v>
      </c>
    </row>
    <row r="86" spans="2:531" ht="15.75" customHeight="1" thickBot="1">
      <c r="B86" s="919">
        <f>+H71</f>
        <v>2430740.5020250636</v>
      </c>
      <c r="C86" s="682" t="s">
        <v>1630</v>
      </c>
      <c r="P86" s="919"/>
      <c r="Q86" s="682"/>
      <c r="AD86" s="919"/>
      <c r="AE86" s="682"/>
      <c r="AR86" s="919">
        <f>+AX71</f>
        <v>0</v>
      </c>
      <c r="AS86" s="682" t="s">
        <v>1630</v>
      </c>
      <c r="BF86" s="919">
        <f>+BL71</f>
        <v>6250475.5766358785</v>
      </c>
      <c r="BG86" s="682" t="s">
        <v>1630</v>
      </c>
      <c r="BT86" s="919">
        <f>+BZ71</f>
        <v>0</v>
      </c>
      <c r="BU86" s="682" t="s">
        <v>1630</v>
      </c>
      <c r="CH86" s="919">
        <f>+CN71</f>
        <v>347248.64314643765</v>
      </c>
      <c r="CI86" s="682" t="s">
        <v>1630</v>
      </c>
      <c r="CV86" s="919">
        <f>+DB71</f>
        <v>4514232.3609036896</v>
      </c>
      <c r="CW86" s="682" t="s">
        <v>1630</v>
      </c>
      <c r="DJ86" s="919">
        <f>+DP71</f>
        <v>347248.64314643765</v>
      </c>
      <c r="DK86" s="682" t="s">
        <v>1630</v>
      </c>
      <c r="DX86" s="919">
        <f>+ED71</f>
        <v>1736243.2157321884</v>
      </c>
      <c r="DY86" s="682" t="s">
        <v>1630</v>
      </c>
      <c r="EL86" s="919">
        <f>+ER71</f>
        <v>3125237.7883179393</v>
      </c>
      <c r="EM86" s="682" t="s">
        <v>1630</v>
      </c>
      <c r="EZ86" s="919">
        <f>+FF71</f>
        <v>0</v>
      </c>
      <c r="FA86" s="682" t="s">
        <v>1630</v>
      </c>
      <c r="FN86" s="919">
        <f>+FT71</f>
        <v>2257116.1804518448</v>
      </c>
      <c r="FO86" s="682" t="s">
        <v>1630</v>
      </c>
      <c r="GB86" s="919">
        <f>+GH71</f>
        <v>2083491.8588786258</v>
      </c>
      <c r="GC86" s="682" t="s">
        <v>1630</v>
      </c>
      <c r="GP86" s="919">
        <f>+GV71</f>
        <v>0</v>
      </c>
      <c r="GQ86" s="682" t="s">
        <v>1630</v>
      </c>
      <c r="HD86" s="919">
        <f>+HJ71</f>
        <v>1041745.9294393129</v>
      </c>
      <c r="HE86" s="682" t="s">
        <v>1630</v>
      </c>
      <c r="HR86" s="919">
        <f>+HX71</f>
        <v>3819735.074610814</v>
      </c>
      <c r="HS86" s="682" t="s">
        <v>1630</v>
      </c>
      <c r="IF86" s="919"/>
      <c r="IG86" s="682"/>
      <c r="IT86" s="919"/>
      <c r="IU86" s="682"/>
      <c r="JH86" s="919">
        <f>+JN71</f>
        <v>5208729.6471965648</v>
      </c>
      <c r="JI86" s="682" t="s">
        <v>1630</v>
      </c>
      <c r="JV86" s="919">
        <f>+KB71</f>
        <v>2257116.1804518448</v>
      </c>
      <c r="JW86" s="682" t="s">
        <v>1630</v>
      </c>
      <c r="KJ86" s="919">
        <f>+KP71</f>
        <v>0</v>
      </c>
      <c r="KK86" s="682" t="s">
        <v>1630</v>
      </c>
      <c r="KX86" s="919">
        <f>+LD71</f>
        <v>0</v>
      </c>
      <c r="KY86" s="682" t="s">
        <v>1630</v>
      </c>
      <c r="LL86" s="919">
        <f>+LR71</f>
        <v>0</v>
      </c>
      <c r="LM86" s="682" t="s">
        <v>1630</v>
      </c>
      <c r="LZ86" s="919">
        <f>+MF71</f>
        <v>1562618.8941589696</v>
      </c>
      <c r="MA86" s="682" t="s">
        <v>1630</v>
      </c>
      <c r="MN86" s="919">
        <f>+MT71</f>
        <v>2083491.8588786258</v>
      </c>
      <c r="MO86" s="682" t="s">
        <v>1630</v>
      </c>
      <c r="NB86" s="919">
        <f>+NH71</f>
        <v>2430740.5020250636</v>
      </c>
      <c r="NC86" s="682" t="s">
        <v>1630</v>
      </c>
      <c r="NP86" s="919">
        <f>+NV71</f>
        <v>2777989.1451715012</v>
      </c>
      <c r="NQ86" s="682" t="s">
        <v>1630</v>
      </c>
      <c r="OD86" s="919">
        <f>+OJ71</f>
        <v>694497.2862928753</v>
      </c>
      <c r="OE86" s="682" t="s">
        <v>1630</v>
      </c>
      <c r="OR86" s="919">
        <f>+OX71</f>
        <v>3472486.4314643769</v>
      </c>
      <c r="OS86" s="682" t="s">
        <v>1630</v>
      </c>
      <c r="PF86" s="919">
        <f>+PL71</f>
        <v>0</v>
      </c>
      <c r="PG86" s="682" t="s">
        <v>1630</v>
      </c>
      <c r="PT86" s="919">
        <f>+PZ71</f>
        <v>0</v>
      </c>
      <c r="PU86" s="682" t="s">
        <v>1630</v>
      </c>
      <c r="QH86" s="919">
        <f>+QN71</f>
        <v>0</v>
      </c>
      <c r="QI86" s="682" t="s">
        <v>1630</v>
      </c>
      <c r="QV86" s="919">
        <f>+RB71</f>
        <v>2083491.8588786258</v>
      </c>
      <c r="QW86" s="682" t="s">
        <v>1630</v>
      </c>
      <c r="RJ86" s="919">
        <f>+RP71</f>
        <v>347248.64314643765</v>
      </c>
      <c r="RK86" s="682" t="s">
        <v>1630</v>
      </c>
      <c r="RX86" s="919">
        <f>+SD71</f>
        <v>1215370.2510125318</v>
      </c>
      <c r="RY86" s="682" t="s">
        <v>1630</v>
      </c>
      <c r="SL86" s="919">
        <f>+SR71</f>
        <v>0</v>
      </c>
      <c r="SM86" s="682" t="s">
        <v>1630</v>
      </c>
      <c r="SZ86" s="919">
        <f>+TF71</f>
        <v>52087296.471965648</v>
      </c>
      <c r="TA86" s="682" t="s">
        <v>1630</v>
      </c>
    </row>
    <row r="87" spans="2:531" ht="15.75" customHeight="1" thickBot="1">
      <c r="B87" s="784">
        <f>+SUM(B78:B86)</f>
        <v>184123695.95841554</v>
      </c>
      <c r="C87" s="679" t="s">
        <v>1575</v>
      </c>
      <c r="P87" s="784"/>
      <c r="Q87" s="679"/>
      <c r="AD87" s="784"/>
      <c r="AE87" s="679"/>
      <c r="AR87" s="784">
        <f>+SUM(AR78:AR86)</f>
        <v>0</v>
      </c>
      <c r="AS87" s="679" t="s">
        <v>1575</v>
      </c>
      <c r="BF87" s="784">
        <f>+SUM(BF78:BF86)</f>
        <v>465467097.57456243</v>
      </c>
      <c r="BG87" s="679" t="s">
        <v>1575</v>
      </c>
      <c r="BT87" s="784">
        <f>+SUM(BT78:BT86)</f>
        <v>0</v>
      </c>
      <c r="BU87" s="679" t="s">
        <v>1575</v>
      </c>
      <c r="CH87" s="784">
        <f>+SUM(CH78:CH86)</f>
        <v>25816255.118830834</v>
      </c>
      <c r="CI87" s="679" t="s">
        <v>1575</v>
      </c>
      <c r="CV87" s="784">
        <f>+SUM(CV78:CV86)</f>
        <v>371962416.23354059</v>
      </c>
      <c r="CW87" s="679" t="s">
        <v>1575</v>
      </c>
      <c r="DJ87" s="784">
        <f>+SUM(DJ78:DJ86)</f>
        <v>29068460.813718908</v>
      </c>
      <c r="DK87" s="679" t="s">
        <v>1575</v>
      </c>
      <c r="DX87" s="784">
        <f>+SUM(DX78:DX86)</f>
        <v>136817420.09532824</v>
      </c>
      <c r="DY87" s="679" t="s">
        <v>1575</v>
      </c>
      <c r="EL87" s="784">
        <f>+SUM(EL78:EL86)</f>
        <v>232733548.78728122</v>
      </c>
      <c r="EM87" s="679" t="s">
        <v>1575</v>
      </c>
      <c r="EZ87" s="784">
        <f>+SUM(EZ78:EZ86)</f>
        <v>0</v>
      </c>
      <c r="FA87" s="679" t="s">
        <v>1575</v>
      </c>
      <c r="FN87" s="784">
        <f>+SUM(FN78:FN86)</f>
        <v>317142845.24840719</v>
      </c>
      <c r="FO87" s="679" t="s">
        <v>1575</v>
      </c>
      <c r="GB87" s="784">
        <f>+SUM(GB78:GB86)</f>
        <v>150870068.52462983</v>
      </c>
      <c r="GC87" s="679" t="s">
        <v>1575</v>
      </c>
      <c r="GP87" s="784">
        <f>+SUM(GP78:GP86)</f>
        <v>0</v>
      </c>
      <c r="GQ87" s="679" t="s">
        <v>1575</v>
      </c>
      <c r="HD87" s="784">
        <f>+SUM(HD78:HD86)</f>
        <v>77577849.595760375</v>
      </c>
      <c r="HE87" s="679" t="s">
        <v>1575</v>
      </c>
      <c r="HR87" s="784">
        <f>+SUM(HR78:HR86)</f>
        <v>295781169.53931183</v>
      </c>
      <c r="HS87" s="679" t="s">
        <v>1575</v>
      </c>
      <c r="IF87" s="784"/>
      <c r="IG87" s="679"/>
      <c r="IT87" s="784"/>
      <c r="IU87" s="679"/>
      <c r="JH87" s="784">
        <f>+SUM(JH78:JH86)</f>
        <v>428563170.21963024</v>
      </c>
      <c r="JI87" s="679" t="s">
        <v>1575</v>
      </c>
      <c r="JV87" s="784">
        <f>+SUM(JV78:JV86)</f>
        <v>176345862.84982225</v>
      </c>
      <c r="JW87" s="679" t="s">
        <v>1575</v>
      </c>
      <c r="KJ87" s="784">
        <f>+SUM(KJ78:KJ86)</f>
        <v>0</v>
      </c>
      <c r="KK87" s="679" t="s">
        <v>1575</v>
      </c>
      <c r="KX87" s="784">
        <f>+SUM(KX78:KX86)</f>
        <v>0</v>
      </c>
      <c r="KY87" s="679" t="s">
        <v>1575</v>
      </c>
      <c r="LL87" s="784">
        <f>+SUM(LL78:LL86)</f>
        <v>0</v>
      </c>
      <c r="LM87" s="679" t="s">
        <v>1575</v>
      </c>
      <c r="LZ87" s="784">
        <f>+SUM(LZ78:LZ86)</f>
        <v>123135678.0857954</v>
      </c>
      <c r="MA87" s="679" t="s">
        <v>1575</v>
      </c>
      <c r="MN87" s="784">
        <f>+SUM(MN78:MN86)</f>
        <v>160366790.81432903</v>
      </c>
      <c r="MO87" s="679" t="s">
        <v>1575</v>
      </c>
      <c r="NB87" s="784">
        <f>+SUM(NB78:NB86)</f>
        <v>178128211.13419738</v>
      </c>
      <c r="NC87" s="679" t="s">
        <v>1575</v>
      </c>
      <c r="NP87" s="784">
        <f>+SUM(NP78:NP86)</f>
        <v>415813753.06047779</v>
      </c>
      <c r="NQ87" s="679" t="s">
        <v>1575</v>
      </c>
      <c r="OD87" s="784">
        <f>+SUM(OD78:OD86)</f>
        <v>75809423.237347573</v>
      </c>
      <c r="OE87" s="679" t="s">
        <v>1575</v>
      </c>
      <c r="OR87" s="784">
        <f>+SUM(OR78:OR86)</f>
        <v>300454372.69066757</v>
      </c>
      <c r="OS87" s="679" t="s">
        <v>1575</v>
      </c>
      <c r="PF87" s="784">
        <f>+SUM(PF78:PF86)</f>
        <v>0</v>
      </c>
      <c r="PG87" s="679" t="s">
        <v>1575</v>
      </c>
      <c r="PT87" s="784">
        <f>+SUM(PT78:PT86)</f>
        <v>0</v>
      </c>
      <c r="PU87" s="679" t="s">
        <v>1575</v>
      </c>
      <c r="QH87" s="784">
        <f>+SUM(QH78:QH86)</f>
        <v>0</v>
      </c>
      <c r="QI87" s="679" t="s">
        <v>1575</v>
      </c>
      <c r="QV87" s="784">
        <f>+SUM(QV78:QV86)</f>
        <v>311860314.79535836</v>
      </c>
      <c r="QW87" s="679" t="s">
        <v>1575</v>
      </c>
      <c r="RJ87" s="784">
        <f>+SUM(RJ78:RJ86)</f>
        <v>59106863.112483919</v>
      </c>
      <c r="RK87" s="679" t="s">
        <v>1575</v>
      </c>
      <c r="RX87" s="784">
        <f>+SUM(RX78:RX86)</f>
        <v>181918516.9639591</v>
      </c>
      <c r="RY87" s="679" t="s">
        <v>1575</v>
      </c>
      <c r="SL87" s="784">
        <f>+SUM(SL78:SL86)</f>
        <v>0</v>
      </c>
      <c r="SM87" s="679" t="s">
        <v>1575</v>
      </c>
      <c r="SZ87" s="784">
        <f>+SUM(SZ78:SZ86)</f>
        <v>4698863784.4538546</v>
      </c>
      <c r="TA87" s="679" t="s">
        <v>1575</v>
      </c>
      <c r="TG87" s="95"/>
      <c r="TK87" s="95"/>
    </row>
    <row r="88" spans="2:531" ht="15.75" customHeight="1">
      <c r="B88" s="920" t="s">
        <v>1599</v>
      </c>
      <c r="C88" s="944">
        <f>+B87-H72</f>
        <v>0</v>
      </c>
      <c r="AR88" s="920" t="s">
        <v>1599</v>
      </c>
      <c r="AS88" s="944">
        <f>+AR87-AX72</f>
        <v>0</v>
      </c>
      <c r="BF88" s="920" t="s">
        <v>1599</v>
      </c>
      <c r="BG88" s="944">
        <f>+BF87-BL72</f>
        <v>0</v>
      </c>
      <c r="BT88" s="920" t="s">
        <v>1599</v>
      </c>
      <c r="BU88" s="944">
        <f>+BT87-BZ72</f>
        <v>0</v>
      </c>
      <c r="CH88" s="920" t="s">
        <v>1599</v>
      </c>
      <c r="CI88" s="944">
        <f>+CH87-CN72</f>
        <v>0</v>
      </c>
      <c r="CV88" s="920" t="s">
        <v>1599</v>
      </c>
      <c r="CW88" s="944">
        <f>+CV87-DB72</f>
        <v>0</v>
      </c>
      <c r="DJ88" s="920" t="s">
        <v>1599</v>
      </c>
      <c r="DK88" s="944">
        <f>+DJ87-DP72</f>
        <v>0</v>
      </c>
      <c r="DX88" s="920" t="s">
        <v>1599</v>
      </c>
      <c r="DY88" s="944">
        <f>+DX87-ED72</f>
        <v>0</v>
      </c>
      <c r="EL88" s="920" t="s">
        <v>1599</v>
      </c>
      <c r="EM88" s="944">
        <f>+EL87-ER72</f>
        <v>0</v>
      </c>
      <c r="EZ88" s="920" t="s">
        <v>1599</v>
      </c>
      <c r="FA88" s="944">
        <f>+EZ87-FF72</f>
        <v>0</v>
      </c>
      <c r="FN88" s="920" t="s">
        <v>1599</v>
      </c>
      <c r="FO88" s="944">
        <f>+FN87-FT72</f>
        <v>0</v>
      </c>
      <c r="GB88" s="920" t="s">
        <v>1599</v>
      </c>
      <c r="GC88" s="944">
        <f>+GB87-GH72</f>
        <v>0</v>
      </c>
      <c r="GP88" s="920" t="s">
        <v>1599</v>
      </c>
      <c r="GQ88" s="944">
        <f>+GP87-GV72</f>
        <v>0</v>
      </c>
      <c r="HD88" s="920" t="s">
        <v>1599</v>
      </c>
      <c r="HE88" s="944">
        <f>+HD87-HJ72</f>
        <v>0</v>
      </c>
      <c r="HR88" s="920" t="s">
        <v>1599</v>
      </c>
      <c r="HS88" s="944">
        <f>+HR87-HX72</f>
        <v>0</v>
      </c>
      <c r="JH88" s="920" t="s">
        <v>1599</v>
      </c>
      <c r="JI88" s="944">
        <f>+JH87-JN72</f>
        <v>0</v>
      </c>
      <c r="JV88" s="920" t="s">
        <v>1599</v>
      </c>
      <c r="JW88" s="944">
        <f>+JV87-KB72</f>
        <v>0</v>
      </c>
      <c r="KJ88" s="920" t="s">
        <v>1599</v>
      </c>
      <c r="KK88" s="944">
        <f>+KJ87-KP72</f>
        <v>0</v>
      </c>
      <c r="KX88" s="920" t="s">
        <v>1599</v>
      </c>
      <c r="KY88" s="944">
        <f>+KX87-LD72</f>
        <v>0</v>
      </c>
      <c r="LL88" s="920" t="s">
        <v>1599</v>
      </c>
      <c r="LM88" s="944">
        <f>+LL87-LR72</f>
        <v>0</v>
      </c>
      <c r="LZ88" s="920" t="s">
        <v>1599</v>
      </c>
      <c r="MA88" s="944">
        <f>+LZ87-MF72</f>
        <v>0</v>
      </c>
      <c r="MN88" s="920" t="s">
        <v>1599</v>
      </c>
      <c r="MO88" s="944">
        <f>+MN87-MT72</f>
        <v>0</v>
      </c>
      <c r="NB88" s="920" t="s">
        <v>1599</v>
      </c>
      <c r="NC88" s="944">
        <f>+NB87-NH72</f>
        <v>0</v>
      </c>
      <c r="NP88" s="920" t="s">
        <v>1599</v>
      </c>
      <c r="NQ88" s="944">
        <f>+NP87-NV72</f>
        <v>0</v>
      </c>
      <c r="OD88" s="920" t="s">
        <v>1599</v>
      </c>
      <c r="OE88" s="944">
        <f>+OD87-OJ72</f>
        <v>0</v>
      </c>
      <c r="OR88" s="920" t="s">
        <v>1599</v>
      </c>
      <c r="OS88" s="944">
        <f>+OR87-OX72</f>
        <v>0</v>
      </c>
      <c r="PF88" s="920" t="s">
        <v>1599</v>
      </c>
      <c r="PG88" s="944">
        <f>+PF87-PL72</f>
        <v>0</v>
      </c>
      <c r="PT88" s="920" t="s">
        <v>1599</v>
      </c>
      <c r="PU88" s="944">
        <f>+PT87-PZ72</f>
        <v>0</v>
      </c>
      <c r="QH88" s="920" t="s">
        <v>1599</v>
      </c>
      <c r="QI88" s="944">
        <f>+QH87-QN72</f>
        <v>0</v>
      </c>
      <c r="QV88" s="920" t="s">
        <v>1599</v>
      </c>
      <c r="QW88" s="944">
        <f>+QV87-RB72</f>
        <v>0</v>
      </c>
      <c r="RJ88" s="920" t="s">
        <v>1599</v>
      </c>
      <c r="RK88" s="944">
        <f>+RJ87-RP72</f>
        <v>0</v>
      </c>
      <c r="RX88" s="920" t="s">
        <v>1599</v>
      </c>
      <c r="RY88" s="944">
        <f>+RX87-SD72</f>
        <v>0</v>
      </c>
      <c r="SL88" s="920" t="s">
        <v>1599</v>
      </c>
      <c r="SM88" s="944">
        <f>+SL87-SR72</f>
        <v>0</v>
      </c>
      <c r="SZ88" s="920" t="s">
        <v>1599</v>
      </c>
      <c r="TA88" s="944">
        <f>+SZ87-TF72</f>
        <v>0</v>
      </c>
    </row>
    <row r="89" spans="2:531" ht="15.75" customHeight="1" thickBot="1">
      <c r="TG89" s="95"/>
      <c r="TK89" s="95"/>
    </row>
    <row r="90" spans="2:531" ht="32.25" customHeight="1" thickBot="1">
      <c r="B90" s="1200" t="s">
        <v>1584</v>
      </c>
      <c r="C90" s="1201"/>
      <c r="P90" s="1198"/>
      <c r="Q90" s="1199"/>
      <c r="AD90" s="1198"/>
      <c r="AE90" s="1199"/>
      <c r="AR90" s="1198" t="s">
        <v>1584</v>
      </c>
      <c r="AS90" s="1199"/>
      <c r="BF90" s="1198" t="s">
        <v>1584</v>
      </c>
      <c r="BG90" s="1199"/>
      <c r="BT90" s="1198" t="s">
        <v>1584</v>
      </c>
      <c r="BU90" s="1199"/>
      <c r="CH90" s="1198" t="s">
        <v>1584</v>
      </c>
      <c r="CI90" s="1199"/>
      <c r="CV90" s="1198" t="s">
        <v>1584</v>
      </c>
      <c r="CW90" s="1199"/>
      <c r="DJ90" s="1198" t="s">
        <v>1584</v>
      </c>
      <c r="DK90" s="1199"/>
      <c r="DX90" s="1198" t="s">
        <v>1584</v>
      </c>
      <c r="DY90" s="1199"/>
      <c r="EL90" s="1198" t="s">
        <v>1584</v>
      </c>
      <c r="EM90" s="1199"/>
      <c r="EZ90" s="1198" t="s">
        <v>1584</v>
      </c>
      <c r="FA90" s="1199"/>
      <c r="FN90" s="1198" t="s">
        <v>1584</v>
      </c>
      <c r="FO90" s="1199"/>
      <c r="GB90" s="1198" t="s">
        <v>1584</v>
      </c>
      <c r="GC90" s="1199"/>
      <c r="GP90" s="1198" t="s">
        <v>1584</v>
      </c>
      <c r="GQ90" s="1199"/>
      <c r="HD90" s="1198" t="s">
        <v>1584</v>
      </c>
      <c r="HE90" s="1199"/>
      <c r="HR90" s="1198" t="s">
        <v>1584</v>
      </c>
      <c r="HS90" s="1199"/>
      <c r="IF90" s="1198"/>
      <c r="IG90" s="1199"/>
      <c r="IT90" s="1198"/>
      <c r="IU90" s="1199"/>
      <c r="JH90" s="1198" t="s">
        <v>1584</v>
      </c>
      <c r="JI90" s="1199"/>
      <c r="JV90" s="1198" t="s">
        <v>1584</v>
      </c>
      <c r="JW90" s="1199"/>
      <c r="KJ90" s="1198" t="s">
        <v>1584</v>
      </c>
      <c r="KK90" s="1199"/>
      <c r="KX90" s="1198" t="s">
        <v>1584</v>
      </c>
      <c r="KY90" s="1199"/>
      <c r="LL90" s="1198" t="s">
        <v>1584</v>
      </c>
      <c r="LM90" s="1199"/>
      <c r="LZ90" s="1198" t="s">
        <v>1584</v>
      </c>
      <c r="MA90" s="1199"/>
      <c r="MN90" s="1198" t="s">
        <v>1584</v>
      </c>
      <c r="MO90" s="1199"/>
      <c r="NB90" s="1198" t="s">
        <v>1584</v>
      </c>
      <c r="NC90" s="1199"/>
      <c r="NP90" s="1198" t="s">
        <v>1584</v>
      </c>
      <c r="NQ90" s="1199"/>
      <c r="OD90" s="1198" t="s">
        <v>1584</v>
      </c>
      <c r="OE90" s="1199"/>
      <c r="OR90" s="1198" t="s">
        <v>1584</v>
      </c>
      <c r="OS90" s="1199"/>
      <c r="PF90" s="1198" t="s">
        <v>1584</v>
      </c>
      <c r="PG90" s="1199"/>
      <c r="PT90" s="1198" t="s">
        <v>1584</v>
      </c>
      <c r="PU90" s="1199"/>
      <c r="QH90" s="1198" t="s">
        <v>1584</v>
      </c>
      <c r="QI90" s="1199"/>
      <c r="QV90" s="1198" t="s">
        <v>1584</v>
      </c>
      <c r="QW90" s="1199"/>
      <c r="RJ90" s="1198" t="s">
        <v>1584</v>
      </c>
      <c r="RK90" s="1199"/>
      <c r="RX90" s="1198" t="s">
        <v>1584</v>
      </c>
      <c r="RY90" s="1199"/>
      <c r="SL90" s="1198" t="s">
        <v>1584</v>
      </c>
      <c r="SM90" s="1199"/>
      <c r="SZ90" s="1198" t="s">
        <v>1584</v>
      </c>
      <c r="TA90" s="1199"/>
      <c r="TG90" s="95"/>
      <c r="TK90" s="95"/>
    </row>
    <row r="91" spans="2:531" ht="15.75" customHeight="1" thickBot="1">
      <c r="B91" s="685" t="str">
        <f>+VLOOKUP(C91,B$78:C$86,2,0)</f>
        <v>Otros costos</v>
      </c>
      <c r="C91" s="684">
        <f>+LARGE((B$78:B$86),1)</f>
        <v>95842645.673427716</v>
      </c>
      <c r="P91" s="685"/>
      <c r="Q91" s="684"/>
      <c r="AD91" s="685"/>
      <c r="AE91" s="684"/>
      <c r="AR91" s="685" t="str">
        <f>+IF(AS91=0,"",VLOOKUP(AS91,AR$78:AS$86,2,0))</f>
        <v/>
      </c>
      <c r="AS91" s="684">
        <f>+LARGE((AR$78:AR$86),1)</f>
        <v>0</v>
      </c>
      <c r="BF91" s="685" t="str">
        <f>+IF(BG91=0,"",VLOOKUP(BG91,BF$78:BG$86,2,0))</f>
        <v>Otros costos</v>
      </c>
      <c r="BG91" s="684">
        <f>+LARGE((BF$78:BF$86),1)</f>
        <v>246452517.44595701</v>
      </c>
      <c r="BT91" s="685" t="str">
        <f>+IF(BU91=0,"",VLOOKUP(BU91,BT$78:BU$86,2,0))</f>
        <v/>
      </c>
      <c r="BU91" s="684">
        <f>+LARGE((BT$78:BT$86),1)</f>
        <v>0</v>
      </c>
      <c r="CH91" s="685" t="str">
        <f>+IF(CI91=0,"",VLOOKUP(CI91,CH$78:CI$86,2,0))</f>
        <v>Otros costos</v>
      </c>
      <c r="CI91" s="684">
        <f>+LARGE((CH$78:CH$86),1)</f>
        <v>13691806.524775388</v>
      </c>
      <c r="CV91" s="685" t="str">
        <f>+IF(CW91=0,"",VLOOKUP(CW91,CV$78:CW$86,2,0))</f>
        <v>Otros costos</v>
      </c>
      <c r="CW91" s="684">
        <f>+LARGE((CV$78:CV$86),1)</f>
        <v>177993484.82208008</v>
      </c>
      <c r="DJ91" s="685" t="str">
        <f>+IF(DK91=0,"",VLOOKUP(DK91,DJ$78:DK$86,2,0))</f>
        <v>Otros costos</v>
      </c>
      <c r="DK91" s="684">
        <f>+LARGE((DJ$78:DJ$86),1)</f>
        <v>13691806.524775388</v>
      </c>
      <c r="DX91" s="685" t="str">
        <f>+IF(DY91=0,"",VLOOKUP(DY91,DX$78:DY$86,2,0))</f>
        <v>Otros costos</v>
      </c>
      <c r="DY91" s="684">
        <f>+LARGE((DX$78:DX$86),1)</f>
        <v>68459032.623876944</v>
      </c>
      <c r="EL91" s="685" t="str">
        <f>+IF(EM91=0,"",VLOOKUP(EM91,EL$78:EM$86,2,0))</f>
        <v>Otros costos</v>
      </c>
      <c r="EM91" s="684">
        <f>+LARGE((EL$78:EL$86),1)</f>
        <v>123226258.7229785</v>
      </c>
      <c r="EZ91" s="685" t="str">
        <f>+IF(FA91=0,"",VLOOKUP(FA91,EZ$78:FA$86,2,0))</f>
        <v/>
      </c>
      <c r="FA91" s="684">
        <f>+LARGE((EZ$78:EZ$86),1)</f>
        <v>0</v>
      </c>
      <c r="FN91" s="685" t="str">
        <f>+IF(FO91=0,"",VLOOKUP(FO91,FN$78:FO$86,2,0))</f>
        <v>Transporte</v>
      </c>
      <c r="FO91" s="684">
        <f>+LARGE((FN$78:FN$86),1)</f>
        <v>137320683.51493233</v>
      </c>
      <c r="GB91" s="685" t="str">
        <f>+IF(GC91=0,"",VLOOKUP(GC91,GB$78:GC$86,2,0))</f>
        <v>Otros costos</v>
      </c>
      <c r="GC91" s="684">
        <f>+LARGE((GB$78:GB$86),1)</f>
        <v>82150839.148652315</v>
      </c>
      <c r="GP91" s="685" t="str">
        <f>+IF(GQ91=0,"",VLOOKUP(GQ91,GP$78:GQ$86,2,0))</f>
        <v/>
      </c>
      <c r="GQ91" s="684">
        <f>+LARGE((GP$78:GP$86),1)</f>
        <v>0</v>
      </c>
      <c r="HD91" s="685" t="str">
        <f>+IF(HE91=0,"",VLOOKUP(HE91,HD$78:HE$86,2,0))</f>
        <v>Otros costos</v>
      </c>
      <c r="HE91" s="684">
        <f>+LARGE((HD$78:HD$86),1)</f>
        <v>41075419.574326158</v>
      </c>
      <c r="HR91" s="685" t="str">
        <f>+IF(HS91=0,"",VLOOKUP(HS91,HR$78:HS$86,2,0))</f>
        <v>Otros costos</v>
      </c>
      <c r="HS91" s="684">
        <f>+LARGE((HR$78:HR$86),1)</f>
        <v>150609871.77252927</v>
      </c>
      <c r="IF91" s="685"/>
      <c r="IG91" s="684"/>
      <c r="IT91" s="685"/>
      <c r="IU91" s="684"/>
      <c r="JH91" s="685" t="str">
        <f>+IF(JI91=0,"",VLOOKUP(JI91,JH$78:JI$86,2,0))</f>
        <v>Otros costos</v>
      </c>
      <c r="JI91" s="684">
        <f>+LARGE((JH$78:JH$86),1)</f>
        <v>205377097.87163082</v>
      </c>
      <c r="JV91" s="685" t="str">
        <f>+IF(JW91=0,"",VLOOKUP(JW91,JV$78:JW$86,2,0))</f>
        <v>Otros costos</v>
      </c>
      <c r="JW91" s="684">
        <f>+LARGE((JV$78:JV$86),1)</f>
        <v>88996742.411040038</v>
      </c>
      <c r="KJ91" s="685" t="str">
        <f>+IF(KK91=0,"",VLOOKUP(KK91,KJ$78:KK$86,2,0))</f>
        <v/>
      </c>
      <c r="KK91" s="684">
        <f>+LARGE((KJ$78:KJ$86),1)</f>
        <v>0</v>
      </c>
      <c r="KX91" s="685" t="str">
        <f>+IF(KY91=0,"",VLOOKUP(KY91,KX$78:KY$86,2,0))</f>
        <v/>
      </c>
      <c r="KY91" s="684">
        <f>+LARGE((KX$78:KX$86),1)</f>
        <v>0</v>
      </c>
      <c r="LL91" s="685" t="str">
        <f>+IF(LM91=0,"",VLOOKUP(LM91,LL$78:LM$86,2,0))</f>
        <v/>
      </c>
      <c r="LM91" s="684">
        <f>+LARGE((LL$78:LL$86),1)</f>
        <v>0</v>
      </c>
      <c r="LZ91" s="685" t="str">
        <f>+IF(MA91=0,"",VLOOKUP(MA91,LZ$78:MA$86,2,0))</f>
        <v>Otros costos</v>
      </c>
      <c r="MA91" s="684">
        <f>+LARGE((LZ$78:LZ$86),1)</f>
        <v>61613129.361489251</v>
      </c>
      <c r="MN91" s="685" t="str">
        <f>+IF(MO91=0,"",VLOOKUP(MO91,MN$78:MO$86,2,0))</f>
        <v>Otros costos</v>
      </c>
      <c r="MO91" s="684">
        <f>+LARGE((MN$78:MN$86),1)</f>
        <v>82150839.148652315</v>
      </c>
      <c r="NB91" s="685" t="str">
        <f>+IF(NC91=0,"",VLOOKUP(NC91,NB$78:NC$86,2,0))</f>
        <v>Otros costos</v>
      </c>
      <c r="NC91" s="684">
        <f>+LARGE((NB$78:NB$86),1)</f>
        <v>95842645.673427716</v>
      </c>
      <c r="NP91" s="685" t="str">
        <f>+IF(NQ91=0,"",VLOOKUP(NQ91,NP$78:NQ$86,2,0))</f>
        <v>Transporte</v>
      </c>
      <c r="NQ91" s="684">
        <f>+LARGE((NP$78:NP$86),1)</f>
        <v>191654699.84239793</v>
      </c>
      <c r="OD91" s="685" t="str">
        <f>+IF(OE91=0,"",VLOOKUP(OE91,OD$78:OE$86,2,0))</f>
        <v>Otros costos</v>
      </c>
      <c r="OE91" s="684">
        <f>+LARGE((OD$78:OD$86),1)</f>
        <v>27383613.049550775</v>
      </c>
      <c r="OR91" s="685" t="str">
        <f>+IF(OS91=0,"",VLOOKUP(OS91,OR$78:OS$86,2,0))</f>
        <v>Otros costos</v>
      </c>
      <c r="OS91" s="684">
        <f>+LARGE((OR$78:OR$86),1)</f>
        <v>136918065.24775389</v>
      </c>
      <c r="PF91" s="685" t="str">
        <f>+IF(PG91=0,"",VLOOKUP(PG91,PF$78:PG$86,2,0))</f>
        <v/>
      </c>
      <c r="PG91" s="684">
        <f>+LARGE((PF$78:PF$86),1)</f>
        <v>0</v>
      </c>
      <c r="PT91" s="685" t="str">
        <f>+IF(PU91=0,"",VLOOKUP(PU91,PT$78:PU$86,2,0))</f>
        <v/>
      </c>
      <c r="PU91" s="684">
        <f>+LARGE((PT$78:PT$86),1)</f>
        <v>0</v>
      </c>
      <c r="QH91" s="685" t="str">
        <f>+IF(QI91=0,"",VLOOKUP(QI91,QH$78:QI$86,2,0))</f>
        <v/>
      </c>
      <c r="QI91" s="684">
        <f>+LARGE((QH$78:QH$86),1)</f>
        <v>0</v>
      </c>
      <c r="QV91" s="685" t="str">
        <f>+IF(QW91=0,"",VLOOKUP(QW91,QV$78:QW$86,2,0))</f>
        <v>Transporte</v>
      </c>
      <c r="QW91" s="684">
        <f>+LARGE((QV$78:QV$86),1)</f>
        <v>143741024.88179845</v>
      </c>
      <c r="RJ91" s="685" t="str">
        <f>+IF(RK91=0,"",VLOOKUP(RK91,RJ$78:RK$86,2,0))</f>
        <v>Transporte</v>
      </c>
      <c r="RK91" s="684">
        <f>+LARGE((RJ$78:RJ$86),1)</f>
        <v>30292532.027845331</v>
      </c>
      <c r="RX91" s="685" t="str">
        <f>+IF(RY91=0,"",VLOOKUP(RY91,RX$78:RY$86,2,0))</f>
        <v>Transporte</v>
      </c>
      <c r="RY91" s="684">
        <f>+LARGE((RX$78:RX$86),1)</f>
        <v>83848931.181049109</v>
      </c>
      <c r="SL91" s="685" t="str">
        <f>+IF(SM91=0,"",VLOOKUP(SM91,SL$78:SM$86,2,0))</f>
        <v/>
      </c>
      <c r="SM91" s="684">
        <f>+LARGE((SL$78:SL$86),1)</f>
        <v>0</v>
      </c>
      <c r="SZ91" s="685" t="str">
        <f>+IF(TA91=0,"",VLOOKUP(TA91,SZ$78:TA$86,2,0))</f>
        <v>Otros costos</v>
      </c>
      <c r="TA91" s="684">
        <f>+LARGE((SZ$78:SZ$86),1)</f>
        <v>2053770978.7163084</v>
      </c>
      <c r="TG91" s="95"/>
      <c r="TK91" s="95"/>
    </row>
    <row r="92" spans="2:531" ht="15.75" customHeight="1" thickBot="1">
      <c r="B92" s="685" t="str">
        <f t="shared" ref="B92:B99" si="1054">+VLOOKUP(C92,B$78:C$86,2,0)</f>
        <v>Talento humano</v>
      </c>
      <c r="C92" s="684">
        <f>+LARGE((B$78:B$86),2)</f>
        <v>57597450.630413651</v>
      </c>
      <c r="P92" s="685"/>
      <c r="Q92" s="684"/>
      <c r="AD92" s="685"/>
      <c r="AE92" s="684"/>
      <c r="AR92" s="685" t="str">
        <f t="shared" ref="AR92:AR99" si="1055">+IF(AS92=0,"",VLOOKUP(AS92,AR$78:AS$86,2,0))</f>
        <v/>
      </c>
      <c r="AS92" s="684">
        <f>+LARGE((AR$78:AR$86),2)</f>
        <v>0</v>
      </c>
      <c r="BF92" s="685" t="str">
        <f t="shared" ref="BF92:BF99" si="1056">+IF(BG92=0,"",VLOOKUP(BG92,BF$78:BG$86,2,0))</f>
        <v>Talento humano</v>
      </c>
      <c r="BG92" s="684">
        <f>+LARGE((BF$78:BF$86),2)</f>
        <v>148107730.19249225</v>
      </c>
      <c r="BT92" s="685" t="str">
        <f t="shared" ref="BT92:BT99" si="1057">+IF(BU92=0,"",VLOOKUP(BU92,BT$78:BU$86,2,0))</f>
        <v/>
      </c>
      <c r="BU92" s="684">
        <f>+LARGE((BT$78:BT$86),2)</f>
        <v>0</v>
      </c>
      <c r="CH92" s="685" t="str">
        <f t="shared" ref="CH92:CH99" si="1058">+IF(CI92=0,"",VLOOKUP(CI92,CH$78:CI$86,2,0))</f>
        <v>Talento humano</v>
      </c>
      <c r="CI92" s="684">
        <f>+LARGE((CH$78:CH$86),2)</f>
        <v>8228207.2329162359</v>
      </c>
      <c r="CV92" s="685" t="str">
        <f t="shared" ref="CV92:CV99" si="1059">+IF(CW92=0,"",VLOOKUP(CW92,CV$78:CW$86,2,0))</f>
        <v>Talento humano</v>
      </c>
      <c r="CW92" s="684">
        <f>+LARGE((CV$78:CV$86),2)</f>
        <v>106966694.02791107</v>
      </c>
      <c r="DJ92" s="685" t="str">
        <f t="shared" ref="DJ92:DJ99" si="1060">+IF(DK92=0,"",VLOOKUP(DK92,DJ$78:DK$86,2,0))</f>
        <v>Talento humano</v>
      </c>
      <c r="DK92" s="684">
        <f>+LARGE((DJ$78:DJ$86),2)</f>
        <v>8228207.2329162359</v>
      </c>
      <c r="DX92" s="685" t="str">
        <f t="shared" ref="DX92:DX99" si="1061">+IF(DY92=0,"",VLOOKUP(DY92,DX$78:DY$86,2,0))</f>
        <v>Talento humano</v>
      </c>
      <c r="DY92" s="684">
        <f>+LARGE((DX$78:DX$86),2)</f>
        <v>41141036.16458118</v>
      </c>
      <c r="EL92" s="685" t="str">
        <f t="shared" ref="EL92:EL99" si="1062">+IF(EM92=0,"",VLOOKUP(EM92,EL$78:EM$86,2,0))</f>
        <v>Talento humano</v>
      </c>
      <c r="EM92" s="684">
        <f>+LARGE((EL$78:EL$86),2)</f>
        <v>74053865.096246123</v>
      </c>
      <c r="EZ92" s="685" t="str">
        <f t="shared" ref="EZ92:EZ99" si="1063">+IF(FA92=0,"",VLOOKUP(FA92,EZ$78:FA$86,2,0))</f>
        <v/>
      </c>
      <c r="FA92" s="684">
        <f>+LARGE((EZ$78:EZ$86),2)</f>
        <v>0</v>
      </c>
      <c r="FN92" s="685" t="str">
        <f t="shared" ref="FN92:FN99" si="1064">+IF(FO92=0,"",VLOOKUP(FO92,FN$78:FO$86,2,0))</f>
        <v>Otros costos</v>
      </c>
      <c r="FO92" s="684">
        <f>+LARGE((FN$78:FN$86),2)</f>
        <v>88996742.411040038</v>
      </c>
      <c r="GB92" s="685" t="str">
        <f t="shared" ref="GB92:GB99" si="1065">+IF(GC92=0,"",VLOOKUP(GC92,GB$78:GC$86,2,0))</f>
        <v>Talento humano</v>
      </c>
      <c r="GC92" s="684">
        <f>+LARGE((GB$78:GB$86),2)</f>
        <v>49369243.397497408</v>
      </c>
      <c r="GP92" s="685" t="str">
        <f t="shared" ref="GP92:GP99" si="1066">+IF(GQ92=0,"",VLOOKUP(GQ92,GP$78:GQ$86,2,0))</f>
        <v/>
      </c>
      <c r="GQ92" s="684">
        <f>+LARGE((GP$78:GP$86),2)</f>
        <v>0</v>
      </c>
      <c r="HD92" s="685" t="str">
        <f t="shared" ref="HD92:HD99" si="1067">+IF(HE92=0,"",VLOOKUP(HE92,HD$78:HE$86,2,0))</f>
        <v>Talento humano</v>
      </c>
      <c r="HE92" s="684">
        <f>+LARGE((HD$78:HD$86),2)</f>
        <v>24684621.698748704</v>
      </c>
      <c r="HR92" s="685" t="str">
        <f t="shared" ref="HR92:HR99" si="1068">+IF(HS92=0,"",VLOOKUP(HS92,HR$78:HS$86,2,0))</f>
        <v>Talento humano</v>
      </c>
      <c r="HS92" s="684">
        <f>+LARGE((HR$78:HR$86),2)</f>
        <v>90510279.562078595</v>
      </c>
      <c r="IF92" s="685"/>
      <c r="IG92" s="684"/>
      <c r="IT92" s="685"/>
      <c r="IU92" s="684"/>
      <c r="JH92" s="685" t="str">
        <f t="shared" ref="JH92:JH99" si="1069">+IF(JI92=0,"",VLOOKUP(JI92,JH$78:JI$86,2,0))</f>
        <v>Talento humano</v>
      </c>
      <c r="JI92" s="684">
        <f>+LARGE((JH$78:JH$86),2)</f>
        <v>123423108.49374352</v>
      </c>
      <c r="JV92" s="685" t="str">
        <f t="shared" ref="JV92:JV99" si="1070">+IF(JW92=0,"",VLOOKUP(JW92,JV$78:JW$86,2,0))</f>
        <v>Talento humano</v>
      </c>
      <c r="JW92" s="684">
        <f>+LARGE((JV$78:JV$86),2)</f>
        <v>53483347.013955534</v>
      </c>
      <c r="KJ92" s="685" t="str">
        <f t="shared" ref="KJ92:KJ99" si="1071">+IF(KK92=0,"",VLOOKUP(KK92,KJ$78:KK$86,2,0))</f>
        <v/>
      </c>
      <c r="KK92" s="684">
        <f>+LARGE((KJ$78:KJ$86),2)</f>
        <v>0</v>
      </c>
      <c r="KX92" s="685" t="str">
        <f t="shared" ref="KX92:KX99" si="1072">+IF(KY92=0,"",VLOOKUP(KY92,KX$78:KY$86,2,0))</f>
        <v/>
      </c>
      <c r="KY92" s="684">
        <f>+LARGE((KX$78:KX$86),2)</f>
        <v>0</v>
      </c>
      <c r="LL92" s="685" t="str">
        <f t="shared" ref="LL92:LL99" si="1073">+IF(LM92=0,"",VLOOKUP(LM92,LL$78:LM$86,2,0))</f>
        <v/>
      </c>
      <c r="LM92" s="684">
        <f>+LARGE((LL$78:LL$86),2)</f>
        <v>0</v>
      </c>
      <c r="LZ92" s="685" t="str">
        <f t="shared" ref="LZ92:LZ99" si="1074">+IF(MA92=0,"",VLOOKUP(MA92,LZ$78:MA$86,2,0))</f>
        <v>Talento humano</v>
      </c>
      <c r="MA92" s="684">
        <f>+LARGE((LZ$78:LZ$86),2)</f>
        <v>37026932.548123062</v>
      </c>
      <c r="MN92" s="685" t="str">
        <f t="shared" ref="MN92:MN99" si="1075">+IF(MO92=0,"",VLOOKUP(MO92,MN$78:MO$86,2,0))</f>
        <v>Talento humano</v>
      </c>
      <c r="MO92" s="684">
        <f>+LARGE((MN$78:MN$86),2)</f>
        <v>49369243.397497408</v>
      </c>
      <c r="NB92" s="685" t="str">
        <f t="shared" ref="NB92:NB99" si="1076">+IF(NC92=0,"",VLOOKUP(NC92,NB$78:NC$86,2,0))</f>
        <v>Talento humano</v>
      </c>
      <c r="NC92" s="684">
        <f>+LARGE((NB$78:NB$86),2)</f>
        <v>57597450.630413651</v>
      </c>
      <c r="NP92" s="685" t="str">
        <f t="shared" ref="NP92:NP99" si="1077">+IF(NQ92=0,"",VLOOKUP(NQ92,NP$78:NQ$86,2,0))</f>
        <v>Otros costos</v>
      </c>
      <c r="NQ92" s="684">
        <f>+LARGE((NP$78:NP$86),2)</f>
        <v>109534452.1982031</v>
      </c>
      <c r="OD92" s="685" t="str">
        <f t="shared" ref="OD92:OD99" si="1078">+IF(OE92=0,"",VLOOKUP(OE92,OD$78:OE$86,2,0))</f>
        <v>Transporte</v>
      </c>
      <c r="OE92" s="684">
        <f>+LARGE((OD$78:OD$86),2)</f>
        <v>22905500.783534497</v>
      </c>
      <c r="OR92" s="685" t="str">
        <f t="shared" ref="OR92:OR99" si="1079">+IF(OS92=0,"",VLOOKUP(OS92,OR$78:OS$86,2,0))</f>
        <v>Talento humano</v>
      </c>
      <c r="OS92" s="684">
        <f>+LARGE((OR$78:OR$86),2)</f>
        <v>82282072.329162359</v>
      </c>
      <c r="PF92" s="685" t="str">
        <f t="shared" ref="PF92:PF99" si="1080">+IF(PG92=0,"",VLOOKUP(PG92,PF$78:PG$86,2,0))</f>
        <v/>
      </c>
      <c r="PG92" s="684">
        <f>+LARGE((PF$78:PF$86),2)</f>
        <v>0</v>
      </c>
      <c r="PT92" s="685" t="str">
        <f t="shared" ref="PT92:PT99" si="1081">+IF(PU92=0,"",VLOOKUP(PU92,PT$78:PU$86,2,0))</f>
        <v/>
      </c>
      <c r="PU92" s="684">
        <f>+LARGE((PT$78:PT$86),2)</f>
        <v>0</v>
      </c>
      <c r="QH92" s="685" t="str">
        <f t="shared" ref="QH92:QH99" si="1082">+IF(QI92=0,"",VLOOKUP(QI92,QH$78:QI$86,2,0))</f>
        <v/>
      </c>
      <c r="QI92" s="684">
        <f>+LARGE((QH$78:QH$86),2)</f>
        <v>0</v>
      </c>
      <c r="QV92" s="685" t="str">
        <f t="shared" ref="QV92:QV99" si="1083">+IF(QW92=0,"",VLOOKUP(QW92,QV$78:QW$86,2,0))</f>
        <v>Otros costos</v>
      </c>
      <c r="QW92" s="684">
        <f>+LARGE((QV$78:QV$86),2)</f>
        <v>82150839.148652315</v>
      </c>
      <c r="RJ92" s="685" t="str">
        <f t="shared" ref="RJ92:RJ99" si="1084">+IF(RK92=0,"",VLOOKUP(RK92,RJ$78:RK$86,2,0))</f>
        <v>Otros costos</v>
      </c>
      <c r="RK92" s="684">
        <f>+LARGE((RJ$78:RJ$86),2)</f>
        <v>13691806.524775388</v>
      </c>
      <c r="RX92" s="685" t="str">
        <f t="shared" ref="RX92:RX99" si="1085">+IF(RY92=0,"",VLOOKUP(RY92,RX$78:RY$86,2,0))</f>
        <v>Otros costos</v>
      </c>
      <c r="RY92" s="684">
        <f>+LARGE((RX$78:RX$86),2)</f>
        <v>47921322.836713858</v>
      </c>
      <c r="SL92" s="685" t="str">
        <f t="shared" ref="SL92:SL99" si="1086">+IF(SM92=0,"",VLOOKUP(SM92,SL$78:SM$86,2,0))</f>
        <v/>
      </c>
      <c r="SM92" s="684">
        <f>+LARGE((SL$78:SL$86),2)</f>
        <v>0</v>
      </c>
      <c r="SZ92" s="685" t="str">
        <f t="shared" ref="SZ92:SZ99" si="1087">+IF(TA92=0,"",VLOOKUP(TA92,SZ$78:TA$86,2,0))</f>
        <v>Talento humano</v>
      </c>
      <c r="TA92" s="684">
        <f>+LARGE((SZ$78:SZ$86),2)</f>
        <v>1234231084.9374354</v>
      </c>
      <c r="TG92" s="95"/>
      <c r="TK92" s="95"/>
    </row>
    <row r="93" spans="2:531" ht="15.75" customHeight="1" thickBot="1">
      <c r="B93" s="685" t="str">
        <f t="shared" si="1054"/>
        <v>Administración</v>
      </c>
      <c r="C93" s="684">
        <f>+LARGE((B$78:B$86),3)</f>
        <v>12915880.189277597</v>
      </c>
      <c r="P93" s="685"/>
      <c r="Q93" s="684"/>
      <c r="AD93" s="685"/>
      <c r="AE93" s="684"/>
      <c r="AR93" s="685" t="str">
        <f t="shared" si="1055"/>
        <v/>
      </c>
      <c r="AS93" s="684">
        <f>+LARGE((AR$78:AR$86),3)</f>
        <v>0</v>
      </c>
      <c r="BF93" s="685" t="str">
        <f t="shared" si="1056"/>
        <v>Administración</v>
      </c>
      <c r="BG93" s="684">
        <f>+LARGE((BF$78:BF$86),3)</f>
        <v>32644011.187729217</v>
      </c>
      <c r="BT93" s="685" t="str">
        <f t="shared" si="1057"/>
        <v/>
      </c>
      <c r="BU93" s="684">
        <f>+LARGE((BT$78:BT$86),3)</f>
        <v>0</v>
      </c>
      <c r="CH93" s="685" t="str">
        <f t="shared" si="1058"/>
        <v>Administración</v>
      </c>
      <c r="CI93" s="684">
        <f>+LARGE((CH$78:CH$86),3)</f>
        <v>1810497.4700509501</v>
      </c>
      <c r="CV93" s="685" t="str">
        <f t="shared" si="1059"/>
        <v>Transporte</v>
      </c>
      <c r="CW93" s="684">
        <f>+LARGE((CV$78:CV$86),3)</f>
        <v>41546475.380593829</v>
      </c>
      <c r="DJ93" s="685" t="str">
        <f t="shared" si="1060"/>
        <v>Transporte</v>
      </c>
      <c r="DK93" s="684">
        <f>+LARGE((DJ$78:DJ$86),3)</f>
        <v>3601045.5449468596</v>
      </c>
      <c r="DX93" s="685" t="str">
        <f t="shared" si="1061"/>
        <v>Transporte</v>
      </c>
      <c r="DY93" s="684">
        <f>+LARGE((DX$78:DX$86),3)</f>
        <v>10430196.833358629</v>
      </c>
      <c r="EL93" s="685" t="str">
        <f t="shared" si="1062"/>
        <v>Administración</v>
      </c>
      <c r="EM93" s="684">
        <f>+LARGE((EL$78:EL$86),3)</f>
        <v>16322005.593864609</v>
      </c>
      <c r="EZ93" s="685" t="str">
        <f t="shared" si="1063"/>
        <v/>
      </c>
      <c r="FA93" s="684">
        <f>+LARGE((EZ$78:EZ$86),3)</f>
        <v>0</v>
      </c>
      <c r="FN93" s="685" t="str">
        <f t="shared" si="1064"/>
        <v>Talento humano</v>
      </c>
      <c r="FO93" s="684">
        <f>+LARGE((FN$78:FN$86),3)</f>
        <v>53483347.013955534</v>
      </c>
      <c r="GB93" s="685" t="str">
        <f t="shared" si="1065"/>
        <v>Administración</v>
      </c>
      <c r="GC93" s="684">
        <f>+LARGE((GB$78:GB$86),3)</f>
        <v>10576687.429408085</v>
      </c>
      <c r="GP93" s="685" t="str">
        <f t="shared" si="1066"/>
        <v/>
      </c>
      <c r="GQ93" s="684">
        <f>+LARGE((GP$78:GP$86),3)</f>
        <v>0</v>
      </c>
      <c r="HD93" s="685" t="str">
        <f t="shared" si="1067"/>
        <v>Administración</v>
      </c>
      <c r="HE93" s="684">
        <f>+LARGE((HD$78:HD$86),3)</f>
        <v>5440668.5312882019</v>
      </c>
      <c r="HR93" s="685" t="str">
        <f t="shared" si="1068"/>
        <v>Administración</v>
      </c>
      <c r="HS93" s="684">
        <f>+LARGE((HR$78:HR$86),3)</f>
        <v>20754458.520219255</v>
      </c>
      <c r="IF93" s="685"/>
      <c r="IG93" s="684"/>
      <c r="IT93" s="685"/>
      <c r="IU93" s="684"/>
      <c r="JH93" s="685" t="str">
        <f t="shared" si="1069"/>
        <v>Transporte</v>
      </c>
      <c r="JI93" s="684">
        <f>+LARGE((JH$78:JH$86),3)</f>
        <v>47383560.5215462</v>
      </c>
      <c r="JV93" s="685" t="str">
        <f t="shared" si="1070"/>
        <v>Administración</v>
      </c>
      <c r="JW93" s="684">
        <f>+LARGE((JV$78:JV$86),3)</f>
        <v>12375325.111725476</v>
      </c>
      <c r="KJ93" s="685" t="str">
        <f t="shared" si="1071"/>
        <v/>
      </c>
      <c r="KK93" s="684">
        <f>+LARGE((KJ$78:KJ$86),3)</f>
        <v>0</v>
      </c>
      <c r="KX93" s="685" t="str">
        <f t="shared" si="1072"/>
        <v/>
      </c>
      <c r="KY93" s="684">
        <f>+LARGE((KX$78:KX$86),3)</f>
        <v>0</v>
      </c>
      <c r="LL93" s="685" t="str">
        <f t="shared" si="1073"/>
        <v/>
      </c>
      <c r="LM93" s="684">
        <f>+LARGE((LL$78:LL$86),3)</f>
        <v>0</v>
      </c>
      <c r="LZ93" s="685" t="str">
        <f t="shared" si="1074"/>
        <v>Transporte</v>
      </c>
      <c r="MA93" s="684">
        <f>+LARGE((LZ$78:LZ$86),3)</f>
        <v>9387177.1500227675</v>
      </c>
      <c r="MN93" s="685" t="str">
        <f t="shared" si="1075"/>
        <v>Administración</v>
      </c>
      <c r="MO93" s="684">
        <f>+LARGE((MN$78:MN$86),3)</f>
        <v>11251774.292167811</v>
      </c>
      <c r="NB93" s="685" t="str">
        <f t="shared" si="1076"/>
        <v>Administración</v>
      </c>
      <c r="NC93" s="684">
        <f>+LARGE((NB$78:NB$86),3)</f>
        <v>12489683.348174309</v>
      </c>
      <c r="NP93" s="685" t="str">
        <f t="shared" si="1077"/>
        <v>Talento humano</v>
      </c>
      <c r="NQ93" s="684">
        <f>+LARGE((NP$78:NP$86),3)</f>
        <v>65825657.863329887</v>
      </c>
      <c r="OD93" s="685" t="str">
        <f t="shared" si="1078"/>
        <v>Talento humano</v>
      </c>
      <c r="OE93" s="684">
        <f>+LARGE((OD$78:OD$86),3)</f>
        <v>16456414.465832472</v>
      </c>
      <c r="OR93" s="685" t="str">
        <f t="shared" si="1079"/>
        <v>Transporte</v>
      </c>
      <c r="OS93" s="684">
        <f>+LARGE((OR$78:OR$86),3)</f>
        <v>44691660.792104073</v>
      </c>
      <c r="PF93" s="685" t="str">
        <f t="shared" si="1080"/>
        <v/>
      </c>
      <c r="PG93" s="684">
        <f>+LARGE((PF$78:PF$86),3)</f>
        <v>0</v>
      </c>
      <c r="PT93" s="685" t="str">
        <f t="shared" si="1081"/>
        <v/>
      </c>
      <c r="PU93" s="684">
        <f>+LARGE((PT$78:PT$86),3)</f>
        <v>0</v>
      </c>
      <c r="QH93" s="685" t="str">
        <f t="shared" si="1082"/>
        <v/>
      </c>
      <c r="QI93" s="684">
        <f>+LARGE((QH$78:QH$86),3)</f>
        <v>0</v>
      </c>
      <c r="QV93" s="685" t="str">
        <f t="shared" si="1083"/>
        <v>Talento humano</v>
      </c>
      <c r="QW93" s="684">
        <f>+LARGE((QV$78:QV$86),3)</f>
        <v>49369243.397497408</v>
      </c>
      <c r="RJ93" s="685" t="str">
        <f t="shared" si="1084"/>
        <v>Talento humano</v>
      </c>
      <c r="RK93" s="684">
        <f>+LARGE((RJ$78:RJ$86),3)</f>
        <v>8228207.2329162359</v>
      </c>
      <c r="RX93" s="685" t="str">
        <f t="shared" si="1085"/>
        <v>Talento humano</v>
      </c>
      <c r="RY93" s="684">
        <f>+LARGE((RX$78:RX$86),3)</f>
        <v>28798725.315206826</v>
      </c>
      <c r="SL93" s="685" t="str">
        <f t="shared" si="1086"/>
        <v/>
      </c>
      <c r="SM93" s="684">
        <f>+LARGE((SL$78:SL$86),3)</f>
        <v>0</v>
      </c>
      <c r="SZ93" s="685" t="str">
        <f t="shared" si="1087"/>
        <v>Transporte</v>
      </c>
      <c r="TA93" s="684">
        <f>+LARGE((SZ$78:SZ$86),3)</f>
        <v>841024859.42992294</v>
      </c>
      <c r="TG93" s="95"/>
      <c r="TK93" s="95"/>
    </row>
    <row r="94" spans="2:531" ht="15.75" customHeight="1" thickBot="1">
      <c r="B94" s="685" t="str">
        <f t="shared" si="1054"/>
        <v>Transporte</v>
      </c>
      <c r="C94" s="684">
        <f>+LARGE((B$78:B$86),4)</f>
        <v>8008406.0621285765</v>
      </c>
      <c r="P94" s="685"/>
      <c r="Q94" s="684"/>
      <c r="AD94" s="685"/>
      <c r="AE94" s="684"/>
      <c r="AR94" s="685" t="str">
        <f t="shared" si="1055"/>
        <v/>
      </c>
      <c r="AS94" s="684">
        <f>+LARGE((AR$78:AR$86),4)</f>
        <v>0</v>
      </c>
      <c r="BF94" s="685" t="str">
        <f t="shared" si="1056"/>
        <v>Transporte</v>
      </c>
      <c r="BG94" s="684">
        <f>+LARGE((BF$78:BF$86),4)</f>
        <v>13489892.208165955</v>
      </c>
      <c r="BT94" s="685" t="str">
        <f t="shared" si="1057"/>
        <v/>
      </c>
      <c r="BU94" s="684">
        <f>+LARGE((BT$78:BT$86),4)</f>
        <v>0</v>
      </c>
      <c r="CH94" s="685" t="str">
        <f t="shared" si="1058"/>
        <v>Transporte</v>
      </c>
      <c r="CI94" s="684">
        <f>+LARGE((CH$78:CH$86),4)</f>
        <v>711204.61794525094</v>
      </c>
      <c r="CV94" s="685" t="str">
        <f t="shared" si="1059"/>
        <v>Administración</v>
      </c>
      <c r="CW94" s="684">
        <f>+LARGE((CV$78:CV$86),4)</f>
        <v>26120532.3384468</v>
      </c>
      <c r="DJ94" s="685" t="str">
        <f t="shared" si="1060"/>
        <v>Administración</v>
      </c>
      <c r="DK94" s="684">
        <f>+LARGE((DJ$78:DJ$86),4)</f>
        <v>2041684.7442110789</v>
      </c>
      <c r="DX94" s="685" t="str">
        <f t="shared" si="1061"/>
        <v>Administración</v>
      </c>
      <c r="DY94" s="684">
        <f>+LARGE((DX$78:DX$86),4)</f>
        <v>9602421.249745341</v>
      </c>
      <c r="EL94" s="685" t="str">
        <f t="shared" si="1062"/>
        <v>Transporte</v>
      </c>
      <c r="EM94" s="684">
        <f>+LARGE((EL$78:EL$86),4)</f>
        <v>6744946.1040829774</v>
      </c>
      <c r="EZ94" s="685" t="str">
        <f t="shared" si="1063"/>
        <v/>
      </c>
      <c r="FA94" s="684">
        <f>+LARGE((EZ$78:EZ$86),4)</f>
        <v>0</v>
      </c>
      <c r="FN94" s="685" t="str">
        <f t="shared" si="1064"/>
        <v>Administración</v>
      </c>
      <c r="FO94" s="684">
        <f>+LARGE((FN$78:FN$86),4)</f>
        <v>22384061.835194234</v>
      </c>
      <c r="GB94" s="685" t="str">
        <f t="shared" si="1065"/>
        <v>Actividad de Cierre</v>
      </c>
      <c r="GC94" s="684">
        <f>+LARGE((GB$78:GB$86),4)</f>
        <v>3719664.4166437807</v>
      </c>
      <c r="GP94" s="685" t="str">
        <f t="shared" si="1066"/>
        <v/>
      </c>
      <c r="GQ94" s="684">
        <f>+LARGE((GP$78:GP$86),4)</f>
        <v>0</v>
      </c>
      <c r="HD94" s="685" t="str">
        <f t="shared" si="1067"/>
        <v>Transporte</v>
      </c>
      <c r="HE94" s="684">
        <f>+LARGE((HD$78:HD$86),4)</f>
        <v>2248315.3680276591</v>
      </c>
      <c r="HR94" s="685" t="str">
        <f t="shared" si="1068"/>
        <v>Transporte</v>
      </c>
      <c r="HS94" s="684">
        <f>+LARGE((HR$78:HR$86),4)</f>
        <v>18310580.168132819</v>
      </c>
      <c r="IF94" s="685"/>
      <c r="IG94" s="684"/>
      <c r="IT94" s="685"/>
      <c r="IU94" s="684"/>
      <c r="JH94" s="685" t="str">
        <f t="shared" si="1069"/>
        <v>Administración</v>
      </c>
      <c r="JI94" s="684">
        <f>+LARGE((JH$78:JH$86),4)</f>
        <v>30094701.350953646</v>
      </c>
      <c r="JV94" s="685" t="str">
        <f t="shared" si="1070"/>
        <v>Transporte</v>
      </c>
      <c r="JW94" s="684">
        <f>+LARGE((JV$78:JV$86),4)</f>
        <v>12211474.471572882</v>
      </c>
      <c r="KJ94" s="685" t="str">
        <f t="shared" si="1071"/>
        <v/>
      </c>
      <c r="KK94" s="684">
        <f>+LARGE((KJ$78:KJ$86),4)</f>
        <v>0</v>
      </c>
      <c r="KX94" s="685" t="str">
        <f t="shared" si="1072"/>
        <v/>
      </c>
      <c r="KY94" s="684">
        <f>+LARGE((KX$78:KX$86),4)</f>
        <v>0</v>
      </c>
      <c r="LL94" s="685" t="str">
        <f t="shared" si="1073"/>
        <v/>
      </c>
      <c r="LM94" s="684">
        <f>+LARGE((LL$78:LL$86),4)</f>
        <v>0</v>
      </c>
      <c r="LZ94" s="685" t="str">
        <f t="shared" si="1074"/>
        <v>Administración</v>
      </c>
      <c r="MA94" s="684">
        <f>+LARGE((LZ$78:LZ$86),4)</f>
        <v>8642179.1247708052</v>
      </c>
      <c r="MN94" s="685" t="str">
        <f t="shared" si="1075"/>
        <v>Transporte</v>
      </c>
      <c r="MO94" s="684">
        <f>+LARGE((MN$78:MN$86),4)</f>
        <v>9127096.1059479229</v>
      </c>
      <c r="NB94" s="685" t="str">
        <f t="shared" si="1076"/>
        <v>Actividad de Cierre</v>
      </c>
      <c r="NC94" s="684">
        <f>+LARGE((NB$78:NB$86),4)</f>
        <v>4392436.7658043085</v>
      </c>
      <c r="NP94" s="685" t="str">
        <f t="shared" si="1077"/>
        <v>Administración</v>
      </c>
      <c r="NQ94" s="684">
        <f>+LARGE((NP$78:NP$86),4)</f>
        <v>29361184.792314474</v>
      </c>
      <c r="OD94" s="685" t="str">
        <f t="shared" si="1078"/>
        <v>Administración</v>
      </c>
      <c r="OE94" s="684">
        <f>+LARGE((OD$78:OD$86),4)</f>
        <v>5339642.2639134191</v>
      </c>
      <c r="OR94" s="685" t="str">
        <f t="shared" si="1079"/>
        <v>Administración</v>
      </c>
      <c r="OS94" s="684">
        <f>+LARGE((OR$78:OR$86),4)</f>
        <v>21111343.869521625</v>
      </c>
      <c r="PF94" s="685" t="str">
        <f t="shared" si="1080"/>
        <v/>
      </c>
      <c r="PG94" s="684">
        <f>+LARGE((PF$78:PF$86),4)</f>
        <v>0</v>
      </c>
      <c r="PT94" s="685" t="str">
        <f t="shared" si="1081"/>
        <v/>
      </c>
      <c r="PU94" s="684">
        <f>+LARGE((PT$78:PT$86),4)</f>
        <v>0</v>
      </c>
      <c r="QH94" s="685" t="str">
        <f t="shared" si="1082"/>
        <v/>
      </c>
      <c r="QI94" s="684">
        <f>+LARGE((QH$78:QH$86),4)</f>
        <v>0</v>
      </c>
      <c r="QV94" s="685" t="str">
        <f t="shared" si="1083"/>
        <v>Administración</v>
      </c>
      <c r="QW94" s="684">
        <f>+LARGE((QV$78:QV$86),4)</f>
        <v>22020888.594235856</v>
      </c>
      <c r="RJ94" s="685" t="str">
        <f t="shared" si="1084"/>
        <v>Administración</v>
      </c>
      <c r="RK94" s="684">
        <f>+LARGE((RJ$78:RJ$86),4)</f>
        <v>4177003.6628429564</v>
      </c>
      <c r="RX94" s="685" t="str">
        <f t="shared" si="1085"/>
        <v>Administración</v>
      </c>
      <c r="RY94" s="684">
        <f>+LARGE((RX$78:RX$86),4)</f>
        <v>12845518.346637582</v>
      </c>
      <c r="SL94" s="685" t="str">
        <f t="shared" si="1086"/>
        <v/>
      </c>
      <c r="SM94" s="684">
        <f>+LARGE((SL$78:SL$86),4)</f>
        <v>0</v>
      </c>
      <c r="SZ94" s="685" t="str">
        <f t="shared" si="1087"/>
        <v>Administración</v>
      </c>
      <c r="TA94" s="684">
        <f>+LARGE((SZ$78:SZ$86),4)</f>
        <v>330322153.84669334</v>
      </c>
      <c r="TG94" s="95"/>
      <c r="TK94" s="95"/>
    </row>
    <row r="95" spans="2:531" ht="15.75" customHeight="1" thickBot="1">
      <c r="B95" s="685" t="str">
        <f t="shared" si="1054"/>
        <v>Actividad de Cierre</v>
      </c>
      <c r="C95" s="684">
        <f>+LARGE((B$78:B$86),5)</f>
        <v>4542323.8864097614</v>
      </c>
      <c r="P95" s="685"/>
      <c r="Q95" s="684"/>
      <c r="AD95" s="685"/>
      <c r="AE95" s="684"/>
      <c r="AR95" s="685" t="str">
        <f t="shared" si="1055"/>
        <v/>
      </c>
      <c r="AS95" s="684">
        <f>+LARGE((AR$78:AR$86),5)</f>
        <v>0</v>
      </c>
      <c r="BF95" s="685" t="str">
        <f t="shared" si="1056"/>
        <v>Actividad de Cierre</v>
      </c>
      <c r="BG95" s="684">
        <f>+LARGE((BF$78:BF$86),5)</f>
        <v>11480415.549948163</v>
      </c>
      <c r="BT95" s="685" t="str">
        <f t="shared" si="1057"/>
        <v/>
      </c>
      <c r="BU95" s="684">
        <f>+LARGE((BT$78:BT$86),5)</f>
        <v>0</v>
      </c>
      <c r="CH95" s="685" t="str">
        <f t="shared" si="1058"/>
        <v>Actividad de Cierre</v>
      </c>
      <c r="CI95" s="684">
        <f>+LARGE((CH$78:CH$86),5)</f>
        <v>636725.1618921099</v>
      </c>
      <c r="CV95" s="685" t="str">
        <f t="shared" si="1059"/>
        <v>Actividad de Cierre</v>
      </c>
      <c r="CW95" s="684">
        <f>+LARGE((CV$78:CV$86),5)</f>
        <v>9186204.5968159214</v>
      </c>
      <c r="DJ95" s="685" t="str">
        <f t="shared" si="1060"/>
        <v>Actividad de Cierre</v>
      </c>
      <c r="DK95" s="684">
        <f>+LARGE((DJ$78:DJ$86),5)</f>
        <v>718030.30426431191</v>
      </c>
      <c r="DX95" s="685" t="str">
        <f t="shared" si="1061"/>
        <v>Actividad de Cierre</v>
      </c>
      <c r="DY95" s="684">
        <f>+LARGE((DX$78:DX$86),5)</f>
        <v>3377029.4219899019</v>
      </c>
      <c r="EL95" s="685" t="str">
        <f t="shared" si="1062"/>
        <v>Actividad de Cierre</v>
      </c>
      <c r="EM95" s="684">
        <f>+LARGE((EL$78:EL$86),5)</f>
        <v>5740207.7749740817</v>
      </c>
      <c r="EZ95" s="685" t="str">
        <f t="shared" si="1063"/>
        <v/>
      </c>
      <c r="FA95" s="684">
        <f>+LARGE((EZ$78:EZ$86),5)</f>
        <v>0</v>
      </c>
      <c r="FN95" s="685" t="str">
        <f t="shared" si="1064"/>
        <v>Actividad de Cierre</v>
      </c>
      <c r="FO95" s="684">
        <f>+LARGE((FN$78:FN$86),5)</f>
        <v>7872143.2266988829</v>
      </c>
      <c r="GB95" s="685" t="str">
        <f t="shared" si="1065"/>
        <v>Costos RR.HH Etapa Alistamiento</v>
      </c>
      <c r="GC95" s="684">
        <f>+LARGE((GB$78:GB$86),5)</f>
        <v>2083491.8588786258</v>
      </c>
      <c r="GP95" s="685" t="str">
        <f t="shared" si="1066"/>
        <v/>
      </c>
      <c r="GQ95" s="684">
        <f>+LARGE((GP$78:GP$86),5)</f>
        <v>0</v>
      </c>
      <c r="HD95" s="685" t="str">
        <f t="shared" si="1067"/>
        <v>Actividad de Cierre</v>
      </c>
      <c r="HE95" s="684">
        <f>+LARGE((HD$78:HD$86),5)</f>
        <v>1913402.5916580269</v>
      </c>
      <c r="HR95" s="685" t="str">
        <f t="shared" si="1068"/>
        <v>Actividad de Cierre</v>
      </c>
      <c r="HS95" s="684">
        <f>+LARGE((HR$78:HR$86),5)</f>
        <v>7299035.861617526</v>
      </c>
      <c r="IF95" s="685"/>
      <c r="IG95" s="684"/>
      <c r="IT95" s="685"/>
      <c r="IU95" s="684"/>
      <c r="JH95" s="685" t="str">
        <f t="shared" si="1069"/>
        <v>Actividad de Cierre</v>
      </c>
      <c r="JI95" s="684">
        <f>+LARGE((JH$78:JH$86),5)</f>
        <v>10583861.014310842</v>
      </c>
      <c r="JV95" s="685" t="str">
        <f t="shared" si="1070"/>
        <v>Actividad de Cierre</v>
      </c>
      <c r="JW95" s="684">
        <f>+LARGE((JV$78:JV$86),5)</f>
        <v>4352218.6667342614</v>
      </c>
      <c r="KJ95" s="685" t="str">
        <f t="shared" si="1071"/>
        <v/>
      </c>
      <c r="KK95" s="684">
        <f>+LARGE((KJ$78:KJ$86),5)</f>
        <v>0</v>
      </c>
      <c r="KX95" s="685" t="str">
        <f t="shared" si="1072"/>
        <v/>
      </c>
      <c r="KY95" s="684">
        <f>+LARGE((KX$78:KX$86),5)</f>
        <v>0</v>
      </c>
      <c r="LL95" s="685" t="str">
        <f t="shared" si="1073"/>
        <v/>
      </c>
      <c r="LM95" s="684">
        <f>+LARGE((LL$78:LL$86),5)</f>
        <v>0</v>
      </c>
      <c r="LZ95" s="685" t="str">
        <f t="shared" si="1074"/>
        <v>Actividad de Cierre</v>
      </c>
      <c r="MA95" s="684">
        <f>+LARGE((LZ$78:LZ$86),5)</f>
        <v>3039326.4797909106</v>
      </c>
      <c r="MN95" s="685" t="str">
        <f t="shared" si="1075"/>
        <v>Actividad de Cierre</v>
      </c>
      <c r="MO95" s="684">
        <f>+LARGE((MN$78:MN$86),5)</f>
        <v>3957082.4738862603</v>
      </c>
      <c r="NB95" s="685" t="str">
        <f t="shared" si="1076"/>
        <v>Transporte</v>
      </c>
      <c r="NC95" s="684">
        <f>+LARGE((NB$78:NB$86),5)</f>
        <v>2680945.548337521</v>
      </c>
      <c r="NP95" s="685" t="str">
        <f t="shared" si="1077"/>
        <v>Actividad de Cierre</v>
      </c>
      <c r="NQ95" s="684">
        <f>+LARGE((NP$78:NP$86),5)</f>
        <v>10325894.097882656</v>
      </c>
      <c r="OD95" s="685" t="str">
        <f t="shared" si="1078"/>
        <v>Actividad de Cierre</v>
      </c>
      <c r="OE95" s="684">
        <f>+LARGE((OD$78:OD$86),5)</f>
        <v>1877873.1487763671</v>
      </c>
      <c r="OR95" s="685" t="str">
        <f t="shared" si="1079"/>
        <v>Actividad de Cierre</v>
      </c>
      <c r="OS95" s="684">
        <f>+LARGE((OR$78:OR$86),5)</f>
        <v>7424547.1564800804</v>
      </c>
      <c r="PF95" s="685" t="str">
        <f t="shared" si="1080"/>
        <v/>
      </c>
      <c r="PG95" s="684">
        <f>+LARGE((PF$78:PF$86),5)</f>
        <v>0</v>
      </c>
      <c r="PT95" s="685" t="str">
        <f t="shared" si="1081"/>
        <v/>
      </c>
      <c r="PU95" s="684">
        <f>+LARGE((PT$78:PT$86),5)</f>
        <v>0</v>
      </c>
      <c r="QH95" s="685" t="str">
        <f t="shared" si="1082"/>
        <v/>
      </c>
      <c r="QI95" s="684">
        <f>+LARGE((QH$78:QH$86),5)</f>
        <v>0</v>
      </c>
      <c r="QV95" s="685" t="str">
        <f t="shared" si="1083"/>
        <v>Actividad de Cierre</v>
      </c>
      <c r="QW95" s="684">
        <f>+LARGE((QV$78:QV$86),5)</f>
        <v>7744420.5734119946</v>
      </c>
      <c r="RJ95" s="685" t="str">
        <f t="shared" si="1084"/>
        <v>Actividad de Cierre</v>
      </c>
      <c r="RK95" s="684">
        <f>+LARGE((RJ$78:RJ$86),5)</f>
        <v>1468990.3617334371</v>
      </c>
      <c r="RX95" s="685" t="str">
        <f t="shared" si="1085"/>
        <v>Actividad de Cierre</v>
      </c>
      <c r="RY95" s="684">
        <f>+LARGE((RX$78:RX$86),5)</f>
        <v>4517578.6678236639</v>
      </c>
      <c r="SL95" s="685" t="str">
        <f t="shared" si="1086"/>
        <v/>
      </c>
      <c r="SM95" s="684">
        <f>+LARGE((SL$78:SL$86),5)</f>
        <v>0</v>
      </c>
      <c r="SZ95" s="685" t="str">
        <f t="shared" si="1087"/>
        <v>Actividad de Cierre</v>
      </c>
      <c r="TA95" s="684">
        <f>+LARGE((SZ$78:SZ$86),5)</f>
        <v>116169412.19954722</v>
      </c>
      <c r="TG95" s="95"/>
      <c r="TK95" s="95"/>
    </row>
    <row r="96" spans="2:531" ht="15.75" customHeight="1" thickBot="1">
      <c r="B96" s="685" t="str">
        <f t="shared" si="1054"/>
        <v>Costos RR.HH Etapa Alistamiento</v>
      </c>
      <c r="C96" s="684">
        <f>+LARGE((B$78:B$86),6)</f>
        <v>2430740.5020250636</v>
      </c>
      <c r="P96" s="685"/>
      <c r="Q96" s="684"/>
      <c r="AD96" s="685"/>
      <c r="AE96" s="684"/>
      <c r="AR96" s="685" t="str">
        <f t="shared" si="1055"/>
        <v/>
      </c>
      <c r="AS96" s="684">
        <f>+LARGE((AR$78:AR$86),6)</f>
        <v>0</v>
      </c>
      <c r="BF96" s="685" t="str">
        <f t="shared" si="1056"/>
        <v>Costos RR.HH Etapa Alistamiento</v>
      </c>
      <c r="BG96" s="684">
        <f>+LARGE((BF$78:BF$86),6)</f>
        <v>6250475.5766358785</v>
      </c>
      <c r="BT96" s="685" t="str">
        <f t="shared" si="1057"/>
        <v/>
      </c>
      <c r="BU96" s="684">
        <f>+LARGE((BT$78:BT$86),6)</f>
        <v>0</v>
      </c>
      <c r="CH96" s="685" t="str">
        <f t="shared" si="1058"/>
        <v>Costos RR.HH Etapa Alistamiento</v>
      </c>
      <c r="CI96" s="684">
        <f>+LARGE((CH$78:CH$86),6)</f>
        <v>347248.64314643765</v>
      </c>
      <c r="CV96" s="685" t="str">
        <f t="shared" si="1059"/>
        <v>Costos RR.HH Etapa Alistamiento</v>
      </c>
      <c r="CW96" s="684">
        <f>+LARGE((CV$78:CV$86),6)</f>
        <v>4514232.3609036896</v>
      </c>
      <c r="DJ96" s="685" t="str">
        <f t="shared" si="1060"/>
        <v>Costos RR.HH Etapa Alistamiento</v>
      </c>
      <c r="DK96" s="684">
        <f>+LARGE((DJ$78:DJ$86),6)</f>
        <v>347248.64314643765</v>
      </c>
      <c r="DX96" s="685" t="str">
        <f t="shared" si="1061"/>
        <v>Costos RR.HH Etapa Alistamiento</v>
      </c>
      <c r="DY96" s="684">
        <f>+LARGE((DX$78:DX$86),6)</f>
        <v>1736243.2157321884</v>
      </c>
      <c r="EL96" s="685" t="str">
        <f t="shared" si="1062"/>
        <v>Costos RR.HH Etapa Alistamiento</v>
      </c>
      <c r="EM96" s="684">
        <f>+LARGE((EL$78:EL$86),6)</f>
        <v>3125237.7883179393</v>
      </c>
      <c r="EZ96" s="685" t="str">
        <f t="shared" si="1063"/>
        <v/>
      </c>
      <c r="FA96" s="684">
        <f>+LARGE((EZ$78:EZ$86),6)</f>
        <v>0</v>
      </c>
      <c r="FN96" s="685" t="str">
        <f t="shared" si="1064"/>
        <v xml:space="preserve">Impuestos </v>
      </c>
      <c r="FO96" s="684">
        <f>+LARGE((FN$78:FN$86),6)</f>
        <v>2919105.5039276802</v>
      </c>
      <c r="GB96" s="685" t="str">
        <f t="shared" si="1065"/>
        <v xml:space="preserve">Impuestos </v>
      </c>
      <c r="GC96" s="684">
        <f>+LARGE((GB$78:GB$86),6)</f>
        <v>1379305.8076691083</v>
      </c>
      <c r="GP96" s="685" t="str">
        <f t="shared" si="1066"/>
        <v/>
      </c>
      <c r="GQ96" s="684">
        <f>+LARGE((GP$78:GP$86),6)</f>
        <v>0</v>
      </c>
      <c r="HD96" s="685" t="str">
        <f t="shared" si="1067"/>
        <v>Costos RR.HH Etapa Alistamiento</v>
      </c>
      <c r="HE96" s="684">
        <f>+LARGE((HD$78:HD$86),6)</f>
        <v>1041745.9294393129</v>
      </c>
      <c r="HR96" s="685" t="str">
        <f t="shared" si="1068"/>
        <v>Costos RR.HH Etapa Alistamiento</v>
      </c>
      <c r="HS96" s="684">
        <f>+LARGE((HR$78:HR$86),6)</f>
        <v>3819735.074610814</v>
      </c>
      <c r="IF96" s="685"/>
      <c r="IG96" s="684"/>
      <c r="IT96" s="685"/>
      <c r="IU96" s="684"/>
      <c r="JH96" s="685" t="str">
        <f t="shared" si="1069"/>
        <v>Costos RR.HH Etapa Alistamiento</v>
      </c>
      <c r="JI96" s="684">
        <f>+LARGE((JH$78:JH$86),6)</f>
        <v>5208729.6471965648</v>
      </c>
      <c r="JV96" s="685" t="str">
        <f t="shared" si="1070"/>
        <v>Costos RR.HH Etapa Alistamiento</v>
      </c>
      <c r="JW96" s="684">
        <f>+LARGE((JV$78:JV$86),6)</f>
        <v>2257116.1804518448</v>
      </c>
      <c r="KJ96" s="685" t="str">
        <f t="shared" si="1071"/>
        <v/>
      </c>
      <c r="KK96" s="684">
        <f>+LARGE((KJ$78:KJ$86),6)</f>
        <v>0</v>
      </c>
      <c r="KX96" s="685" t="str">
        <f t="shared" si="1072"/>
        <v/>
      </c>
      <c r="KY96" s="684">
        <f>+LARGE((KX$78:KX$86),6)</f>
        <v>0</v>
      </c>
      <c r="LL96" s="685" t="str">
        <f t="shared" si="1073"/>
        <v/>
      </c>
      <c r="LM96" s="684">
        <f>+LARGE((LL$78:LL$86),6)</f>
        <v>0</v>
      </c>
      <c r="LZ96" s="685" t="str">
        <f t="shared" si="1074"/>
        <v>Costos RR.HH Etapa Alistamiento</v>
      </c>
      <c r="MA96" s="684">
        <f>+LARGE((LZ$78:LZ$86),6)</f>
        <v>1562618.8941589696</v>
      </c>
      <c r="MN96" s="685" t="str">
        <f t="shared" si="1075"/>
        <v>Costos RR.HH Etapa Alistamiento</v>
      </c>
      <c r="MO96" s="684">
        <f>+LARGE((MN$78:MN$86),6)</f>
        <v>2083491.8588786258</v>
      </c>
      <c r="NB96" s="685" t="str">
        <f t="shared" si="1076"/>
        <v>Costos RR.HH Etapa Alistamiento</v>
      </c>
      <c r="NC96" s="684">
        <f>+LARGE((NB$78:NB$86),6)</f>
        <v>2430740.5020250636</v>
      </c>
      <c r="NP96" s="685" t="str">
        <f t="shared" si="1077"/>
        <v xml:space="preserve">Impuestos </v>
      </c>
      <c r="NQ96" s="684">
        <f>+LARGE((NP$78:NP$86),6)</f>
        <v>3828992.1087657302</v>
      </c>
      <c r="OD96" s="685" t="str">
        <f t="shared" si="1078"/>
        <v xml:space="preserve">Impuestos </v>
      </c>
      <c r="OE96" s="684">
        <f>+LARGE((OD$78:OD$86),6)</f>
        <v>696342.74763694906</v>
      </c>
      <c r="OR96" s="685" t="str">
        <f t="shared" si="1079"/>
        <v>Costos RR.HH Etapa Alistamiento</v>
      </c>
      <c r="OS96" s="684">
        <f>+LARGE((OR$78:OR$86),6)</f>
        <v>3472486.4314643769</v>
      </c>
      <c r="PF96" s="685" t="str">
        <f t="shared" si="1080"/>
        <v/>
      </c>
      <c r="PG96" s="684">
        <f>+LARGE((PF$78:PF$86),6)</f>
        <v>0</v>
      </c>
      <c r="PT96" s="685" t="str">
        <f t="shared" si="1081"/>
        <v/>
      </c>
      <c r="PU96" s="684">
        <f>+LARGE((PT$78:PT$86),6)</f>
        <v>0</v>
      </c>
      <c r="QH96" s="685" t="str">
        <f t="shared" si="1082"/>
        <v/>
      </c>
      <c r="QI96" s="684">
        <f>+LARGE((QH$78:QH$86),6)</f>
        <v>0</v>
      </c>
      <c r="QV96" s="685" t="str">
        <f t="shared" si="1083"/>
        <v xml:space="preserve">Impuestos </v>
      </c>
      <c r="QW96" s="684">
        <f>+LARGE((QV$78:QV$86),6)</f>
        <v>2871744.0815742975</v>
      </c>
      <c r="RJ96" s="685" t="str">
        <f t="shared" si="1084"/>
        <v xml:space="preserve">Impuestos </v>
      </c>
      <c r="RK96" s="684">
        <f>+LARGE((RJ$78:RJ$86),6)</f>
        <v>544723.04767134995</v>
      </c>
      <c r="RX96" s="685" t="str">
        <f t="shared" si="1085"/>
        <v xml:space="preserve">Impuestos </v>
      </c>
      <c r="RY96" s="684">
        <f>+LARGE((RX$78:RX$86),6)</f>
        <v>1675184.047585007</v>
      </c>
      <c r="SL96" s="685" t="str">
        <f t="shared" si="1086"/>
        <v/>
      </c>
      <c r="SM96" s="684">
        <f>+LARGE((SL$78:SL$86),6)</f>
        <v>0</v>
      </c>
      <c r="SZ96" s="685" t="str">
        <f t="shared" si="1087"/>
        <v>Costos RR.HH Etapa Alistamiento</v>
      </c>
      <c r="TA96" s="684">
        <f>+LARGE((SZ$78:SZ$86),6)</f>
        <v>52087296.471965648</v>
      </c>
      <c r="TG96" s="95"/>
      <c r="TK96" s="95"/>
    </row>
    <row r="97" spans="2:533" ht="15.75" customHeight="1" thickBot="1">
      <c r="B97" s="685" t="str">
        <f t="shared" si="1054"/>
        <v xml:space="preserve">Impuestos </v>
      </c>
      <c r="C97" s="684">
        <f>+LARGE((B$78:B$86),7)</f>
        <v>1684359.9354836913</v>
      </c>
      <c r="P97" s="685"/>
      <c r="Q97" s="684"/>
      <c r="AD97" s="685"/>
      <c r="AE97" s="684"/>
      <c r="AR97" s="685" t="str">
        <f t="shared" si="1055"/>
        <v/>
      </c>
      <c r="AS97" s="684">
        <f>+LARGE((AR$78:AR$86),7)</f>
        <v>0</v>
      </c>
      <c r="BF97" s="685" t="str">
        <f t="shared" si="1056"/>
        <v xml:space="preserve">Impuestos </v>
      </c>
      <c r="BG97" s="684">
        <f>+LARGE((BF$78:BF$86),7)</f>
        <v>4257105.4989917669</v>
      </c>
      <c r="BT97" s="685" t="str">
        <f t="shared" si="1057"/>
        <v/>
      </c>
      <c r="BU97" s="684">
        <f>+LARGE((BT$78:BT$86),7)</f>
        <v>0</v>
      </c>
      <c r="CH97" s="685" t="str">
        <f t="shared" si="1058"/>
        <v xml:space="preserve">Impuestos </v>
      </c>
      <c r="CI97" s="684">
        <f>+LARGE((CH$78:CH$86),7)</f>
        <v>236106.97506934439</v>
      </c>
      <c r="CV97" s="685" t="str">
        <f t="shared" si="1059"/>
        <v xml:space="preserve">Impuestos </v>
      </c>
      <c r="CW97" s="684">
        <f>+LARGE((CV$78:CV$86),7)</f>
        <v>3406378.6222568471</v>
      </c>
      <c r="DJ97" s="685" t="str">
        <f t="shared" si="1060"/>
        <v xml:space="preserve">Impuestos </v>
      </c>
      <c r="DK97" s="684">
        <f>+LARGE((DJ$78:DJ$86),7)</f>
        <v>266256.10749256681</v>
      </c>
      <c r="DX97" s="685" t="str">
        <f t="shared" si="1061"/>
        <v xml:space="preserve">Impuestos </v>
      </c>
      <c r="DY97" s="684">
        <f>+LARGE((DX$78:DX$86),7)</f>
        <v>1252251.75517929</v>
      </c>
      <c r="EL97" s="685" t="str">
        <f t="shared" si="1062"/>
        <v xml:space="preserve">Impuestos </v>
      </c>
      <c r="EM97" s="684">
        <f>+LARGE((EL$78:EL$86),7)</f>
        <v>2128552.7494958835</v>
      </c>
      <c r="EZ97" s="685" t="str">
        <f t="shared" si="1063"/>
        <v/>
      </c>
      <c r="FA97" s="684">
        <f>+LARGE((EZ$78:EZ$86),7)</f>
        <v>0</v>
      </c>
      <c r="FN97" s="685" t="str">
        <f t="shared" si="1064"/>
        <v>Costos RR.HH Etapa Alistamiento</v>
      </c>
      <c r="FO97" s="684">
        <f>+LARGE((FN$78:FN$86),7)</f>
        <v>2257116.1804518448</v>
      </c>
      <c r="GB97" s="685" t="str">
        <f t="shared" si="1065"/>
        <v>Transporte</v>
      </c>
      <c r="GC97" s="684">
        <f>+LARGE((GB$78:GB$86),7)</f>
        <v>688510.32145132835</v>
      </c>
      <c r="GP97" s="685" t="str">
        <f t="shared" si="1066"/>
        <v/>
      </c>
      <c r="GQ97" s="684">
        <f>+LARGE((GP$78:GP$86),7)</f>
        <v>0</v>
      </c>
      <c r="HD97" s="685" t="str">
        <f t="shared" si="1067"/>
        <v xml:space="preserve">Impuestos </v>
      </c>
      <c r="HE97" s="684">
        <f>+LARGE((HD$78:HD$86),7)</f>
        <v>709517.58316529449</v>
      </c>
      <c r="HR97" s="685" t="str">
        <f t="shared" si="1068"/>
        <v xml:space="preserve">Impuestos </v>
      </c>
      <c r="HS97" s="684">
        <f>+LARGE((HR$78:HR$86),7)</f>
        <v>2706588.9356217929</v>
      </c>
      <c r="IF97" s="685"/>
      <c r="IG97" s="684"/>
      <c r="IT97" s="685"/>
      <c r="IU97" s="684"/>
      <c r="JH97" s="685" t="str">
        <f t="shared" si="1069"/>
        <v xml:space="preserve">Impuestos </v>
      </c>
      <c r="JI97" s="684">
        <f>+LARGE((JH$78:JH$86),7)</f>
        <v>3924650.0031778649</v>
      </c>
      <c r="JV97" s="685" t="str">
        <f t="shared" si="1070"/>
        <v xml:space="preserve">Impuestos </v>
      </c>
      <c r="JW97" s="684">
        <f>+LARGE((JV$78:JV$86),7)</f>
        <v>1613866.1478201193</v>
      </c>
      <c r="KJ97" s="685" t="str">
        <f t="shared" si="1071"/>
        <v/>
      </c>
      <c r="KK97" s="684">
        <f>+LARGE((KJ$78:KJ$86),7)</f>
        <v>0</v>
      </c>
      <c r="KX97" s="685" t="str">
        <f t="shared" si="1072"/>
        <v/>
      </c>
      <c r="KY97" s="684">
        <f>+LARGE((KX$78:KX$86),7)</f>
        <v>0</v>
      </c>
      <c r="LL97" s="685" t="str">
        <f t="shared" si="1073"/>
        <v/>
      </c>
      <c r="LM97" s="684">
        <f>+LARGE((LL$78:LL$86),7)</f>
        <v>0</v>
      </c>
      <c r="LZ97" s="685" t="str">
        <f t="shared" si="1074"/>
        <v xml:space="preserve">Impuestos </v>
      </c>
      <c r="MA97" s="684">
        <f>+LARGE((LZ$78:LZ$86),7)</f>
        <v>1127026.5796613607</v>
      </c>
      <c r="MN97" s="685" t="str">
        <f t="shared" si="1075"/>
        <v xml:space="preserve">Impuestos </v>
      </c>
      <c r="MO97" s="684">
        <f>+LARGE((MN$78:MN$86),7)</f>
        <v>1467343.8854416043</v>
      </c>
      <c r="NB97" s="685" t="str">
        <f t="shared" si="1076"/>
        <v xml:space="preserve">Impuestos </v>
      </c>
      <c r="NC97" s="684">
        <f>+LARGE((NB$78:NB$86),7)</f>
        <v>1628779.6054354117</v>
      </c>
      <c r="NP97" s="685" t="str">
        <f t="shared" si="1077"/>
        <v>Costos RR.HH Etapa Alistamiento</v>
      </c>
      <c r="NQ97" s="684">
        <f>+LARGE((NP$78:NP$86),7)</f>
        <v>2777989.1451715012</v>
      </c>
      <c r="OD97" s="685" t="str">
        <f t="shared" si="1078"/>
        <v>Costos RR.HH Etapa Alistamiento</v>
      </c>
      <c r="OE97" s="684">
        <f>+LARGE((OD$78:OD$86),7)</f>
        <v>694497.2862928753</v>
      </c>
      <c r="OR97" s="685" t="str">
        <f t="shared" si="1079"/>
        <v xml:space="preserve">Impuestos </v>
      </c>
      <c r="OS97" s="684">
        <f>+LARGE((OR$78:OR$86),7)</f>
        <v>2753130.3540243153</v>
      </c>
      <c r="PF97" s="685" t="str">
        <f t="shared" si="1080"/>
        <v/>
      </c>
      <c r="PG97" s="684">
        <f>+LARGE((PF$78:PF$86),7)</f>
        <v>0</v>
      </c>
      <c r="PT97" s="685" t="str">
        <f t="shared" si="1081"/>
        <v/>
      </c>
      <c r="PU97" s="684">
        <f>+LARGE((PT$78:PT$86),7)</f>
        <v>0</v>
      </c>
      <c r="QH97" s="685" t="str">
        <f t="shared" si="1082"/>
        <v/>
      </c>
      <c r="QI97" s="684">
        <f>+LARGE((QH$78:QH$86),7)</f>
        <v>0</v>
      </c>
      <c r="QV97" s="685" t="str">
        <f t="shared" si="1083"/>
        <v>Costos RR.HH Etapa Alistamiento</v>
      </c>
      <c r="QW97" s="684">
        <f>+LARGE((QV$78:QV$86),7)</f>
        <v>2083491.8588786258</v>
      </c>
      <c r="RJ97" s="685" t="str">
        <f t="shared" si="1084"/>
        <v>Costos RR.HH Etapa Alistamiento</v>
      </c>
      <c r="RK97" s="684">
        <f>+LARGE((RJ$78:RJ$86),7)</f>
        <v>347248.64314643765</v>
      </c>
      <c r="RX97" s="685" t="str">
        <f t="shared" si="1085"/>
        <v>Costos RR.HH Etapa Alistamiento</v>
      </c>
      <c r="RY97" s="684">
        <f>+LARGE((RX$78:RX$86),7)</f>
        <v>1215370.2510125318</v>
      </c>
      <c r="SL97" s="685" t="str">
        <f t="shared" si="1086"/>
        <v/>
      </c>
      <c r="SM97" s="684">
        <f>+LARGE((SL$78:SL$86),7)</f>
        <v>0</v>
      </c>
      <c r="SZ97" s="685" t="str">
        <f t="shared" si="1087"/>
        <v xml:space="preserve">Impuestos </v>
      </c>
      <c r="TA97" s="684">
        <f>+LARGE((SZ$78:SZ$86),7)</f>
        <v>43077312.08314728</v>
      </c>
      <c r="TG97" s="95"/>
      <c r="TK97" s="95"/>
    </row>
    <row r="98" spans="2:533" ht="15.75" customHeight="1" thickBot="1">
      <c r="B98" s="685" t="str">
        <f t="shared" si="1054"/>
        <v>GMF</v>
      </c>
      <c r="C98" s="684">
        <f>+LARGE((B$78:B$86),8)</f>
        <v>705779.40864534152</v>
      </c>
      <c r="P98" s="685"/>
      <c r="Q98" s="684"/>
      <c r="AD98" s="685"/>
      <c r="AE98" s="684"/>
      <c r="AR98" s="685" t="str">
        <f t="shared" si="1055"/>
        <v/>
      </c>
      <c r="AS98" s="684">
        <f>+LARGE((AR$78:AR$86),8)</f>
        <v>0</v>
      </c>
      <c r="BF98" s="685" t="str">
        <f t="shared" si="1056"/>
        <v>GMF</v>
      </c>
      <c r="BG98" s="684">
        <f>+LARGE((BF$78:BF$86),8)</f>
        <v>1783809.587442145</v>
      </c>
      <c r="BT98" s="685" t="str">
        <f t="shared" si="1057"/>
        <v/>
      </c>
      <c r="BU98" s="684">
        <f>+LARGE((BT$78:BT$86),8)</f>
        <v>0</v>
      </c>
      <c r="CH98" s="685" t="str">
        <f t="shared" si="1058"/>
        <v>GMF</v>
      </c>
      <c r="CI98" s="684">
        <f>+LARGE((CH$78:CH$86),8)</f>
        <v>98933.391688415504</v>
      </c>
      <c r="CV98" s="685" t="str">
        <f t="shared" si="1059"/>
        <v>GMF</v>
      </c>
      <c r="CW98" s="684">
        <f>+LARGE((CV$78:CV$86),8)</f>
        <v>1427338.5628518763</v>
      </c>
      <c r="DJ98" s="685" t="str">
        <f t="shared" si="1060"/>
        <v>GMF</v>
      </c>
      <c r="DK98" s="684">
        <f>+LARGE((DJ$78:DJ$86),8)</f>
        <v>111566.4616187576</v>
      </c>
      <c r="DX98" s="685" t="str">
        <f t="shared" si="1061"/>
        <v>GMF</v>
      </c>
      <c r="DY98" s="684">
        <f>+LARGE((DX$78:DX$86),8)</f>
        <v>524717.71895460621</v>
      </c>
      <c r="EL98" s="685" t="str">
        <f t="shared" si="1062"/>
        <v>GMF</v>
      </c>
      <c r="EM98" s="684">
        <f>+LARGE((EL$78:EL$86),8)</f>
        <v>891904.79372107249</v>
      </c>
      <c r="EZ98" s="685" t="str">
        <f t="shared" si="1063"/>
        <v/>
      </c>
      <c r="FA98" s="684">
        <f>+LARGE((EZ$78:EZ$86),8)</f>
        <v>0</v>
      </c>
      <c r="FN98" s="685" t="str">
        <f t="shared" si="1064"/>
        <v>GMF</v>
      </c>
      <c r="FO98" s="684">
        <f>+LARGE((FN$78:FN$86),8)</f>
        <v>1223161.696578711</v>
      </c>
      <c r="GB98" s="685" t="str">
        <f t="shared" si="1065"/>
        <v>GMF</v>
      </c>
      <c r="GC98" s="684">
        <f>+LARGE((GB$78:GB$86),8)</f>
        <v>577955.82569365518</v>
      </c>
      <c r="GP98" s="685" t="str">
        <f t="shared" si="1066"/>
        <v/>
      </c>
      <c r="GQ98" s="684">
        <f>+LARGE((GP$78:GP$86),8)</f>
        <v>0</v>
      </c>
      <c r="HD98" s="685" t="str">
        <f t="shared" si="1067"/>
        <v>GMF</v>
      </c>
      <c r="HE98" s="684">
        <f>+LARGE((HD$78:HD$86),8)</f>
        <v>297301.59790702409</v>
      </c>
      <c r="HR98" s="685" t="str">
        <f t="shared" si="1068"/>
        <v>GMF</v>
      </c>
      <c r="HS98" s="684">
        <f>+LARGE((HR$78:HR$86),8)</f>
        <v>1134113.1418449543</v>
      </c>
      <c r="IF98" s="685"/>
      <c r="IG98" s="684"/>
      <c r="IT98" s="685"/>
      <c r="IU98" s="684"/>
      <c r="JH98" s="685" t="str">
        <f t="shared" si="1069"/>
        <v>GMF</v>
      </c>
      <c r="JI98" s="684">
        <f>+LARGE((JH$78:JH$86),8)</f>
        <v>1644504.3010283778</v>
      </c>
      <c r="JV98" s="685" t="str">
        <f t="shared" si="1070"/>
        <v>GMF</v>
      </c>
      <c r="JW98" s="684">
        <f>+LARGE((JV$78:JV$86),8)</f>
        <v>676241.14742086129</v>
      </c>
      <c r="KJ98" s="685" t="str">
        <f t="shared" si="1071"/>
        <v/>
      </c>
      <c r="KK98" s="684">
        <f>+LARGE((KJ$78:KJ$86),8)</f>
        <v>0</v>
      </c>
      <c r="KX98" s="685" t="str">
        <f t="shared" si="1072"/>
        <v/>
      </c>
      <c r="KY98" s="684">
        <f>+LARGE((KX$78:KX$86),8)</f>
        <v>0</v>
      </c>
      <c r="LL98" s="685" t="str">
        <f t="shared" si="1073"/>
        <v/>
      </c>
      <c r="LM98" s="684">
        <f>+LARGE((LL$78:LL$86),8)</f>
        <v>0</v>
      </c>
      <c r="LZ98" s="685" t="str">
        <f t="shared" si="1074"/>
        <v>GMF</v>
      </c>
      <c r="MA98" s="684">
        <f>+LARGE((LZ$78:LZ$86),8)</f>
        <v>472245.94705914555</v>
      </c>
      <c r="MN98" s="685" t="str">
        <f t="shared" si="1075"/>
        <v>GMF</v>
      </c>
      <c r="MO98" s="684">
        <f>+LARGE((MN$78:MN$86),8)</f>
        <v>614845.48399029556</v>
      </c>
      <c r="NB98" s="685" t="str">
        <f t="shared" si="1076"/>
        <v>GMF</v>
      </c>
      <c r="NC98" s="684">
        <f>+LARGE((NB$78:NB$86),8)</f>
        <v>682490.17476640642</v>
      </c>
      <c r="NP98" s="685" t="str">
        <f t="shared" si="1077"/>
        <v>GMF</v>
      </c>
      <c r="NQ98" s="684">
        <f>+LARGE((NP$78:NP$86),8)</f>
        <v>1604421.7921012896</v>
      </c>
      <c r="OD98" s="685" t="str">
        <f t="shared" si="1078"/>
        <v>GMF</v>
      </c>
      <c r="OE98" s="684">
        <f>+LARGE((OD$78:OD$86),8)</f>
        <v>291781.08686166664</v>
      </c>
      <c r="OR98" s="685" t="str">
        <f t="shared" si="1079"/>
        <v>GMF</v>
      </c>
      <c r="OS98" s="684">
        <f>+LARGE((OR$78:OR$86),8)</f>
        <v>1153614.8968235981</v>
      </c>
      <c r="PF98" s="685" t="str">
        <f t="shared" si="1080"/>
        <v/>
      </c>
      <c r="PG98" s="684">
        <f>+LARGE((PF$78:PF$86),8)</f>
        <v>0</v>
      </c>
      <c r="PT98" s="685" t="str">
        <f t="shared" si="1081"/>
        <v/>
      </c>
      <c r="PU98" s="684">
        <f>+LARGE((PT$78:PT$86),8)</f>
        <v>0</v>
      </c>
      <c r="QH98" s="685" t="str">
        <f t="shared" si="1082"/>
        <v/>
      </c>
      <c r="QI98" s="684">
        <f>+LARGE((QH$78:QH$86),8)</f>
        <v>0</v>
      </c>
      <c r="QV98" s="685" t="str">
        <f t="shared" si="1083"/>
        <v>GMF</v>
      </c>
      <c r="QW98" s="684">
        <f>+LARGE((QV$78:QV$86),8)</f>
        <v>1203316.3440759671</v>
      </c>
      <c r="RJ98" s="685" t="str">
        <f t="shared" si="1084"/>
        <v>GMF</v>
      </c>
      <c r="RK98" s="684">
        <f>+LARGE((RJ$78:RJ$86),8)</f>
        <v>228249.4984366695</v>
      </c>
      <c r="RX98" s="685" t="str">
        <f t="shared" si="1085"/>
        <v>GMF</v>
      </c>
      <c r="RY98" s="684">
        <f>+LARGE((RX$78:RX$86),8)</f>
        <v>701934.53404431429</v>
      </c>
      <c r="SL98" s="685" t="str">
        <f t="shared" si="1086"/>
        <v/>
      </c>
      <c r="SM98" s="684">
        <f>+LARGE((SL$78:SL$86),8)</f>
        <v>0</v>
      </c>
      <c r="SZ98" s="685" t="str">
        <f t="shared" si="1087"/>
        <v>GMF</v>
      </c>
      <c r="TA98" s="684">
        <f>+LARGE((SZ$78:SZ$86),8)</f>
        <v>18050227.393555149</v>
      </c>
      <c r="TG98" s="95"/>
      <c r="TK98" s="95"/>
    </row>
    <row r="99" spans="2:533" ht="15.75" customHeight="1" thickBot="1">
      <c r="B99" s="685" t="str">
        <f t="shared" si="1054"/>
        <v>Polizas</v>
      </c>
      <c r="C99" s="684">
        <f>+LARGE((B$78:B$86),9)</f>
        <v>396109.67060414533</v>
      </c>
      <c r="P99" s="685"/>
      <c r="Q99" s="684"/>
      <c r="AD99" s="685"/>
      <c r="AE99" s="684"/>
      <c r="AR99" s="685" t="str">
        <f t="shared" si="1055"/>
        <v/>
      </c>
      <c r="AS99" s="684">
        <f>+LARGE((AR$78:AR$86),9)</f>
        <v>0</v>
      </c>
      <c r="BF99" s="685" t="str">
        <f t="shared" si="1056"/>
        <v>Polizas</v>
      </c>
      <c r="BG99" s="684">
        <f>+LARGE((BF$78:BF$86),9)</f>
        <v>1001140.3272000066</v>
      </c>
      <c r="BT99" s="685" t="str">
        <f t="shared" si="1057"/>
        <v/>
      </c>
      <c r="BU99" s="684">
        <f>+LARGE((BT$78:BT$86),9)</f>
        <v>0</v>
      </c>
      <c r="CH99" s="685" t="str">
        <f t="shared" si="1058"/>
        <v>Polizas</v>
      </c>
      <c r="CI99" s="684">
        <f>+LARGE((CH$78:CH$86),9)</f>
        <v>55525.101346703632</v>
      </c>
      <c r="CV99" s="685" t="str">
        <f t="shared" si="1059"/>
        <v>Polizas</v>
      </c>
      <c r="CW99" s="684">
        <f>+LARGE((CV$78:CV$86),9)</f>
        <v>801075.52168039954</v>
      </c>
      <c r="DJ99" s="685" t="str">
        <f t="shared" si="1060"/>
        <v>Polizas</v>
      </c>
      <c r="DK99" s="684">
        <f>+LARGE((DJ$78:DJ$86),9)</f>
        <v>62615.250347269786</v>
      </c>
      <c r="DX99" s="685" t="str">
        <f t="shared" si="1061"/>
        <v>Polizas</v>
      </c>
      <c r="DY99" s="684">
        <f>+LARGE((DX$78:DX$86),9)</f>
        <v>294491.11191016814</v>
      </c>
      <c r="EL99" s="685" t="str">
        <f t="shared" si="1062"/>
        <v>Polizas</v>
      </c>
      <c r="EM99" s="684">
        <f>+LARGE((EL$78:EL$86),9)</f>
        <v>500570.16360000329</v>
      </c>
      <c r="EZ99" s="685" t="str">
        <f t="shared" si="1063"/>
        <v/>
      </c>
      <c r="FA99" s="684">
        <f>+LARGE((EZ$78:EZ$86),9)</f>
        <v>0</v>
      </c>
      <c r="FN99" s="685" t="str">
        <f t="shared" si="1064"/>
        <v>Polizas</v>
      </c>
      <c r="FO99" s="684">
        <f>+LARGE((FN$78:FN$86),9)</f>
        <v>686483.86562786228</v>
      </c>
      <c r="GB99" s="685" t="str">
        <f t="shared" si="1065"/>
        <v>Polizas</v>
      </c>
      <c r="GC99" s="684">
        <f>+LARGE((GB$78:GB$86),9)</f>
        <v>324370.31873552612</v>
      </c>
      <c r="GP99" s="685" t="str">
        <f t="shared" si="1066"/>
        <v/>
      </c>
      <c r="GQ99" s="684">
        <f>+LARGE((GP$78:GP$86),9)</f>
        <v>0</v>
      </c>
      <c r="HD99" s="685" t="str">
        <f t="shared" si="1067"/>
        <v>Polizas</v>
      </c>
      <c r="HE99" s="684">
        <f>+LARGE((HD$78:HD$86),9)</f>
        <v>166856.72120000105</v>
      </c>
      <c r="HR99" s="685" t="str">
        <f t="shared" si="1068"/>
        <v>Polizas</v>
      </c>
      <c r="HS99" s="684">
        <f>+LARGE((HR$78:HR$86),9)</f>
        <v>636506.50265680894</v>
      </c>
      <c r="IF99" s="685"/>
      <c r="IG99" s="684"/>
      <c r="IT99" s="685"/>
      <c r="IU99" s="684"/>
      <c r="JH99" s="685" t="str">
        <f t="shared" si="1069"/>
        <v>Polizas</v>
      </c>
      <c r="JI99" s="684">
        <f>+LARGE((JH$78:JH$86),9)</f>
        <v>922957.01604236721</v>
      </c>
      <c r="JV99" s="685" t="str">
        <f t="shared" si="1070"/>
        <v>Polizas</v>
      </c>
      <c r="JW99" s="684">
        <f>+LARGE((JV$78:JV$86),9)</f>
        <v>379531.69910125661</v>
      </c>
      <c r="KJ99" s="685" t="str">
        <f t="shared" si="1071"/>
        <v/>
      </c>
      <c r="KK99" s="684">
        <f>+LARGE((KJ$78:KJ$86),9)</f>
        <v>0</v>
      </c>
      <c r="KX99" s="685" t="str">
        <f t="shared" si="1072"/>
        <v/>
      </c>
      <c r="KY99" s="684">
        <f>+LARGE((KX$78:KX$86),9)</f>
        <v>0</v>
      </c>
      <c r="LL99" s="685" t="str">
        <f t="shared" si="1073"/>
        <v/>
      </c>
      <c r="LM99" s="684">
        <f>+LARGE((LL$78:LL$86),9)</f>
        <v>0</v>
      </c>
      <c r="LZ99" s="685" t="str">
        <f t="shared" si="1074"/>
        <v>Polizas</v>
      </c>
      <c r="MA99" s="684">
        <f>+LARGE((LZ$78:LZ$86),9)</f>
        <v>265042.00071915123</v>
      </c>
      <c r="MN99" s="685" t="str">
        <f t="shared" si="1075"/>
        <v>Polizas</v>
      </c>
      <c r="MO99" s="684">
        <f>+LARGE((MN$78:MN$86),9)</f>
        <v>345074.1678668409</v>
      </c>
      <c r="NB99" s="685" t="str">
        <f t="shared" si="1076"/>
        <v>Polizas</v>
      </c>
      <c r="NC99" s="684">
        <f>+LARGE((NB$78:NB$86),9)</f>
        <v>383038.88581302436</v>
      </c>
      <c r="NP99" s="685" t="str">
        <f t="shared" si="1077"/>
        <v>Polizas</v>
      </c>
      <c r="NQ99" s="684">
        <f>+LARGE((NP$78:NP$86),9)</f>
        <v>900461.22031127498</v>
      </c>
      <c r="OD99" s="685" t="str">
        <f t="shared" si="1078"/>
        <v>Polizas</v>
      </c>
      <c r="OE99" s="684">
        <f>+LARGE((OD$78:OD$86),9)</f>
        <v>163758.40494855327</v>
      </c>
      <c r="OR99" s="685" t="str">
        <f t="shared" si="1079"/>
        <v>Polizas</v>
      </c>
      <c r="OS99" s="684">
        <f>+LARGE((OR$78:OR$86),9)</f>
        <v>647451.61333327414</v>
      </c>
      <c r="PF99" s="685" t="str">
        <f t="shared" si="1080"/>
        <v/>
      </c>
      <c r="PG99" s="684">
        <f>+LARGE((PF$78:PF$86),9)</f>
        <v>0</v>
      </c>
      <c r="PT99" s="685" t="str">
        <f t="shared" si="1081"/>
        <v/>
      </c>
      <c r="PU99" s="684">
        <f>+LARGE((PT$78:PT$86),9)</f>
        <v>0</v>
      </c>
      <c r="QH99" s="685" t="str">
        <f t="shared" si="1082"/>
        <v/>
      </c>
      <c r="QI99" s="684">
        <f>+LARGE((QH$78:QH$86),9)</f>
        <v>0</v>
      </c>
      <c r="QV99" s="685" t="str">
        <f t="shared" si="1083"/>
        <v>Polizas</v>
      </c>
      <c r="QW99" s="684">
        <f>+LARGE((QV$78:QV$86),9)</f>
        <v>675345.9152334563</v>
      </c>
      <c r="RJ99" s="685" t="str">
        <f t="shared" si="1084"/>
        <v>Polizas</v>
      </c>
      <c r="RK99" s="684">
        <f>+LARGE((RJ$78:RJ$86),9)</f>
        <v>128102.11311611536</v>
      </c>
      <c r="RX99" s="685" t="str">
        <f t="shared" si="1085"/>
        <v>Polizas</v>
      </c>
      <c r="RY99" s="684">
        <f>+LARGE((RX$78:RX$86),9)</f>
        <v>393951.78388618276</v>
      </c>
      <c r="SL99" s="685" t="str">
        <f t="shared" si="1086"/>
        <v/>
      </c>
      <c r="SM99" s="684">
        <f>+LARGE((SL$78:SL$86),9)</f>
        <v>0</v>
      </c>
      <c r="SZ99" s="685" t="str">
        <f t="shared" si="1087"/>
        <v>Polizas</v>
      </c>
      <c r="TA99" s="684">
        <f>+LARGE((SZ$78:SZ$86),9)</f>
        <v>10130459.375280391</v>
      </c>
      <c r="TG99" s="95"/>
      <c r="TK99" s="95"/>
    </row>
    <row r="100" spans="2:533" ht="15.75" customHeight="1" thickBot="1">
      <c r="B100" s="262" t="s">
        <v>1575</v>
      </c>
      <c r="C100" s="921">
        <f>+SUM(C91:C99)</f>
        <v>184123695.95841551</v>
      </c>
      <c r="P100" s="262"/>
      <c r="Q100" s="921"/>
      <c r="AD100" s="262"/>
      <c r="AE100" s="921"/>
      <c r="AR100" s="262" t="s">
        <v>1575</v>
      </c>
      <c r="AS100" s="921">
        <f>+SUM(AS91:AS99)</f>
        <v>0</v>
      </c>
      <c r="BF100" s="262" t="s">
        <v>1575</v>
      </c>
      <c r="BG100" s="921">
        <f>+SUM(BG91:BG99)</f>
        <v>465467097.57456243</v>
      </c>
      <c r="BT100" s="262" t="s">
        <v>1575</v>
      </c>
      <c r="BU100" s="921">
        <f>+SUM(BU91:BU99)</f>
        <v>0</v>
      </c>
      <c r="CH100" s="262" t="s">
        <v>1575</v>
      </c>
      <c r="CI100" s="921">
        <f>+SUM(CI91:CI99)</f>
        <v>25816255.11883083</v>
      </c>
      <c r="CV100" s="262" t="s">
        <v>1575</v>
      </c>
      <c r="CW100" s="921">
        <f>+SUM(CW91:CW99)</f>
        <v>371962416.23354059</v>
      </c>
      <c r="DJ100" s="262" t="s">
        <v>1575</v>
      </c>
      <c r="DK100" s="921">
        <f>+SUM(DK91:DK99)</f>
        <v>29068460.813718904</v>
      </c>
      <c r="DX100" s="262" t="s">
        <v>1575</v>
      </c>
      <c r="DY100" s="921">
        <f>+SUM(DY91:DY99)</f>
        <v>136817420.09532824</v>
      </c>
      <c r="EL100" s="262" t="s">
        <v>1575</v>
      </c>
      <c r="EM100" s="921">
        <f>+SUM(EM91:EM99)</f>
        <v>232733548.78728122</v>
      </c>
      <c r="EZ100" s="262" t="s">
        <v>1575</v>
      </c>
      <c r="FA100" s="921">
        <f>+SUM(FA91:FA99)</f>
        <v>0</v>
      </c>
      <c r="FN100" s="262" t="s">
        <v>1575</v>
      </c>
      <c r="FO100" s="921">
        <f>+SUM(FO91:FO99)</f>
        <v>317142845.24840719</v>
      </c>
      <c r="GB100" s="262" t="s">
        <v>1575</v>
      </c>
      <c r="GC100" s="921">
        <f>+SUM(GC91:GC99)</f>
        <v>150870068.52462983</v>
      </c>
      <c r="GP100" s="262" t="s">
        <v>1575</v>
      </c>
      <c r="GQ100" s="921">
        <f>+SUM(GQ91:GQ99)</f>
        <v>0</v>
      </c>
      <c r="HD100" s="262" t="s">
        <v>1575</v>
      </c>
      <c r="HE100" s="921">
        <f>+SUM(HE91:HE99)</f>
        <v>77577849.595760375</v>
      </c>
      <c r="HR100" s="262" t="s">
        <v>1575</v>
      </c>
      <c r="HS100" s="921">
        <f>+SUM(HS91:HS99)</f>
        <v>295781169.53931183</v>
      </c>
      <c r="IF100" s="262"/>
      <c r="IG100" s="921"/>
      <c r="IT100" s="262"/>
      <c r="IU100" s="921"/>
      <c r="JH100" s="262" t="s">
        <v>1575</v>
      </c>
      <c r="JI100" s="921">
        <f>+SUM(JI91:JI99)</f>
        <v>428563170.21963018</v>
      </c>
      <c r="JV100" s="262" t="s">
        <v>1575</v>
      </c>
      <c r="JW100" s="921">
        <f>+SUM(JW91:JW99)</f>
        <v>176345862.84982225</v>
      </c>
      <c r="KJ100" s="262" t="s">
        <v>1575</v>
      </c>
      <c r="KK100" s="921">
        <f>+SUM(KK91:KK99)</f>
        <v>0</v>
      </c>
      <c r="KX100" s="262" t="s">
        <v>1575</v>
      </c>
      <c r="KY100" s="921">
        <f>+SUM(KY91:KY99)</f>
        <v>0</v>
      </c>
      <c r="LL100" s="262" t="s">
        <v>1575</v>
      </c>
      <c r="LM100" s="921">
        <f>+SUM(LM91:LM99)</f>
        <v>0</v>
      </c>
      <c r="LZ100" s="262" t="s">
        <v>1575</v>
      </c>
      <c r="MA100" s="921">
        <f>+SUM(MA91:MA99)</f>
        <v>123135678.0857954</v>
      </c>
      <c r="MN100" s="262" t="s">
        <v>1575</v>
      </c>
      <c r="MO100" s="921">
        <f>+SUM(MO91:MO99)</f>
        <v>160366790.81432903</v>
      </c>
      <c r="NB100" s="262" t="s">
        <v>1575</v>
      </c>
      <c r="NC100" s="921">
        <f>+SUM(NC91:NC99)</f>
        <v>178128211.13419738</v>
      </c>
      <c r="NP100" s="262" t="s">
        <v>1575</v>
      </c>
      <c r="NQ100" s="921">
        <f>+SUM(NQ91:NQ99)</f>
        <v>415813753.06047779</v>
      </c>
      <c r="OD100" s="262" t="s">
        <v>1575</v>
      </c>
      <c r="OE100" s="921">
        <f>+SUM(OE91:OE99)</f>
        <v>75809423.237347573</v>
      </c>
      <c r="OR100" s="262" t="s">
        <v>1575</v>
      </c>
      <c r="OS100" s="921">
        <f>+SUM(OS91:OS99)</f>
        <v>300454372.69066757</v>
      </c>
      <c r="PF100" s="262" t="s">
        <v>1575</v>
      </c>
      <c r="PG100" s="921">
        <f>+SUM(PG91:PG99)</f>
        <v>0</v>
      </c>
      <c r="PT100" s="262" t="s">
        <v>1575</v>
      </c>
      <c r="PU100" s="921">
        <f>+SUM(PU91:PU99)</f>
        <v>0</v>
      </c>
      <c r="QH100" s="262" t="s">
        <v>1575</v>
      </c>
      <c r="QI100" s="921">
        <f>+SUM(QI91:QI99)</f>
        <v>0</v>
      </c>
      <c r="QV100" s="262" t="s">
        <v>1575</v>
      </c>
      <c r="QW100" s="921">
        <f>+SUM(QW91:QW99)</f>
        <v>311860314.79535836</v>
      </c>
      <c r="RJ100" s="262" t="s">
        <v>1575</v>
      </c>
      <c r="RK100" s="921">
        <f>+SUM(RK91:RK99)</f>
        <v>59106863.112483919</v>
      </c>
      <c r="RX100" s="262" t="s">
        <v>1575</v>
      </c>
      <c r="RY100" s="921">
        <f>+SUM(RY91:RY99)</f>
        <v>181918516.9639591</v>
      </c>
      <c r="SL100" s="262" t="s">
        <v>1575</v>
      </c>
      <c r="SM100" s="921">
        <f>+SUM(SM91:SM99)</f>
        <v>0</v>
      </c>
      <c r="SZ100" s="262" t="s">
        <v>1575</v>
      </c>
      <c r="TA100" s="921">
        <f>+SUM(TA91:TA99)</f>
        <v>4698863784.4538546</v>
      </c>
      <c r="TG100" s="95"/>
      <c r="TK100" s="95"/>
    </row>
    <row r="101" spans="2:533" s="920" customFormat="1" ht="15.75" customHeight="1">
      <c r="B101" s="920" t="s">
        <v>1599</v>
      </c>
      <c r="C101" s="944">
        <f>+B87-C100</f>
        <v>0</v>
      </c>
      <c r="I101" s="945"/>
      <c r="M101" s="667"/>
      <c r="W101" s="945"/>
      <c r="AA101" s="667"/>
      <c r="AK101" s="945"/>
      <c r="AO101" s="667"/>
      <c r="AR101" s="920" t="s">
        <v>1599</v>
      </c>
      <c r="AS101" s="944">
        <f>+AR87-AS100</f>
        <v>0</v>
      </c>
      <c r="AY101" s="945"/>
      <c r="BC101" s="667"/>
      <c r="BF101" s="920" t="s">
        <v>1599</v>
      </c>
      <c r="BG101" s="944">
        <f>+BF87-BG100</f>
        <v>0</v>
      </c>
      <c r="BM101" s="945"/>
      <c r="BQ101" s="667"/>
      <c r="BT101" s="920" t="s">
        <v>1599</v>
      </c>
      <c r="BU101" s="944">
        <f>+BT87-BU100</f>
        <v>0</v>
      </c>
      <c r="CA101" s="945"/>
      <c r="CE101" s="667"/>
      <c r="CH101" s="920" t="s">
        <v>1599</v>
      </c>
      <c r="CI101" s="944">
        <f>+CH87-CI100</f>
        <v>0</v>
      </c>
      <c r="CO101" s="945"/>
      <c r="CS101" s="667"/>
      <c r="CV101" s="920" t="s">
        <v>1599</v>
      </c>
      <c r="CW101" s="944">
        <f>+CV87-CW100</f>
        <v>0</v>
      </c>
      <c r="DC101" s="945"/>
      <c r="DG101" s="667"/>
      <c r="DH101" s="946"/>
      <c r="DJ101" s="920" t="s">
        <v>1599</v>
      </c>
      <c r="DK101" s="944">
        <f>+DJ87-DK100</f>
        <v>0</v>
      </c>
      <c r="DQ101" s="945"/>
      <c r="DU101" s="667"/>
      <c r="DX101" s="920" t="s">
        <v>1599</v>
      </c>
      <c r="DY101" s="944">
        <f>+DX87-DY100</f>
        <v>0</v>
      </c>
      <c r="EE101" s="945"/>
      <c r="EI101" s="667"/>
      <c r="EL101" s="920" t="s">
        <v>1599</v>
      </c>
      <c r="EM101" s="944">
        <f>+EL87-EM100</f>
        <v>0</v>
      </c>
      <c r="ES101" s="945"/>
      <c r="EW101" s="667"/>
      <c r="EZ101" s="920" t="s">
        <v>1599</v>
      </c>
      <c r="FA101" s="944">
        <f>+EZ87-FA100</f>
        <v>0</v>
      </c>
      <c r="FG101" s="945"/>
      <c r="FK101" s="667"/>
      <c r="FN101" s="920" t="s">
        <v>1599</v>
      </c>
      <c r="FO101" s="944">
        <f>+FN87-FO100</f>
        <v>0</v>
      </c>
      <c r="FU101" s="945"/>
      <c r="FY101" s="667"/>
      <c r="GB101" s="920" t="s">
        <v>1599</v>
      </c>
      <c r="GC101" s="944">
        <f>+GB87-GC100</f>
        <v>0</v>
      </c>
      <c r="GI101" s="945"/>
      <c r="GM101" s="667"/>
      <c r="GP101" s="920" t="s">
        <v>1599</v>
      </c>
      <c r="GQ101" s="944">
        <f>+GP87-GQ100</f>
        <v>0</v>
      </c>
      <c r="GW101" s="945"/>
      <c r="HA101" s="667"/>
      <c r="HD101" s="920" t="s">
        <v>1599</v>
      </c>
      <c r="HE101" s="944">
        <f>+HD87-HE100</f>
        <v>0</v>
      </c>
      <c r="HK101" s="945"/>
      <c r="HO101" s="667"/>
      <c r="HR101" s="920" t="s">
        <v>1599</v>
      </c>
      <c r="HS101" s="944">
        <f>+HR87-HS100</f>
        <v>0</v>
      </c>
      <c r="HY101" s="945"/>
      <c r="IC101" s="667"/>
      <c r="IM101" s="945"/>
      <c r="IQ101" s="667"/>
      <c r="IU101" s="944">
        <f>+IT87-IU100</f>
        <v>0</v>
      </c>
      <c r="JA101" s="945"/>
      <c r="JE101" s="667"/>
      <c r="JH101" s="920" t="s">
        <v>1599</v>
      </c>
      <c r="JI101" s="944">
        <f>+JH87-JI100</f>
        <v>0</v>
      </c>
      <c r="JO101" s="945"/>
      <c r="JS101" s="667"/>
      <c r="JV101" s="920" t="s">
        <v>1599</v>
      </c>
      <c r="JW101" s="944">
        <f>+JV87-JW100</f>
        <v>0</v>
      </c>
      <c r="KC101" s="945"/>
      <c r="KG101" s="667"/>
      <c r="KJ101" s="920" t="s">
        <v>1599</v>
      </c>
      <c r="KK101" s="944">
        <f>+KJ87-KK100</f>
        <v>0</v>
      </c>
      <c r="KQ101" s="945"/>
      <c r="KU101" s="667"/>
      <c r="KX101" s="920" t="s">
        <v>1599</v>
      </c>
      <c r="KY101" s="944">
        <f>+KX87-KY100</f>
        <v>0</v>
      </c>
      <c r="LE101" s="945"/>
      <c r="LI101" s="667"/>
      <c r="LL101" s="920" t="s">
        <v>1599</v>
      </c>
      <c r="LM101" s="944">
        <f>+LL87-LM100</f>
        <v>0</v>
      </c>
      <c r="LS101" s="945"/>
      <c r="LW101" s="667"/>
      <c r="LZ101" s="920" t="s">
        <v>1599</v>
      </c>
      <c r="MA101" s="944">
        <f>+LZ87-MA100</f>
        <v>0</v>
      </c>
      <c r="MG101" s="945"/>
      <c r="MK101" s="667"/>
      <c r="MN101" s="920" t="s">
        <v>1599</v>
      </c>
      <c r="MO101" s="944">
        <f>+MN87-MO100</f>
        <v>0</v>
      </c>
      <c r="MU101" s="945"/>
      <c r="MY101" s="667"/>
      <c r="NB101" s="920" t="s">
        <v>1599</v>
      </c>
      <c r="NC101" s="944">
        <f>+NB87-NC100</f>
        <v>0</v>
      </c>
      <c r="NI101" s="945"/>
      <c r="NM101" s="667"/>
      <c r="NP101" s="920" t="s">
        <v>1599</v>
      </c>
      <c r="NQ101" s="944">
        <f>+NP87-NQ100</f>
        <v>0</v>
      </c>
      <c r="NW101" s="945"/>
      <c r="OA101" s="667"/>
      <c r="OD101" s="920" t="s">
        <v>1599</v>
      </c>
      <c r="OE101" s="944">
        <f>+OD87-OE100</f>
        <v>0</v>
      </c>
      <c r="OK101" s="945"/>
      <c r="OO101" s="667"/>
      <c r="OR101" s="920" t="s">
        <v>1599</v>
      </c>
      <c r="OS101" s="944">
        <f>+OR87-OS100</f>
        <v>0</v>
      </c>
      <c r="OY101" s="945"/>
      <c r="PC101" s="667"/>
      <c r="PF101" s="920" t="s">
        <v>1599</v>
      </c>
      <c r="PG101" s="944">
        <f>+PF87-PG100</f>
        <v>0</v>
      </c>
      <c r="PM101" s="945"/>
      <c r="PQ101" s="667"/>
      <c r="PT101" s="920" t="s">
        <v>1599</v>
      </c>
      <c r="PU101" s="944">
        <f>+PT87-PU100</f>
        <v>0</v>
      </c>
      <c r="QA101" s="945"/>
      <c r="QE101" s="667"/>
      <c r="QH101" s="920" t="s">
        <v>1599</v>
      </c>
      <c r="QI101" s="944">
        <f>+QH87-QI100</f>
        <v>0</v>
      </c>
      <c r="QO101" s="945"/>
      <c r="QS101" s="667"/>
      <c r="QV101" s="920" t="s">
        <v>1599</v>
      </c>
      <c r="QW101" s="944">
        <f>+QV87-QW100</f>
        <v>0</v>
      </c>
      <c r="RC101" s="945"/>
      <c r="RG101" s="667"/>
      <c r="RJ101" s="920" t="s">
        <v>1599</v>
      </c>
      <c r="RK101" s="944">
        <f>+RJ87-RK100</f>
        <v>0</v>
      </c>
      <c r="RQ101" s="945"/>
      <c r="RU101" s="667"/>
      <c r="RX101" s="920" t="s">
        <v>1599</v>
      </c>
      <c r="RY101" s="944">
        <f>+RX87-RY100</f>
        <v>0</v>
      </c>
      <c r="SE101" s="945"/>
      <c r="SI101" s="667"/>
      <c r="SL101" s="920" t="s">
        <v>1599</v>
      </c>
      <c r="SM101" s="944">
        <f>+SL87-SM100</f>
        <v>0</v>
      </c>
      <c r="SS101" s="945"/>
      <c r="SW101" s="667"/>
      <c r="SZ101" s="920" t="s">
        <v>1599</v>
      </c>
      <c r="TA101" s="944">
        <f>+SZ87-TA100</f>
        <v>0</v>
      </c>
      <c r="TG101" s="945"/>
      <c r="TK101" s="667"/>
      <c r="TM101" s="947"/>
    </row>
  </sheetData>
  <mergeCells count="1129">
    <mergeCell ref="RX71:SC71"/>
    <mergeCell ref="RX72:SC72"/>
    <mergeCell ref="SB73:SC74"/>
    <mergeCell ref="SL65:SQ65"/>
    <mergeCell ref="SL69:SQ69"/>
    <mergeCell ref="SL71:SQ71"/>
    <mergeCell ref="SL72:SQ72"/>
    <mergeCell ref="SP73:SQ74"/>
    <mergeCell ref="PF65:PK65"/>
    <mergeCell ref="PF69:PK69"/>
    <mergeCell ref="PF71:PK71"/>
    <mergeCell ref="PF72:PK72"/>
    <mergeCell ref="PJ73:PK74"/>
    <mergeCell ref="PT65:PY65"/>
    <mergeCell ref="PT69:PY69"/>
    <mergeCell ref="PT71:PY71"/>
    <mergeCell ref="PT72:PY72"/>
    <mergeCell ref="PX73:PY74"/>
    <mergeCell ref="QH65:QM65"/>
    <mergeCell ref="QH69:QM69"/>
    <mergeCell ref="QH71:QM71"/>
    <mergeCell ref="QH72:QM72"/>
    <mergeCell ref="QL73:QM74"/>
    <mergeCell ref="NP65:NU65"/>
    <mergeCell ref="NP69:NU69"/>
    <mergeCell ref="NP71:NU71"/>
    <mergeCell ref="NP72:NU72"/>
    <mergeCell ref="NT73:NU74"/>
    <mergeCell ref="OD65:OI65"/>
    <mergeCell ref="OD69:OI69"/>
    <mergeCell ref="OD71:OI71"/>
    <mergeCell ref="OD72:OI72"/>
    <mergeCell ref="OH73:OI74"/>
    <mergeCell ref="OR65:OW65"/>
    <mergeCell ref="OR69:OW69"/>
    <mergeCell ref="OR71:OW71"/>
    <mergeCell ref="OR72:OW72"/>
    <mergeCell ref="OV73:OW74"/>
    <mergeCell ref="SZ65:TE65"/>
    <mergeCell ref="SZ69:TE69"/>
    <mergeCell ref="SZ71:TE71"/>
    <mergeCell ref="SZ72:TE72"/>
    <mergeCell ref="TD73:TE74"/>
    <mergeCell ref="QV65:RA65"/>
    <mergeCell ref="QV69:RA69"/>
    <mergeCell ref="QV71:RA71"/>
    <mergeCell ref="QV72:RA72"/>
    <mergeCell ref="QZ73:RA74"/>
    <mergeCell ref="RJ65:RO65"/>
    <mergeCell ref="RJ69:RO69"/>
    <mergeCell ref="RJ71:RO71"/>
    <mergeCell ref="RJ72:RO72"/>
    <mergeCell ref="RN73:RO74"/>
    <mergeCell ref="RX65:SC65"/>
    <mergeCell ref="RX69:SC69"/>
    <mergeCell ref="KJ69:KO69"/>
    <mergeCell ref="KJ71:KO71"/>
    <mergeCell ref="KJ72:KO72"/>
    <mergeCell ref="KN73:KO74"/>
    <mergeCell ref="KX65:LC65"/>
    <mergeCell ref="KX69:LC69"/>
    <mergeCell ref="KX71:LC71"/>
    <mergeCell ref="KX72:LC72"/>
    <mergeCell ref="LB73:LC74"/>
    <mergeCell ref="LL65:LQ65"/>
    <mergeCell ref="LL69:LQ69"/>
    <mergeCell ref="LL71:LQ71"/>
    <mergeCell ref="LL72:LQ72"/>
    <mergeCell ref="LP73:LQ74"/>
    <mergeCell ref="MN65:MS65"/>
    <mergeCell ref="MN69:MS69"/>
    <mergeCell ref="MN71:MS71"/>
    <mergeCell ref="MN72:MS72"/>
    <mergeCell ref="MR73:MS74"/>
    <mergeCell ref="HD71:HI71"/>
    <mergeCell ref="HD72:HI72"/>
    <mergeCell ref="HH73:HI74"/>
    <mergeCell ref="HR65:HW65"/>
    <mergeCell ref="HR69:HW69"/>
    <mergeCell ref="HR71:HW71"/>
    <mergeCell ref="HR72:HW72"/>
    <mergeCell ref="HV73:HW74"/>
    <mergeCell ref="JH65:JM65"/>
    <mergeCell ref="JH69:JM69"/>
    <mergeCell ref="JH71:JM71"/>
    <mergeCell ref="JH72:JM72"/>
    <mergeCell ref="JL73:JM74"/>
    <mergeCell ref="JV69:KA69"/>
    <mergeCell ref="JV71:KA71"/>
    <mergeCell ref="JV72:KA72"/>
    <mergeCell ref="JZ73:KA74"/>
    <mergeCell ref="EZ65:FE65"/>
    <mergeCell ref="EZ69:FE69"/>
    <mergeCell ref="EZ71:FE71"/>
    <mergeCell ref="EZ72:FE72"/>
    <mergeCell ref="FD73:FE74"/>
    <mergeCell ref="FN65:FS65"/>
    <mergeCell ref="FN69:FS69"/>
    <mergeCell ref="FN71:FS71"/>
    <mergeCell ref="FN72:FS72"/>
    <mergeCell ref="FR73:FS74"/>
    <mergeCell ref="GB65:GG65"/>
    <mergeCell ref="GB69:GG69"/>
    <mergeCell ref="GB71:GG71"/>
    <mergeCell ref="GB72:GG72"/>
    <mergeCell ref="GF73:GG74"/>
    <mergeCell ref="GP69:GU69"/>
    <mergeCell ref="GP71:GU71"/>
    <mergeCell ref="GP72:GU72"/>
    <mergeCell ref="GT73:GU74"/>
    <mergeCell ref="CV65:DA65"/>
    <mergeCell ref="CV69:DA69"/>
    <mergeCell ref="CV71:DA71"/>
    <mergeCell ref="CV72:DA72"/>
    <mergeCell ref="CZ73:DA74"/>
    <mergeCell ref="DJ65:DO65"/>
    <mergeCell ref="DJ69:DO69"/>
    <mergeCell ref="DJ71:DO71"/>
    <mergeCell ref="DJ72:DO72"/>
    <mergeCell ref="DN73:DO74"/>
    <mergeCell ref="DX65:EC65"/>
    <mergeCell ref="DX69:EC69"/>
    <mergeCell ref="DX71:EC71"/>
    <mergeCell ref="DX72:EC72"/>
    <mergeCell ref="EB73:EC74"/>
    <mergeCell ref="EL69:EQ69"/>
    <mergeCell ref="EL71:EQ71"/>
    <mergeCell ref="EL72:EQ72"/>
    <mergeCell ref="EP73:EQ74"/>
    <mergeCell ref="AV73:AW74"/>
    <mergeCell ref="BF65:BK65"/>
    <mergeCell ref="BF69:BK69"/>
    <mergeCell ref="BF71:BK71"/>
    <mergeCell ref="BF72:BK72"/>
    <mergeCell ref="BJ73:BK74"/>
    <mergeCell ref="BT65:BY65"/>
    <mergeCell ref="BT69:BY69"/>
    <mergeCell ref="BT71:BY71"/>
    <mergeCell ref="BT72:BY72"/>
    <mergeCell ref="BX73:BY74"/>
    <mergeCell ref="AD65:AF65"/>
    <mergeCell ref="AD66:AF66"/>
    <mergeCell ref="CH69:CM69"/>
    <mergeCell ref="CH71:CM71"/>
    <mergeCell ref="CH72:CM72"/>
    <mergeCell ref="CL73:CM74"/>
    <mergeCell ref="RJ9:RP9"/>
    <mergeCell ref="RX9:SD9"/>
    <mergeCell ref="RJ11:RL11"/>
    <mergeCell ref="JH53:JH57"/>
    <mergeCell ref="SP23:SQ23"/>
    <mergeCell ref="SL24:SL25"/>
    <mergeCell ref="SM24:SN24"/>
    <mergeCell ref="SM25:SQ25"/>
    <mergeCell ref="SM29:SN29"/>
    <mergeCell ref="RX16:RX20"/>
    <mergeCell ref="SB16:SC16"/>
    <mergeCell ref="RN17:RO17"/>
    <mergeCell ref="SP17:SQ17"/>
    <mergeCell ref="SP18:SQ18"/>
    <mergeCell ref="SP19:SQ19"/>
    <mergeCell ref="SP20:SQ20"/>
    <mergeCell ref="JH9:JN9"/>
    <mergeCell ref="JH11:JJ11"/>
    <mergeCell ref="JL15:JM15"/>
    <mergeCell ref="JH16:JH20"/>
    <mergeCell ref="JI23:JJ23"/>
    <mergeCell ref="JL16:JM16"/>
    <mergeCell ref="JL17:JM17"/>
    <mergeCell ref="JL18:JM18"/>
    <mergeCell ref="JL19:JM19"/>
    <mergeCell ref="JL20:JM20"/>
    <mergeCell ref="JL23:JM23"/>
    <mergeCell ref="PT50:PV50"/>
    <mergeCell ref="PF53:PF57"/>
    <mergeCell ref="PT53:PT57"/>
    <mergeCell ref="PF43:PJ43"/>
    <mergeCell ref="PT43:PX43"/>
    <mergeCell ref="RX90:RY90"/>
    <mergeCell ref="SP15:SQ15"/>
    <mergeCell ref="SL16:SL20"/>
    <mergeCell ref="SP16:SQ16"/>
    <mergeCell ref="SL50:SN50"/>
    <mergeCell ref="JH43:JL43"/>
    <mergeCell ref="JI45:JL45"/>
    <mergeCell ref="JH46:JH47"/>
    <mergeCell ref="JH50:JJ50"/>
    <mergeCell ref="OD90:OE90"/>
    <mergeCell ref="OR90:OS90"/>
    <mergeCell ref="PF90:PG90"/>
    <mergeCell ref="PT90:PU90"/>
    <mergeCell ref="QH90:QI90"/>
    <mergeCell ref="QV90:QW90"/>
    <mergeCell ref="RK29:RL29"/>
    <mergeCell ref="RY29:RZ29"/>
    <mergeCell ref="PF61:PH61"/>
    <mergeCell ref="PT61:PV61"/>
    <mergeCell ref="PF50:PH50"/>
    <mergeCell ref="RX24:RX25"/>
    <mergeCell ref="RY24:RZ24"/>
    <mergeCell ref="RK25:RO25"/>
    <mergeCell ref="RY25:SC25"/>
    <mergeCell ref="RK23:RL23"/>
    <mergeCell ref="RN23:RO23"/>
    <mergeCell ref="RY23:RZ23"/>
    <mergeCell ref="SB23:SC23"/>
    <mergeCell ref="SM45:SP45"/>
    <mergeCell ref="SL46:SL47"/>
    <mergeCell ref="SL43:SP43"/>
    <mergeCell ref="KJ65:KO65"/>
    <mergeCell ref="SZ9:TF9"/>
    <mergeCell ref="SZ11:TB11"/>
    <mergeCell ref="SL90:SM90"/>
    <mergeCell ref="SM23:SN23"/>
    <mergeCell ref="SZ90:TA90"/>
    <mergeCell ref="SZ46:SZ47"/>
    <mergeCell ref="SZ50:TB50"/>
    <mergeCell ref="SZ53:SZ57"/>
    <mergeCell ref="SZ61:TB61"/>
    <mergeCell ref="TA29:TB29"/>
    <mergeCell ref="SZ30:SZ34"/>
    <mergeCell ref="SZ37:TB37"/>
    <mergeCell ref="TA39:TD39"/>
    <mergeCell ref="SZ43:TD43"/>
    <mergeCell ref="TA45:TD45"/>
    <mergeCell ref="SL30:SL34"/>
    <mergeCell ref="SL37:SN37"/>
    <mergeCell ref="SM39:SP39"/>
    <mergeCell ref="SL9:SR9"/>
    <mergeCell ref="SL11:SN11"/>
    <mergeCell ref="TD20:TE20"/>
    <mergeCell ref="TA23:TB23"/>
    <mergeCell ref="TD23:TE23"/>
    <mergeCell ref="SZ24:SZ25"/>
    <mergeCell ref="TA24:TB24"/>
    <mergeCell ref="TA25:TE25"/>
    <mergeCell ref="TD15:TE15"/>
    <mergeCell ref="SZ16:SZ20"/>
    <mergeCell ref="TD16:TE16"/>
    <mergeCell ref="TD17:TE17"/>
    <mergeCell ref="TD18:TE18"/>
    <mergeCell ref="TD19:TE19"/>
    <mergeCell ref="JH61:JJ61"/>
    <mergeCell ref="JH90:JI90"/>
    <mergeCell ref="HD90:HE90"/>
    <mergeCell ref="HR90:HS90"/>
    <mergeCell ref="IF90:IG90"/>
    <mergeCell ref="IT90:IU90"/>
    <mergeCell ref="IX19:IY19"/>
    <mergeCell ref="IX20:IY20"/>
    <mergeCell ref="IF50:IH50"/>
    <mergeCell ref="IF53:IF57"/>
    <mergeCell ref="IF61:IH61"/>
    <mergeCell ref="IF65:IH65"/>
    <mergeCell ref="IF37:IH37"/>
    <mergeCell ref="IT50:IV50"/>
    <mergeCell ref="IT53:IT57"/>
    <mergeCell ref="IT37:IV37"/>
    <mergeCell ref="IU39:IX39"/>
    <mergeCell ref="JH24:JH25"/>
    <mergeCell ref="JI24:JJ24"/>
    <mergeCell ref="JI25:JM25"/>
    <mergeCell ref="JI29:JJ29"/>
    <mergeCell ref="JH30:JH34"/>
    <mergeCell ref="JH37:JJ37"/>
    <mergeCell ref="JI39:JL39"/>
    <mergeCell ref="HD65:HI65"/>
    <mergeCell ref="HD69:HI69"/>
    <mergeCell ref="IT43:IX43"/>
    <mergeCell ref="IU45:IX45"/>
    <mergeCell ref="IT46:IT47"/>
    <mergeCell ref="IT24:IT25"/>
    <mergeCell ref="IU24:IV24"/>
    <mergeCell ref="IU25:IY25"/>
    <mergeCell ref="RX61:RZ61"/>
    <mergeCell ref="RJ50:RL50"/>
    <mergeCell ref="RX50:RZ50"/>
    <mergeCell ref="RJ53:RJ57"/>
    <mergeCell ref="RX53:RX57"/>
    <mergeCell ref="SB17:SC17"/>
    <mergeCell ref="RN18:RO18"/>
    <mergeCell ref="SB18:SC18"/>
    <mergeCell ref="RN19:RO19"/>
    <mergeCell ref="SB19:SC19"/>
    <mergeCell ref="RN20:RO20"/>
    <mergeCell ref="SB20:SC20"/>
    <mergeCell ref="SL61:SN61"/>
    <mergeCell ref="RJ24:RJ25"/>
    <mergeCell ref="RK24:RL24"/>
    <mergeCell ref="RJ43:RN43"/>
    <mergeCell ref="RX43:SB43"/>
    <mergeCell ref="RK45:RN45"/>
    <mergeCell ref="RY45:SB45"/>
    <mergeCell ref="RJ46:RJ47"/>
    <mergeCell ref="RX46:RX47"/>
    <mergeCell ref="RJ37:RL37"/>
    <mergeCell ref="RX37:RZ37"/>
    <mergeCell ref="RK39:RN39"/>
    <mergeCell ref="RY39:SB39"/>
    <mergeCell ref="SL53:SL57"/>
    <mergeCell ref="RJ30:RJ34"/>
    <mergeCell ref="RX30:RX34"/>
    <mergeCell ref="PG45:PJ45"/>
    <mergeCell ref="PU45:PX45"/>
    <mergeCell ref="PF46:PF47"/>
    <mergeCell ref="PT46:PT47"/>
    <mergeCell ref="PF37:PH37"/>
    <mergeCell ref="PT37:PV37"/>
    <mergeCell ref="KX90:KY90"/>
    <mergeCell ref="LL90:LM90"/>
    <mergeCell ref="LZ90:MA90"/>
    <mergeCell ref="MN90:MO90"/>
    <mergeCell ref="NB90:NC90"/>
    <mergeCell ref="NP90:NQ90"/>
    <mergeCell ref="OD61:OF61"/>
    <mergeCell ref="OR61:OT61"/>
    <mergeCell ref="NB61:ND61"/>
    <mergeCell ref="NP61:NR61"/>
    <mergeCell ref="NB37:ND37"/>
    <mergeCell ref="NP37:NR37"/>
    <mergeCell ref="NC39:NF39"/>
    <mergeCell ref="NQ39:NT39"/>
    <mergeCell ref="LZ65:ME65"/>
    <mergeCell ref="LZ69:ME69"/>
    <mergeCell ref="LZ71:ME71"/>
    <mergeCell ref="LZ72:ME72"/>
    <mergeCell ref="MD73:ME74"/>
    <mergeCell ref="PG39:PJ39"/>
    <mergeCell ref="PU39:PX39"/>
    <mergeCell ref="NB65:NG65"/>
    <mergeCell ref="NB69:NG69"/>
    <mergeCell ref="NB71:NG71"/>
    <mergeCell ref="NB72:NG72"/>
    <mergeCell ref="NF73:NG74"/>
    <mergeCell ref="JV90:JW90"/>
    <mergeCell ref="KJ90:KK90"/>
    <mergeCell ref="DX90:DY90"/>
    <mergeCell ref="EL90:EM90"/>
    <mergeCell ref="EZ90:FA90"/>
    <mergeCell ref="FN90:FO90"/>
    <mergeCell ref="GB90:GC90"/>
    <mergeCell ref="GP90:GQ90"/>
    <mergeCell ref="B90:C90"/>
    <mergeCell ref="P90:Q90"/>
    <mergeCell ref="AR90:AS90"/>
    <mergeCell ref="BF90:BG90"/>
    <mergeCell ref="BT90:BU90"/>
    <mergeCell ref="CH90:CI90"/>
    <mergeCell ref="CV90:CW90"/>
    <mergeCell ref="DJ90:DK90"/>
    <mergeCell ref="RJ61:RL61"/>
    <mergeCell ref="IT66:IV66"/>
    <mergeCell ref="IF66:IH66"/>
    <mergeCell ref="IT61:IV61"/>
    <mergeCell ref="IT65:IV65"/>
    <mergeCell ref="GP65:GU65"/>
    <mergeCell ref="AD90:AE90"/>
    <mergeCell ref="RJ90:RK90"/>
    <mergeCell ref="B69:G69"/>
    <mergeCell ref="B71:G71"/>
    <mergeCell ref="B72:G72"/>
    <mergeCell ref="F73:G74"/>
    <mergeCell ref="AR65:AW65"/>
    <mergeCell ref="AR69:AW69"/>
    <mergeCell ref="AR71:AW71"/>
    <mergeCell ref="AR72:AW72"/>
    <mergeCell ref="RX11:RZ11"/>
    <mergeCell ref="RN15:RO15"/>
    <mergeCell ref="SB15:SC15"/>
    <mergeCell ref="RJ16:RJ20"/>
    <mergeCell ref="RN16:RO16"/>
    <mergeCell ref="QH61:QJ61"/>
    <mergeCell ref="QV61:QX61"/>
    <mergeCell ref="QH50:QJ50"/>
    <mergeCell ref="QV50:QX50"/>
    <mergeCell ref="QH53:QH57"/>
    <mergeCell ref="QV53:QV57"/>
    <mergeCell ref="QH43:QL43"/>
    <mergeCell ref="QV43:QZ43"/>
    <mergeCell ref="QI45:QL45"/>
    <mergeCell ref="QW45:QZ45"/>
    <mergeCell ref="QH46:QH47"/>
    <mergeCell ref="QV46:QV47"/>
    <mergeCell ref="QH37:QJ37"/>
    <mergeCell ref="QV37:QX37"/>
    <mergeCell ref="QI39:QL39"/>
    <mergeCell ref="QW39:QZ39"/>
    <mergeCell ref="QI29:QJ29"/>
    <mergeCell ref="QW29:QX29"/>
    <mergeCell ref="QH30:QH34"/>
    <mergeCell ref="QV30:QV34"/>
    <mergeCell ref="QH24:QH25"/>
    <mergeCell ref="QI24:QJ24"/>
    <mergeCell ref="QV24:QV25"/>
    <mergeCell ref="QW24:QX24"/>
    <mergeCell ref="QI25:QM25"/>
    <mergeCell ref="QW25:RA25"/>
    <mergeCell ref="QI23:QJ23"/>
    <mergeCell ref="QL23:QM23"/>
    <mergeCell ref="QW23:QX23"/>
    <mergeCell ref="QZ23:RA23"/>
    <mergeCell ref="QV16:QV20"/>
    <mergeCell ref="QZ16:RA16"/>
    <mergeCell ref="QL17:QM17"/>
    <mergeCell ref="QZ17:RA17"/>
    <mergeCell ref="QL18:QM18"/>
    <mergeCell ref="QZ18:RA18"/>
    <mergeCell ref="QL19:QM19"/>
    <mergeCell ref="QZ19:RA19"/>
    <mergeCell ref="QL20:QM20"/>
    <mergeCell ref="QZ20:RA20"/>
    <mergeCell ref="QH9:QN9"/>
    <mergeCell ref="QV9:RB9"/>
    <mergeCell ref="QH11:QJ11"/>
    <mergeCell ref="QV11:QX11"/>
    <mergeCell ref="QL15:QM15"/>
    <mergeCell ref="QZ15:RA15"/>
    <mergeCell ref="QH16:QH20"/>
    <mergeCell ref="QL16:QM16"/>
    <mergeCell ref="PG29:PH29"/>
    <mergeCell ref="PU29:PV29"/>
    <mergeCell ref="PF30:PF34"/>
    <mergeCell ref="PT30:PT34"/>
    <mergeCell ref="PF24:PF25"/>
    <mergeCell ref="PG24:PH24"/>
    <mergeCell ref="PT24:PT25"/>
    <mergeCell ref="PU24:PV24"/>
    <mergeCell ref="PG25:PK25"/>
    <mergeCell ref="PU25:PY25"/>
    <mergeCell ref="PG23:PH23"/>
    <mergeCell ref="PJ23:PK23"/>
    <mergeCell ref="PU23:PV23"/>
    <mergeCell ref="PX23:PY23"/>
    <mergeCell ref="PT16:PT20"/>
    <mergeCell ref="PX16:PY16"/>
    <mergeCell ref="PJ17:PK17"/>
    <mergeCell ref="PX17:PY17"/>
    <mergeCell ref="PJ18:PK18"/>
    <mergeCell ref="PX18:PY18"/>
    <mergeCell ref="PJ19:PK19"/>
    <mergeCell ref="PX19:PY19"/>
    <mergeCell ref="PJ20:PK20"/>
    <mergeCell ref="PX20:PY20"/>
    <mergeCell ref="PF9:PL9"/>
    <mergeCell ref="PT9:PZ9"/>
    <mergeCell ref="PF11:PH11"/>
    <mergeCell ref="PT11:PV11"/>
    <mergeCell ref="PJ15:PK15"/>
    <mergeCell ref="PX15:PY15"/>
    <mergeCell ref="PF16:PF20"/>
    <mergeCell ref="PJ16:PK16"/>
    <mergeCell ref="OD50:OF50"/>
    <mergeCell ref="OR50:OT50"/>
    <mergeCell ref="OD53:OD57"/>
    <mergeCell ref="OR53:OR57"/>
    <mergeCell ref="OD43:OH43"/>
    <mergeCell ref="OR43:OV43"/>
    <mergeCell ref="OE45:OH45"/>
    <mergeCell ref="OS45:OV45"/>
    <mergeCell ref="OD46:OD47"/>
    <mergeCell ref="OR46:OR47"/>
    <mergeCell ref="OD37:OF37"/>
    <mergeCell ref="OR37:OT37"/>
    <mergeCell ref="OE39:OH39"/>
    <mergeCell ref="OS39:OV39"/>
    <mergeCell ref="OE29:OF29"/>
    <mergeCell ref="OS29:OT29"/>
    <mergeCell ref="OD30:OD34"/>
    <mergeCell ref="OR30:OR34"/>
    <mergeCell ref="OD24:OD25"/>
    <mergeCell ref="OE24:OF24"/>
    <mergeCell ref="OR24:OR25"/>
    <mergeCell ref="OS24:OT24"/>
    <mergeCell ref="OE25:OI25"/>
    <mergeCell ref="OS25:OW25"/>
    <mergeCell ref="OE23:OF23"/>
    <mergeCell ref="OH23:OI23"/>
    <mergeCell ref="OS23:OT23"/>
    <mergeCell ref="OV23:OW23"/>
    <mergeCell ref="OR16:OR20"/>
    <mergeCell ref="OV16:OW16"/>
    <mergeCell ref="OH17:OI17"/>
    <mergeCell ref="OV17:OW17"/>
    <mergeCell ref="OH18:OI18"/>
    <mergeCell ref="OV18:OW18"/>
    <mergeCell ref="OH19:OI19"/>
    <mergeCell ref="OV19:OW19"/>
    <mergeCell ref="OH20:OI20"/>
    <mergeCell ref="OV20:OW20"/>
    <mergeCell ref="OD9:OJ9"/>
    <mergeCell ref="OR9:OX9"/>
    <mergeCell ref="OD11:OF11"/>
    <mergeCell ref="OR11:OT11"/>
    <mergeCell ref="OH15:OI15"/>
    <mergeCell ref="OV15:OW15"/>
    <mergeCell ref="OD16:OD20"/>
    <mergeCell ref="OH16:OI16"/>
    <mergeCell ref="NC29:ND29"/>
    <mergeCell ref="NQ29:NR29"/>
    <mergeCell ref="NB30:NB34"/>
    <mergeCell ref="NP30:NP34"/>
    <mergeCell ref="NB24:NB25"/>
    <mergeCell ref="NC24:ND24"/>
    <mergeCell ref="NP24:NP25"/>
    <mergeCell ref="NQ24:NR24"/>
    <mergeCell ref="NC25:NG25"/>
    <mergeCell ref="NQ25:NU25"/>
    <mergeCell ref="NB50:ND50"/>
    <mergeCell ref="NP50:NR50"/>
    <mergeCell ref="NB53:NB57"/>
    <mergeCell ref="NP53:NP57"/>
    <mergeCell ref="NB43:NF43"/>
    <mergeCell ref="NP43:NT43"/>
    <mergeCell ref="NC45:NF45"/>
    <mergeCell ref="NQ45:NT45"/>
    <mergeCell ref="NB46:NB47"/>
    <mergeCell ref="NP46:NP47"/>
    <mergeCell ref="NC23:ND23"/>
    <mergeCell ref="NF23:NG23"/>
    <mergeCell ref="NQ23:NR23"/>
    <mergeCell ref="NT23:NU23"/>
    <mergeCell ref="NP16:NP20"/>
    <mergeCell ref="NT16:NU16"/>
    <mergeCell ref="NF17:NG17"/>
    <mergeCell ref="NT17:NU17"/>
    <mergeCell ref="NF18:NG18"/>
    <mergeCell ref="NT18:NU18"/>
    <mergeCell ref="NF19:NG19"/>
    <mergeCell ref="NT19:NU19"/>
    <mergeCell ref="NF20:NG20"/>
    <mergeCell ref="NT20:NU20"/>
    <mergeCell ref="MN24:MN25"/>
    <mergeCell ref="MO24:MP24"/>
    <mergeCell ref="MA25:ME25"/>
    <mergeCell ref="MO25:MS25"/>
    <mergeCell ref="MA23:MB23"/>
    <mergeCell ref="MD23:ME23"/>
    <mergeCell ref="MO23:MP23"/>
    <mergeCell ref="MR23:MS23"/>
    <mergeCell ref="MN16:MN20"/>
    <mergeCell ref="MR16:MS16"/>
    <mergeCell ref="MD17:ME17"/>
    <mergeCell ref="MR17:MS17"/>
    <mergeCell ref="MD18:ME18"/>
    <mergeCell ref="MR18:MS18"/>
    <mergeCell ref="MD19:ME19"/>
    <mergeCell ref="MR19:MS19"/>
    <mergeCell ref="NB9:NH9"/>
    <mergeCell ref="NP9:NV9"/>
    <mergeCell ref="NB11:ND11"/>
    <mergeCell ref="NP11:NR11"/>
    <mergeCell ref="NF15:NG15"/>
    <mergeCell ref="NT15:NU15"/>
    <mergeCell ref="NB16:NB20"/>
    <mergeCell ref="NF16:NG16"/>
    <mergeCell ref="LZ61:MB61"/>
    <mergeCell ref="MN61:MP61"/>
    <mergeCell ref="LZ50:MB50"/>
    <mergeCell ref="MN50:MP50"/>
    <mergeCell ref="LZ53:LZ57"/>
    <mergeCell ref="MN53:MN57"/>
    <mergeCell ref="LZ43:MD43"/>
    <mergeCell ref="MN43:MR43"/>
    <mergeCell ref="MA45:MD45"/>
    <mergeCell ref="MO45:MR45"/>
    <mergeCell ref="LZ46:LZ47"/>
    <mergeCell ref="MN46:MN47"/>
    <mergeCell ref="LZ37:MB37"/>
    <mergeCell ref="MN37:MP37"/>
    <mergeCell ref="MA39:MD39"/>
    <mergeCell ref="MO39:MR39"/>
    <mergeCell ref="MA29:MB29"/>
    <mergeCell ref="MO29:MP29"/>
    <mergeCell ref="LZ30:LZ34"/>
    <mergeCell ref="MN30:MN34"/>
    <mergeCell ref="LZ24:LZ25"/>
    <mergeCell ref="MA24:MB24"/>
    <mergeCell ref="MD20:ME20"/>
    <mergeCell ref="MR20:MS20"/>
    <mergeCell ref="LZ9:MF9"/>
    <mergeCell ref="MN9:MT9"/>
    <mergeCell ref="LZ11:MB11"/>
    <mergeCell ref="MN11:MP11"/>
    <mergeCell ref="MD15:ME15"/>
    <mergeCell ref="MR15:MS15"/>
    <mergeCell ref="LZ16:LZ20"/>
    <mergeCell ref="MD16:ME16"/>
    <mergeCell ref="KX61:KZ61"/>
    <mergeCell ref="LL61:LN61"/>
    <mergeCell ref="KX50:KZ50"/>
    <mergeCell ref="LL50:LN50"/>
    <mergeCell ref="KX53:KX57"/>
    <mergeCell ref="LL53:LL57"/>
    <mergeCell ref="KX43:LB43"/>
    <mergeCell ref="LL43:LP43"/>
    <mergeCell ref="KY45:LB45"/>
    <mergeCell ref="LM45:LP45"/>
    <mergeCell ref="KX46:KX47"/>
    <mergeCell ref="LL46:LL47"/>
    <mergeCell ref="KX37:KZ37"/>
    <mergeCell ref="LL37:LN37"/>
    <mergeCell ref="KY39:LB39"/>
    <mergeCell ref="LM39:LP39"/>
    <mergeCell ref="KY29:KZ29"/>
    <mergeCell ref="LM29:LN29"/>
    <mergeCell ref="KX30:KX34"/>
    <mergeCell ref="LL30:LL34"/>
    <mergeCell ref="KY23:KZ23"/>
    <mergeCell ref="LB23:LC23"/>
    <mergeCell ref="LM23:LN23"/>
    <mergeCell ref="LP23:LQ23"/>
    <mergeCell ref="KX24:KX25"/>
    <mergeCell ref="KY24:KZ24"/>
    <mergeCell ref="LL24:LL25"/>
    <mergeCell ref="LM24:LN24"/>
    <mergeCell ref="KY25:LC25"/>
    <mergeCell ref="LM25:LQ25"/>
    <mergeCell ref="LB20:LC20"/>
    <mergeCell ref="LP20:LQ20"/>
    <mergeCell ref="LP16:LQ16"/>
    <mergeCell ref="LB17:LC17"/>
    <mergeCell ref="LP17:LQ17"/>
    <mergeCell ref="LB18:LC18"/>
    <mergeCell ref="LP18:LQ18"/>
    <mergeCell ref="LB19:LC19"/>
    <mergeCell ref="LP19:LQ19"/>
    <mergeCell ref="KX9:LD9"/>
    <mergeCell ref="LL9:LR9"/>
    <mergeCell ref="KX11:KZ11"/>
    <mergeCell ref="LL11:LN11"/>
    <mergeCell ref="LB15:LC15"/>
    <mergeCell ref="LP15:LQ15"/>
    <mergeCell ref="KX16:KX20"/>
    <mergeCell ref="LB16:LC16"/>
    <mergeCell ref="LL16:LL20"/>
    <mergeCell ref="KJ50:KL50"/>
    <mergeCell ref="KJ53:KJ57"/>
    <mergeCell ref="KJ61:KL61"/>
    <mergeCell ref="KJ37:KL37"/>
    <mergeCell ref="KK39:KN39"/>
    <mergeCell ref="KJ43:KN43"/>
    <mergeCell ref="KK45:KN45"/>
    <mergeCell ref="KJ46:KJ47"/>
    <mergeCell ref="KJ24:KJ25"/>
    <mergeCell ref="KK24:KL24"/>
    <mergeCell ref="KK25:KO25"/>
    <mergeCell ref="KK29:KL29"/>
    <mergeCell ref="KJ30:KJ34"/>
    <mergeCell ref="KK23:KL23"/>
    <mergeCell ref="KN23:KO23"/>
    <mergeCell ref="KJ9:KP9"/>
    <mergeCell ref="KJ11:KL11"/>
    <mergeCell ref="KN15:KO15"/>
    <mergeCell ref="KJ16:KJ20"/>
    <mergeCell ref="KN16:KO16"/>
    <mergeCell ref="KN17:KO17"/>
    <mergeCell ref="KN18:KO18"/>
    <mergeCell ref="KN19:KO19"/>
    <mergeCell ref="KN20:KO20"/>
    <mergeCell ref="JV50:JX50"/>
    <mergeCell ref="JV53:JV57"/>
    <mergeCell ref="JV61:JX61"/>
    <mergeCell ref="JV37:JX37"/>
    <mergeCell ref="JW39:JZ39"/>
    <mergeCell ref="JV43:JZ43"/>
    <mergeCell ref="JW45:JZ45"/>
    <mergeCell ref="JV46:JV47"/>
    <mergeCell ref="JV24:JV25"/>
    <mergeCell ref="JW24:JX24"/>
    <mergeCell ref="JW25:KA25"/>
    <mergeCell ref="JW29:JX29"/>
    <mergeCell ref="JV30:JV34"/>
    <mergeCell ref="JW23:JX23"/>
    <mergeCell ref="JZ23:KA23"/>
    <mergeCell ref="JV65:KA65"/>
    <mergeCell ref="JV9:KB9"/>
    <mergeCell ref="JV11:JX11"/>
    <mergeCell ref="JZ15:KA15"/>
    <mergeCell ref="JV16:JV20"/>
    <mergeCell ref="JZ16:KA16"/>
    <mergeCell ref="JZ17:KA17"/>
    <mergeCell ref="JZ18:KA18"/>
    <mergeCell ref="JZ19:KA19"/>
    <mergeCell ref="JZ20:KA20"/>
    <mergeCell ref="IU29:IV29"/>
    <mergeCell ref="IT30:IT34"/>
    <mergeCell ref="IU23:IV23"/>
    <mergeCell ref="IX23:IY23"/>
    <mergeCell ref="IT9:IZ9"/>
    <mergeCell ref="IT11:IV11"/>
    <mergeCell ref="IX15:IY15"/>
    <mergeCell ref="IT16:IT20"/>
    <mergeCell ref="IX16:IY16"/>
    <mergeCell ref="IX17:IY17"/>
    <mergeCell ref="IX18:IY18"/>
    <mergeCell ref="IG39:IJ39"/>
    <mergeCell ref="IF43:IJ43"/>
    <mergeCell ref="IG45:IJ45"/>
    <mergeCell ref="IF46:IF47"/>
    <mergeCell ref="IF24:IF25"/>
    <mergeCell ref="IG24:IH24"/>
    <mergeCell ref="IG25:IK25"/>
    <mergeCell ref="IG29:IH29"/>
    <mergeCell ref="IF30:IF34"/>
    <mergeCell ref="IG23:IH23"/>
    <mergeCell ref="IJ23:IK23"/>
    <mergeCell ref="IF9:IL9"/>
    <mergeCell ref="IF11:IH11"/>
    <mergeCell ref="IJ15:IK15"/>
    <mergeCell ref="IF16:IF20"/>
    <mergeCell ref="IJ16:IK16"/>
    <mergeCell ref="IJ17:IK17"/>
    <mergeCell ref="IJ18:IK18"/>
    <mergeCell ref="IJ19:IK19"/>
    <mergeCell ref="IJ20:IK20"/>
    <mergeCell ref="HD53:HD57"/>
    <mergeCell ref="HD61:HF61"/>
    <mergeCell ref="HD37:HF37"/>
    <mergeCell ref="HE39:HH39"/>
    <mergeCell ref="HD43:HH43"/>
    <mergeCell ref="HE45:HH45"/>
    <mergeCell ref="HD46:HD47"/>
    <mergeCell ref="HD24:HD25"/>
    <mergeCell ref="HE24:HF24"/>
    <mergeCell ref="HE25:HI25"/>
    <mergeCell ref="HE29:HF29"/>
    <mergeCell ref="HD30:HD34"/>
    <mergeCell ref="HE23:HF23"/>
    <mergeCell ref="HH23:HI23"/>
    <mergeCell ref="HR50:HT50"/>
    <mergeCell ref="HR53:HR57"/>
    <mergeCell ref="HR61:HT61"/>
    <mergeCell ref="HR37:HT37"/>
    <mergeCell ref="HS39:HV39"/>
    <mergeCell ref="HR43:HV43"/>
    <mergeCell ref="HS45:HV45"/>
    <mergeCell ref="HR46:HR47"/>
    <mergeCell ref="HR24:HR25"/>
    <mergeCell ref="HS24:HT24"/>
    <mergeCell ref="HS25:HW25"/>
    <mergeCell ref="HS29:HT29"/>
    <mergeCell ref="HR30:HR34"/>
    <mergeCell ref="HS23:HT23"/>
    <mergeCell ref="HD9:HJ9"/>
    <mergeCell ref="HD11:HF11"/>
    <mergeCell ref="HH15:HI15"/>
    <mergeCell ref="HD16:HD20"/>
    <mergeCell ref="HH16:HI16"/>
    <mergeCell ref="HH17:HI17"/>
    <mergeCell ref="HH18:HI18"/>
    <mergeCell ref="HH19:HI19"/>
    <mergeCell ref="HH20:HI20"/>
    <mergeCell ref="GP50:GR50"/>
    <mergeCell ref="HV23:HW23"/>
    <mergeCell ref="HR9:HX9"/>
    <mergeCell ref="HR11:HT11"/>
    <mergeCell ref="HV15:HW15"/>
    <mergeCell ref="HR16:HR20"/>
    <mergeCell ref="HV16:HW16"/>
    <mergeCell ref="HV17:HW17"/>
    <mergeCell ref="HV18:HW18"/>
    <mergeCell ref="HV19:HW19"/>
    <mergeCell ref="HV20:HW20"/>
    <mergeCell ref="HD50:HF50"/>
    <mergeCell ref="GP53:GP57"/>
    <mergeCell ref="GP61:GR61"/>
    <mergeCell ref="GP37:GR37"/>
    <mergeCell ref="GQ39:GT39"/>
    <mergeCell ref="GP43:GT43"/>
    <mergeCell ref="GQ45:GT45"/>
    <mergeCell ref="GP46:GP47"/>
    <mergeCell ref="GP24:GP25"/>
    <mergeCell ref="GQ24:GR24"/>
    <mergeCell ref="GQ25:GU25"/>
    <mergeCell ref="GQ29:GR29"/>
    <mergeCell ref="GP30:GP34"/>
    <mergeCell ref="GQ23:GR23"/>
    <mergeCell ref="GT23:GU23"/>
    <mergeCell ref="GP9:GV9"/>
    <mergeCell ref="GP11:GR11"/>
    <mergeCell ref="GT15:GU15"/>
    <mergeCell ref="GP16:GP20"/>
    <mergeCell ref="GT16:GU16"/>
    <mergeCell ref="GT17:GU17"/>
    <mergeCell ref="GT18:GU18"/>
    <mergeCell ref="GT19:GU19"/>
    <mergeCell ref="GT20:GU20"/>
    <mergeCell ref="GB50:GD50"/>
    <mergeCell ref="GB53:GB57"/>
    <mergeCell ref="GB61:GD61"/>
    <mergeCell ref="GB37:GD37"/>
    <mergeCell ref="GC39:GF39"/>
    <mergeCell ref="GB43:GF43"/>
    <mergeCell ref="GC45:GF45"/>
    <mergeCell ref="GB46:GB47"/>
    <mergeCell ref="GB24:GB25"/>
    <mergeCell ref="GC24:GD24"/>
    <mergeCell ref="GC25:GG25"/>
    <mergeCell ref="GC29:GD29"/>
    <mergeCell ref="GB30:GB34"/>
    <mergeCell ref="GC23:GD23"/>
    <mergeCell ref="GF23:GG23"/>
    <mergeCell ref="GB9:GH9"/>
    <mergeCell ref="GB11:GD11"/>
    <mergeCell ref="GF15:GG15"/>
    <mergeCell ref="GB16:GB20"/>
    <mergeCell ref="GF16:GG16"/>
    <mergeCell ref="GF17:GG17"/>
    <mergeCell ref="GF18:GG18"/>
    <mergeCell ref="GF19:GG19"/>
    <mergeCell ref="GF20:GG20"/>
    <mergeCell ref="FN50:FP50"/>
    <mergeCell ref="FN53:FN57"/>
    <mergeCell ref="FN61:FP61"/>
    <mergeCell ref="FN37:FP37"/>
    <mergeCell ref="FO39:FR39"/>
    <mergeCell ref="FN43:FR43"/>
    <mergeCell ref="FO45:FR45"/>
    <mergeCell ref="FN46:FN47"/>
    <mergeCell ref="FN24:FN25"/>
    <mergeCell ref="FO24:FP24"/>
    <mergeCell ref="FO25:FS25"/>
    <mergeCell ref="FO29:FP29"/>
    <mergeCell ref="FN30:FN34"/>
    <mergeCell ref="FO23:FP23"/>
    <mergeCell ref="FR23:FS23"/>
    <mergeCell ref="FN9:FT9"/>
    <mergeCell ref="FN11:FP11"/>
    <mergeCell ref="FR15:FS15"/>
    <mergeCell ref="FN16:FN20"/>
    <mergeCell ref="FR16:FS16"/>
    <mergeCell ref="FR17:FS17"/>
    <mergeCell ref="FR18:FS18"/>
    <mergeCell ref="FR19:FS19"/>
    <mergeCell ref="FR20:FS20"/>
    <mergeCell ref="EZ50:FB50"/>
    <mergeCell ref="EZ53:EZ57"/>
    <mergeCell ref="EZ61:FB61"/>
    <mergeCell ref="EZ37:FB37"/>
    <mergeCell ref="FA39:FD39"/>
    <mergeCell ref="EZ43:FD43"/>
    <mergeCell ref="FA45:FD45"/>
    <mergeCell ref="EZ46:EZ47"/>
    <mergeCell ref="EZ24:EZ25"/>
    <mergeCell ref="FA24:FB24"/>
    <mergeCell ref="FA25:FE25"/>
    <mergeCell ref="FA29:FB29"/>
    <mergeCell ref="EZ30:EZ34"/>
    <mergeCell ref="FA23:FB23"/>
    <mergeCell ref="FD23:FE23"/>
    <mergeCell ref="EZ9:FF9"/>
    <mergeCell ref="EZ11:FB11"/>
    <mergeCell ref="FD15:FE15"/>
    <mergeCell ref="EZ16:EZ20"/>
    <mergeCell ref="FD16:FE16"/>
    <mergeCell ref="FD17:FE17"/>
    <mergeCell ref="FD18:FE18"/>
    <mergeCell ref="FD19:FE19"/>
    <mergeCell ref="FD20:FE20"/>
    <mergeCell ref="EL50:EN50"/>
    <mergeCell ref="EL53:EL57"/>
    <mergeCell ref="EL61:EN61"/>
    <mergeCell ref="EL37:EN37"/>
    <mergeCell ref="EM39:EP39"/>
    <mergeCell ref="EL43:EP43"/>
    <mergeCell ref="EM45:EP45"/>
    <mergeCell ref="EL46:EL47"/>
    <mergeCell ref="EL24:EL25"/>
    <mergeCell ref="EM24:EN24"/>
    <mergeCell ref="EM25:EQ25"/>
    <mergeCell ref="EM29:EN29"/>
    <mergeCell ref="EL30:EL34"/>
    <mergeCell ref="EM23:EN23"/>
    <mergeCell ref="EP23:EQ23"/>
    <mergeCell ref="EL65:EQ65"/>
    <mergeCell ref="EL9:ER9"/>
    <mergeCell ref="EL11:EN11"/>
    <mergeCell ref="EP15:EQ15"/>
    <mergeCell ref="EL16:EL20"/>
    <mergeCell ref="EP16:EQ16"/>
    <mergeCell ref="EP17:EQ17"/>
    <mergeCell ref="EP18:EQ18"/>
    <mergeCell ref="EP19:EQ19"/>
    <mergeCell ref="EP20:EQ20"/>
    <mergeCell ref="DX50:DZ50"/>
    <mergeCell ref="DX53:DX57"/>
    <mergeCell ref="DX61:DZ61"/>
    <mergeCell ref="DX37:DZ37"/>
    <mergeCell ref="DY39:EB39"/>
    <mergeCell ref="DX43:EB43"/>
    <mergeCell ref="DY45:EB45"/>
    <mergeCell ref="DX46:DX47"/>
    <mergeCell ref="DX24:DX25"/>
    <mergeCell ref="DY24:DZ24"/>
    <mergeCell ref="DY25:EC25"/>
    <mergeCell ref="DY29:DZ29"/>
    <mergeCell ref="DX30:DX34"/>
    <mergeCell ref="DY23:DZ23"/>
    <mergeCell ref="EB23:EC23"/>
    <mergeCell ref="DX9:ED9"/>
    <mergeCell ref="DX11:DZ11"/>
    <mergeCell ref="EB15:EC15"/>
    <mergeCell ref="DX16:DX20"/>
    <mergeCell ref="EB16:EC16"/>
    <mergeCell ref="EB17:EC17"/>
    <mergeCell ref="EB18:EC18"/>
    <mergeCell ref="EB19:EC19"/>
    <mergeCell ref="EB20:EC20"/>
    <mergeCell ref="DJ50:DL50"/>
    <mergeCell ref="DJ53:DJ57"/>
    <mergeCell ref="DJ61:DL61"/>
    <mergeCell ref="DJ37:DL37"/>
    <mergeCell ref="DK39:DN39"/>
    <mergeCell ref="DJ43:DN43"/>
    <mergeCell ref="DK45:DN45"/>
    <mergeCell ref="DJ46:DJ47"/>
    <mergeCell ref="DJ24:DJ25"/>
    <mergeCell ref="DK24:DL24"/>
    <mergeCell ref="DK25:DO25"/>
    <mergeCell ref="DK29:DL29"/>
    <mergeCell ref="DJ30:DJ34"/>
    <mergeCell ref="DK23:DL23"/>
    <mergeCell ref="DN23:DO23"/>
    <mergeCell ref="CV50:CX50"/>
    <mergeCell ref="CV53:CV57"/>
    <mergeCell ref="CV61:CX61"/>
    <mergeCell ref="CV37:CX37"/>
    <mergeCell ref="CW39:CZ39"/>
    <mergeCell ref="CV43:CZ43"/>
    <mergeCell ref="CW45:CZ45"/>
    <mergeCell ref="CV46:CV47"/>
    <mergeCell ref="CV24:CV25"/>
    <mergeCell ref="CW24:CX24"/>
    <mergeCell ref="CW25:DA25"/>
    <mergeCell ref="CW29:CX29"/>
    <mergeCell ref="CV30:CV34"/>
    <mergeCell ref="CW23:CX23"/>
    <mergeCell ref="DJ9:DP9"/>
    <mergeCell ref="DJ11:DL11"/>
    <mergeCell ref="DN15:DO15"/>
    <mergeCell ref="DJ16:DJ20"/>
    <mergeCell ref="DN16:DO16"/>
    <mergeCell ref="DN17:DO17"/>
    <mergeCell ref="DN18:DO18"/>
    <mergeCell ref="DN19:DO19"/>
    <mergeCell ref="DN20:DO20"/>
    <mergeCell ref="CZ23:DA23"/>
    <mergeCell ref="CV9:DB9"/>
    <mergeCell ref="CV11:CX11"/>
    <mergeCell ref="CZ15:DA15"/>
    <mergeCell ref="CV16:CV20"/>
    <mergeCell ref="CZ16:DA16"/>
    <mergeCell ref="CZ17:DA17"/>
    <mergeCell ref="CZ18:DA18"/>
    <mergeCell ref="CZ19:DA19"/>
    <mergeCell ref="CZ20:DA20"/>
    <mergeCell ref="CH50:CJ50"/>
    <mergeCell ref="CH53:CH57"/>
    <mergeCell ref="CH61:CJ61"/>
    <mergeCell ref="CH37:CJ37"/>
    <mergeCell ref="CI39:CL39"/>
    <mergeCell ref="CH43:CL43"/>
    <mergeCell ref="CI45:CL45"/>
    <mergeCell ref="CH46:CH47"/>
    <mergeCell ref="CH24:CH25"/>
    <mergeCell ref="CI24:CJ24"/>
    <mergeCell ref="CI25:CM25"/>
    <mergeCell ref="CI29:CJ29"/>
    <mergeCell ref="CH30:CH34"/>
    <mergeCell ref="CI23:CJ23"/>
    <mergeCell ref="CL23:CM23"/>
    <mergeCell ref="CH65:CM65"/>
    <mergeCell ref="CH9:CN9"/>
    <mergeCell ref="CH11:CJ11"/>
    <mergeCell ref="CL15:CM15"/>
    <mergeCell ref="CH16:CH20"/>
    <mergeCell ref="CL16:CM16"/>
    <mergeCell ref="CL17:CM17"/>
    <mergeCell ref="CL18:CM18"/>
    <mergeCell ref="CL19:CM19"/>
    <mergeCell ref="CL20:CM20"/>
    <mergeCell ref="BJ20:BK20"/>
    <mergeCell ref="BT50:BV50"/>
    <mergeCell ref="BT53:BT57"/>
    <mergeCell ref="BT61:BV61"/>
    <mergeCell ref="BT37:BV37"/>
    <mergeCell ref="BU39:BX39"/>
    <mergeCell ref="BT43:BX43"/>
    <mergeCell ref="BU45:BX45"/>
    <mergeCell ref="BT46:BT47"/>
    <mergeCell ref="BT24:BT25"/>
    <mergeCell ref="BU24:BV24"/>
    <mergeCell ref="BU25:BY25"/>
    <mergeCell ref="BU29:BV29"/>
    <mergeCell ref="BT30:BT34"/>
    <mergeCell ref="BU23:BV23"/>
    <mergeCell ref="BX23:BY23"/>
    <mergeCell ref="BT9:BZ9"/>
    <mergeCell ref="BT11:BV11"/>
    <mergeCell ref="BX15:BY15"/>
    <mergeCell ref="BT16:BT20"/>
    <mergeCell ref="BX16:BY16"/>
    <mergeCell ref="BX17:BY17"/>
    <mergeCell ref="BX18:BY18"/>
    <mergeCell ref="BX19:BY19"/>
    <mergeCell ref="BX20:BY20"/>
    <mergeCell ref="AR9:AX9"/>
    <mergeCell ref="AR11:AT11"/>
    <mergeCell ref="AV15:AW15"/>
    <mergeCell ref="AR16:AR20"/>
    <mergeCell ref="AV16:AW16"/>
    <mergeCell ref="AV17:AW17"/>
    <mergeCell ref="AV18:AW18"/>
    <mergeCell ref="AV19:AW19"/>
    <mergeCell ref="AV20:AW20"/>
    <mergeCell ref="BF50:BH50"/>
    <mergeCell ref="BF53:BF57"/>
    <mergeCell ref="BF61:BH61"/>
    <mergeCell ref="BF37:BH37"/>
    <mergeCell ref="BG39:BJ39"/>
    <mergeCell ref="BF43:BJ43"/>
    <mergeCell ref="BG45:BJ45"/>
    <mergeCell ref="BF46:BF47"/>
    <mergeCell ref="BF24:BF25"/>
    <mergeCell ref="BG24:BH24"/>
    <mergeCell ref="BG25:BK25"/>
    <mergeCell ref="BG29:BH29"/>
    <mergeCell ref="BF30:BF34"/>
    <mergeCell ref="BG23:BH23"/>
    <mergeCell ref="BJ23:BK23"/>
    <mergeCell ref="BF9:BL9"/>
    <mergeCell ref="BF11:BH11"/>
    <mergeCell ref="BJ15:BK15"/>
    <mergeCell ref="BF16:BF20"/>
    <mergeCell ref="BJ16:BK16"/>
    <mergeCell ref="BJ17:BK17"/>
    <mergeCell ref="BJ18:BK18"/>
    <mergeCell ref="BJ19:BK19"/>
    <mergeCell ref="P65:R65"/>
    <mergeCell ref="P37:R37"/>
    <mergeCell ref="Q39:T39"/>
    <mergeCell ref="P43:T43"/>
    <mergeCell ref="Q45:T45"/>
    <mergeCell ref="P46:P47"/>
    <mergeCell ref="P24:P25"/>
    <mergeCell ref="Q24:R24"/>
    <mergeCell ref="Q25:U25"/>
    <mergeCell ref="Q29:R29"/>
    <mergeCell ref="P30:P34"/>
    <mergeCell ref="Q23:R23"/>
    <mergeCell ref="T23:U23"/>
    <mergeCell ref="AD16:AD20"/>
    <mergeCell ref="AR50:AT50"/>
    <mergeCell ref="AR53:AR57"/>
    <mergeCell ref="AR61:AT61"/>
    <mergeCell ref="AR37:AT37"/>
    <mergeCell ref="AS39:AV39"/>
    <mergeCell ref="AR43:AV43"/>
    <mergeCell ref="AS45:AV45"/>
    <mergeCell ref="AR46:AR47"/>
    <mergeCell ref="AR24:AR25"/>
    <mergeCell ref="AS24:AT24"/>
    <mergeCell ref="AS25:AW25"/>
    <mergeCell ref="AS29:AT29"/>
    <mergeCell ref="AR30:AR34"/>
    <mergeCell ref="AS23:AT23"/>
    <mergeCell ref="AV23:AW23"/>
    <mergeCell ref="AE23:AF23"/>
    <mergeCell ref="AH23:AI23"/>
    <mergeCell ref="AD24:AD25"/>
    <mergeCell ref="AH16:AI16"/>
    <mergeCell ref="AH17:AI17"/>
    <mergeCell ref="AH18:AI18"/>
    <mergeCell ref="AH19:AI19"/>
    <mergeCell ref="AH20:AI20"/>
    <mergeCell ref="AD43:AH43"/>
    <mergeCell ref="AE45:AH45"/>
    <mergeCell ref="AD46:AD47"/>
    <mergeCell ref="AD50:AF50"/>
    <mergeCell ref="AD53:AD57"/>
    <mergeCell ref="AD61:AF61"/>
    <mergeCell ref="P9:V9"/>
    <mergeCell ref="P11:R11"/>
    <mergeCell ref="T15:U15"/>
    <mergeCell ref="P16:P20"/>
    <mergeCell ref="T16:U16"/>
    <mergeCell ref="T17:U17"/>
    <mergeCell ref="AD9:AJ9"/>
    <mergeCell ref="P50:R50"/>
    <mergeCell ref="P53:P57"/>
    <mergeCell ref="P61:R61"/>
    <mergeCell ref="AE24:AF24"/>
    <mergeCell ref="AE25:AI25"/>
    <mergeCell ref="AE29:AF29"/>
    <mergeCell ref="AD30:AD34"/>
    <mergeCell ref="AD37:AF37"/>
    <mergeCell ref="AE39:AH39"/>
    <mergeCell ref="TF15:TG15"/>
    <mergeCell ref="B9:H9"/>
    <mergeCell ref="B11:D11"/>
    <mergeCell ref="F15:G15"/>
    <mergeCell ref="B16:B20"/>
    <mergeCell ref="F16:G16"/>
    <mergeCell ref="F17:G17"/>
    <mergeCell ref="F18:G18"/>
    <mergeCell ref="F19:G19"/>
    <mergeCell ref="F20:G20"/>
    <mergeCell ref="T18:U18"/>
    <mergeCell ref="T19:U19"/>
    <mergeCell ref="T20:U20"/>
    <mergeCell ref="AD11:AF11"/>
    <mergeCell ref="AH15:AI15"/>
    <mergeCell ref="P66:R66"/>
    <mergeCell ref="B50:D50"/>
    <mergeCell ref="B53:B57"/>
    <mergeCell ref="B61:D61"/>
    <mergeCell ref="B37:D37"/>
    <mergeCell ref="C39:F39"/>
    <mergeCell ref="B43:F43"/>
    <mergeCell ref="C45:F45"/>
    <mergeCell ref="B46:B47"/>
    <mergeCell ref="B24:B25"/>
    <mergeCell ref="C24:D24"/>
    <mergeCell ref="C25:G25"/>
    <mergeCell ref="C29:D29"/>
    <mergeCell ref="B30:B34"/>
    <mergeCell ref="C23:D23"/>
    <mergeCell ref="F23:G23"/>
    <mergeCell ref="B65:G65"/>
  </mergeCells>
  <conditionalFormatting sqref="IU101">
    <cfRule type="cellIs" dxfId="280" priority="534" operator="greaterThan">
      <formula>1</formula>
    </cfRule>
  </conditionalFormatting>
  <conditionalFormatting sqref="A101 D101:AQ101 AT101:BE101 BH101:BS101 BV101:CG101 CJ101:CU101 CX101:DI101 DL101:DW101 DZ101:EK101 EN101:EY101 FB101:FM101 FP101:GA101 GD101:GO101 GR101:HC101 HF101:HQ101 HT101:JG101 JJ101:JU101 JX101:KI101 KL101:KW101 KZ101:LK101 LN101:LY101 MB101:MM101 MP101:NA101 ND101:NO101 NR101:OC101 OF101:OQ101 OT101:PE101 PH101:PS101 PV101:QG101 QJ101:QU101 QX101:RI101 RL101:RW101 RZ101:SK101 SN101:SY101 TB101:XFD101">
    <cfRule type="cellIs" dxfId="279" priority="515" operator="lessThan">
      <formula>-1</formula>
    </cfRule>
  </conditionalFormatting>
  <conditionalFormatting sqref="EW72">
    <cfRule type="cellIs" dxfId="278" priority="398" operator="notEqual">
      <formula>1</formula>
    </cfRule>
  </conditionalFormatting>
  <conditionalFormatting sqref="AR74:AU74 AX74">
    <cfRule type="cellIs" dxfId="277" priority="372" operator="equal">
      <formula>"Rev"</formula>
    </cfRule>
  </conditionalFormatting>
  <conditionalFormatting sqref="AX73:AX74">
    <cfRule type="cellIs" dxfId="276" priority="370" operator="lessThan">
      <formula>-1</formula>
    </cfRule>
    <cfRule type="cellIs" dxfId="275" priority="371" operator="greaterThan">
      <formula>1</formula>
    </cfRule>
  </conditionalFormatting>
  <conditionalFormatting sqref="C88">
    <cfRule type="cellIs" dxfId="274" priority="273" operator="greaterThan">
      <formula>1</formula>
    </cfRule>
  </conditionalFormatting>
  <conditionalFormatting sqref="C88">
    <cfRule type="cellIs" dxfId="273" priority="272" operator="lessThan">
      <formula>-1</formula>
    </cfRule>
  </conditionalFormatting>
  <conditionalFormatting sqref="C101">
    <cfRule type="cellIs" dxfId="272" priority="271" operator="greaterThan">
      <formula>1</formula>
    </cfRule>
  </conditionalFormatting>
  <conditionalFormatting sqref="B101:C101">
    <cfRule type="cellIs" dxfId="271" priority="270" operator="lessThan">
      <formula>-1</formula>
    </cfRule>
  </conditionalFormatting>
  <conditionalFormatting sqref="AS88">
    <cfRule type="cellIs" dxfId="270" priority="269" operator="greaterThan">
      <formula>1</formula>
    </cfRule>
  </conditionalFormatting>
  <conditionalFormatting sqref="AS88">
    <cfRule type="cellIs" dxfId="269" priority="268" operator="lessThan">
      <formula>-1</formula>
    </cfRule>
  </conditionalFormatting>
  <conditionalFormatting sqref="AS101">
    <cfRule type="cellIs" dxfId="268" priority="267" operator="greaterThan">
      <formula>1</formula>
    </cfRule>
  </conditionalFormatting>
  <conditionalFormatting sqref="AR101:AS101">
    <cfRule type="cellIs" dxfId="267" priority="266" operator="lessThan">
      <formula>-1</formula>
    </cfRule>
  </conditionalFormatting>
  <conditionalFormatting sqref="BG88">
    <cfRule type="cellIs" dxfId="266" priority="265" operator="greaterThan">
      <formula>1</formula>
    </cfRule>
  </conditionalFormatting>
  <conditionalFormatting sqref="BG88">
    <cfRule type="cellIs" dxfId="265" priority="264" operator="lessThan">
      <formula>-1</formula>
    </cfRule>
  </conditionalFormatting>
  <conditionalFormatting sqref="BG101">
    <cfRule type="cellIs" dxfId="264" priority="263" operator="greaterThan">
      <formula>1</formula>
    </cfRule>
  </conditionalFormatting>
  <conditionalFormatting sqref="BF101:BG101">
    <cfRule type="cellIs" dxfId="263" priority="262" operator="lessThan">
      <formula>-1</formula>
    </cfRule>
  </conditionalFormatting>
  <conditionalFormatting sqref="BU88">
    <cfRule type="cellIs" dxfId="262" priority="261" operator="greaterThan">
      <formula>1</formula>
    </cfRule>
  </conditionalFormatting>
  <conditionalFormatting sqref="BU88">
    <cfRule type="cellIs" dxfId="261" priority="260" operator="lessThan">
      <formula>-1</formula>
    </cfRule>
  </conditionalFormatting>
  <conditionalFormatting sqref="BU101">
    <cfRule type="cellIs" dxfId="260" priority="259" operator="greaterThan">
      <formula>1</formula>
    </cfRule>
  </conditionalFormatting>
  <conditionalFormatting sqref="BT101:BU101">
    <cfRule type="cellIs" dxfId="259" priority="258" operator="lessThan">
      <formula>-1</formula>
    </cfRule>
  </conditionalFormatting>
  <conditionalFormatting sqref="CI88">
    <cfRule type="cellIs" dxfId="258" priority="257" operator="greaterThan">
      <formula>1</formula>
    </cfRule>
  </conditionalFormatting>
  <conditionalFormatting sqref="CI88">
    <cfRule type="cellIs" dxfId="257" priority="256" operator="lessThan">
      <formula>-1</formula>
    </cfRule>
  </conditionalFormatting>
  <conditionalFormatting sqref="CI101">
    <cfRule type="cellIs" dxfId="256" priority="255" operator="greaterThan">
      <formula>1</formula>
    </cfRule>
  </conditionalFormatting>
  <conditionalFormatting sqref="CH101:CI101">
    <cfRule type="cellIs" dxfId="255" priority="254" operator="lessThan">
      <formula>-1</formula>
    </cfRule>
  </conditionalFormatting>
  <conditionalFormatting sqref="CW88">
    <cfRule type="cellIs" dxfId="254" priority="253" operator="greaterThan">
      <formula>1</formula>
    </cfRule>
  </conditionalFormatting>
  <conditionalFormatting sqref="CW88">
    <cfRule type="cellIs" dxfId="253" priority="252" operator="lessThan">
      <formula>-1</formula>
    </cfRule>
  </conditionalFormatting>
  <conditionalFormatting sqref="CW101">
    <cfRule type="cellIs" dxfId="252" priority="251" operator="greaterThan">
      <formula>1</formula>
    </cfRule>
  </conditionalFormatting>
  <conditionalFormatting sqref="CV101:CW101">
    <cfRule type="cellIs" dxfId="251" priority="250" operator="lessThan">
      <formula>-1</formula>
    </cfRule>
  </conditionalFormatting>
  <conditionalFormatting sqref="DK88">
    <cfRule type="cellIs" dxfId="250" priority="249" operator="greaterThan">
      <formula>1</formula>
    </cfRule>
  </conditionalFormatting>
  <conditionalFormatting sqref="DK88">
    <cfRule type="cellIs" dxfId="249" priority="248" operator="lessThan">
      <formula>-1</formula>
    </cfRule>
  </conditionalFormatting>
  <conditionalFormatting sqref="DK101">
    <cfRule type="cellIs" dxfId="248" priority="247" operator="greaterThan">
      <formula>1</formula>
    </cfRule>
  </conditionalFormatting>
  <conditionalFormatting sqref="DJ101:DK101">
    <cfRule type="cellIs" dxfId="247" priority="246" operator="lessThan">
      <formula>-1</formula>
    </cfRule>
  </conditionalFormatting>
  <conditionalFormatting sqref="DY88">
    <cfRule type="cellIs" dxfId="246" priority="245" operator="greaterThan">
      <formula>1</formula>
    </cfRule>
  </conditionalFormatting>
  <conditionalFormatting sqref="DY88">
    <cfRule type="cellIs" dxfId="245" priority="244" operator="lessThan">
      <formula>-1</formula>
    </cfRule>
  </conditionalFormatting>
  <conditionalFormatting sqref="DY101">
    <cfRule type="cellIs" dxfId="244" priority="243" operator="greaterThan">
      <formula>1</formula>
    </cfRule>
  </conditionalFormatting>
  <conditionalFormatting sqref="DX101:DY101">
    <cfRule type="cellIs" dxfId="243" priority="242" operator="lessThan">
      <formula>-1</formula>
    </cfRule>
  </conditionalFormatting>
  <conditionalFormatting sqref="EM88">
    <cfRule type="cellIs" dxfId="242" priority="241" operator="greaterThan">
      <formula>1</formula>
    </cfRule>
  </conditionalFormatting>
  <conditionalFormatting sqref="EM88">
    <cfRule type="cellIs" dxfId="241" priority="240" operator="lessThan">
      <formula>-1</formula>
    </cfRule>
  </conditionalFormatting>
  <conditionalFormatting sqref="EM101">
    <cfRule type="cellIs" dxfId="240" priority="239" operator="greaterThan">
      <formula>1</formula>
    </cfRule>
  </conditionalFormatting>
  <conditionalFormatting sqref="EL101:EM101">
    <cfRule type="cellIs" dxfId="239" priority="238" operator="lessThan">
      <formula>-1</formula>
    </cfRule>
  </conditionalFormatting>
  <conditionalFormatting sqref="FA88">
    <cfRule type="cellIs" dxfId="238" priority="237" operator="greaterThan">
      <formula>1</formula>
    </cfRule>
  </conditionalFormatting>
  <conditionalFormatting sqref="FA88">
    <cfRule type="cellIs" dxfId="237" priority="236" operator="lessThan">
      <formula>-1</formula>
    </cfRule>
  </conditionalFormatting>
  <conditionalFormatting sqref="FA101">
    <cfRule type="cellIs" dxfId="236" priority="235" operator="greaterThan">
      <formula>1</formula>
    </cfRule>
  </conditionalFormatting>
  <conditionalFormatting sqref="EZ101:FA101">
    <cfRule type="cellIs" dxfId="235" priority="234" operator="lessThan">
      <formula>-1</formula>
    </cfRule>
  </conditionalFormatting>
  <conditionalFormatting sqref="FO88">
    <cfRule type="cellIs" dxfId="234" priority="229" operator="greaterThan">
      <formula>1</formula>
    </cfRule>
  </conditionalFormatting>
  <conditionalFormatting sqref="FO88">
    <cfRule type="cellIs" dxfId="233" priority="228" operator="lessThan">
      <formula>-1</formula>
    </cfRule>
  </conditionalFormatting>
  <conditionalFormatting sqref="FO101">
    <cfRule type="cellIs" dxfId="232" priority="227" operator="greaterThan">
      <formula>1</formula>
    </cfRule>
  </conditionalFormatting>
  <conditionalFormatting sqref="FN101:FO101">
    <cfRule type="cellIs" dxfId="231" priority="226" operator="lessThan">
      <formula>-1</formula>
    </cfRule>
  </conditionalFormatting>
  <conditionalFormatting sqref="GC88">
    <cfRule type="cellIs" dxfId="230" priority="225" operator="greaterThan">
      <formula>1</formula>
    </cfRule>
  </conditionalFormatting>
  <conditionalFormatting sqref="GC88">
    <cfRule type="cellIs" dxfId="229" priority="224" operator="lessThan">
      <formula>-1</formula>
    </cfRule>
  </conditionalFormatting>
  <conditionalFormatting sqref="GC101">
    <cfRule type="cellIs" dxfId="228" priority="223" operator="greaterThan">
      <formula>1</formula>
    </cfRule>
  </conditionalFormatting>
  <conditionalFormatting sqref="GB101:GC101">
    <cfRule type="cellIs" dxfId="227" priority="222" operator="lessThan">
      <formula>-1</formula>
    </cfRule>
  </conditionalFormatting>
  <conditionalFormatting sqref="GQ88">
    <cfRule type="cellIs" dxfId="226" priority="221" operator="greaterThan">
      <formula>1</formula>
    </cfRule>
  </conditionalFormatting>
  <conditionalFormatting sqref="GQ88">
    <cfRule type="cellIs" dxfId="225" priority="220" operator="lessThan">
      <formula>-1</formula>
    </cfRule>
  </conditionalFormatting>
  <conditionalFormatting sqref="GQ101">
    <cfRule type="cellIs" dxfId="224" priority="219" operator="greaterThan">
      <formula>1</formula>
    </cfRule>
  </conditionalFormatting>
  <conditionalFormatting sqref="GP101:GQ101">
    <cfRule type="cellIs" dxfId="223" priority="218" operator="lessThan">
      <formula>-1</formula>
    </cfRule>
  </conditionalFormatting>
  <conditionalFormatting sqref="HE88">
    <cfRule type="cellIs" dxfId="222" priority="217" operator="greaterThan">
      <formula>1</formula>
    </cfRule>
  </conditionalFormatting>
  <conditionalFormatting sqref="HE88">
    <cfRule type="cellIs" dxfId="221" priority="216" operator="lessThan">
      <formula>-1</formula>
    </cfRule>
  </conditionalFormatting>
  <conditionalFormatting sqref="HE101">
    <cfRule type="cellIs" dxfId="220" priority="215" operator="greaterThan">
      <formula>1</formula>
    </cfRule>
  </conditionalFormatting>
  <conditionalFormatting sqref="HD101:HE101">
    <cfRule type="cellIs" dxfId="219" priority="214" operator="lessThan">
      <formula>-1</formula>
    </cfRule>
  </conditionalFormatting>
  <conditionalFormatting sqref="HS88">
    <cfRule type="cellIs" dxfId="218" priority="213" operator="greaterThan">
      <formula>1</formula>
    </cfRule>
  </conditionalFormatting>
  <conditionalFormatting sqref="HS88">
    <cfRule type="cellIs" dxfId="217" priority="212" operator="lessThan">
      <formula>-1</formula>
    </cfRule>
  </conditionalFormatting>
  <conditionalFormatting sqref="HS101">
    <cfRule type="cellIs" dxfId="216" priority="211" operator="greaterThan">
      <formula>1</formula>
    </cfRule>
  </conditionalFormatting>
  <conditionalFormatting sqref="HR101:HS101">
    <cfRule type="cellIs" dxfId="215" priority="210" operator="lessThan">
      <formula>-1</formula>
    </cfRule>
  </conditionalFormatting>
  <conditionalFormatting sqref="JI88">
    <cfRule type="cellIs" dxfId="214" priority="209" operator="greaterThan">
      <formula>1</formula>
    </cfRule>
  </conditionalFormatting>
  <conditionalFormatting sqref="JI88">
    <cfRule type="cellIs" dxfId="213" priority="208" operator="lessThan">
      <formula>-1</formula>
    </cfRule>
  </conditionalFormatting>
  <conditionalFormatting sqref="JI101">
    <cfRule type="cellIs" dxfId="212" priority="207" operator="greaterThan">
      <formula>1</formula>
    </cfRule>
  </conditionalFormatting>
  <conditionalFormatting sqref="JH101:JI101">
    <cfRule type="cellIs" dxfId="211" priority="206" operator="lessThan">
      <formula>-1</formula>
    </cfRule>
  </conditionalFormatting>
  <conditionalFormatting sqref="JW88">
    <cfRule type="cellIs" dxfId="210" priority="205" operator="greaterThan">
      <formula>1</formula>
    </cfRule>
  </conditionalFormatting>
  <conditionalFormatting sqref="JW88">
    <cfRule type="cellIs" dxfId="209" priority="204" operator="lessThan">
      <formula>-1</formula>
    </cfRule>
  </conditionalFormatting>
  <conditionalFormatting sqref="JW101">
    <cfRule type="cellIs" dxfId="208" priority="203" operator="greaterThan">
      <formula>1</formula>
    </cfRule>
  </conditionalFormatting>
  <conditionalFormatting sqref="JV101:JW101">
    <cfRule type="cellIs" dxfId="207" priority="202" operator="lessThan">
      <formula>-1</formula>
    </cfRule>
  </conditionalFormatting>
  <conditionalFormatting sqref="KK88">
    <cfRule type="cellIs" dxfId="206" priority="201" operator="greaterThan">
      <formula>1</formula>
    </cfRule>
  </conditionalFormatting>
  <conditionalFormatting sqref="KK88">
    <cfRule type="cellIs" dxfId="205" priority="200" operator="lessThan">
      <formula>-1</formula>
    </cfRule>
  </conditionalFormatting>
  <conditionalFormatting sqref="KK101">
    <cfRule type="cellIs" dxfId="204" priority="199" operator="greaterThan">
      <formula>1</formula>
    </cfRule>
  </conditionalFormatting>
  <conditionalFormatting sqref="KJ101:KK101">
    <cfRule type="cellIs" dxfId="203" priority="198" operator="lessThan">
      <formula>-1</formula>
    </cfRule>
  </conditionalFormatting>
  <conditionalFormatting sqref="KY88">
    <cfRule type="cellIs" dxfId="202" priority="197" operator="greaterThan">
      <formula>1</formula>
    </cfRule>
  </conditionalFormatting>
  <conditionalFormatting sqref="KY88">
    <cfRule type="cellIs" dxfId="201" priority="196" operator="lessThan">
      <formula>-1</formula>
    </cfRule>
  </conditionalFormatting>
  <conditionalFormatting sqref="KY101">
    <cfRule type="cellIs" dxfId="200" priority="195" operator="greaterThan">
      <formula>1</formula>
    </cfRule>
  </conditionalFormatting>
  <conditionalFormatting sqref="KX101:KY101">
    <cfRule type="cellIs" dxfId="199" priority="194" operator="lessThan">
      <formula>-1</formula>
    </cfRule>
  </conditionalFormatting>
  <conditionalFormatting sqref="LM88">
    <cfRule type="cellIs" dxfId="198" priority="193" operator="greaterThan">
      <formula>1</formula>
    </cfRule>
  </conditionalFormatting>
  <conditionalFormatting sqref="LM88">
    <cfRule type="cellIs" dxfId="197" priority="192" operator="lessThan">
      <formula>-1</formula>
    </cfRule>
  </conditionalFormatting>
  <conditionalFormatting sqref="LM101">
    <cfRule type="cellIs" dxfId="196" priority="191" operator="greaterThan">
      <formula>1</formula>
    </cfRule>
  </conditionalFormatting>
  <conditionalFormatting sqref="LL101:LM101">
    <cfRule type="cellIs" dxfId="195" priority="190" operator="lessThan">
      <formula>-1</formula>
    </cfRule>
  </conditionalFormatting>
  <conditionalFormatting sqref="MA88">
    <cfRule type="cellIs" dxfId="194" priority="189" operator="greaterThan">
      <formula>1</formula>
    </cfRule>
  </conditionalFormatting>
  <conditionalFormatting sqref="MA88">
    <cfRule type="cellIs" dxfId="193" priority="188" operator="lessThan">
      <formula>-1</formula>
    </cfRule>
  </conditionalFormatting>
  <conditionalFormatting sqref="MA101">
    <cfRule type="cellIs" dxfId="192" priority="187" operator="greaterThan">
      <formula>1</formula>
    </cfRule>
  </conditionalFormatting>
  <conditionalFormatting sqref="LZ101:MA101">
    <cfRule type="cellIs" dxfId="191" priority="186" operator="lessThan">
      <formula>-1</formula>
    </cfRule>
  </conditionalFormatting>
  <conditionalFormatting sqref="MO88">
    <cfRule type="cellIs" dxfId="190" priority="185" operator="greaterThan">
      <formula>1</formula>
    </cfRule>
  </conditionalFormatting>
  <conditionalFormatting sqref="MO88">
    <cfRule type="cellIs" dxfId="189" priority="184" operator="lessThan">
      <formula>-1</formula>
    </cfRule>
  </conditionalFormatting>
  <conditionalFormatting sqref="MO101">
    <cfRule type="cellIs" dxfId="188" priority="183" operator="greaterThan">
      <formula>1</formula>
    </cfRule>
  </conditionalFormatting>
  <conditionalFormatting sqref="MN101:MO101">
    <cfRule type="cellIs" dxfId="187" priority="182" operator="lessThan">
      <formula>-1</formula>
    </cfRule>
  </conditionalFormatting>
  <conditionalFormatting sqref="NC88">
    <cfRule type="cellIs" dxfId="186" priority="181" operator="greaterThan">
      <formula>1</formula>
    </cfRule>
  </conditionalFormatting>
  <conditionalFormatting sqref="NC88">
    <cfRule type="cellIs" dxfId="185" priority="180" operator="lessThan">
      <formula>-1</formula>
    </cfRule>
  </conditionalFormatting>
  <conditionalFormatting sqref="NC101">
    <cfRule type="cellIs" dxfId="184" priority="179" operator="greaterThan">
      <formula>1</formula>
    </cfRule>
  </conditionalFormatting>
  <conditionalFormatting sqref="NB101:NC101">
    <cfRule type="cellIs" dxfId="183" priority="178" operator="lessThan">
      <formula>-1</formula>
    </cfRule>
  </conditionalFormatting>
  <conditionalFormatting sqref="NQ88">
    <cfRule type="cellIs" dxfId="182" priority="177" operator="greaterThan">
      <formula>1</formula>
    </cfRule>
  </conditionalFormatting>
  <conditionalFormatting sqref="NQ88">
    <cfRule type="cellIs" dxfId="181" priority="176" operator="lessThan">
      <formula>-1</formula>
    </cfRule>
  </conditionalFormatting>
  <conditionalFormatting sqref="NQ101">
    <cfRule type="cellIs" dxfId="180" priority="175" operator="greaterThan">
      <formula>1</formula>
    </cfRule>
  </conditionalFormatting>
  <conditionalFormatting sqref="NP101:NQ101">
    <cfRule type="cellIs" dxfId="179" priority="174" operator="lessThan">
      <formula>-1</formula>
    </cfRule>
  </conditionalFormatting>
  <conditionalFormatting sqref="OE88">
    <cfRule type="cellIs" dxfId="178" priority="173" operator="greaterThan">
      <formula>1</formula>
    </cfRule>
  </conditionalFormatting>
  <conditionalFormatting sqref="OE88">
    <cfRule type="cellIs" dxfId="177" priority="172" operator="lessThan">
      <formula>-1</formula>
    </cfRule>
  </conditionalFormatting>
  <conditionalFormatting sqref="OE101">
    <cfRule type="cellIs" dxfId="176" priority="171" operator="greaterThan">
      <formula>1</formula>
    </cfRule>
  </conditionalFormatting>
  <conditionalFormatting sqref="OD101:OE101">
    <cfRule type="cellIs" dxfId="175" priority="170" operator="lessThan">
      <formula>-1</formula>
    </cfRule>
  </conditionalFormatting>
  <conditionalFormatting sqref="OS88">
    <cfRule type="cellIs" dxfId="174" priority="169" operator="greaterThan">
      <formula>1</formula>
    </cfRule>
  </conditionalFormatting>
  <conditionalFormatting sqref="OS88">
    <cfRule type="cellIs" dxfId="173" priority="168" operator="lessThan">
      <formula>-1</formula>
    </cfRule>
  </conditionalFormatting>
  <conditionalFormatting sqref="OS101">
    <cfRule type="cellIs" dxfId="172" priority="167" operator="greaterThan">
      <formula>1</formula>
    </cfRule>
  </conditionalFormatting>
  <conditionalFormatting sqref="OR101:OS101">
    <cfRule type="cellIs" dxfId="171" priority="166" operator="lessThan">
      <formula>-1</formula>
    </cfRule>
  </conditionalFormatting>
  <conditionalFormatting sqref="PG88">
    <cfRule type="cellIs" dxfId="170" priority="165" operator="greaterThan">
      <formula>1</formula>
    </cfRule>
  </conditionalFormatting>
  <conditionalFormatting sqref="PG88">
    <cfRule type="cellIs" dxfId="169" priority="164" operator="lessThan">
      <formula>-1</formula>
    </cfRule>
  </conditionalFormatting>
  <conditionalFormatting sqref="PG101">
    <cfRule type="cellIs" dxfId="168" priority="163" operator="greaterThan">
      <formula>1</formula>
    </cfRule>
  </conditionalFormatting>
  <conditionalFormatting sqref="PF101:PG101">
    <cfRule type="cellIs" dxfId="167" priority="162" operator="lessThan">
      <formula>-1</formula>
    </cfRule>
  </conditionalFormatting>
  <conditionalFormatting sqref="PU88">
    <cfRule type="cellIs" dxfId="166" priority="161" operator="greaterThan">
      <formula>1</formula>
    </cfRule>
  </conditionalFormatting>
  <conditionalFormatting sqref="PU88">
    <cfRule type="cellIs" dxfId="165" priority="160" operator="lessThan">
      <formula>-1</formula>
    </cfRule>
  </conditionalFormatting>
  <conditionalFormatting sqref="PU101">
    <cfRule type="cellIs" dxfId="164" priority="159" operator="greaterThan">
      <formula>1</formula>
    </cfRule>
  </conditionalFormatting>
  <conditionalFormatting sqref="PT101:PU101">
    <cfRule type="cellIs" dxfId="163" priority="158" operator="lessThan">
      <formula>-1</formula>
    </cfRule>
  </conditionalFormatting>
  <conditionalFormatting sqref="QI88">
    <cfRule type="cellIs" dxfId="162" priority="157" operator="greaterThan">
      <formula>1</formula>
    </cfRule>
  </conditionalFormatting>
  <conditionalFormatting sqref="QI88">
    <cfRule type="cellIs" dxfId="161" priority="156" operator="lessThan">
      <formula>-1</formula>
    </cfRule>
  </conditionalFormatting>
  <conditionalFormatting sqref="QI101">
    <cfRule type="cellIs" dxfId="160" priority="155" operator="greaterThan">
      <formula>1</formula>
    </cfRule>
  </conditionalFormatting>
  <conditionalFormatting sqref="QH101:QI101">
    <cfRule type="cellIs" dxfId="159" priority="154" operator="lessThan">
      <formula>-1</formula>
    </cfRule>
  </conditionalFormatting>
  <conditionalFormatting sqref="QW88">
    <cfRule type="cellIs" dxfId="158" priority="153" operator="greaterThan">
      <formula>1</formula>
    </cfRule>
  </conditionalFormatting>
  <conditionalFormatting sqref="QW88">
    <cfRule type="cellIs" dxfId="157" priority="152" operator="lessThan">
      <formula>-1</formula>
    </cfRule>
  </conditionalFormatting>
  <conditionalFormatting sqref="QW101">
    <cfRule type="cellIs" dxfId="156" priority="151" operator="greaterThan">
      <formula>1</formula>
    </cfRule>
  </conditionalFormatting>
  <conditionalFormatting sqref="QV101:QW101">
    <cfRule type="cellIs" dxfId="155" priority="150" operator="lessThan">
      <formula>-1</formula>
    </cfRule>
  </conditionalFormatting>
  <conditionalFormatting sqref="RK88">
    <cfRule type="cellIs" dxfId="154" priority="149" operator="greaterThan">
      <formula>1</formula>
    </cfRule>
  </conditionalFormatting>
  <conditionalFormatting sqref="RK88">
    <cfRule type="cellIs" dxfId="153" priority="148" operator="lessThan">
      <formula>-1</formula>
    </cfRule>
  </conditionalFormatting>
  <conditionalFormatting sqref="RK101">
    <cfRule type="cellIs" dxfId="152" priority="147" operator="greaterThan">
      <formula>1</formula>
    </cfRule>
  </conditionalFormatting>
  <conditionalFormatting sqref="RJ101:RK101">
    <cfRule type="cellIs" dxfId="151" priority="146" operator="lessThan">
      <formula>-1</formula>
    </cfRule>
  </conditionalFormatting>
  <conditionalFormatting sqref="RY88">
    <cfRule type="cellIs" dxfId="150" priority="145" operator="greaterThan">
      <formula>1</formula>
    </cfRule>
  </conditionalFormatting>
  <conditionalFormatting sqref="RY88">
    <cfRule type="cellIs" dxfId="149" priority="144" operator="lessThan">
      <formula>-1</formula>
    </cfRule>
  </conditionalFormatting>
  <conditionalFormatting sqref="RY101">
    <cfRule type="cellIs" dxfId="148" priority="143" operator="greaterThan">
      <formula>1</formula>
    </cfRule>
  </conditionalFormatting>
  <conditionalFormatting sqref="RX101:RY101">
    <cfRule type="cellIs" dxfId="147" priority="142" operator="lessThan">
      <formula>-1</formula>
    </cfRule>
  </conditionalFormatting>
  <conditionalFormatting sqref="SM88">
    <cfRule type="cellIs" dxfId="146" priority="141" operator="greaterThan">
      <formula>1</formula>
    </cfRule>
  </conditionalFormatting>
  <conditionalFormatting sqref="SM88">
    <cfRule type="cellIs" dxfId="145" priority="140" operator="lessThan">
      <formula>-1</formula>
    </cfRule>
  </conditionalFormatting>
  <conditionalFormatting sqref="SM101">
    <cfRule type="cellIs" dxfId="144" priority="139" operator="greaterThan">
      <formula>1</formula>
    </cfRule>
  </conditionalFormatting>
  <conditionalFormatting sqref="SL101:SM101">
    <cfRule type="cellIs" dxfId="143" priority="138" operator="lessThan">
      <formula>-1</formula>
    </cfRule>
  </conditionalFormatting>
  <conditionalFormatting sqref="TA88">
    <cfRule type="cellIs" dxfId="142" priority="137" operator="greaterThan">
      <formula>1</formula>
    </cfRule>
  </conditionalFormatting>
  <conditionalFormatting sqref="TA88">
    <cfRule type="cellIs" dxfId="141" priority="136" operator="lessThan">
      <formula>-1</formula>
    </cfRule>
  </conditionalFormatting>
  <conditionalFormatting sqref="TA101">
    <cfRule type="cellIs" dxfId="140" priority="135" operator="greaterThan">
      <formula>1</formula>
    </cfRule>
  </conditionalFormatting>
  <conditionalFormatting sqref="SZ101:TA101">
    <cfRule type="cellIs" dxfId="139" priority="134" operator="lessThan">
      <formula>-1</formula>
    </cfRule>
  </conditionalFormatting>
  <conditionalFormatting sqref="B74:E74 H74">
    <cfRule type="cellIs" dxfId="138" priority="133" operator="equal">
      <formula>"Rev"</formula>
    </cfRule>
  </conditionalFormatting>
  <conditionalFormatting sqref="H73:H74">
    <cfRule type="cellIs" dxfId="137" priority="131" operator="lessThan">
      <formula>-1</formula>
    </cfRule>
    <cfRule type="cellIs" dxfId="136" priority="132" operator="greaterThan">
      <formula>1</formula>
    </cfRule>
  </conditionalFormatting>
  <conditionalFormatting sqref="BF74:BI74 BL74">
    <cfRule type="cellIs" dxfId="135" priority="130" operator="equal">
      <formula>"Rev"</formula>
    </cfRule>
  </conditionalFormatting>
  <conditionalFormatting sqref="BL73:BL74">
    <cfRule type="cellIs" dxfId="134" priority="128" operator="lessThan">
      <formula>-1</formula>
    </cfRule>
    <cfRule type="cellIs" dxfId="133" priority="129" operator="greaterThan">
      <formula>1</formula>
    </cfRule>
  </conditionalFormatting>
  <conditionalFormatting sqref="BT74:BW74 BZ74">
    <cfRule type="cellIs" dxfId="132" priority="127" operator="equal">
      <formula>"Rev"</formula>
    </cfRule>
  </conditionalFormatting>
  <conditionalFormatting sqref="BZ73:BZ74">
    <cfRule type="cellIs" dxfId="131" priority="125" operator="lessThan">
      <formula>-1</formula>
    </cfRule>
    <cfRule type="cellIs" dxfId="130" priority="126" operator="greaterThan">
      <formula>1</formula>
    </cfRule>
  </conditionalFormatting>
  <conditionalFormatting sqref="CH74:CK74 CN74">
    <cfRule type="cellIs" dxfId="129" priority="124" operator="equal">
      <formula>"Rev"</formula>
    </cfRule>
  </conditionalFormatting>
  <conditionalFormatting sqref="CN73:CN74">
    <cfRule type="cellIs" dxfId="128" priority="122" operator="lessThan">
      <formula>-1</formula>
    </cfRule>
    <cfRule type="cellIs" dxfId="127" priority="123" operator="greaterThan">
      <formula>1</formula>
    </cfRule>
  </conditionalFormatting>
  <conditionalFormatting sqref="CV74:CY74 DB74">
    <cfRule type="cellIs" dxfId="126" priority="121" operator="equal">
      <formula>"Rev"</formula>
    </cfRule>
  </conditionalFormatting>
  <conditionalFormatting sqref="DB73:DB74">
    <cfRule type="cellIs" dxfId="125" priority="119" operator="lessThan">
      <formula>-1</formula>
    </cfRule>
    <cfRule type="cellIs" dxfId="124" priority="120" operator="greaterThan">
      <formula>1</formula>
    </cfRule>
  </conditionalFormatting>
  <conditionalFormatting sqref="DJ74:DM74 DP74">
    <cfRule type="cellIs" dxfId="123" priority="118" operator="equal">
      <formula>"Rev"</formula>
    </cfRule>
  </conditionalFormatting>
  <conditionalFormatting sqref="DP73:DP74">
    <cfRule type="cellIs" dxfId="122" priority="116" operator="lessThan">
      <formula>-1</formula>
    </cfRule>
    <cfRule type="cellIs" dxfId="121" priority="117" operator="greaterThan">
      <formula>1</formula>
    </cfRule>
  </conditionalFormatting>
  <conditionalFormatting sqref="DX74:EA74 ED74">
    <cfRule type="cellIs" dxfId="120" priority="115" operator="equal">
      <formula>"Rev"</formula>
    </cfRule>
  </conditionalFormatting>
  <conditionalFormatting sqref="ED73:ED74">
    <cfRule type="cellIs" dxfId="119" priority="113" operator="lessThan">
      <formula>-1</formula>
    </cfRule>
    <cfRule type="cellIs" dxfId="118" priority="114" operator="greaterThan">
      <formula>1</formula>
    </cfRule>
  </conditionalFormatting>
  <conditionalFormatting sqref="EL74:EO74 ER74">
    <cfRule type="cellIs" dxfId="117" priority="112" operator="equal">
      <formula>"Rev"</formula>
    </cfRule>
  </conditionalFormatting>
  <conditionalFormatting sqref="ER73:ER74">
    <cfRule type="cellIs" dxfId="116" priority="110" operator="lessThan">
      <formula>-1</formula>
    </cfRule>
    <cfRule type="cellIs" dxfId="115" priority="111" operator="greaterThan">
      <formula>1</formula>
    </cfRule>
  </conditionalFormatting>
  <conditionalFormatting sqref="EZ74:FC74 FF74">
    <cfRule type="cellIs" dxfId="114" priority="109" operator="equal">
      <formula>"Rev"</formula>
    </cfRule>
  </conditionalFormatting>
  <conditionalFormatting sqref="FF73:FF74">
    <cfRule type="cellIs" dxfId="113" priority="107" operator="lessThan">
      <formula>-1</formula>
    </cfRule>
    <cfRule type="cellIs" dxfId="112" priority="108" operator="greaterThan">
      <formula>1</formula>
    </cfRule>
  </conditionalFormatting>
  <conditionalFormatting sqref="FN74:FQ74 FT74">
    <cfRule type="cellIs" dxfId="111" priority="106" operator="equal">
      <formula>"Rev"</formula>
    </cfRule>
  </conditionalFormatting>
  <conditionalFormatting sqref="FT73:FT74">
    <cfRule type="cellIs" dxfId="110" priority="104" operator="lessThan">
      <formula>-1</formula>
    </cfRule>
    <cfRule type="cellIs" dxfId="109" priority="105" operator="greaterThan">
      <formula>1</formula>
    </cfRule>
  </conditionalFormatting>
  <conditionalFormatting sqref="GB74:GE74 GH74">
    <cfRule type="cellIs" dxfId="108" priority="103" operator="equal">
      <formula>"Rev"</formula>
    </cfRule>
  </conditionalFormatting>
  <conditionalFormatting sqref="GH73:GH74">
    <cfRule type="cellIs" dxfId="107" priority="101" operator="lessThan">
      <formula>-1</formula>
    </cfRule>
    <cfRule type="cellIs" dxfId="106" priority="102" operator="greaterThan">
      <formula>1</formula>
    </cfRule>
  </conditionalFormatting>
  <conditionalFormatting sqref="GP74:GS74 GV74">
    <cfRule type="cellIs" dxfId="105" priority="100" operator="equal">
      <formula>"Rev"</formula>
    </cfRule>
  </conditionalFormatting>
  <conditionalFormatting sqref="GV73:GV74">
    <cfRule type="cellIs" dxfId="104" priority="98" operator="lessThan">
      <formula>-1</formula>
    </cfRule>
    <cfRule type="cellIs" dxfId="103" priority="99" operator="greaterThan">
      <formula>1</formula>
    </cfRule>
  </conditionalFormatting>
  <conditionalFormatting sqref="HD74:HG74 HJ74">
    <cfRule type="cellIs" dxfId="102" priority="97" operator="equal">
      <formula>"Rev"</formula>
    </cfRule>
  </conditionalFormatting>
  <conditionalFormatting sqref="HJ73:HJ74">
    <cfRule type="cellIs" dxfId="101" priority="95" operator="lessThan">
      <formula>-1</formula>
    </cfRule>
    <cfRule type="cellIs" dxfId="100" priority="96" operator="greaterThan">
      <formula>1</formula>
    </cfRule>
  </conditionalFormatting>
  <conditionalFormatting sqref="HR74:HU74 HX74">
    <cfRule type="cellIs" dxfId="99" priority="94" operator="equal">
      <formula>"Rev"</formula>
    </cfRule>
  </conditionalFormatting>
  <conditionalFormatting sqref="HX73:HX74">
    <cfRule type="cellIs" dxfId="98" priority="92" operator="lessThan">
      <formula>-1</formula>
    </cfRule>
    <cfRule type="cellIs" dxfId="97" priority="93" operator="greaterThan">
      <formula>1</formula>
    </cfRule>
  </conditionalFormatting>
  <conditionalFormatting sqref="JH74:JK74 JN74">
    <cfRule type="cellIs" dxfId="96" priority="91" operator="equal">
      <formula>"Rev"</formula>
    </cfRule>
  </conditionalFormatting>
  <conditionalFormatting sqref="JN73:JN74">
    <cfRule type="cellIs" dxfId="95" priority="89" operator="lessThan">
      <formula>-1</formula>
    </cfRule>
    <cfRule type="cellIs" dxfId="94" priority="90" operator="greaterThan">
      <formula>1</formula>
    </cfRule>
  </conditionalFormatting>
  <conditionalFormatting sqref="JV74:JY74 KB74">
    <cfRule type="cellIs" dxfId="93" priority="88" operator="equal">
      <formula>"Rev"</formula>
    </cfRule>
  </conditionalFormatting>
  <conditionalFormatting sqref="KB73:KB74">
    <cfRule type="cellIs" dxfId="92" priority="86" operator="lessThan">
      <formula>-1</formula>
    </cfRule>
    <cfRule type="cellIs" dxfId="91" priority="87" operator="greaterThan">
      <formula>1</formula>
    </cfRule>
  </conditionalFormatting>
  <conditionalFormatting sqref="KJ74:KM74 KP74">
    <cfRule type="cellIs" dxfId="90" priority="85" operator="equal">
      <formula>"Rev"</formula>
    </cfRule>
  </conditionalFormatting>
  <conditionalFormatting sqref="KP73:KP74">
    <cfRule type="cellIs" dxfId="89" priority="83" operator="lessThan">
      <formula>-1</formula>
    </cfRule>
    <cfRule type="cellIs" dxfId="88" priority="84" operator="greaterThan">
      <formula>1</formula>
    </cfRule>
  </conditionalFormatting>
  <conditionalFormatting sqref="KX74:LA74 LD74">
    <cfRule type="cellIs" dxfId="87" priority="82" operator="equal">
      <formula>"Rev"</formula>
    </cfRule>
  </conditionalFormatting>
  <conditionalFormatting sqref="LD73:LD74">
    <cfRule type="cellIs" dxfId="86" priority="80" operator="lessThan">
      <formula>-1</formula>
    </cfRule>
    <cfRule type="cellIs" dxfId="85" priority="81" operator="greaterThan">
      <formula>1</formula>
    </cfRule>
  </conditionalFormatting>
  <conditionalFormatting sqref="LL74:LO74 LR74">
    <cfRule type="cellIs" dxfId="84" priority="79" operator="equal">
      <formula>"Rev"</formula>
    </cfRule>
  </conditionalFormatting>
  <conditionalFormatting sqref="LR73:LR74">
    <cfRule type="cellIs" dxfId="83" priority="77" operator="lessThan">
      <formula>-1</formula>
    </cfRule>
    <cfRule type="cellIs" dxfId="82" priority="78" operator="greaterThan">
      <formula>1</formula>
    </cfRule>
  </conditionalFormatting>
  <conditionalFormatting sqref="LZ74:MC74 MF74">
    <cfRule type="cellIs" dxfId="81" priority="76" operator="equal">
      <formula>"Rev"</formula>
    </cfRule>
  </conditionalFormatting>
  <conditionalFormatting sqref="MF73:MF74">
    <cfRule type="cellIs" dxfId="80" priority="74" operator="lessThan">
      <formula>-1</formula>
    </cfRule>
    <cfRule type="cellIs" dxfId="79" priority="75" operator="greaterThan">
      <formula>1</formula>
    </cfRule>
  </conditionalFormatting>
  <conditionalFormatting sqref="MN74:MQ74 MT74">
    <cfRule type="cellIs" dxfId="78" priority="73" operator="equal">
      <formula>"Rev"</formula>
    </cfRule>
  </conditionalFormatting>
  <conditionalFormatting sqref="MT73:MT74">
    <cfRule type="cellIs" dxfId="77" priority="71" operator="lessThan">
      <formula>-1</formula>
    </cfRule>
    <cfRule type="cellIs" dxfId="76" priority="72" operator="greaterThan">
      <formula>1</formula>
    </cfRule>
  </conditionalFormatting>
  <conditionalFormatting sqref="NB74:NE74 NH74">
    <cfRule type="cellIs" dxfId="75" priority="70" operator="equal">
      <formula>"Rev"</formula>
    </cfRule>
  </conditionalFormatting>
  <conditionalFormatting sqref="NH73:NH74">
    <cfRule type="cellIs" dxfId="74" priority="68" operator="lessThan">
      <formula>-1</formula>
    </cfRule>
    <cfRule type="cellIs" dxfId="73" priority="69" operator="greaterThan">
      <formula>1</formula>
    </cfRule>
  </conditionalFormatting>
  <conditionalFormatting sqref="NP74:NS74 NV74">
    <cfRule type="cellIs" dxfId="72" priority="67" operator="equal">
      <formula>"Rev"</formula>
    </cfRule>
  </conditionalFormatting>
  <conditionalFormatting sqref="NV73:NV74">
    <cfRule type="cellIs" dxfId="71" priority="65" operator="lessThan">
      <formula>-1</formula>
    </cfRule>
    <cfRule type="cellIs" dxfId="70" priority="66" operator="greaterThan">
      <formula>1</formula>
    </cfRule>
  </conditionalFormatting>
  <conditionalFormatting sqref="OD74:OG74 OJ74">
    <cfRule type="cellIs" dxfId="69" priority="64" operator="equal">
      <formula>"Rev"</formula>
    </cfRule>
  </conditionalFormatting>
  <conditionalFormatting sqref="OJ73:OJ74">
    <cfRule type="cellIs" dxfId="68" priority="62" operator="lessThan">
      <formula>-1</formula>
    </cfRule>
    <cfRule type="cellIs" dxfId="67" priority="63" operator="greaterThan">
      <formula>1</formula>
    </cfRule>
  </conditionalFormatting>
  <conditionalFormatting sqref="OR74:OU74 OX74">
    <cfRule type="cellIs" dxfId="66" priority="61" operator="equal">
      <formula>"Rev"</formula>
    </cfRule>
  </conditionalFormatting>
  <conditionalFormatting sqref="OX73:OX74">
    <cfRule type="cellIs" dxfId="65" priority="59" operator="lessThan">
      <formula>-1</formula>
    </cfRule>
    <cfRule type="cellIs" dxfId="64" priority="60" operator="greaterThan">
      <formula>1</formula>
    </cfRule>
  </conditionalFormatting>
  <conditionalFormatting sqref="PF74:PI74 PL74">
    <cfRule type="cellIs" dxfId="63" priority="58" operator="equal">
      <formula>"Rev"</formula>
    </cfRule>
  </conditionalFormatting>
  <conditionalFormatting sqref="PL73:PL74">
    <cfRule type="cellIs" dxfId="62" priority="56" operator="lessThan">
      <formula>-1</formula>
    </cfRule>
    <cfRule type="cellIs" dxfId="61" priority="57" operator="greaterThan">
      <formula>1</formula>
    </cfRule>
  </conditionalFormatting>
  <conditionalFormatting sqref="PT74:PW74 PZ74">
    <cfRule type="cellIs" dxfId="60" priority="55" operator="equal">
      <formula>"Rev"</formula>
    </cfRule>
  </conditionalFormatting>
  <conditionalFormatting sqref="PZ73:PZ74">
    <cfRule type="cellIs" dxfId="59" priority="53" operator="lessThan">
      <formula>-1</formula>
    </cfRule>
    <cfRule type="cellIs" dxfId="58" priority="54" operator="greaterThan">
      <formula>1</formula>
    </cfRule>
  </conditionalFormatting>
  <conditionalFormatting sqref="QH74:QK74 QN74">
    <cfRule type="cellIs" dxfId="57" priority="52" operator="equal">
      <formula>"Rev"</formula>
    </cfRule>
  </conditionalFormatting>
  <conditionalFormatting sqref="QN73:QN74">
    <cfRule type="cellIs" dxfId="56" priority="50" operator="lessThan">
      <formula>-1</formula>
    </cfRule>
    <cfRule type="cellIs" dxfId="55" priority="51" operator="greaterThan">
      <formula>1</formula>
    </cfRule>
  </conditionalFormatting>
  <conditionalFormatting sqref="QV74:QY74 RB74">
    <cfRule type="cellIs" dxfId="54" priority="49" operator="equal">
      <formula>"Rev"</formula>
    </cfRule>
  </conditionalFormatting>
  <conditionalFormatting sqref="RB73:RB74">
    <cfRule type="cellIs" dxfId="53" priority="47" operator="lessThan">
      <formula>-1</formula>
    </cfRule>
    <cfRule type="cellIs" dxfId="52" priority="48" operator="greaterThan">
      <formula>1</formula>
    </cfRule>
  </conditionalFormatting>
  <conditionalFormatting sqref="RJ74:RM74 RP74">
    <cfRule type="cellIs" dxfId="51" priority="46" operator="equal">
      <formula>"Rev"</formula>
    </cfRule>
  </conditionalFormatting>
  <conditionalFormatting sqref="RP73:RP74">
    <cfRule type="cellIs" dxfId="50" priority="44" operator="lessThan">
      <formula>-1</formula>
    </cfRule>
    <cfRule type="cellIs" dxfId="49" priority="45" operator="greaterThan">
      <formula>1</formula>
    </cfRule>
  </conditionalFormatting>
  <conditionalFormatting sqref="RX74:SA74 SD74">
    <cfRule type="cellIs" dxfId="48" priority="43" operator="equal">
      <formula>"Rev"</formula>
    </cfRule>
  </conditionalFormatting>
  <conditionalFormatting sqref="SD73:SD74">
    <cfRule type="cellIs" dxfId="47" priority="41" operator="lessThan">
      <formula>-1</formula>
    </cfRule>
    <cfRule type="cellIs" dxfId="46" priority="42" operator="greaterThan">
      <formula>1</formula>
    </cfRule>
  </conditionalFormatting>
  <conditionalFormatting sqref="SL74:SO74 SR74">
    <cfRule type="cellIs" dxfId="45" priority="40" operator="equal">
      <formula>"Rev"</formula>
    </cfRule>
  </conditionalFormatting>
  <conditionalFormatting sqref="SR73:SR74">
    <cfRule type="cellIs" dxfId="44" priority="38" operator="lessThan">
      <formula>-1</formula>
    </cfRule>
    <cfRule type="cellIs" dxfId="43" priority="39" operator="greaterThan">
      <formula>1</formula>
    </cfRule>
  </conditionalFormatting>
  <conditionalFormatting sqref="SZ74:TC74 TF74">
    <cfRule type="cellIs" dxfId="42" priority="37" operator="equal">
      <formula>"Rev"</formula>
    </cfRule>
  </conditionalFormatting>
  <conditionalFormatting sqref="TF73:TF74">
    <cfRule type="cellIs" dxfId="41" priority="35" operator="lessThan">
      <formula>-1</formula>
    </cfRule>
    <cfRule type="cellIs" dxfId="40" priority="36" operator="greaterThan">
      <formula>1</formula>
    </cfRule>
  </conditionalFormatting>
  <conditionalFormatting sqref="M72">
    <cfRule type="cellIs" dxfId="39" priority="34" operator="notEqual">
      <formula>1</formula>
    </cfRule>
  </conditionalFormatting>
  <conditionalFormatting sqref="BC72">
    <cfRule type="cellIs" dxfId="38" priority="33" operator="notEqual">
      <formula>1</formula>
    </cfRule>
  </conditionalFormatting>
  <conditionalFormatting sqref="BQ72">
    <cfRule type="cellIs" dxfId="37" priority="32" operator="notEqual">
      <formula>1</formula>
    </cfRule>
  </conditionalFormatting>
  <conditionalFormatting sqref="CE72">
    <cfRule type="cellIs" dxfId="36" priority="31" operator="notEqual">
      <formula>1</formula>
    </cfRule>
  </conditionalFormatting>
  <conditionalFormatting sqref="CS72">
    <cfRule type="cellIs" dxfId="35" priority="30" operator="notEqual">
      <formula>1</formula>
    </cfRule>
  </conditionalFormatting>
  <conditionalFormatting sqref="DG72">
    <cfRule type="cellIs" dxfId="34" priority="29" operator="notEqual">
      <formula>1</formula>
    </cfRule>
  </conditionalFormatting>
  <conditionalFormatting sqref="DU72">
    <cfRule type="cellIs" dxfId="33" priority="28" operator="notEqual">
      <formula>1</formula>
    </cfRule>
  </conditionalFormatting>
  <conditionalFormatting sqref="EI72">
    <cfRule type="cellIs" dxfId="32" priority="27" operator="notEqual">
      <formula>1</formula>
    </cfRule>
  </conditionalFormatting>
  <conditionalFormatting sqref="ES72">
    <cfRule type="cellIs" dxfId="31" priority="26" operator="notEqual">
      <formula>1</formula>
    </cfRule>
  </conditionalFormatting>
  <conditionalFormatting sqref="FK72">
    <cfRule type="cellIs" dxfId="30" priority="25" operator="notEqual">
      <formula>1</formula>
    </cfRule>
  </conditionalFormatting>
  <conditionalFormatting sqref="FY72">
    <cfRule type="cellIs" dxfId="29" priority="24" operator="notEqual">
      <formula>1</formula>
    </cfRule>
  </conditionalFormatting>
  <conditionalFormatting sqref="GM72">
    <cfRule type="cellIs" dxfId="28" priority="23" operator="notEqual">
      <formula>1</formula>
    </cfRule>
  </conditionalFormatting>
  <conditionalFormatting sqref="HA72">
    <cfRule type="cellIs" dxfId="27" priority="22" operator="notEqual">
      <formula>1</formula>
    </cfRule>
  </conditionalFormatting>
  <conditionalFormatting sqref="HO72">
    <cfRule type="cellIs" dxfId="26" priority="21" operator="notEqual">
      <formula>1</formula>
    </cfRule>
  </conditionalFormatting>
  <conditionalFormatting sqref="IC72">
    <cfRule type="cellIs" dxfId="25" priority="20" operator="notEqual">
      <formula>1</formula>
    </cfRule>
  </conditionalFormatting>
  <conditionalFormatting sqref="JS72">
    <cfRule type="cellIs" dxfId="24" priority="19" operator="notEqual">
      <formula>1</formula>
    </cfRule>
  </conditionalFormatting>
  <conditionalFormatting sqref="KG72">
    <cfRule type="cellIs" dxfId="23" priority="18" operator="notEqual">
      <formula>1</formula>
    </cfRule>
  </conditionalFormatting>
  <conditionalFormatting sqref="KU72">
    <cfRule type="cellIs" dxfId="22" priority="17" operator="notEqual">
      <formula>1</formula>
    </cfRule>
  </conditionalFormatting>
  <conditionalFormatting sqref="LI72">
    <cfRule type="cellIs" dxfId="21" priority="16" operator="notEqual">
      <formula>1</formula>
    </cfRule>
  </conditionalFormatting>
  <conditionalFormatting sqref="LW72">
    <cfRule type="cellIs" dxfId="20" priority="15" operator="notEqual">
      <formula>1</formula>
    </cfRule>
  </conditionalFormatting>
  <conditionalFormatting sqref="MK72">
    <cfRule type="cellIs" dxfId="19" priority="14" operator="notEqual">
      <formula>1</formula>
    </cfRule>
  </conditionalFormatting>
  <conditionalFormatting sqref="MY72">
    <cfRule type="cellIs" dxfId="18" priority="13" operator="notEqual">
      <formula>1</formula>
    </cfRule>
  </conditionalFormatting>
  <conditionalFormatting sqref="NM72">
    <cfRule type="cellIs" dxfId="17" priority="12" operator="notEqual">
      <formula>1</formula>
    </cfRule>
  </conditionalFormatting>
  <conditionalFormatting sqref="OA72">
    <cfRule type="cellIs" dxfId="16" priority="11" operator="notEqual">
      <formula>1</formula>
    </cfRule>
  </conditionalFormatting>
  <conditionalFormatting sqref="OO72">
    <cfRule type="cellIs" dxfId="15" priority="10" operator="notEqual">
      <formula>1</formula>
    </cfRule>
  </conditionalFormatting>
  <conditionalFormatting sqref="PC72">
    <cfRule type="cellIs" dxfId="14" priority="9" operator="notEqual">
      <formula>1</formula>
    </cfRule>
  </conditionalFormatting>
  <conditionalFormatting sqref="PQ72">
    <cfRule type="cellIs" dxfId="13" priority="8" operator="notEqual">
      <formula>1</formula>
    </cfRule>
  </conditionalFormatting>
  <conditionalFormatting sqref="QE72">
    <cfRule type="cellIs" dxfId="12" priority="7" operator="notEqual">
      <formula>1</formula>
    </cfRule>
  </conditionalFormatting>
  <conditionalFormatting sqref="QS72">
    <cfRule type="cellIs" dxfId="11" priority="6" operator="notEqual">
      <formula>1</formula>
    </cfRule>
  </conditionalFormatting>
  <conditionalFormatting sqref="RG72">
    <cfRule type="cellIs" dxfId="10" priority="5" operator="notEqual">
      <formula>1</formula>
    </cfRule>
  </conditionalFormatting>
  <conditionalFormatting sqref="RU72">
    <cfRule type="cellIs" dxfId="9" priority="4" operator="notEqual">
      <formula>1</formula>
    </cfRule>
  </conditionalFormatting>
  <conditionalFormatting sqref="SI72">
    <cfRule type="cellIs" dxfId="8" priority="3" operator="notEqual">
      <formula>1</formula>
    </cfRule>
  </conditionalFormatting>
  <conditionalFormatting sqref="SW72">
    <cfRule type="cellIs" dxfId="7" priority="2" operator="notEqual">
      <formula>1</formula>
    </cfRule>
  </conditionalFormatting>
  <conditionalFormatting sqref="TK72">
    <cfRule type="cellIs" dxfId="6" priority="1" operator="notEqual">
      <formula>1</formula>
    </cfRule>
  </conditionalFormatting>
  <hyperlinks>
    <hyperlink ref="SZ1" location="'Hoja índice'!A1" display="Indice"/>
    <hyperlink ref="B1" location="'Hoja índice'!A1" display="Indice"/>
    <hyperlink ref="AR1" location="'Hoja índice'!A1" display="Indice"/>
    <hyperlink ref="BF1" location="'Hoja índice'!A1" display="Indice"/>
    <hyperlink ref="BT1" location="'Hoja índice'!A1" display="Indice"/>
    <hyperlink ref="CH1" location="'Hoja índice'!A1" display="Indice"/>
    <hyperlink ref="CV1" location="'Hoja índice'!A1" display="Indice"/>
    <hyperlink ref="DJ1" location="'Hoja índice'!A1" display="Indice"/>
    <hyperlink ref="DX1" location="'Hoja índice'!A1" display="Indice"/>
    <hyperlink ref="EL1" location="'Hoja índice'!A1" display="Indice"/>
    <hyperlink ref="EZ1" location="'Hoja índice'!A1" display="Indice"/>
    <hyperlink ref="FN1" location="'Hoja índice'!A1" display="Indice"/>
    <hyperlink ref="GB1" location="'Hoja índice'!A1" display="Indice"/>
    <hyperlink ref="GP1" location="'Hoja índice'!A1" display="Indice"/>
    <hyperlink ref="HD1" location="'Hoja índice'!A1" display="Indice"/>
    <hyperlink ref="HR1" location="'Hoja índice'!A1" display="Indice"/>
    <hyperlink ref="JV1" location="'Hoja índice'!A1" display="Indice"/>
    <hyperlink ref="KJ1" location="'Hoja índice'!A1" display="Indice"/>
    <hyperlink ref="KX1" location="'Hoja índice'!A1" display="Indice"/>
    <hyperlink ref="LL1" location="'Hoja índice'!A1" display="Indice"/>
    <hyperlink ref="LZ1" location="'Hoja índice'!A1" display="Indice"/>
    <hyperlink ref="MN1" location="'Hoja índice'!A1" display="Indice"/>
    <hyperlink ref="NB1" location="'Hoja índice'!A1" display="Indice"/>
    <hyperlink ref="NP1" location="'Hoja índice'!A1" display="Indice"/>
    <hyperlink ref="OD1" location="'Hoja índice'!A1" display="Indice"/>
    <hyperlink ref="OR1" location="'Hoja índice'!A1" display="Indice"/>
    <hyperlink ref="PF1" location="'Hoja índice'!A1" display="Indice"/>
    <hyperlink ref="PT1" location="'Hoja índice'!A1" display="Indice"/>
    <hyperlink ref="QH1" location="'Hoja índice'!A1" display="Indice"/>
    <hyperlink ref="QV1" location="'Hoja índice'!A1" display="Indice"/>
    <hyperlink ref="RJ1" location="'Hoja índice'!A1" display="Indice"/>
    <hyperlink ref="RX1" location="'Hoja índice'!A1" display="Indice"/>
    <hyperlink ref="SL1" location="'Hoja índice'!A1" display="Indice"/>
    <hyperlink ref="JH1" location="'Hoja índice'!A1" display="Indice"/>
  </hyperlinks>
  <printOptions horizontalCentered="1" verticalCentered="1"/>
  <pageMargins left="0.23622047244094491" right="0.23622047244094491" top="0.31496062992125984" bottom="0.27559055118110237" header="0.31496062992125984" footer="0.31496062992125984"/>
  <pageSetup scale="36" orientation="landscape" r:id="rId1"/>
  <rowBreaks count="1" manualBreakCount="1">
    <brk id="28" max="16383" man="1"/>
  </rowBreaks>
  <ignoredErrors>
    <ignoredError sqref="TF17:TF21" evalError="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4"/>
    <outlinePr summaryRight="0"/>
  </sheetPr>
  <dimension ref="B1:P137"/>
  <sheetViews>
    <sheetView showGridLines="0" topLeftCell="A97" zoomScale="70" zoomScaleNormal="70" zoomScaleSheetLayoutView="70" workbookViewId="0">
      <selection activeCell="G116" sqref="G116:G120"/>
    </sheetView>
  </sheetViews>
  <sheetFormatPr baseColWidth="10" defaultRowHeight="15.75" customHeight="1" outlineLevelRow="1"/>
  <cols>
    <col min="1" max="1" width="2.85546875" style="95" customWidth="1"/>
    <col min="2" max="2" width="23.140625" style="95" customWidth="1"/>
    <col min="3" max="3" width="42.140625" style="95" bestFit="1" customWidth="1"/>
    <col min="4" max="4" width="16.5703125" style="95" bestFit="1" customWidth="1"/>
    <col min="5" max="5" width="19.42578125" style="95" customWidth="1"/>
    <col min="6" max="6" width="15.140625" style="95" bestFit="1" customWidth="1"/>
    <col min="7" max="7" width="16" style="95" customWidth="1"/>
    <col min="8" max="8" width="26" style="95" customWidth="1"/>
    <col min="9" max="9" width="2.7109375" style="110" hidden="1" customWidth="1"/>
    <col min="10" max="12" width="11.42578125" style="95" hidden="1" customWidth="1"/>
    <col min="13" max="14" width="11.42578125" style="95" customWidth="1"/>
    <col min="15" max="15" width="22" style="95" bestFit="1" customWidth="1"/>
    <col min="16" max="16" width="20" style="95" bestFit="1" customWidth="1"/>
    <col min="17" max="16384" width="11.42578125" style="95"/>
  </cols>
  <sheetData>
    <row r="1" spans="2:15" s="94" customFormat="1" ht="15.75" customHeight="1" thickBot="1">
      <c r="B1" s="4" t="s">
        <v>1555</v>
      </c>
      <c r="I1" s="95"/>
    </row>
    <row r="2" spans="2:15" s="94" customFormat="1" ht="15.75" customHeight="1">
      <c r="B2" s="219"/>
      <c r="C2" s="220"/>
      <c r="D2" s="220"/>
      <c r="E2" s="220"/>
      <c r="F2" s="221"/>
      <c r="G2" s="221"/>
      <c r="H2" s="222"/>
      <c r="I2" s="95"/>
    </row>
    <row r="3" spans="2:15" s="94" customFormat="1" ht="15.75" customHeight="1">
      <c r="B3" s="223"/>
      <c r="C3" s="96"/>
      <c r="D3" s="96"/>
      <c r="E3" s="96"/>
      <c r="F3" s="97"/>
      <c r="G3" s="97"/>
      <c r="H3" s="224"/>
      <c r="I3" s="95"/>
    </row>
    <row r="4" spans="2:15" s="94" customFormat="1" ht="15.75" customHeight="1">
      <c r="B4" s="223"/>
      <c r="C4" s="96"/>
      <c r="D4" s="96"/>
      <c r="E4" s="96"/>
      <c r="F4" s="97"/>
      <c r="G4" s="97"/>
      <c r="H4" s="224"/>
      <c r="I4" s="95"/>
    </row>
    <row r="5" spans="2:15" s="94" customFormat="1" ht="15.75" customHeight="1">
      <c r="B5" s="223"/>
      <c r="C5" s="96"/>
      <c r="D5" s="96"/>
      <c r="E5" s="96"/>
      <c r="H5" s="225"/>
      <c r="I5" s="95"/>
    </row>
    <row r="6" spans="2:15" s="94" customFormat="1" ht="15.75" customHeight="1">
      <c r="B6" s="223"/>
      <c r="C6" s="96"/>
      <c r="D6" s="96"/>
      <c r="E6" s="96"/>
      <c r="H6" s="225"/>
      <c r="I6" s="95"/>
      <c r="O6"/>
    </row>
    <row r="7" spans="2:15" s="94" customFormat="1" ht="15.75" customHeight="1" thickBot="1">
      <c r="B7" s="226"/>
      <c r="C7" s="227"/>
      <c r="D7" s="227"/>
      <c r="E7" s="227"/>
      <c r="F7" s="228"/>
      <c r="G7" s="228"/>
      <c r="H7" s="229"/>
      <c r="I7" s="95"/>
    </row>
    <row r="8" spans="2:15" ht="4.5" customHeight="1" thickBot="1">
      <c r="B8" s="98"/>
      <c r="C8" s="98"/>
      <c r="I8" s="95"/>
    </row>
    <row r="9" spans="2:15" ht="21.75" customHeight="1" thickBot="1">
      <c r="B9" s="1149" t="s">
        <v>1204</v>
      </c>
      <c r="C9" s="1150"/>
      <c r="D9" s="1150"/>
      <c r="E9" s="1150"/>
      <c r="F9" s="1150"/>
      <c r="G9" s="1150"/>
      <c r="H9" s="1151"/>
      <c r="I9" s="95"/>
    </row>
    <row r="10" spans="2:15" ht="4.5" customHeight="1" thickBot="1">
      <c r="I10" s="95"/>
    </row>
    <row r="11" spans="2:15" ht="16.5" customHeight="1" thickBot="1">
      <c r="B11" s="1152" t="s">
        <v>1628</v>
      </c>
      <c r="C11" s="1153"/>
      <c r="D11" s="1154"/>
      <c r="E11" s="277">
        <f>+'Parametros Generales'!C6</f>
        <v>6.5</v>
      </c>
    </row>
    <row r="12" spans="2:15" ht="8.25" customHeight="1" thickBot="1"/>
    <row r="13" spans="2:15" ht="46.5" customHeight="1" thickBot="1">
      <c r="B13" s="99" t="s">
        <v>1220</v>
      </c>
      <c r="C13" s="175" t="s">
        <v>1221</v>
      </c>
      <c r="D13" s="175" t="s">
        <v>24</v>
      </c>
      <c r="E13" s="175" t="s">
        <v>1222</v>
      </c>
      <c r="F13" s="1147" t="s">
        <v>1205</v>
      </c>
      <c r="G13" s="1148"/>
      <c r="H13" s="121" t="s">
        <v>1591</v>
      </c>
      <c r="I13" s="112"/>
    </row>
    <row r="14" spans="2:15" ht="15.75" customHeight="1" outlineLevel="1">
      <c r="B14" s="1209" t="s">
        <v>1545</v>
      </c>
      <c r="C14" s="173" t="str">
        <f>+'Componentes T.H.'!B8</f>
        <v>Coordinador Metodológico</v>
      </c>
      <c r="D14" s="115">
        <f>+'Componentes T.H.'!U8</f>
        <v>14.999999999999998</v>
      </c>
      <c r="E14" s="100">
        <f>+'Componentes T.H.'!T8</f>
        <v>1</v>
      </c>
      <c r="F14" s="1165">
        <f>+'Componentes T.H.'!Q8</f>
        <v>2058155.7920726666</v>
      </c>
      <c r="G14" s="1161"/>
      <c r="H14" s="231">
        <f t="shared" ref="H14:H15" si="0">+D14*E14*F14*$E$11</f>
        <v>200670189.72708496</v>
      </c>
      <c r="I14" s="113"/>
      <c r="J14" s="114"/>
      <c r="K14" s="114"/>
      <c r="L14" s="114"/>
    </row>
    <row r="15" spans="2:15" ht="15.75" customHeight="1" outlineLevel="1" thickBot="1">
      <c r="B15" s="1209"/>
      <c r="C15" s="174" t="str">
        <f>+'Componentes T.H.'!B9</f>
        <v xml:space="preserve">Promotor de Derechos </v>
      </c>
      <c r="D15" s="115">
        <f>+'Componentes T.H.'!U9</f>
        <v>150</v>
      </c>
      <c r="E15" s="100">
        <f>+'Componentes T.H.'!T9</f>
        <v>1</v>
      </c>
      <c r="F15" s="1165">
        <f>+'Componentes T.H.'!Q9</f>
        <v>1060062.4566260003</v>
      </c>
      <c r="G15" s="1161"/>
      <c r="H15" s="231">
        <f t="shared" si="0"/>
        <v>1033560895.2103504</v>
      </c>
      <c r="I15" s="113"/>
      <c r="J15" s="114"/>
      <c r="K15" s="114"/>
      <c r="L15" s="114"/>
    </row>
    <row r="16" spans="2:15" ht="15.75" customHeight="1" thickBot="1">
      <c r="B16" s="116" t="s">
        <v>1543</v>
      </c>
      <c r="C16" s="117"/>
      <c r="D16" s="117"/>
      <c r="E16" s="117"/>
      <c r="F16" s="117"/>
      <c r="G16" s="117"/>
      <c r="H16" s="233">
        <f>+SUM(H14:H15)</f>
        <v>1234231084.9374354</v>
      </c>
      <c r="I16" s="119"/>
      <c r="J16" s="114"/>
      <c r="K16" s="114"/>
      <c r="L16" s="114"/>
    </row>
    <row r="17" spans="2:15" ht="15" thickBot="1"/>
    <row r="18" spans="2:15" ht="30.75" thickBot="1">
      <c r="B18" s="99" t="s">
        <v>1220</v>
      </c>
      <c r="C18" s="1188" t="s">
        <v>1207</v>
      </c>
      <c r="D18" s="1155"/>
      <c r="E18" s="121" t="s">
        <v>1272</v>
      </c>
      <c r="F18" s="1188" t="s">
        <v>1301</v>
      </c>
      <c r="G18" s="1155"/>
      <c r="H18" s="121" t="s">
        <v>1217</v>
      </c>
      <c r="I18" s="112"/>
    </row>
    <row r="19" spans="2:15" ht="18" customHeight="1" collapsed="1" thickBot="1">
      <c r="B19" s="1181" t="s">
        <v>1266</v>
      </c>
      <c r="C19" s="1183" t="s">
        <v>1271</v>
      </c>
      <c r="D19" s="1184"/>
      <c r="E19" s="250">
        <f>+SUM(E20:E53)</f>
        <v>150</v>
      </c>
      <c r="F19" s="247"/>
      <c r="G19" s="248"/>
      <c r="H19" s="249">
        <f>+SUM(H20:H53)</f>
        <v>658675551.28677726</v>
      </c>
      <c r="I19" s="113"/>
      <c r="O19" s="235"/>
    </row>
    <row r="20" spans="2:15" ht="18" hidden="1" customHeight="1" outlineLevel="1">
      <c r="B20" s="1190"/>
      <c r="C20" s="241" t="s">
        <v>1267</v>
      </c>
      <c r="D20" s="172"/>
      <c r="E20" s="239">
        <f>+'Cost x Depart'!R2</f>
        <v>7</v>
      </c>
      <c r="F20" s="236"/>
      <c r="G20" s="245">
        <f t="shared" ref="G20:G53" si="1">+H20/E20/$E$11</f>
        <v>126284.13955390903</v>
      </c>
      <c r="H20" s="234">
        <f>'Cost x Depart'!$X$2</f>
        <v>5745928.3497028612</v>
      </c>
      <c r="I20" s="113"/>
    </row>
    <row r="21" spans="2:15" ht="18" hidden="1" customHeight="1" outlineLevel="1">
      <c r="B21" s="1190"/>
      <c r="C21" s="241" t="s">
        <v>1268</v>
      </c>
      <c r="D21" s="172"/>
      <c r="E21" s="239">
        <f>'Cost x Depart'!$R$4</f>
        <v>0</v>
      </c>
      <c r="F21" s="236"/>
      <c r="G21" s="245" t="e">
        <f t="shared" si="1"/>
        <v>#DIV/0!</v>
      </c>
      <c r="H21" s="234">
        <f>'Cost x Depart'!$X$4</f>
        <v>0</v>
      </c>
      <c r="I21" s="113"/>
    </row>
    <row r="22" spans="2:15" ht="18" hidden="1" customHeight="1" outlineLevel="1">
      <c r="B22" s="1190"/>
      <c r="C22" s="241" t="s">
        <v>794</v>
      </c>
      <c r="D22" s="172"/>
      <c r="E22" s="239">
        <f>'Cost x Depart'!$R$6</f>
        <v>0</v>
      </c>
      <c r="F22" s="236"/>
      <c r="G22" s="245" t="e">
        <f t="shared" si="1"/>
        <v>#DIV/0!</v>
      </c>
      <c r="H22" s="234">
        <f>'Cost x Depart'!$X$6</f>
        <v>0</v>
      </c>
      <c r="I22" s="113"/>
    </row>
    <row r="23" spans="2:15" ht="18" hidden="1" customHeight="1" outlineLevel="1">
      <c r="B23" s="1190"/>
      <c r="C23" s="241" t="s">
        <v>654</v>
      </c>
      <c r="D23" s="172"/>
      <c r="E23" s="239">
        <f>'Cost x Depart'!$R$8</f>
        <v>18</v>
      </c>
      <c r="F23" s="236"/>
      <c r="G23" s="245">
        <f t="shared" si="1"/>
        <v>77715.579201134737</v>
      </c>
      <c r="H23" s="234">
        <f>'Cost x Depart'!$X$8</f>
        <v>9092722.7665327638</v>
      </c>
      <c r="I23" s="113"/>
    </row>
    <row r="24" spans="2:15" ht="18" hidden="1" customHeight="1" outlineLevel="1">
      <c r="B24" s="1190"/>
      <c r="C24" s="241" t="s">
        <v>811</v>
      </c>
      <c r="D24" s="172"/>
      <c r="E24" s="239">
        <f>'Cost x Depart'!$R$10</f>
        <v>0</v>
      </c>
      <c r="F24" s="236"/>
      <c r="G24" s="245" t="e">
        <f t="shared" si="1"/>
        <v>#DIV/0!</v>
      </c>
      <c r="H24" s="234">
        <f>'Cost x Depart'!$X$10</f>
        <v>0</v>
      </c>
      <c r="I24" s="113"/>
    </row>
    <row r="25" spans="2:15" ht="18" hidden="1" customHeight="1" outlineLevel="1">
      <c r="B25" s="1190"/>
      <c r="C25" s="241" t="s">
        <v>820</v>
      </c>
      <c r="D25" s="172"/>
      <c r="E25" s="239">
        <f>'Cost x Depart'!$R$12</f>
        <v>1</v>
      </c>
      <c r="F25" s="236"/>
      <c r="G25" s="245">
        <f t="shared" si="1"/>
        <v>73009.876054800116</v>
      </c>
      <c r="H25" s="234">
        <f>'Cost x Depart'!$X$12</f>
        <v>474564.19435620075</v>
      </c>
      <c r="I25" s="113"/>
    </row>
    <row r="26" spans="2:15" ht="18" hidden="1" customHeight="1" outlineLevel="1">
      <c r="B26" s="1190"/>
      <c r="C26" s="241" t="s">
        <v>901</v>
      </c>
      <c r="D26" s="172"/>
      <c r="E26" s="239">
        <f>'Cost x Depart'!$R$14</f>
        <v>13</v>
      </c>
      <c r="F26" s="236"/>
      <c r="G26" s="245">
        <f t="shared" si="1"/>
        <v>378816.41188727884</v>
      </c>
      <c r="H26" s="234">
        <f>'Cost x Depart'!$X$14</f>
        <v>32009986.804475062</v>
      </c>
      <c r="I26" s="113"/>
    </row>
    <row r="27" spans="2:15" ht="18" hidden="1" customHeight="1" outlineLevel="1">
      <c r="B27" s="1190"/>
      <c r="C27" s="241" t="s">
        <v>905</v>
      </c>
      <c r="D27" s="172"/>
      <c r="E27" s="239">
        <f>'Cost x Depart'!$R$16</f>
        <v>1</v>
      </c>
      <c r="F27" s="236"/>
      <c r="G27" s="245">
        <f t="shared" si="1"/>
        <v>428682.6055319212</v>
      </c>
      <c r="H27" s="234">
        <f>'Cost x Depart'!$X$16</f>
        <v>2786436.9359574877</v>
      </c>
      <c r="I27" s="113"/>
    </row>
    <row r="28" spans="2:15" ht="18" hidden="1" customHeight="1" outlineLevel="1">
      <c r="B28" s="1190"/>
      <c r="C28" s="241" t="s">
        <v>914</v>
      </c>
      <c r="D28" s="172"/>
      <c r="E28" s="239">
        <f>'Cost x Depart'!$R$18</f>
        <v>5</v>
      </c>
      <c r="F28" s="236"/>
      <c r="G28" s="245">
        <f t="shared" si="1"/>
        <v>242220.30666728929</v>
      </c>
      <c r="H28" s="234">
        <f>'Cost x Depart'!$X$18</f>
        <v>7872159.9666869026</v>
      </c>
      <c r="I28" s="113"/>
    </row>
    <row r="29" spans="2:15" ht="18" hidden="1" customHeight="1" outlineLevel="1">
      <c r="B29" s="1190"/>
      <c r="C29" s="241" t="s">
        <v>555</v>
      </c>
      <c r="D29" s="172"/>
      <c r="E29" s="239">
        <f>'Cost x Depart'!$R$20</f>
        <v>9</v>
      </c>
      <c r="F29" s="236"/>
      <c r="G29" s="245">
        <f t="shared" si="1"/>
        <v>77715.579201134737</v>
      </c>
      <c r="H29" s="234">
        <f>'Cost x Depart'!$X$20</f>
        <v>4546361.3832663819</v>
      </c>
      <c r="I29" s="113"/>
    </row>
    <row r="30" spans="2:15" ht="18" hidden="1" customHeight="1" outlineLevel="1">
      <c r="B30" s="1190"/>
      <c r="C30" s="241" t="s">
        <v>917</v>
      </c>
      <c r="D30" s="172"/>
      <c r="E30" s="239">
        <f>'Cost x Depart'!$R$22</f>
        <v>0</v>
      </c>
      <c r="F30" s="236"/>
      <c r="G30" s="245" t="e">
        <f t="shared" si="1"/>
        <v>#DIV/0!</v>
      </c>
      <c r="H30" s="234">
        <f>'Cost x Depart'!$X$22</f>
        <v>0</v>
      </c>
      <c r="I30" s="113"/>
    </row>
    <row r="31" spans="2:15" ht="18" hidden="1" customHeight="1" outlineLevel="1">
      <c r="B31" s="1190"/>
      <c r="C31" s="241" t="s">
        <v>987</v>
      </c>
      <c r="D31" s="172"/>
      <c r="E31" s="239">
        <f>'Cost x Depart'!$R$24</f>
        <v>6.5</v>
      </c>
      <c r="F31" s="236"/>
      <c r="G31" s="245">
        <f t="shared" si="1"/>
        <v>2585631.9541288959</v>
      </c>
      <c r="H31" s="234">
        <f>'Cost x Depart'!$X$24</f>
        <v>109242950.06194586</v>
      </c>
      <c r="I31" s="113"/>
    </row>
    <row r="32" spans="2:15" ht="18" hidden="1" customHeight="1" outlineLevel="1">
      <c r="B32" s="1190"/>
      <c r="C32" s="241" t="s">
        <v>1003</v>
      </c>
      <c r="D32" s="172"/>
      <c r="E32" s="239">
        <f>'Cost x Depart'!$R$26</f>
        <v>6</v>
      </c>
      <c r="F32" s="236"/>
      <c r="G32" s="245">
        <f t="shared" si="1"/>
        <v>0</v>
      </c>
      <c r="H32" s="234">
        <f>'Cost x Depart'!$X$26</f>
        <v>0</v>
      </c>
      <c r="I32" s="113"/>
    </row>
    <row r="33" spans="2:9" ht="18" hidden="1" customHeight="1" outlineLevel="1">
      <c r="B33" s="1190"/>
      <c r="C33" s="241" t="s">
        <v>1269</v>
      </c>
      <c r="D33" s="172"/>
      <c r="E33" s="239">
        <f>'Cost x Depart'!$R$28</f>
        <v>0</v>
      </c>
      <c r="F33" s="236"/>
      <c r="G33" s="245" t="e">
        <f t="shared" si="1"/>
        <v>#DIV/0!</v>
      </c>
      <c r="H33" s="234">
        <f>'Cost x Depart'!$X$28</f>
        <v>0</v>
      </c>
      <c r="I33" s="113"/>
    </row>
    <row r="34" spans="2:9" ht="18" hidden="1" customHeight="1" outlineLevel="1">
      <c r="B34" s="1190"/>
      <c r="C34" s="241" t="s">
        <v>1024</v>
      </c>
      <c r="D34" s="172"/>
      <c r="E34" s="239">
        <f>'Cost x Depart'!$R$30</f>
        <v>3</v>
      </c>
      <c r="F34" s="236"/>
      <c r="G34" s="245">
        <f t="shared" si="1"/>
        <v>77715.579201134737</v>
      </c>
      <c r="H34" s="234">
        <f>'Cost x Depart'!$X$30</f>
        <v>1515453.7944221273</v>
      </c>
      <c r="I34" s="113"/>
    </row>
    <row r="35" spans="2:9" ht="18" hidden="1" customHeight="1" outlineLevel="1">
      <c r="B35" s="1190"/>
      <c r="C35" s="241" t="s">
        <v>1027</v>
      </c>
      <c r="D35" s="172"/>
      <c r="E35" s="239">
        <f>'Cost x Depart'!$R$32</f>
        <v>11</v>
      </c>
      <c r="F35" s="236"/>
      <c r="G35" s="245">
        <f t="shared" si="1"/>
        <v>190350.62425882876</v>
      </c>
      <c r="H35" s="234">
        <f>'Cost x Depart'!$X$32</f>
        <v>13610069.634506255</v>
      </c>
      <c r="I35" s="113"/>
    </row>
    <row r="36" spans="2:9" ht="18" hidden="1" customHeight="1" outlineLevel="1">
      <c r="B36" s="1190"/>
      <c r="C36" s="241" t="s">
        <v>120</v>
      </c>
      <c r="D36" s="172"/>
      <c r="E36" s="239">
        <f>'Cost x Depart'!$R$34+'Cost x Depart'!R36</f>
        <v>15</v>
      </c>
      <c r="F36" s="236"/>
      <c r="G36" s="245">
        <f t="shared" si="1"/>
        <v>374265.18889473809</v>
      </c>
      <c r="H36" s="234">
        <f>'Cost x Depart'!$X$34+'Cost x Depart'!X36</f>
        <v>36490855.917236961</v>
      </c>
      <c r="I36" s="113"/>
    </row>
    <row r="37" spans="2:9" ht="18" hidden="1" customHeight="1" outlineLevel="1">
      <c r="B37" s="1190"/>
      <c r="C37" s="241" t="s">
        <v>1270</v>
      </c>
      <c r="D37" s="172"/>
      <c r="E37" s="239">
        <f>'Cost x Depart'!$R$38</f>
        <v>6.5</v>
      </c>
      <c r="F37" s="236"/>
      <c r="G37" s="245">
        <f t="shared" si="1"/>
        <v>216700.18526055163</v>
      </c>
      <c r="H37" s="234">
        <f>'Cost x Depart'!$X$38</f>
        <v>9155582.8272583056</v>
      </c>
      <c r="I37" s="113"/>
    </row>
    <row r="38" spans="2:9" ht="18" hidden="1" customHeight="1" outlineLevel="1">
      <c r="B38" s="1190"/>
      <c r="C38" s="241" t="s">
        <v>1073</v>
      </c>
      <c r="D38" s="172"/>
      <c r="E38" s="239">
        <f>'Cost x Depart'!$R$40</f>
        <v>0</v>
      </c>
      <c r="F38" s="236"/>
      <c r="G38" s="245" t="e">
        <f t="shared" si="1"/>
        <v>#DIV/0!</v>
      </c>
      <c r="H38" s="234">
        <f>'Cost x Depart'!$X$40</f>
        <v>0</v>
      </c>
      <c r="I38" s="113"/>
    </row>
    <row r="39" spans="2:9" ht="18" hidden="1" customHeight="1" outlineLevel="1">
      <c r="B39" s="1190"/>
      <c r="C39" s="241" t="s">
        <v>1074</v>
      </c>
      <c r="D39" s="172"/>
      <c r="E39" s="239">
        <f>'Cost x Depart'!$R$42</f>
        <v>0</v>
      </c>
      <c r="F39" s="236"/>
      <c r="G39" s="245" t="e">
        <f t="shared" si="1"/>
        <v>#DIV/0!</v>
      </c>
      <c r="H39" s="234">
        <f>'Cost x Depart'!$X$42</f>
        <v>0</v>
      </c>
      <c r="I39" s="113"/>
    </row>
    <row r="40" spans="2:9" ht="18" hidden="1" customHeight="1" outlineLevel="1">
      <c r="B40" s="1190"/>
      <c r="C40" s="241" t="s">
        <v>1080</v>
      </c>
      <c r="D40" s="172"/>
      <c r="E40" s="239">
        <f>'Cost x Depart'!$R$44</f>
        <v>0</v>
      </c>
      <c r="F40" s="236"/>
      <c r="G40" s="245" t="e">
        <f t="shared" si="1"/>
        <v>#DIV/0!</v>
      </c>
      <c r="H40" s="234">
        <f>'Cost x Depart'!$X$44</f>
        <v>0</v>
      </c>
      <c r="I40" s="113"/>
    </row>
    <row r="41" spans="2:9" ht="18" hidden="1" customHeight="1" outlineLevel="1">
      <c r="B41" s="1190"/>
      <c r="C41" s="241" t="s">
        <v>913</v>
      </c>
      <c r="D41" s="172"/>
      <c r="E41" s="239">
        <f>'Cost x Depart'!$R$46</f>
        <v>4.5</v>
      </c>
      <c r="F41" s="236"/>
      <c r="G41" s="245">
        <f t="shared" si="1"/>
        <v>242220.30666728935</v>
      </c>
      <c r="H41" s="234">
        <f>'Cost x Depart'!$X$46</f>
        <v>7084943.9700182136</v>
      </c>
      <c r="I41" s="113"/>
    </row>
    <row r="42" spans="2:9" ht="18" hidden="1" customHeight="1" outlineLevel="1">
      <c r="B42" s="1190"/>
      <c r="C42" s="241" t="s">
        <v>1137</v>
      </c>
      <c r="D42" s="172"/>
      <c r="E42" s="239">
        <f>'Cost x Depart'!$R$48</f>
        <v>6</v>
      </c>
      <c r="F42" s="236"/>
      <c r="G42" s="245">
        <f t="shared" si="1"/>
        <v>172699.48422457278</v>
      </c>
      <c r="H42" s="234">
        <f>'Cost x Depart'!$X$48</f>
        <v>6735279.8847583383</v>
      </c>
      <c r="I42" s="113"/>
    </row>
    <row r="43" spans="2:9" ht="18" hidden="1" customHeight="1" outlineLevel="1">
      <c r="B43" s="1190"/>
      <c r="C43" s="241" t="s">
        <v>1263</v>
      </c>
      <c r="D43" s="172"/>
      <c r="E43" s="239">
        <f>'Cost x Depart'!$R$50</f>
        <v>7</v>
      </c>
      <c r="F43" s="236"/>
      <c r="G43" s="245">
        <f t="shared" si="1"/>
        <v>32614.504146593776</v>
      </c>
      <c r="H43" s="234">
        <f>'Cost x Depart'!$X$50</f>
        <v>1483959.9386700168</v>
      </c>
      <c r="I43" s="113"/>
    </row>
    <row r="44" spans="2:9" ht="18" hidden="1" customHeight="1" outlineLevel="1">
      <c r="B44" s="1190"/>
      <c r="C44" s="241" t="s">
        <v>1160</v>
      </c>
      <c r="D44" s="172"/>
      <c r="E44" s="239">
        <f>'Cost x Depart'!$R$52</f>
        <v>8</v>
      </c>
      <c r="F44" s="236"/>
      <c r="G44" s="245">
        <f t="shared" si="1"/>
        <v>2934010.8437291989</v>
      </c>
      <c r="H44" s="234">
        <f>'Cost x Depart'!$X$52</f>
        <v>152568563.87391835</v>
      </c>
      <c r="I44" s="113"/>
    </row>
    <row r="45" spans="2:9" ht="18" hidden="1" customHeight="1" outlineLevel="1">
      <c r="B45" s="1190"/>
      <c r="C45" s="241" t="s">
        <v>1163</v>
      </c>
      <c r="D45" s="172"/>
      <c r="E45" s="239">
        <f>'Cost x Depart'!$R$54</f>
        <v>2</v>
      </c>
      <c r="F45" s="236"/>
      <c r="G45" s="245">
        <f t="shared" si="1"/>
        <v>1395046.2789867383</v>
      </c>
      <c r="H45" s="234">
        <f>'Cost x Depart'!$X$54</f>
        <v>18135601.626827598</v>
      </c>
      <c r="I45" s="113"/>
    </row>
    <row r="46" spans="2:9" ht="18" hidden="1" customHeight="1" outlineLevel="1">
      <c r="B46" s="1190"/>
      <c r="C46" s="241" t="s">
        <v>1172</v>
      </c>
      <c r="D46" s="172"/>
      <c r="E46" s="239">
        <f>'Cost x Depart'!$R$56</f>
        <v>10</v>
      </c>
      <c r="F46" s="236"/>
      <c r="G46" s="245">
        <f t="shared" si="1"/>
        <v>535528.20974897326</v>
      </c>
      <c r="H46" s="234">
        <f>'Cost x Depart'!$X$56</f>
        <v>34809333.633683257</v>
      </c>
      <c r="I46" s="113"/>
    </row>
    <row r="47" spans="2:9" ht="18" hidden="1" customHeight="1" outlineLevel="1">
      <c r="B47" s="1190"/>
      <c r="C47" s="241" t="s">
        <v>1126</v>
      </c>
      <c r="D47" s="172"/>
      <c r="E47" s="239">
        <f>'Cost x Depart'!$R$58</f>
        <v>0</v>
      </c>
      <c r="F47" s="236"/>
      <c r="G47" s="245" t="e">
        <f t="shared" si="1"/>
        <v>#DIV/0!</v>
      </c>
      <c r="H47" s="234">
        <f>'Cost x Depart'!$X$58</f>
        <v>0</v>
      </c>
      <c r="I47" s="113"/>
    </row>
    <row r="48" spans="2:9" ht="18" hidden="1" customHeight="1" outlineLevel="1">
      <c r="B48" s="1190"/>
      <c r="C48" s="241" t="s">
        <v>1174</v>
      </c>
      <c r="D48" s="172"/>
      <c r="E48" s="239">
        <f>'Cost x Depart'!$R$60</f>
        <v>0</v>
      </c>
      <c r="F48" s="236"/>
      <c r="G48" s="245" t="e">
        <f t="shared" si="1"/>
        <v>#DIV/0!</v>
      </c>
      <c r="H48" s="234">
        <f>'Cost x Depart'!$X$60</f>
        <v>0</v>
      </c>
      <c r="I48" s="113"/>
    </row>
    <row r="49" spans="2:9" ht="18" hidden="1" customHeight="1" outlineLevel="1">
      <c r="B49" s="1190"/>
      <c r="C49" s="241" t="s">
        <v>1178</v>
      </c>
      <c r="D49" s="172"/>
      <c r="E49" s="239">
        <f>'Cost x Depart'!$R$62</f>
        <v>0</v>
      </c>
      <c r="F49" s="236"/>
      <c r="G49" s="245" t="e">
        <f t="shared" si="1"/>
        <v>#DIV/0!</v>
      </c>
      <c r="H49" s="234">
        <f>'Cost x Depart'!$X$62</f>
        <v>0</v>
      </c>
      <c r="I49" s="113"/>
    </row>
    <row r="50" spans="2:9" ht="18" hidden="1" customHeight="1" outlineLevel="1">
      <c r="B50" s="1190"/>
      <c r="C50" s="241" t="s">
        <v>1186</v>
      </c>
      <c r="D50" s="172"/>
      <c r="E50" s="239">
        <f>'Cost x Depart'!$R$64</f>
        <v>6</v>
      </c>
      <c r="F50" s="236"/>
      <c r="G50" s="245">
        <f t="shared" si="1"/>
        <v>2934010.8437291989</v>
      </c>
      <c r="H50" s="234">
        <f>'Cost x Depart'!$X$64</f>
        <v>114426422.90543877</v>
      </c>
      <c r="I50" s="113"/>
    </row>
    <row r="51" spans="2:9" ht="18" hidden="1" customHeight="1" outlineLevel="1">
      <c r="B51" s="1190"/>
      <c r="C51" s="241" t="s">
        <v>1187</v>
      </c>
      <c r="D51" s="172"/>
      <c r="E51" s="239">
        <f>'Cost x Depart'!$R$66</f>
        <v>1</v>
      </c>
      <c r="F51" s="236"/>
      <c r="G51" s="245">
        <f t="shared" si="1"/>
        <v>3713788.6341963485</v>
      </c>
      <c r="H51" s="234">
        <f>'Cost x Depart'!$X$66</f>
        <v>24139626.122276265</v>
      </c>
      <c r="I51" s="113"/>
    </row>
    <row r="52" spans="2:9" ht="18" hidden="1" customHeight="1" outlineLevel="1">
      <c r="B52" s="1190"/>
      <c r="C52" s="241" t="s">
        <v>1193</v>
      </c>
      <c r="D52" s="172"/>
      <c r="E52" s="239">
        <f>'Cost x Depart'!$R$68</f>
        <v>3.5</v>
      </c>
      <c r="F52" s="236"/>
      <c r="G52" s="245">
        <f t="shared" si="1"/>
        <v>2934010.8437291989</v>
      </c>
      <c r="H52" s="234">
        <f>'Cost x Depart'!$X$68</f>
        <v>66748746.694839284</v>
      </c>
      <c r="I52" s="113"/>
    </row>
    <row r="53" spans="2:9" ht="18" hidden="1" customHeight="1" outlineLevel="1" thickBot="1">
      <c r="B53" s="1190"/>
      <c r="C53" s="242" t="s">
        <v>1262</v>
      </c>
      <c r="D53" s="243"/>
      <c r="E53" s="240">
        <f>'Cost x Depart'!$R$70</f>
        <v>0</v>
      </c>
      <c r="F53" s="238"/>
      <c r="G53" s="246" t="e">
        <f t="shared" si="1"/>
        <v>#DIV/0!</v>
      </c>
      <c r="H53" s="244">
        <f>'Cost x Depart'!$X$70</f>
        <v>0</v>
      </c>
      <c r="I53" s="113"/>
    </row>
    <row r="54" spans="2:9" ht="18" customHeight="1" collapsed="1" thickBot="1">
      <c r="B54" s="1190"/>
      <c r="C54" s="1185" t="s">
        <v>1305</v>
      </c>
      <c r="D54" s="1186"/>
      <c r="E54" s="1186"/>
      <c r="F54" s="1186"/>
      <c r="G54" s="1187"/>
      <c r="H54" s="249">
        <f>+SUM(H55:H88)</f>
        <v>182349308.14314565</v>
      </c>
      <c r="I54" s="113"/>
    </row>
    <row r="55" spans="2:9" ht="18" hidden="1" customHeight="1" outlineLevel="1">
      <c r="B55" s="1190"/>
      <c r="C55" s="252" t="s">
        <v>1267</v>
      </c>
      <c r="D55" s="253"/>
      <c r="E55" s="253"/>
      <c r="F55" s="253"/>
      <c r="G55" s="254"/>
      <c r="H55" s="230">
        <f>'Cost x Depart'!$Y$2</f>
        <v>2262477.7124257153</v>
      </c>
      <c r="I55" s="113"/>
    </row>
    <row r="56" spans="2:9" ht="18" hidden="1" customHeight="1" outlineLevel="1">
      <c r="B56" s="1190"/>
      <c r="C56" s="241" t="s">
        <v>1268</v>
      </c>
      <c r="D56" s="172"/>
      <c r="E56" s="172"/>
      <c r="F56" s="172"/>
      <c r="G56" s="237"/>
      <c r="H56" s="234">
        <f>'Cost x Depart'!$Y$4</f>
        <v>0</v>
      </c>
      <c r="I56" s="113"/>
    </row>
    <row r="57" spans="2:9" ht="18" hidden="1" customHeight="1" outlineLevel="1">
      <c r="B57" s="1190"/>
      <c r="C57" s="241" t="s">
        <v>794</v>
      </c>
      <c r="D57" s="172"/>
      <c r="E57" s="172"/>
      <c r="F57" s="172"/>
      <c r="G57" s="237"/>
      <c r="H57" s="234">
        <f>'Cost x Depart'!$Y$6</f>
        <v>0</v>
      </c>
      <c r="I57" s="113"/>
    </row>
    <row r="58" spans="2:9" ht="18" hidden="1" customHeight="1" outlineLevel="1">
      <c r="B58" s="1190"/>
      <c r="C58" s="241" t="s">
        <v>654</v>
      </c>
      <c r="D58" s="172"/>
      <c r="E58" s="172"/>
      <c r="F58" s="172"/>
      <c r="G58" s="237"/>
      <c r="H58" s="234">
        <f>'Cost x Depart'!$Y$8</f>
        <v>4397169.441633191</v>
      </c>
      <c r="I58" s="113"/>
    </row>
    <row r="59" spans="2:9" ht="18" hidden="1" customHeight="1" outlineLevel="1">
      <c r="B59" s="1190"/>
      <c r="C59" s="241" t="s">
        <v>811</v>
      </c>
      <c r="D59" s="172"/>
      <c r="E59" s="172"/>
      <c r="F59" s="172"/>
      <c r="G59" s="237"/>
      <c r="H59" s="234">
        <f>'Cost x Depart'!$Y$10</f>
        <v>0</v>
      </c>
      <c r="I59" s="113"/>
    </row>
    <row r="60" spans="2:9" ht="18" hidden="1" customHeight="1" outlineLevel="1">
      <c r="B60" s="1190"/>
      <c r="C60" s="241" t="s">
        <v>820</v>
      </c>
      <c r="D60" s="172"/>
      <c r="E60" s="172"/>
      <c r="F60" s="172"/>
      <c r="G60" s="237"/>
      <c r="H60" s="234">
        <f>'Cost x Depart'!$Y$12</f>
        <v>236640.42358905019</v>
      </c>
      <c r="I60" s="113"/>
    </row>
    <row r="61" spans="2:9" ht="18" hidden="1" customHeight="1" outlineLevel="1">
      <c r="B61" s="1190"/>
      <c r="C61" s="241" t="s">
        <v>901</v>
      </c>
      <c r="D61" s="172"/>
      <c r="E61" s="172"/>
      <c r="F61" s="172"/>
      <c r="G61" s="237"/>
      <c r="H61" s="234">
        <f>'Cost x Depart'!$Y$14</f>
        <v>9536488.5761187654</v>
      </c>
      <c r="I61" s="113"/>
    </row>
    <row r="62" spans="2:9" ht="18" hidden="1" customHeight="1" outlineLevel="1">
      <c r="B62" s="1190"/>
      <c r="C62" s="241" t="s">
        <v>905</v>
      </c>
      <c r="D62" s="172"/>
      <c r="E62" s="172"/>
      <c r="F62" s="172"/>
      <c r="G62" s="237"/>
      <c r="H62" s="234">
        <f>'Cost x Depart'!$Y$16</f>
        <v>814608.60898937192</v>
      </c>
      <c r="I62" s="113"/>
    </row>
    <row r="63" spans="2:9" ht="18" hidden="1" customHeight="1" outlineLevel="1">
      <c r="B63" s="1190"/>
      <c r="C63" s="241" t="s">
        <v>914</v>
      </c>
      <c r="D63" s="172"/>
      <c r="E63" s="172"/>
      <c r="F63" s="172"/>
      <c r="G63" s="237"/>
      <c r="H63" s="234">
        <f>'Cost x Depart'!$Y$18</f>
        <v>2558036.8666717256</v>
      </c>
      <c r="I63" s="113"/>
    </row>
    <row r="64" spans="2:9" ht="18" hidden="1" customHeight="1" outlineLevel="1">
      <c r="B64" s="1190"/>
      <c r="C64" s="241" t="s">
        <v>555</v>
      </c>
      <c r="D64" s="172"/>
      <c r="E64" s="172"/>
      <c r="F64" s="172"/>
      <c r="G64" s="237"/>
      <c r="H64" s="234">
        <f>'Cost x Depart'!$Y$20</f>
        <v>2198584.7208165955</v>
      </c>
      <c r="I64" s="113"/>
    </row>
    <row r="65" spans="2:9" ht="18" hidden="1" customHeight="1" outlineLevel="1">
      <c r="B65" s="1190"/>
      <c r="C65" s="241" t="s">
        <v>917</v>
      </c>
      <c r="D65" s="172"/>
      <c r="E65" s="172"/>
      <c r="F65" s="172"/>
      <c r="G65" s="237"/>
      <c r="H65" s="234">
        <f>'Cost x Depart'!$Y$22</f>
        <v>0</v>
      </c>
      <c r="I65" s="113"/>
    </row>
    <row r="66" spans="2:9" ht="18" hidden="1" customHeight="1" outlineLevel="1">
      <c r="B66" s="1190"/>
      <c r="C66" s="241" t="s">
        <v>987</v>
      </c>
      <c r="D66" s="172"/>
      <c r="E66" s="172"/>
      <c r="F66" s="172"/>
      <c r="G66" s="237"/>
      <c r="H66" s="234">
        <f>'Cost x Depart'!$Y$24</f>
        <v>28077733.452986464</v>
      </c>
      <c r="I66" s="113"/>
    </row>
    <row r="67" spans="2:9" ht="18" hidden="1" customHeight="1" outlineLevel="1">
      <c r="B67" s="1190"/>
      <c r="C67" s="241" t="s">
        <v>1003</v>
      </c>
      <c r="D67" s="172"/>
      <c r="E67" s="172"/>
      <c r="F67" s="172"/>
      <c r="G67" s="237"/>
      <c r="H67" s="234">
        <f>'Cost x Depart'!$Y$26</f>
        <v>688510.32145132835</v>
      </c>
      <c r="I67" s="113"/>
    </row>
    <row r="68" spans="2:9" ht="18" hidden="1" customHeight="1" outlineLevel="1">
      <c r="B68" s="1190"/>
      <c r="C68" s="241" t="s">
        <v>1269</v>
      </c>
      <c r="D68" s="172"/>
      <c r="E68" s="172"/>
      <c r="F68" s="172"/>
      <c r="G68" s="237"/>
      <c r="H68" s="234">
        <f>'Cost x Depart'!$Y$28</f>
        <v>0</v>
      </c>
      <c r="I68" s="113"/>
    </row>
    <row r="69" spans="2:9" ht="18" hidden="1" customHeight="1" outlineLevel="1">
      <c r="B69" s="1190"/>
      <c r="C69" s="241" t="s">
        <v>1024</v>
      </c>
      <c r="D69" s="172"/>
      <c r="E69" s="172"/>
      <c r="F69" s="172"/>
      <c r="G69" s="237"/>
      <c r="H69" s="234">
        <f>'Cost x Depart'!$Y$30</f>
        <v>732861.57360553183</v>
      </c>
      <c r="I69" s="113"/>
    </row>
    <row r="70" spans="2:9" ht="18" hidden="1" customHeight="1" outlineLevel="1">
      <c r="B70" s="1190"/>
      <c r="C70" s="241" t="s">
        <v>1027</v>
      </c>
      <c r="D70" s="172"/>
      <c r="E70" s="172"/>
      <c r="F70" s="172"/>
      <c r="G70" s="237"/>
      <c r="H70" s="234">
        <f>'Cost x Depart'!$Y$32</f>
        <v>4700510.5336265638</v>
      </c>
      <c r="I70" s="113"/>
    </row>
    <row r="71" spans="2:9" ht="18" hidden="1" customHeight="1" outlineLevel="1">
      <c r="B71" s="1190"/>
      <c r="C71" s="241" t="s">
        <v>120</v>
      </c>
      <c r="D71" s="172"/>
      <c r="E71" s="172"/>
      <c r="F71" s="172"/>
      <c r="G71" s="237"/>
      <c r="H71" s="234">
        <f>'Cost x Depart'!$Y$34+'Cost x Depart'!Y36</f>
        <v>10892704.60430924</v>
      </c>
      <c r="I71" s="113"/>
    </row>
    <row r="72" spans="2:9" ht="18" hidden="1" customHeight="1" outlineLevel="1">
      <c r="B72" s="1190"/>
      <c r="C72" s="241" t="s">
        <v>1270</v>
      </c>
      <c r="D72" s="172"/>
      <c r="E72" s="172"/>
      <c r="F72" s="172"/>
      <c r="G72" s="237"/>
      <c r="H72" s="234">
        <f>'Cost x Depart'!$Y$38</f>
        <v>3055891.6443145764</v>
      </c>
      <c r="I72" s="113"/>
    </row>
    <row r="73" spans="2:9" ht="18" hidden="1" customHeight="1" outlineLevel="1">
      <c r="B73" s="1190"/>
      <c r="C73" s="241" t="s">
        <v>1073</v>
      </c>
      <c r="D73" s="172"/>
      <c r="E73" s="172"/>
      <c r="F73" s="172"/>
      <c r="G73" s="237"/>
      <c r="H73" s="234">
        <f>'Cost x Depart'!$Y$40</f>
        <v>0</v>
      </c>
      <c r="I73" s="113"/>
    </row>
    <row r="74" spans="2:9" ht="18" hidden="1" customHeight="1" outlineLevel="1">
      <c r="B74" s="1190"/>
      <c r="C74" s="241" t="s">
        <v>1074</v>
      </c>
      <c r="D74" s="172"/>
      <c r="E74" s="172"/>
      <c r="F74" s="172"/>
      <c r="G74" s="237"/>
      <c r="H74" s="234">
        <f>'Cost x Depart'!$Y$42</f>
        <v>0</v>
      </c>
      <c r="I74" s="113"/>
    </row>
    <row r="75" spans="2:9" ht="18" hidden="1" customHeight="1" outlineLevel="1">
      <c r="B75" s="1190"/>
      <c r="C75" s="241" t="s">
        <v>1080</v>
      </c>
      <c r="D75" s="172"/>
      <c r="E75" s="172"/>
      <c r="F75" s="172"/>
      <c r="G75" s="237"/>
      <c r="H75" s="234">
        <f>'Cost x Depart'!$Y$44</f>
        <v>0</v>
      </c>
      <c r="I75" s="113"/>
    </row>
    <row r="76" spans="2:9" ht="18" hidden="1" customHeight="1" outlineLevel="1">
      <c r="B76" s="1190"/>
      <c r="C76" s="241" t="s">
        <v>913</v>
      </c>
      <c r="D76" s="172"/>
      <c r="E76" s="172"/>
      <c r="F76" s="172"/>
      <c r="G76" s="237"/>
      <c r="H76" s="234">
        <f>'Cost x Depart'!$Y$46</f>
        <v>2302233.1800045534</v>
      </c>
      <c r="I76" s="113"/>
    </row>
    <row r="77" spans="2:9" ht="18" hidden="1" customHeight="1" outlineLevel="1">
      <c r="B77" s="1190"/>
      <c r="C77" s="241" t="s">
        <v>1137</v>
      </c>
      <c r="D77" s="172"/>
      <c r="E77" s="172"/>
      <c r="F77" s="172"/>
      <c r="G77" s="237"/>
      <c r="H77" s="234">
        <f>'Cost x Depart'!$Y$48</f>
        <v>2391816.2211895846</v>
      </c>
      <c r="I77" s="113"/>
    </row>
    <row r="78" spans="2:9" ht="18" hidden="1" customHeight="1" outlineLevel="1">
      <c r="B78" s="1190"/>
      <c r="C78" s="241" t="s">
        <v>1263</v>
      </c>
      <c r="D78" s="172"/>
      <c r="E78" s="172"/>
      <c r="F78" s="172"/>
      <c r="G78" s="237"/>
      <c r="H78" s="234">
        <f>'Cost x Depart'!$Y$50</f>
        <v>1196985.6096675042</v>
      </c>
      <c r="I78" s="113"/>
    </row>
    <row r="79" spans="2:9" ht="18" hidden="1" customHeight="1" outlineLevel="1">
      <c r="B79" s="1190"/>
      <c r="C79" s="241" t="s">
        <v>1160</v>
      </c>
      <c r="D79" s="172"/>
      <c r="E79" s="172"/>
      <c r="F79" s="172"/>
      <c r="G79" s="237"/>
      <c r="H79" s="234">
        <f>'Cost x Depart'!$Y$52</f>
        <v>39086135.968479589</v>
      </c>
      <c r="I79" s="113"/>
    </row>
    <row r="80" spans="2:9" ht="18" hidden="1" customHeight="1" outlineLevel="1">
      <c r="B80" s="1190"/>
      <c r="C80" s="241" t="s">
        <v>1163</v>
      </c>
      <c r="D80" s="172"/>
      <c r="E80" s="172"/>
      <c r="F80" s="172"/>
      <c r="G80" s="237"/>
      <c r="H80" s="234">
        <f>'Cost x Depart'!$Y$54</f>
        <v>4769899.1567068994</v>
      </c>
      <c r="I80" s="113"/>
    </row>
    <row r="81" spans="2:16" ht="18" hidden="1" customHeight="1" outlineLevel="1">
      <c r="B81" s="1190"/>
      <c r="C81" s="241" t="s">
        <v>1172</v>
      </c>
      <c r="D81" s="172"/>
      <c r="E81" s="172"/>
      <c r="F81" s="172"/>
      <c r="G81" s="237"/>
      <c r="H81" s="234">
        <f>'Cost x Depart'!$Y$56</f>
        <v>9882327.1584208142</v>
      </c>
      <c r="I81" s="113"/>
    </row>
    <row r="82" spans="2:16" ht="18" hidden="1" customHeight="1" outlineLevel="1">
      <c r="B82" s="1190"/>
      <c r="C82" s="241" t="s">
        <v>1126</v>
      </c>
      <c r="D82" s="172"/>
      <c r="E82" s="172"/>
      <c r="F82" s="172"/>
      <c r="G82" s="237"/>
      <c r="H82" s="234">
        <f>'Cost x Depart'!$Y$58</f>
        <v>0</v>
      </c>
      <c r="I82" s="113"/>
    </row>
    <row r="83" spans="2:16" ht="18" hidden="1" customHeight="1" outlineLevel="1">
      <c r="B83" s="1190"/>
      <c r="C83" s="241" t="s">
        <v>1174</v>
      </c>
      <c r="D83" s="172"/>
      <c r="E83" s="172"/>
      <c r="F83" s="172"/>
      <c r="G83" s="237"/>
      <c r="H83" s="234">
        <f>'Cost x Depart'!$Y$60</f>
        <v>0</v>
      </c>
      <c r="I83" s="113"/>
    </row>
    <row r="84" spans="2:16" ht="18" hidden="1" customHeight="1" outlineLevel="1">
      <c r="B84" s="1190"/>
      <c r="C84" s="241" t="s">
        <v>1178</v>
      </c>
      <c r="D84" s="172"/>
      <c r="E84" s="172"/>
      <c r="F84" s="172"/>
      <c r="G84" s="237"/>
      <c r="H84" s="234">
        <f>'Cost x Depart'!$Y$62</f>
        <v>0</v>
      </c>
      <c r="I84" s="113"/>
    </row>
    <row r="85" spans="2:16" ht="18" hidden="1" customHeight="1" outlineLevel="1">
      <c r="B85" s="1190"/>
      <c r="C85" s="241" t="s">
        <v>1186</v>
      </c>
      <c r="D85" s="172"/>
      <c r="E85" s="172"/>
      <c r="F85" s="172"/>
      <c r="G85" s="237"/>
      <c r="H85" s="234">
        <f>'Cost x Depart'!$Y$64</f>
        <v>29314601.976359691</v>
      </c>
      <c r="I85" s="113"/>
    </row>
    <row r="86" spans="2:16" ht="18" hidden="1" customHeight="1" outlineLevel="1">
      <c r="B86" s="1190"/>
      <c r="C86" s="241" t="s">
        <v>1187</v>
      </c>
      <c r="D86" s="172"/>
      <c r="E86" s="172"/>
      <c r="F86" s="172"/>
      <c r="G86" s="237"/>
      <c r="H86" s="234">
        <f>'Cost x Depart'!$Y$66</f>
        <v>6152905.9055690663</v>
      </c>
      <c r="I86" s="113"/>
    </row>
    <row r="87" spans="2:16" ht="18" hidden="1" customHeight="1" outlineLevel="1">
      <c r="B87" s="1190"/>
      <c r="C87" s="241" t="s">
        <v>1193</v>
      </c>
      <c r="D87" s="172"/>
      <c r="E87" s="172"/>
      <c r="F87" s="172"/>
      <c r="G87" s="237"/>
      <c r="H87" s="234">
        <f>'Cost x Depart'!$Y$68</f>
        <v>17100184.486209821</v>
      </c>
      <c r="I87" s="113"/>
    </row>
    <row r="88" spans="2:16" ht="18" hidden="1" customHeight="1" outlineLevel="1" thickBot="1">
      <c r="B88" s="1190"/>
      <c r="C88" s="257" t="s">
        <v>1262</v>
      </c>
      <c r="D88" s="251"/>
      <c r="E88" s="251"/>
      <c r="F88" s="251"/>
      <c r="G88" s="258"/>
      <c r="H88" s="255">
        <f>'Cost x Depart'!$Y$70</f>
        <v>0</v>
      </c>
      <c r="I88" s="113"/>
    </row>
    <row r="89" spans="2:16" ht="18" customHeight="1" collapsed="1" thickBot="1">
      <c r="B89" s="116" t="s">
        <v>1544</v>
      </c>
      <c r="C89" s="117"/>
      <c r="D89" s="117"/>
      <c r="E89" s="117"/>
      <c r="F89" s="117"/>
      <c r="G89" s="117"/>
      <c r="H89" s="233">
        <f>+H19+H54</f>
        <v>841024859.42992294</v>
      </c>
      <c r="I89" s="119"/>
    </row>
    <row r="90" spans="2:16" ht="7.5" customHeight="1" thickBot="1">
      <c r="B90" s="101"/>
      <c r="C90" s="101"/>
    </row>
    <row r="91" spans="2:16" ht="6" hidden="1" customHeight="1" thickBot="1">
      <c r="B91" s="101"/>
      <c r="C91" s="101"/>
      <c r="I91" s="111"/>
    </row>
    <row r="92" spans="2:16" ht="36.75" customHeight="1" thickBot="1">
      <c r="B92" s="99" t="s">
        <v>1220</v>
      </c>
      <c r="C92" s="1195" t="s">
        <v>1207</v>
      </c>
      <c r="D92" s="1196"/>
      <c r="E92" s="259" t="s">
        <v>1277</v>
      </c>
      <c r="F92" s="259" t="s">
        <v>1275</v>
      </c>
      <c r="G92" s="260" t="s">
        <v>1276</v>
      </c>
      <c r="H92" s="276" t="s">
        <v>1274</v>
      </c>
      <c r="I92" s="112"/>
    </row>
    <row r="93" spans="2:16" ht="15" customHeight="1">
      <c r="B93" s="1197" t="s">
        <v>1282</v>
      </c>
      <c r="C93" s="643" t="s">
        <v>1273</v>
      </c>
      <c r="D93" s="261"/>
      <c r="E93" s="278">
        <f>+SUM('Cost x Depart'!N72+'Cost x Depart'!O72+'Cost x Depart'!Q72)</f>
        <v>14.999999999999998</v>
      </c>
      <c r="F93" s="282">
        <f>+'Parametros Generales'!J7</f>
        <v>40504</v>
      </c>
      <c r="G93" s="279">
        <v>0</v>
      </c>
      <c r="H93" s="218">
        <f>+F93*E93*$E$11</f>
        <v>3949139.9999999991</v>
      </c>
      <c r="I93" s="113"/>
    </row>
    <row r="94" spans="2:16" ht="15" customHeight="1">
      <c r="B94" s="1197"/>
      <c r="C94" s="644" t="s">
        <v>39</v>
      </c>
      <c r="D94" s="122"/>
      <c r="E94" s="312">
        <f>+('Cost x Depart'!R72+'Cost x Depart'!Q72+'Cost x Depart'!P72+'Cost x Depart'!O72+'Cost x Depart'!N72)</f>
        <v>165</v>
      </c>
      <c r="F94" s="283">
        <f>+'Parametros Generales'!J8</f>
        <v>36976</v>
      </c>
      <c r="G94" s="280">
        <v>0</v>
      </c>
      <c r="H94" s="171">
        <f>+F94*E94*$E$11</f>
        <v>39656760</v>
      </c>
      <c r="I94" s="113"/>
    </row>
    <row r="95" spans="2:16" ht="15" customHeight="1">
      <c r="B95" s="1197"/>
      <c r="C95" s="644" t="s">
        <v>1278</v>
      </c>
      <c r="D95" s="122"/>
      <c r="E95" s="281">
        <f>+'Cost x Depart'!M72</f>
        <v>600</v>
      </c>
      <c r="F95" s="283">
        <f>+'Parametros Generales'!J9</f>
        <v>133737</v>
      </c>
      <c r="G95" s="280">
        <v>0</v>
      </c>
      <c r="H95" s="171">
        <f>+E95*F95*$E$11</f>
        <v>521574300</v>
      </c>
      <c r="I95" s="113"/>
    </row>
    <row r="96" spans="2:16" ht="15" customHeight="1">
      <c r="B96" s="1197"/>
      <c r="C96" s="644" t="s">
        <v>1279</v>
      </c>
      <c r="D96" s="122"/>
      <c r="E96" s="281">
        <f>+'Cost x Depart'!H72*'Parametros Generales'!C11</f>
        <v>180000</v>
      </c>
      <c r="F96" s="283">
        <v>0</v>
      </c>
      <c r="G96" s="419">
        <f>+'Parametros Generales'!J10</f>
        <v>1265.0544775353062</v>
      </c>
      <c r="H96" s="171">
        <f>+(('Res de Costos Pais'!E11)*'Res de Costos Pais'!E96)*G96</f>
        <v>1480113738.7163084</v>
      </c>
      <c r="I96" s="113"/>
      <c r="P96" s="284"/>
    </row>
    <row r="97" spans="2:16" ht="15" customHeight="1" thickBot="1">
      <c r="B97" s="1197"/>
      <c r="C97" s="645" t="s">
        <v>1280</v>
      </c>
      <c r="D97" s="315"/>
      <c r="E97" s="320">
        <f>+E94</f>
        <v>165</v>
      </c>
      <c r="F97" s="321">
        <v>0</v>
      </c>
      <c r="G97" s="322">
        <f>+'Parametros Generales'!J11</f>
        <v>51376</v>
      </c>
      <c r="H97" s="323">
        <f>+E97*G97</f>
        <v>8477040</v>
      </c>
      <c r="I97" s="113"/>
      <c r="P97" s="285"/>
    </row>
    <row r="98" spans="2:16" ht="18" customHeight="1" thickBot="1">
      <c r="B98" s="1191" t="s">
        <v>1281</v>
      </c>
      <c r="C98" s="1192"/>
      <c r="D98" s="117"/>
      <c r="E98" s="117"/>
      <c r="F98" s="117"/>
      <c r="G98" s="117"/>
      <c r="H98" s="233">
        <f>+SUM(H93:H97)</f>
        <v>2053770978.7163084</v>
      </c>
      <c r="I98" s="119"/>
    </row>
    <row r="99" spans="2:16" ht="6.75" customHeight="1" thickBot="1">
      <c r="B99" s="101"/>
      <c r="C99" s="101"/>
    </row>
    <row r="100" spans="2:16" ht="15.75" customHeight="1" thickBot="1">
      <c r="B100" s="1169" t="s">
        <v>1546</v>
      </c>
      <c r="C100" s="1170"/>
      <c r="D100" s="1170"/>
      <c r="E100" s="102"/>
      <c r="F100" s="103"/>
      <c r="G100" s="103"/>
      <c r="H100" s="262">
        <f>+H16+H89+H98</f>
        <v>4129026923.0836668</v>
      </c>
      <c r="I100" s="123"/>
    </row>
    <row r="101" spans="2:16" ht="6.75" customHeight="1" thickBot="1"/>
    <row r="102" spans="2:16" ht="28.5" customHeight="1">
      <c r="B102" s="316" t="s">
        <v>1220</v>
      </c>
      <c r="C102" s="1175" t="s">
        <v>1207</v>
      </c>
      <c r="D102" s="1175"/>
      <c r="E102" s="1175"/>
      <c r="F102" s="1176"/>
      <c r="G102" s="317" t="s">
        <v>1299</v>
      </c>
      <c r="H102" s="318" t="s">
        <v>1274</v>
      </c>
    </row>
    <row r="103" spans="2:16" ht="18.75" customHeight="1" thickBot="1">
      <c r="B103" s="637" t="s">
        <v>1573</v>
      </c>
      <c r="C103" s="641" t="s">
        <v>1300</v>
      </c>
      <c r="D103" s="313"/>
      <c r="E103" s="134"/>
      <c r="F103" s="122"/>
      <c r="G103" s="906">
        <v>0.08</v>
      </c>
      <c r="H103" s="319">
        <f>+H100*G103</f>
        <v>330322153.84669334</v>
      </c>
    </row>
    <row r="104" spans="2:16" ht="18" customHeight="1" thickBot="1">
      <c r="B104" s="1191" t="s">
        <v>1574</v>
      </c>
      <c r="C104" s="1192"/>
      <c r="D104" s="117"/>
      <c r="E104" s="117"/>
      <c r="F104" s="117"/>
      <c r="G104" s="117"/>
      <c r="H104" s="233">
        <f>+H103</f>
        <v>330322153.84669334</v>
      </c>
      <c r="I104" s="119"/>
    </row>
    <row r="105" spans="2:16" ht="6.75" customHeight="1" thickBot="1"/>
    <row r="106" spans="2:16" ht="15.75" customHeight="1" thickBot="1">
      <c r="B106" s="1207" t="s">
        <v>1601</v>
      </c>
      <c r="C106" s="1208"/>
      <c r="D106" s="1208"/>
      <c r="E106" s="1208"/>
      <c r="F106" s="1208"/>
      <c r="G106" s="103"/>
      <c r="H106" s="262">
        <f>+H100+H104</f>
        <v>4459349076.9303598</v>
      </c>
      <c r="I106" s="123"/>
    </row>
    <row r="107" spans="2:16" ht="6.75" customHeight="1" thickBot="1"/>
    <row r="108" spans="2:16" ht="29.25" customHeight="1">
      <c r="B108" s="316" t="s">
        <v>1220</v>
      </c>
      <c r="C108" s="1175" t="s">
        <v>1207</v>
      </c>
      <c r="D108" s="1175"/>
      <c r="E108" s="1175"/>
      <c r="F108" s="1176"/>
      <c r="G108" s="317" t="s">
        <v>1299</v>
      </c>
      <c r="H108" s="318" t="s">
        <v>1274</v>
      </c>
    </row>
    <row r="109" spans="2:16" ht="14.25" customHeight="1">
      <c r="B109" s="1179" t="s">
        <v>1302</v>
      </c>
      <c r="C109" s="641" t="s">
        <v>1565</v>
      </c>
      <c r="D109" s="313"/>
      <c r="E109" s="134"/>
      <c r="F109" s="122"/>
      <c r="G109" s="330">
        <f>9.66/1000</f>
        <v>9.6600000000000002E-3</v>
      </c>
      <c r="H109" s="319">
        <f>+H106*G109</f>
        <v>43077312.08314728</v>
      </c>
      <c r="N109" s="691"/>
    </row>
    <row r="110" spans="2:16" ht="14.25" customHeight="1" thickBot="1">
      <c r="B110" s="1180"/>
      <c r="C110" s="642" t="s">
        <v>1284</v>
      </c>
      <c r="D110" s="314"/>
      <c r="E110" s="109"/>
      <c r="F110" s="324"/>
      <c r="G110" s="331">
        <v>0</v>
      </c>
      <c r="H110" s="325">
        <f>+H106*G110</f>
        <v>0</v>
      </c>
    </row>
    <row r="111" spans="2:16" ht="18" customHeight="1" thickBot="1">
      <c r="B111" s="1191" t="s">
        <v>1303</v>
      </c>
      <c r="C111" s="1192"/>
      <c r="D111" s="117"/>
      <c r="E111" s="117"/>
      <c r="F111" s="117"/>
      <c r="G111" s="117"/>
      <c r="H111" s="233">
        <f>+H109+H110</f>
        <v>43077312.08314728</v>
      </c>
      <c r="I111" s="119"/>
    </row>
    <row r="112" spans="2:16" ht="4.5" customHeight="1" thickBot="1">
      <c r="B112" s="326"/>
      <c r="C112" s="314"/>
      <c r="D112" s="314"/>
      <c r="E112" s="109"/>
      <c r="F112" s="109"/>
      <c r="G112" s="327"/>
      <c r="H112" s="328"/>
    </row>
    <row r="113" spans="2:14" ht="15.75" customHeight="1" thickBot="1">
      <c r="B113" s="1169" t="s">
        <v>1547</v>
      </c>
      <c r="C113" s="1170"/>
      <c r="D113" s="1170"/>
      <c r="E113" s="102"/>
      <c r="F113" s="103"/>
      <c r="G113" s="103"/>
      <c r="H113" s="262">
        <f>+H106+H111</f>
        <v>4502426389.0135069</v>
      </c>
      <c r="I113" s="123"/>
    </row>
    <row r="114" spans="2:14" ht="4.5" customHeight="1" thickBot="1"/>
    <row r="115" spans="2:14" ht="30.75" thickBot="1">
      <c r="B115" s="316" t="s">
        <v>1220</v>
      </c>
      <c r="C115" s="271" t="s">
        <v>1207</v>
      </c>
      <c r="D115" s="272" t="s">
        <v>1208</v>
      </c>
      <c r="E115" s="273" t="s">
        <v>1209</v>
      </c>
      <c r="F115" s="273" t="s">
        <v>1210</v>
      </c>
      <c r="G115" s="274" t="s">
        <v>1218</v>
      </c>
      <c r="H115" s="275" t="s">
        <v>1196</v>
      </c>
      <c r="I115" s="124"/>
    </row>
    <row r="116" spans="2:14" ht="13.5" customHeight="1">
      <c r="B116" s="1171" t="s">
        <v>1206</v>
      </c>
      <c r="C116" s="1003" t="s">
        <v>1211</v>
      </c>
      <c r="D116" s="1004">
        <v>0.1</v>
      </c>
      <c r="E116" s="1005">
        <f>+D116*H113</f>
        <v>450242638.90135074</v>
      </c>
      <c r="F116" s="1006">
        <v>1E-3</v>
      </c>
      <c r="G116" s="269">
        <v>4</v>
      </c>
      <c r="H116" s="270">
        <f>L116</f>
        <v>450242.63890135073</v>
      </c>
      <c r="I116" s="126"/>
      <c r="J116" s="660">
        <f>+F116</f>
        <v>1E-3</v>
      </c>
      <c r="K116" s="660">
        <f>J116*1</f>
        <v>1E-3</v>
      </c>
      <c r="L116" s="661">
        <f>K116*E116</f>
        <v>450242.63890135073</v>
      </c>
      <c r="M116" s="127"/>
      <c r="N116" s="127"/>
    </row>
    <row r="117" spans="2:14" ht="13.5" customHeight="1">
      <c r="B117" s="1172"/>
      <c r="C117" s="984" t="s">
        <v>1212</v>
      </c>
      <c r="D117" s="985">
        <v>0.1</v>
      </c>
      <c r="E117" s="986">
        <f>+$H$113*D117</f>
        <v>450242638.90135074</v>
      </c>
      <c r="F117" s="907">
        <v>4.0000000000000001E-3</v>
      </c>
      <c r="G117" s="128">
        <f>+'[12]Parametros Generales'!C6+6</f>
        <v>12.5</v>
      </c>
      <c r="H117" s="263">
        <f>L117</f>
        <v>2851536.7130418881</v>
      </c>
      <c r="I117" s="126"/>
      <c r="J117" s="662">
        <f>+F117/12</f>
        <v>3.3333333333333332E-4</v>
      </c>
      <c r="K117" s="663">
        <f>J117*(G117+$E$11)</f>
        <v>6.3333333333333332E-3</v>
      </c>
      <c r="L117" s="664">
        <f>K117*E117</f>
        <v>2851536.7130418881</v>
      </c>
      <c r="M117" s="127"/>
      <c r="N117" s="127"/>
    </row>
    <row r="118" spans="2:14" ht="13.5" customHeight="1">
      <c r="B118" s="1172"/>
      <c r="C118" s="984" t="s">
        <v>1213</v>
      </c>
      <c r="D118" s="985">
        <v>0.05</v>
      </c>
      <c r="E118" s="986">
        <f>+$H$113*D118</f>
        <v>225121319.45067537</v>
      </c>
      <c r="F118" s="907">
        <v>3.0000000000000001E-3</v>
      </c>
      <c r="G118" s="128">
        <f>+'[12]Parametros Generales'!C6+36</f>
        <v>42.5</v>
      </c>
      <c r="H118" s="263">
        <f>L118</f>
        <v>2757736.1632707734</v>
      </c>
      <c r="I118" s="126"/>
      <c r="J118" s="662">
        <f>+F118/12</f>
        <v>2.5000000000000001E-4</v>
      </c>
      <c r="K118" s="663">
        <f>J118*(G118+$E$11)</f>
        <v>1.225E-2</v>
      </c>
      <c r="L118" s="664">
        <f>K118*E118</f>
        <v>2757736.1632707734</v>
      </c>
      <c r="M118" s="127"/>
      <c r="N118" s="127"/>
    </row>
    <row r="119" spans="2:14" ht="13.5" customHeight="1">
      <c r="B119" s="1172"/>
      <c r="C119" s="984" t="s">
        <v>1214</v>
      </c>
      <c r="D119" s="985">
        <v>0.1</v>
      </c>
      <c r="E119" s="986">
        <f>+$H$113*D119</f>
        <v>450242638.90135074</v>
      </c>
      <c r="F119" s="907">
        <v>4.0000000000000001E-3</v>
      </c>
      <c r="G119" s="128">
        <f>+'[12]Parametros Generales'!C6+6</f>
        <v>12.5</v>
      </c>
      <c r="H119" s="263">
        <f>L119</f>
        <v>2851536.7130418881</v>
      </c>
      <c r="I119" s="126"/>
      <c r="J119" s="662">
        <f>+F119/12</f>
        <v>3.3333333333333332E-4</v>
      </c>
      <c r="K119" s="663">
        <f>J119*(G119+$E$11)</f>
        <v>6.3333333333333332E-3</v>
      </c>
      <c r="L119" s="664">
        <f>K119*E119</f>
        <v>2851536.7130418881</v>
      </c>
      <c r="M119" s="127"/>
      <c r="N119" s="127"/>
    </row>
    <row r="120" spans="2:14" ht="13.5" customHeight="1" thickBot="1">
      <c r="B120" s="1173"/>
      <c r="C120" s="987" t="s">
        <v>1215</v>
      </c>
      <c r="D120" s="988">
        <v>0.05</v>
      </c>
      <c r="E120" s="989">
        <f>+$H$113*D120</f>
        <v>225121319.45067537</v>
      </c>
      <c r="F120" s="908">
        <v>5.0000000000000001E-3</v>
      </c>
      <c r="G120" s="1009">
        <f>+'[12]Parametros Generales'!C6</f>
        <v>6.5</v>
      </c>
      <c r="H120" s="264">
        <f>L120</f>
        <v>1219407.1470244916</v>
      </c>
      <c r="I120" s="126"/>
      <c r="J120" s="662">
        <f>+F120/12</f>
        <v>4.1666666666666669E-4</v>
      </c>
      <c r="K120" s="663">
        <f>J120*(G120+$E$11)</f>
        <v>5.4166666666666669E-3</v>
      </c>
      <c r="L120" s="664">
        <f>K120*E120</f>
        <v>1219407.1470244916</v>
      </c>
      <c r="M120" s="127"/>
      <c r="N120" s="127"/>
    </row>
    <row r="121" spans="2:14" ht="15" thickBot="1">
      <c r="B121" s="108"/>
      <c r="C121" s="108"/>
      <c r="D121" s="108"/>
      <c r="E121" s="108"/>
      <c r="F121" s="131" t="s">
        <v>1219</v>
      </c>
      <c r="G121" s="672"/>
      <c r="H121" s="108"/>
      <c r="I121" s="132"/>
    </row>
    <row r="122" spans="2:14" thickBot="1">
      <c r="B122" s="133" t="s">
        <v>1216</v>
      </c>
      <c r="C122" s="117"/>
      <c r="D122" s="117"/>
      <c r="E122" s="117"/>
      <c r="F122" s="117"/>
      <c r="G122" s="671">
        <f>+H122/H113</f>
        <v>2.2500000000000003E-3</v>
      </c>
      <c r="H122" s="233">
        <f>+SUM(H116:H120)</f>
        <v>10130459.375280391</v>
      </c>
      <c r="I122" s="119"/>
      <c r="N122" s="691"/>
    </row>
    <row r="123" spans="2:14" ht="9" customHeight="1" thickBot="1">
      <c r="B123" s="326"/>
      <c r="C123" s="314"/>
      <c r="D123" s="314"/>
      <c r="E123" s="109"/>
      <c r="F123" s="109"/>
      <c r="G123" s="327"/>
      <c r="H123" s="328"/>
    </row>
    <row r="124" spans="2:14" ht="15.75" customHeight="1" thickBot="1">
      <c r="B124" s="1169" t="s">
        <v>1548</v>
      </c>
      <c r="C124" s="1170"/>
      <c r="D124" s="1170"/>
      <c r="E124" s="102"/>
      <c r="F124" s="103"/>
      <c r="G124" s="103"/>
      <c r="H124" s="262">
        <f>+H113+H122</f>
        <v>4512556848.3887873</v>
      </c>
      <c r="I124" s="123"/>
    </row>
    <row r="125" spans="2:14" ht="9" customHeight="1" thickBot="1"/>
    <row r="126" spans="2:14" ht="15.75" customHeight="1" thickBot="1">
      <c r="B126" s="1169" t="s">
        <v>1304</v>
      </c>
      <c r="C126" s="1170"/>
      <c r="D126" s="1170"/>
      <c r="E126" s="102"/>
      <c r="F126" s="103"/>
      <c r="G126" s="329">
        <f>4/1000</f>
        <v>4.0000000000000001E-3</v>
      </c>
      <c r="H126" s="262">
        <f>+H124*G126</f>
        <v>18050227.393555149</v>
      </c>
      <c r="I126" s="123"/>
      <c r="N126" s="691"/>
    </row>
    <row r="127" spans="2:14" ht="9" customHeight="1" thickBot="1"/>
    <row r="128" spans="2:14" ht="15.75" customHeight="1" thickBot="1">
      <c r="B128" s="1191" t="s">
        <v>1644</v>
      </c>
      <c r="C128" s="1192"/>
      <c r="D128" s="1192"/>
      <c r="E128" s="1192"/>
      <c r="F128" s="1192"/>
      <c r="G128" s="1193"/>
      <c r="H128" s="948">
        <f>+H124+H126</f>
        <v>4530607075.782342</v>
      </c>
      <c r="I128" s="123"/>
    </row>
    <row r="129" spans="2:15" ht="18.75" customHeight="1" thickBot="1">
      <c r="B129" s="949" t="s">
        <v>1570</v>
      </c>
      <c r="C129" s="950"/>
      <c r="D129" s="950"/>
      <c r="E129" s="950"/>
      <c r="F129" s="950"/>
      <c r="G129" s="950"/>
      <c r="H129" s="1002">
        <f>+'Cost x Depart'!$H$72</f>
        <v>15000</v>
      </c>
      <c r="O129" s="101"/>
    </row>
    <row r="130" spans="2:15" ht="15.75" customHeight="1" thickBot="1">
      <c r="B130" s="949" t="s">
        <v>1631</v>
      </c>
      <c r="C130" s="950"/>
      <c r="D130" s="950"/>
      <c r="E130" s="950"/>
      <c r="F130" s="950"/>
      <c r="G130" s="950"/>
      <c r="H130" s="951">
        <f>+H128/H129/E11</f>
        <v>46467.764879818889</v>
      </c>
    </row>
    <row r="131" spans="2:15" ht="15.75" customHeight="1" thickBot="1">
      <c r="B131" s="949" t="s">
        <v>1632</v>
      </c>
      <c r="C131" s="950"/>
      <c r="D131" s="950"/>
      <c r="E131" s="950"/>
      <c r="F131" s="950"/>
      <c r="G131" s="950"/>
      <c r="H131" s="951">
        <f>+H130/'Parametros Generales'!$C$11*'Parametros Generales'!$C$14</f>
        <v>7744.6274799698149</v>
      </c>
    </row>
    <row r="132" spans="2:15" ht="15.75" customHeight="1" thickBot="1">
      <c r="B132" s="1202" t="s">
        <v>1633</v>
      </c>
      <c r="C132" s="1203"/>
      <c r="D132" s="1203"/>
      <c r="E132" s="1203"/>
      <c r="F132" s="1203"/>
      <c r="G132" s="1204"/>
      <c r="H132" s="952">
        <f>+H131*H129</f>
        <v>116169412.19954722</v>
      </c>
      <c r="M132" s="909"/>
    </row>
    <row r="133" spans="2:15" ht="15.75" customHeight="1" thickBot="1">
      <c r="B133" s="949" t="s">
        <v>1642</v>
      </c>
      <c r="C133" s="950"/>
      <c r="D133" s="950"/>
      <c r="E133" s="950"/>
      <c r="F133" s="950"/>
      <c r="G133" s="950"/>
      <c r="H133" s="951">
        <f>+(((((((H16/E11/H129)*'Parametros Generales'!$C$15*'Parametros Generales'!$C$16))*(1+G103))*(1+G109+G110))*(1+G122))*(1+G126))</f>
        <v>3472.4864314643764</v>
      </c>
    </row>
    <row r="134" spans="2:15" ht="15.75" customHeight="1" thickBot="1">
      <c r="B134" s="1202" t="s">
        <v>1635</v>
      </c>
      <c r="C134" s="1203"/>
      <c r="D134" s="1203"/>
      <c r="E134" s="1203"/>
      <c r="F134" s="1203"/>
      <c r="G134" s="1204"/>
      <c r="H134" s="952">
        <f>+H133*H129</f>
        <v>52087296.471965648</v>
      </c>
    </row>
    <row r="135" spans="2:15" ht="15.75" customHeight="1" thickBot="1">
      <c r="B135" s="1202" t="s">
        <v>1612</v>
      </c>
      <c r="C135" s="1203"/>
      <c r="D135" s="1203"/>
      <c r="E135" s="1203"/>
      <c r="F135" s="1203"/>
      <c r="G135" s="1204"/>
      <c r="H135" s="952">
        <f>+H128+H132+H134</f>
        <v>4698863784.4538546</v>
      </c>
    </row>
    <row r="136" spans="2:15" ht="15.75" customHeight="1">
      <c r="F136" s="1210" t="s">
        <v>1599</v>
      </c>
      <c r="G136" s="1210"/>
      <c r="H136" s="953">
        <f>+H135-'Cost x Depart'!AQ72</f>
        <v>0</v>
      </c>
    </row>
    <row r="137" spans="2:15" ht="15.75" customHeight="1">
      <c r="F137" s="1211"/>
      <c r="G137" s="1211"/>
      <c r="H137" s="953">
        <f>'Res de Costos X Dept'!TF72-H135</f>
        <v>0</v>
      </c>
    </row>
  </sheetData>
  <mergeCells count="30">
    <mergeCell ref="B128:G128"/>
    <mergeCell ref="B132:G132"/>
    <mergeCell ref="B134:G134"/>
    <mergeCell ref="B135:G135"/>
    <mergeCell ref="F136:G137"/>
    <mergeCell ref="C18:D18"/>
    <mergeCell ref="C92:D92"/>
    <mergeCell ref="C19:D19"/>
    <mergeCell ref="F18:G18"/>
    <mergeCell ref="B9:H9"/>
    <mergeCell ref="B11:D11"/>
    <mergeCell ref="F15:G15"/>
    <mergeCell ref="F14:G14"/>
    <mergeCell ref="B14:B15"/>
    <mergeCell ref="F13:G13"/>
    <mergeCell ref="B124:D124"/>
    <mergeCell ref="B126:D126"/>
    <mergeCell ref="B19:B88"/>
    <mergeCell ref="C54:G54"/>
    <mergeCell ref="B100:D100"/>
    <mergeCell ref="B93:B97"/>
    <mergeCell ref="C108:F108"/>
    <mergeCell ref="B109:B110"/>
    <mergeCell ref="B111:C111"/>
    <mergeCell ref="C102:F102"/>
    <mergeCell ref="B104:C104"/>
    <mergeCell ref="B106:F106"/>
    <mergeCell ref="B116:B120"/>
    <mergeCell ref="B98:C98"/>
    <mergeCell ref="B113:D113"/>
  </mergeCells>
  <conditionalFormatting sqref="H136">
    <cfRule type="cellIs" dxfId="5" priority="3" operator="lessThan">
      <formula>-1</formula>
    </cfRule>
    <cfRule type="cellIs" dxfId="4" priority="4" operator="greaterThan">
      <formula>1</formula>
    </cfRule>
  </conditionalFormatting>
  <conditionalFormatting sqref="H137">
    <cfRule type="cellIs" dxfId="3" priority="1" operator="lessThan">
      <formula>-1</formula>
    </cfRule>
    <cfRule type="cellIs" dxfId="2" priority="2" operator="greaterThan">
      <formula>1</formula>
    </cfRule>
  </conditionalFormatting>
  <hyperlinks>
    <hyperlink ref="B1" location="'Hoja índice'!A1" display="Indice"/>
  </hyperlinks>
  <printOptions horizontalCentered="1" verticalCentered="1"/>
  <pageMargins left="0.23622047244094491" right="0.23622047244094491" top="0.31496062992125984" bottom="0.27559055118110237" header="0.31496062992125984" footer="0.31496062992125984"/>
  <pageSetup scale="36" orientation="landscape" r:id="rId1"/>
  <rowBreaks count="1" manualBreakCount="1">
    <brk id="91"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R99"/>
  <sheetViews>
    <sheetView showGridLines="0" view="pageBreakPreview" zoomScale="85" zoomScaleNormal="100" zoomScaleSheetLayoutView="85" workbookViewId="0">
      <selection activeCell="F35" sqref="F35"/>
    </sheetView>
  </sheetViews>
  <sheetFormatPr baseColWidth="10" defaultRowHeight="12.75"/>
  <cols>
    <col min="1" max="1" width="8.140625" style="363" bestFit="1" customWidth="1"/>
    <col min="2" max="2" width="20.5703125" style="363" customWidth="1"/>
    <col min="3" max="3" width="9" style="363" customWidth="1"/>
    <col min="4" max="4" width="12.28515625" style="759" customWidth="1"/>
    <col min="5" max="6" width="18.7109375" style="759" customWidth="1"/>
    <col min="7" max="13" width="18.7109375" style="363" customWidth="1"/>
    <col min="14" max="14" width="15.42578125" style="1020" bestFit="1" customWidth="1"/>
    <col min="15" max="16" width="13" style="363" customWidth="1"/>
    <col min="17" max="16384" width="11.42578125" style="363"/>
  </cols>
  <sheetData>
    <row r="1" spans="2:18" s="610" customFormat="1" ht="17.25" thickBot="1">
      <c r="B1" s="4" t="s">
        <v>1555</v>
      </c>
      <c r="C1" s="4"/>
      <c r="D1" s="758"/>
      <c r="E1" s="758"/>
      <c r="F1" s="758"/>
      <c r="N1" s="1012"/>
      <c r="O1" s="965"/>
      <c r="P1" s="965"/>
      <c r="Q1" s="965"/>
      <c r="R1" s="965"/>
    </row>
    <row r="2" spans="2:18" s="610" customFormat="1" ht="27.75" customHeight="1" thickBot="1">
      <c r="B2" s="1212" t="s">
        <v>1646</v>
      </c>
      <c r="C2" s="1213"/>
      <c r="D2" s="1213"/>
      <c r="E2" s="1213"/>
      <c r="F2" s="1213"/>
      <c r="G2" s="1213"/>
      <c r="H2" s="1213"/>
      <c r="I2" s="1213"/>
      <c r="J2" s="1213"/>
      <c r="K2" s="1213"/>
      <c r="L2" s="1213"/>
      <c r="M2" s="1213"/>
      <c r="N2" s="1214"/>
      <c r="O2" s="965"/>
      <c r="P2" s="965"/>
      <c r="Q2" s="965"/>
      <c r="R2" s="965"/>
    </row>
    <row r="3" spans="2:18" ht="67.5" customHeight="1">
      <c r="B3" s="997" t="s">
        <v>1588</v>
      </c>
      <c r="C3" s="998" t="s">
        <v>1592</v>
      </c>
      <c r="D3" s="998" t="s">
        <v>1596</v>
      </c>
      <c r="E3" s="999" t="s">
        <v>1597</v>
      </c>
      <c r="F3" s="999" t="s">
        <v>1598</v>
      </c>
      <c r="G3" s="1000" t="s">
        <v>1640</v>
      </c>
      <c r="H3" s="998" t="s">
        <v>1623</v>
      </c>
      <c r="I3" s="1000" t="s">
        <v>1641</v>
      </c>
      <c r="J3" s="998" t="s">
        <v>1624</v>
      </c>
      <c r="K3" s="1000" t="s">
        <v>1616</v>
      </c>
      <c r="L3" s="998" t="s">
        <v>1625</v>
      </c>
      <c r="M3" s="998" t="s">
        <v>1626</v>
      </c>
      <c r="N3" s="1001" t="s">
        <v>1637</v>
      </c>
      <c r="O3" s="966"/>
      <c r="P3" s="966"/>
      <c r="Q3" s="966"/>
      <c r="R3" s="966"/>
    </row>
    <row r="4" spans="2:18">
      <c r="B4" s="413" t="s">
        <v>44</v>
      </c>
      <c r="C4" s="1010">
        <f>+VLOOKUP(B4,'Cost x Depart'!$C$2:$AL$72,6,0)</f>
        <v>700</v>
      </c>
      <c r="D4" s="1010">
        <f>+VLOOKUP(B4,'Cost x Depart'!$C$2:$AL$72,11,0)</f>
        <v>28</v>
      </c>
      <c r="E4" s="1215">
        <f>+VLOOKUP(B4,'Cost x Depart'!$C$2:$AL$72,15,0)</f>
        <v>0.7</v>
      </c>
      <c r="F4" s="1215">
        <f>+VLOOKUP(B4,'Cost x Depart'!$C$2:$AL$72,16,0)</f>
        <v>7</v>
      </c>
      <c r="G4" s="1011">
        <f>ROUND(VLOOKUP(B4,'Cost x Depart'!$C$2:$AN$72,36,0),0)</f>
        <v>38934</v>
      </c>
      <c r="H4" s="1011">
        <f>+G4*C4*'Parametros Generales'!$C$6</f>
        <v>177149700</v>
      </c>
      <c r="I4" s="1011">
        <f>+ROUND((G4/'Parametros Generales'!$C$11)*'Parametros Generales'!$C$14,0)</f>
        <v>6489</v>
      </c>
      <c r="J4" s="1011">
        <f>+I4*C4</f>
        <v>4542300</v>
      </c>
      <c r="K4" s="1011">
        <f>ROUND(VLOOKUP(B4,'Cost x Depart'!$C$2:$AQ$72,39,0),0)</f>
        <v>3472</v>
      </c>
      <c r="L4" s="1011">
        <f>+K4*C4</f>
        <v>2430400</v>
      </c>
      <c r="M4" s="1011">
        <f>+ROUND(H4+J4+L4,0)</f>
        <v>184122400</v>
      </c>
      <c r="N4" s="1013">
        <f>ROUND((VLOOKUP(B4,'Cost x Depart'!$E$2:$AQ$72,18,0)+VLOOKUP(B4,'Cost x Depart'!$E$2:$AQ$72,19,0))/VLOOKUP(B4,'Cost x Depart'!$E$2:$AQ$72,33,0),4)</f>
        <v>0.3251</v>
      </c>
      <c r="O4" s="760">
        <f>((VLOOKUP(B4,'Cost x Depart'!$C$2:$AN$72,36,0))-G4)*C4*'Parametros Generales'!$C$6</f>
        <v>931.5699807011697</v>
      </c>
      <c r="P4" s="760">
        <f>((VLOOKUP(B4,'Cost x Depart'!$C$2:$AN$72,37,0))-I4)*C4</f>
        <v>23.886409761780669</v>
      </c>
      <c r="Q4" s="967">
        <f>+H4-ROUND(H4,0)</f>
        <v>0</v>
      </c>
      <c r="R4" s="966"/>
    </row>
    <row r="5" spans="2:18" hidden="1">
      <c r="B5" s="413" t="s">
        <v>109</v>
      </c>
      <c r="C5" s="1010">
        <f>+VLOOKUP(B5,'Cost x Depart'!$C$2:$AL$72,6,0)</f>
        <v>0</v>
      </c>
      <c r="D5" s="1010">
        <f>+VLOOKUP(B5,'Cost x Depart'!$C$2:$AL$72,11,0)</f>
        <v>0</v>
      </c>
      <c r="E5" s="1215">
        <f>+VLOOKUP(B5,'Cost x Depart'!$C$2:$AL$72,15,0)</f>
        <v>0</v>
      </c>
      <c r="F5" s="1215">
        <f>+VLOOKUP(B5,'Cost x Depart'!$C$2:$AL$72,16,0)</f>
        <v>0</v>
      </c>
      <c r="G5" s="1011">
        <f>ROUND(VLOOKUP(B5,'Cost x Depart'!$C$2:$AN$72,36,0),0)</f>
        <v>0</v>
      </c>
      <c r="H5" s="1011">
        <f>+G5*C5*'Parametros Generales'!$C$6</f>
        <v>0</v>
      </c>
      <c r="I5" s="1011">
        <f>+ROUND((G5/'Parametros Generales'!$C$11)*'Parametros Generales'!$C$14,0)</f>
        <v>0</v>
      </c>
      <c r="J5" s="1011">
        <f t="shared" ref="J5:J38" si="0">+I5*C5</f>
        <v>0</v>
      </c>
      <c r="K5" s="1011">
        <f>ROUND(VLOOKUP(B5,'Cost x Depart'!$C$2:$AQ$72,39,0),0)</f>
        <v>0</v>
      </c>
      <c r="L5" s="1011">
        <f t="shared" ref="L5:L38" si="1">+K5*C5</f>
        <v>0</v>
      </c>
      <c r="M5" s="1011">
        <f t="shared" ref="M5:M38" si="2">+H5+J5+L5</f>
        <v>0</v>
      </c>
      <c r="N5" s="1014"/>
      <c r="O5" s="760">
        <f>((VLOOKUP(B5,'Cost x Depart'!$C$2:$AN$72,36,0))-G5)*C5*'Parametros Generales'!$C$6</f>
        <v>0</v>
      </c>
      <c r="P5" s="760">
        <f>((VLOOKUP(B5,'Cost x Depart'!$C$2:$AN$72,37,0))-I5)*C5</f>
        <v>0</v>
      </c>
      <c r="Q5" s="966"/>
      <c r="R5" s="966"/>
    </row>
    <row r="6" spans="2:18" hidden="1">
      <c r="B6" s="413" t="s">
        <v>1531</v>
      </c>
      <c r="C6" s="1010">
        <f>+VLOOKUP(B6,'Cost x Depart'!$C$2:$AL$72,6,0)</f>
        <v>0</v>
      </c>
      <c r="D6" s="1010">
        <f>+VLOOKUP(B6,'Cost x Depart'!$C$2:$AL$72,11,0)</f>
        <v>0</v>
      </c>
      <c r="E6" s="1215">
        <f>+VLOOKUP(B6,'Cost x Depart'!$C$2:$AL$72,15,0)</f>
        <v>0</v>
      </c>
      <c r="F6" s="1215">
        <f>+VLOOKUP(B6,'Cost x Depart'!$C$2:$AL$72,16,0)</f>
        <v>0</v>
      </c>
      <c r="G6" s="1011">
        <f>ROUND(VLOOKUP(B6,'Cost x Depart'!$C$2:$AN$72,36,0),0)</f>
        <v>0</v>
      </c>
      <c r="H6" s="1011">
        <f>+G6*C6*'Parametros Generales'!$C$6</f>
        <v>0</v>
      </c>
      <c r="I6" s="1011">
        <f>+ROUND((G6/'Parametros Generales'!$C$11)*'Parametros Generales'!$C$14,0)</f>
        <v>0</v>
      </c>
      <c r="J6" s="1011">
        <f t="shared" si="0"/>
        <v>0</v>
      </c>
      <c r="K6" s="1011">
        <f>ROUND(VLOOKUP(B6,'Cost x Depart'!$C$2:$AQ$72,39,0),0)</f>
        <v>0</v>
      </c>
      <c r="L6" s="1011">
        <f t="shared" si="1"/>
        <v>0</v>
      </c>
      <c r="M6" s="1011">
        <f t="shared" si="2"/>
        <v>0</v>
      </c>
      <c r="N6" s="1014"/>
      <c r="O6" s="760">
        <f>((VLOOKUP(B6,'Cost x Depart'!$C$2:$AN$72,36,0))-G6)*C6*'Parametros Generales'!$C$6</f>
        <v>0</v>
      </c>
      <c r="P6" s="760">
        <f>((VLOOKUP(B6,'Cost x Depart'!$C$2:$AN$72,37,0))-I6)*C6</f>
        <v>0</v>
      </c>
      <c r="Q6" s="966"/>
      <c r="R6" s="966"/>
    </row>
    <row r="7" spans="2:18">
      <c r="B7" s="413" t="s">
        <v>1535</v>
      </c>
      <c r="C7" s="1010">
        <f>+VLOOKUP(B7,'Cost x Depart'!$C$2:$AL$72,6,0)</f>
        <v>1800</v>
      </c>
      <c r="D7" s="1010">
        <f>+VLOOKUP(B7,'Cost x Depart'!$C$2:$AL$72,11,0)</f>
        <v>72</v>
      </c>
      <c r="E7" s="1215">
        <f>+VLOOKUP(B7,'Cost x Depart'!$C$2:$AL$72,15,0)</f>
        <v>1.8</v>
      </c>
      <c r="F7" s="1215">
        <f>+VLOOKUP(B7,'Cost x Depart'!$C$2:$AL$72,16,0)</f>
        <v>18</v>
      </c>
      <c r="G7" s="1011">
        <f>ROUND(VLOOKUP(B7,'Cost x Depart'!$C$2:$AN$72,36,0),0)</f>
        <v>38268</v>
      </c>
      <c r="H7" s="1011">
        <f>+G7*C7*'Parametros Generales'!$C$6</f>
        <v>447735600</v>
      </c>
      <c r="I7" s="1011">
        <f>+ROUND((G7/'Parametros Generales'!$C$11)*'Parametros Generales'!$C$14,0)</f>
        <v>6378</v>
      </c>
      <c r="J7" s="1011">
        <f t="shared" si="0"/>
        <v>11480400</v>
      </c>
      <c r="K7" s="1011">
        <f>ROUND(VLOOKUP(B7,'Cost x Depart'!$C$2:$AQ$72,39,0),0)</f>
        <v>3472</v>
      </c>
      <c r="L7" s="1011">
        <f t="shared" si="1"/>
        <v>6249600</v>
      </c>
      <c r="M7" s="1011">
        <f t="shared" ref="M7:M37" si="3">+ROUND(H7+J7+L7,0)</f>
        <v>465465600</v>
      </c>
      <c r="N7" s="1013">
        <f>ROUND((VLOOKUP(B7,'Cost x Depart'!$E$2:$AQ$72,18,0)+VLOOKUP(B7,'Cost x Depart'!$E$2:$AQ$72,19,0))/VLOOKUP(B7,'Cost x Depart'!$E$2:$AQ$72,33,0),4)</f>
        <v>0.33079999999999998</v>
      </c>
      <c r="O7" s="760">
        <f>((VLOOKUP(B7,'Cost x Depart'!$C$2:$AN$72,36,0))-G7)*C7*'Parametros Generales'!$C$6</f>
        <v>606.44797842323896</v>
      </c>
      <c r="P7" s="760">
        <f>((VLOOKUP(B7,'Cost x Depart'!$C$2:$AN$72,37,0))-I7)*C7</f>
        <v>15.549948164152738</v>
      </c>
      <c r="Q7" s="967">
        <f t="shared" ref="Q7:Q37" si="4">+H7-ROUND(H7,0)</f>
        <v>0</v>
      </c>
      <c r="R7" s="966"/>
    </row>
    <row r="8" spans="2:18" hidden="1">
      <c r="B8" s="413" t="s">
        <v>1536</v>
      </c>
      <c r="C8" s="1010">
        <f>+VLOOKUP(B8,'Cost x Depart'!$C$2:$AL$72,6,0)</f>
        <v>0</v>
      </c>
      <c r="D8" s="1010">
        <f>+VLOOKUP(B8,'Cost x Depart'!$C$2:$AL$72,11,0)</f>
        <v>0</v>
      </c>
      <c r="E8" s="1215">
        <f>+VLOOKUP(B8,'Cost x Depart'!$C$2:$AL$72,15,0)</f>
        <v>0</v>
      </c>
      <c r="F8" s="1215">
        <f>+VLOOKUP(B8,'Cost x Depart'!$C$2:$AL$72,16,0)</f>
        <v>0</v>
      </c>
      <c r="G8" s="1011">
        <f>ROUND(VLOOKUP(B8,'Cost x Depart'!$C$2:$AN$72,36,0),0)</f>
        <v>0</v>
      </c>
      <c r="H8" s="1011">
        <f>+G8*C8*'Parametros Generales'!$C$6</f>
        <v>0</v>
      </c>
      <c r="I8" s="1011">
        <f>+ROUND((G8/'Parametros Generales'!$C$11)*'Parametros Generales'!$C$14,0)</f>
        <v>0</v>
      </c>
      <c r="J8" s="1011">
        <f t="shared" si="0"/>
        <v>0</v>
      </c>
      <c r="K8" s="1011">
        <f>ROUND(VLOOKUP(B8,'Cost x Depart'!$C$2:$AQ$72,39,0),0)</f>
        <v>0</v>
      </c>
      <c r="L8" s="1011">
        <f t="shared" si="1"/>
        <v>0</v>
      </c>
      <c r="M8" s="1011">
        <f t="shared" si="3"/>
        <v>0</v>
      </c>
      <c r="N8" s="1013" t="e">
        <f>ROUND((VLOOKUP(B8,'Cost x Depart'!$E$2:$AQ$72,18,0)+VLOOKUP(B8,'Cost x Depart'!$E$2:$AQ$72,19,0))/VLOOKUP(B8,'Cost x Depart'!$E$2:$AQ$72,33,0),4)</f>
        <v>#N/A</v>
      </c>
      <c r="O8" s="760">
        <f>((VLOOKUP(B8,'Cost x Depart'!$C$2:$AN$72,36,0))-G8)*C8*'Parametros Generales'!$C$6</f>
        <v>0</v>
      </c>
      <c r="P8" s="760">
        <f>((VLOOKUP(B8,'Cost x Depart'!$C$2:$AN$72,37,0))-I8)*C8</f>
        <v>0</v>
      </c>
      <c r="Q8" s="967">
        <f t="shared" si="4"/>
        <v>0</v>
      </c>
      <c r="R8" s="966"/>
    </row>
    <row r="9" spans="2:18">
      <c r="B9" s="413" t="s">
        <v>212</v>
      </c>
      <c r="C9" s="1010">
        <f>+VLOOKUP(B9,'Cost x Depart'!$C$2:$AL$72,6,0)</f>
        <v>100</v>
      </c>
      <c r="D9" s="1010">
        <f>+VLOOKUP(B9,'Cost x Depart'!$C$2:$AL$72,11,0)</f>
        <v>4</v>
      </c>
      <c r="E9" s="1215">
        <f>+VLOOKUP(B9,'Cost x Depart'!$C$2:$AL$72,15,0)</f>
        <v>0.1</v>
      </c>
      <c r="F9" s="1215">
        <f>+VLOOKUP(B9,'Cost x Depart'!$C$2:$AL$72,16,0)</f>
        <v>1</v>
      </c>
      <c r="G9" s="1011">
        <f>ROUND(VLOOKUP(B9,'Cost x Depart'!$C$2:$AN$72,36,0),0)</f>
        <v>38204</v>
      </c>
      <c r="H9" s="1011">
        <f>+G9*C9*'Parametros Generales'!$C$6</f>
        <v>24832600</v>
      </c>
      <c r="I9" s="1011">
        <f>+ROUND((G9/'Parametros Generales'!$C$11)*'Parametros Generales'!$C$14,0)</f>
        <v>6367</v>
      </c>
      <c r="J9" s="1011">
        <f t="shared" si="0"/>
        <v>636700</v>
      </c>
      <c r="K9" s="1011">
        <f>ROUND(VLOOKUP(B9,'Cost x Depart'!$C$2:$AQ$72,39,0),0)</f>
        <v>3472</v>
      </c>
      <c r="L9" s="1011">
        <f t="shared" si="1"/>
        <v>347200</v>
      </c>
      <c r="M9" s="1011">
        <f t="shared" si="3"/>
        <v>25816500</v>
      </c>
      <c r="N9" s="1013">
        <f>ROUND((VLOOKUP(B9,'Cost x Depart'!$E$2:$AQ$72,18,0)+VLOOKUP(B9,'Cost x Depart'!$E$2:$AQ$72,19,0))/VLOOKUP(B9,'Cost x Depart'!$E$2:$AQ$72,33,0),4)</f>
        <v>0.33139999999999997</v>
      </c>
      <c r="O9" s="760">
        <f>((VLOOKUP(B9,'Cost x Depart'!$C$2:$AN$72,36,0))-G9)*C9*'Parametros Generales'!$C$6</f>
        <v>-318.68620771201677</v>
      </c>
      <c r="P9" s="760">
        <f>((VLOOKUP(B9,'Cost x Depart'!$C$2:$AN$72,37,0))-I9)*C9</f>
        <v>25.161892109917972</v>
      </c>
      <c r="Q9" s="967">
        <f t="shared" si="4"/>
        <v>0</v>
      </c>
      <c r="R9" s="966"/>
    </row>
    <row r="10" spans="2:18">
      <c r="B10" s="413" t="s">
        <v>1537</v>
      </c>
      <c r="C10" s="1010">
        <f>+VLOOKUP(B10,'Cost x Depart'!$C$2:$AL$72,6,0)</f>
        <v>1300</v>
      </c>
      <c r="D10" s="1010">
        <f>+VLOOKUP(B10,'Cost x Depart'!$C$2:$AL$72,11,0)</f>
        <v>52</v>
      </c>
      <c r="E10" s="1215">
        <f>+VLOOKUP(B10,'Cost x Depart'!$C$2:$AL$72,15,0)</f>
        <v>1.3</v>
      </c>
      <c r="F10" s="1215">
        <f>+VLOOKUP(B10,'Cost x Depart'!$C$2:$AL$72,16,0)</f>
        <v>13</v>
      </c>
      <c r="G10" s="1011">
        <f>ROUND(VLOOKUP(B10,'Cost x Depart'!$C$2:$AN$72,36,0),0)</f>
        <v>42398</v>
      </c>
      <c r="H10" s="1011">
        <f>+G10*C10*'Parametros Generales'!$C$6</f>
        <v>358263100</v>
      </c>
      <c r="I10" s="1011">
        <f>+ROUND((G10/'Parametros Generales'!$C$11)*'Parametros Generales'!$C$14,0)</f>
        <v>7066</v>
      </c>
      <c r="J10" s="1011">
        <f t="shared" si="0"/>
        <v>9185800</v>
      </c>
      <c r="K10" s="1011">
        <f>ROUND(VLOOKUP(B10,'Cost x Depart'!$C$2:$AQ$72,39,0),0)</f>
        <v>3472</v>
      </c>
      <c r="L10" s="1011">
        <f t="shared" si="1"/>
        <v>4513600</v>
      </c>
      <c r="M10" s="1011">
        <f t="shared" si="3"/>
        <v>371962500</v>
      </c>
      <c r="N10" s="1013">
        <f>ROUND((VLOOKUP(B10,'Cost x Depart'!$E$2:$AQ$72,18,0)+VLOOKUP(B10,'Cost x Depart'!$E$2:$AQ$72,19,0))/VLOOKUP(B10,'Cost x Depart'!$E$2:$AQ$72,33,0),4)</f>
        <v>0.29859999999999998</v>
      </c>
      <c r="O10" s="760">
        <f>((VLOOKUP(B10,'Cost x Depart'!$C$2:$AN$72,36,0))-G10)*C10*'Parametros Generales'!$C$6</f>
        <v>-1120.7241791289562</v>
      </c>
      <c r="P10" s="760">
        <f>((VLOOKUP(B10,'Cost x Depart'!$C$2:$AN$72,37,0))-I10)*C10</f>
        <v>404.59681591937624</v>
      </c>
      <c r="Q10" s="967">
        <f t="shared" si="4"/>
        <v>0</v>
      </c>
      <c r="R10" s="966"/>
    </row>
    <row r="11" spans="2:18">
      <c r="B11" s="413" t="s">
        <v>253</v>
      </c>
      <c r="C11" s="1010">
        <f>+VLOOKUP(B11,'Cost x Depart'!$C$2:$AL$72,6,0)</f>
        <v>100</v>
      </c>
      <c r="D11" s="1010">
        <f>+VLOOKUP(B11,'Cost x Depart'!$C$2:$AL$72,11,0)</f>
        <v>4</v>
      </c>
      <c r="E11" s="1215">
        <f>+VLOOKUP(B11,'Cost x Depart'!$C$2:$AL$72,15,0)</f>
        <v>0.1</v>
      </c>
      <c r="F11" s="1215">
        <f>+VLOOKUP(B11,'Cost x Depart'!$C$2:$AL$72,16,0)</f>
        <v>1</v>
      </c>
      <c r="G11" s="1011">
        <f>ROUND(VLOOKUP(B11,'Cost x Depart'!$C$2:$AN$72,36,0),0)</f>
        <v>43082</v>
      </c>
      <c r="H11" s="1011">
        <f>+G11*C11*'Parametros Generales'!$C$6</f>
        <v>28003300</v>
      </c>
      <c r="I11" s="1011">
        <f>+ROUND((G11/'Parametros Generales'!$C$11)*'Parametros Generales'!$C$14,0)</f>
        <v>7180</v>
      </c>
      <c r="J11" s="1011">
        <f t="shared" si="0"/>
        <v>718000</v>
      </c>
      <c r="K11" s="1011">
        <f>ROUND(VLOOKUP(B11,'Cost x Depart'!$C$2:$AQ$72,39,0),0)</f>
        <v>3472</v>
      </c>
      <c r="L11" s="1011">
        <f t="shared" si="1"/>
        <v>347200</v>
      </c>
      <c r="M11" s="1011">
        <f t="shared" si="3"/>
        <v>29068500</v>
      </c>
      <c r="N11" s="1013">
        <f>ROUND((VLOOKUP(B11,'Cost x Depart'!$E$2:$AQ$72,18,0)+VLOOKUP(B11,'Cost x Depart'!$E$2:$AQ$72,19,0))/VLOOKUP(B11,'Cost x Depart'!$E$2:$AQ$72,33,0),4)</f>
        <v>0.29380000000000001</v>
      </c>
      <c r="O11" s="760">
        <f>((VLOOKUP(B11,'Cost x Depart'!$C$2:$AN$72,36,0))-G11)*C11*'Parametros Generales'!$C$6</f>
        <v>-118.13369183582836</v>
      </c>
      <c r="P11" s="760">
        <f>((VLOOKUP(B11,'Cost x Depart'!$C$2:$AN$72,37,0))-I11)*C11</f>
        <v>30.30426431187152</v>
      </c>
      <c r="Q11" s="967">
        <f t="shared" si="4"/>
        <v>0</v>
      </c>
      <c r="R11" s="966"/>
    </row>
    <row r="12" spans="2:18">
      <c r="B12" s="413" t="s">
        <v>287</v>
      </c>
      <c r="C12" s="1010">
        <f>+VLOOKUP(B12,'Cost x Depart'!$C$2:$AL$72,6,0)</f>
        <v>500</v>
      </c>
      <c r="D12" s="1010">
        <f>+VLOOKUP(B12,'Cost x Depart'!$C$2:$AL$72,11,0)</f>
        <v>20</v>
      </c>
      <c r="E12" s="1215">
        <f>+VLOOKUP(B12,'Cost x Depart'!$C$2:$AL$72,15,0)</f>
        <v>0.5</v>
      </c>
      <c r="F12" s="1215">
        <f>+VLOOKUP(B12,'Cost x Depart'!$C$2:$AL$72,16,0)</f>
        <v>5</v>
      </c>
      <c r="G12" s="1011">
        <f>ROUND(VLOOKUP(B12,'Cost x Depart'!$C$2:$AN$72,36,0),0)</f>
        <v>40524</v>
      </c>
      <c r="H12" s="1011">
        <f>+G12*C12*'Parametros Generales'!$C$6</f>
        <v>131703000</v>
      </c>
      <c r="I12" s="1011">
        <f>+ROUND((G12/'Parametros Generales'!$C$11)*'Parametros Generales'!$C$14,0)</f>
        <v>6754</v>
      </c>
      <c r="J12" s="1011">
        <f t="shared" si="0"/>
        <v>3377000</v>
      </c>
      <c r="K12" s="1011">
        <f>ROUND(VLOOKUP(B12,'Cost x Depart'!$C$2:$AQ$72,39,0),0)</f>
        <v>3472</v>
      </c>
      <c r="L12" s="1011">
        <f t="shared" si="1"/>
        <v>1736000</v>
      </c>
      <c r="M12" s="1011">
        <f t="shared" si="3"/>
        <v>136816000</v>
      </c>
      <c r="N12" s="1013">
        <f>ROUND((VLOOKUP(B12,'Cost x Depart'!$E$2:$AQ$72,18,0)+VLOOKUP(B12,'Cost x Depart'!$E$2:$AQ$72,19,0))/VLOOKUP(B12,'Cost x Depart'!$E$2:$AQ$72,33,0),4)</f>
        <v>0.31240000000000001</v>
      </c>
      <c r="O12" s="760">
        <f>((VLOOKUP(B12,'Cost x Depart'!$C$2:$AN$72,36,0))-G12)*C12*'Parametros Generales'!$C$6</f>
        <v>1147.4576061700645</v>
      </c>
      <c r="P12" s="760">
        <f>((VLOOKUP(B12,'Cost x Depart'!$C$2:$AN$72,37,0))-I12)*C12</f>
        <v>29.421989901948109</v>
      </c>
      <c r="Q12" s="967">
        <f t="shared" si="4"/>
        <v>0</v>
      </c>
      <c r="R12" s="966"/>
    </row>
    <row r="13" spans="2:18">
      <c r="B13" s="413" t="s">
        <v>1532</v>
      </c>
      <c r="C13" s="1010">
        <f>+VLOOKUP(B13,'Cost x Depart'!$C$2:$AL$72,6,0)</f>
        <v>900</v>
      </c>
      <c r="D13" s="1010">
        <f>+VLOOKUP(B13,'Cost x Depart'!$C$2:$AL$72,11,0)</f>
        <v>36</v>
      </c>
      <c r="E13" s="1215">
        <f>+VLOOKUP(B13,'Cost x Depart'!$C$2:$AL$72,15,0)</f>
        <v>0.9</v>
      </c>
      <c r="F13" s="1215">
        <f>+VLOOKUP(B13,'Cost x Depart'!$C$2:$AL$72,16,0)</f>
        <v>9</v>
      </c>
      <c r="G13" s="1011">
        <f>ROUND(VLOOKUP(B13,'Cost x Depart'!$C$2:$AN$72,36,0),0)</f>
        <v>38268</v>
      </c>
      <c r="H13" s="1011">
        <f>+G13*C13*'Parametros Generales'!$C$6</f>
        <v>223867800</v>
      </c>
      <c r="I13" s="1011">
        <f>+ROUND((G13/'Parametros Generales'!$C$11)*'Parametros Generales'!$C$14,0)</f>
        <v>6378</v>
      </c>
      <c r="J13" s="1011">
        <f t="shared" si="0"/>
        <v>5740200</v>
      </c>
      <c r="K13" s="1011">
        <f>ROUND(VLOOKUP(B13,'Cost x Depart'!$C$2:$AQ$72,39,0),0)</f>
        <v>3472</v>
      </c>
      <c r="L13" s="1011">
        <f t="shared" si="1"/>
        <v>3124800</v>
      </c>
      <c r="M13" s="1011">
        <f t="shared" si="3"/>
        <v>232732800</v>
      </c>
      <c r="N13" s="1013">
        <f>ROUND((VLOOKUP(B13,'Cost x Depart'!$E$2:$AQ$72,18,0)+VLOOKUP(B13,'Cost x Depart'!$E$2:$AQ$72,19,0))/VLOOKUP(B13,'Cost x Depart'!$E$2:$AQ$72,33,0),4)</f>
        <v>0.33079999999999998</v>
      </c>
      <c r="O13" s="760">
        <f>((VLOOKUP(B13,'Cost x Depart'!$C$2:$AN$72,36,0))-G13)*C13*'Parametros Generales'!$C$6</f>
        <v>303.22398921161948</v>
      </c>
      <c r="P13" s="760">
        <f>((VLOOKUP(B13,'Cost x Depart'!$C$2:$AN$72,37,0))-I13)*C13</f>
        <v>7.7749740820763691</v>
      </c>
      <c r="Q13" s="967">
        <f t="shared" si="4"/>
        <v>0</v>
      </c>
      <c r="R13" s="966"/>
    </row>
    <row r="14" spans="2:18" hidden="1">
      <c r="B14" s="413" t="s">
        <v>341</v>
      </c>
      <c r="C14" s="1010">
        <f>+VLOOKUP(B14,'Cost x Depart'!$C$2:$AL$72,6,0)</f>
        <v>0</v>
      </c>
      <c r="D14" s="1010">
        <f>+VLOOKUP(B14,'Cost x Depart'!$C$2:$AL$72,11,0)</f>
        <v>0</v>
      </c>
      <c r="E14" s="1215">
        <f>+VLOOKUP(B14,'Cost x Depart'!$C$2:$AL$72,15,0)</f>
        <v>0</v>
      </c>
      <c r="F14" s="1215">
        <f>+VLOOKUP(B14,'Cost x Depart'!$C$2:$AL$72,16,0)</f>
        <v>0</v>
      </c>
      <c r="G14" s="1011">
        <f>ROUND(VLOOKUP(B14,'Cost x Depart'!$C$2:$AN$72,36,0),0)</f>
        <v>0</v>
      </c>
      <c r="H14" s="1011">
        <f>+G14*C14*'Parametros Generales'!$C$6</f>
        <v>0</v>
      </c>
      <c r="I14" s="1011">
        <f>+ROUND((G14/'Parametros Generales'!$C$11)*'Parametros Generales'!$C$14,0)</f>
        <v>0</v>
      </c>
      <c r="J14" s="1011">
        <f t="shared" si="0"/>
        <v>0</v>
      </c>
      <c r="K14" s="1011">
        <f>ROUND(VLOOKUP(B14,'Cost x Depart'!$C$2:$AQ$72,39,0),0)</f>
        <v>0</v>
      </c>
      <c r="L14" s="1011">
        <f t="shared" si="1"/>
        <v>0</v>
      </c>
      <c r="M14" s="1011">
        <f t="shared" si="3"/>
        <v>0</v>
      </c>
      <c r="N14" s="1013" t="e">
        <f>ROUND((VLOOKUP(B14,'Cost x Depart'!$E$2:$AQ$72,18,0)+VLOOKUP(B14,'Cost x Depart'!$E$2:$AQ$72,19,0))/VLOOKUP(B14,'Cost x Depart'!$E$2:$AQ$72,33,0),4)</f>
        <v>#DIV/0!</v>
      </c>
      <c r="O14" s="760">
        <f>((VLOOKUP(B14,'Cost x Depart'!$C$2:$AN$72,36,0))-G14)*C14*'Parametros Generales'!$C$6</f>
        <v>0</v>
      </c>
      <c r="P14" s="760">
        <f>((VLOOKUP(B14,'Cost x Depart'!$C$2:$AN$72,37,0))-I14)*C14</f>
        <v>0</v>
      </c>
      <c r="Q14" s="967">
        <f t="shared" si="4"/>
        <v>0</v>
      </c>
      <c r="R14" s="966"/>
    </row>
    <row r="15" spans="2:18">
      <c r="B15" s="413" t="s">
        <v>1533</v>
      </c>
      <c r="C15" s="1010">
        <f>+VLOOKUP(B15,'Cost x Depart'!$C$2:$AL$72,6,0)</f>
        <v>650</v>
      </c>
      <c r="D15" s="1010">
        <f>+VLOOKUP(B15,'Cost x Depart'!$C$2:$AL$72,11,0)</f>
        <v>26</v>
      </c>
      <c r="E15" s="1215">
        <f>+VLOOKUP(B15,'Cost x Depart'!$C$2:$AL$72,15,0)</f>
        <v>0.65</v>
      </c>
      <c r="F15" s="1215">
        <f>+VLOOKUP(B15,'Cost x Depart'!$C$2:$AL$72,16,0)</f>
        <v>6.5</v>
      </c>
      <c r="G15" s="1011">
        <f>ROUND(VLOOKUP(B15,'Cost x Depart'!$C$2:$AN$72,36,0),0)</f>
        <v>72666</v>
      </c>
      <c r="H15" s="1011">
        <f>+G15*C15*'Parametros Generales'!$C$6</f>
        <v>307013850</v>
      </c>
      <c r="I15" s="1011">
        <f>+ROUND((G15/'Parametros Generales'!$C$11)*'Parametros Generales'!$C$14,0)</f>
        <v>12111</v>
      </c>
      <c r="J15" s="1011">
        <f t="shared" si="0"/>
        <v>7872150</v>
      </c>
      <c r="K15" s="1011">
        <f>ROUND(VLOOKUP(B15,'Cost x Depart'!$C$2:$AQ$72,39,0),0)</f>
        <v>3472</v>
      </c>
      <c r="L15" s="1011">
        <f t="shared" si="1"/>
        <v>2256800</v>
      </c>
      <c r="M15" s="1011">
        <f t="shared" si="3"/>
        <v>317142800</v>
      </c>
      <c r="N15" s="1013">
        <f>ROUND((VLOOKUP(B15,'Cost x Depart'!$E$2:$AQ$72,18,0)+VLOOKUP(B15,'Cost x Depart'!$E$2:$AQ$72,19,0))/VLOOKUP(B15,'Cost x Depart'!$E$2:$AQ$72,33,0),4)</f>
        <v>0.17419999999999999</v>
      </c>
      <c r="O15" s="760">
        <f>((VLOOKUP(B15,'Cost x Depart'!$C$2:$AN$72,36,0))-G15)*C15*'Parametros Generales'!$C$6</f>
        <v>-264.15874361373426</v>
      </c>
      <c r="P15" s="760">
        <f>((VLOOKUP(B15,'Cost x Depart'!$C$2:$AN$72,37,0))-I15)*C15</f>
        <v>-6.7733011183008784</v>
      </c>
      <c r="Q15" s="967">
        <f t="shared" si="4"/>
        <v>0</v>
      </c>
      <c r="R15" s="966"/>
    </row>
    <row r="16" spans="2:18">
      <c r="B16" s="413" t="s">
        <v>399</v>
      </c>
      <c r="C16" s="1010">
        <f>+VLOOKUP(B16,'Cost x Depart'!$C$2:$AL$72,6,0)</f>
        <v>600</v>
      </c>
      <c r="D16" s="1010">
        <f>+VLOOKUP(B16,'Cost x Depart'!$C$2:$AL$72,11,0)</f>
        <v>24</v>
      </c>
      <c r="E16" s="1215">
        <f>+VLOOKUP(B16,'Cost x Depart'!$C$2:$AL$72,15,0)</f>
        <v>0.6</v>
      </c>
      <c r="F16" s="1215">
        <f>+VLOOKUP(B16,'Cost x Depart'!$C$2:$AL$72,16,0)</f>
        <v>6</v>
      </c>
      <c r="G16" s="1011">
        <f>ROUND(VLOOKUP(B16,'Cost x Depart'!$C$2:$AN$72,36,0),0)</f>
        <v>37197</v>
      </c>
      <c r="H16" s="1011">
        <f>+G16*C16*'Parametros Generales'!$C$6</f>
        <v>145068300</v>
      </c>
      <c r="I16" s="1011">
        <f>+ROUND((G16/'Parametros Generales'!$C$11)*'Parametros Generales'!$C$14,0)</f>
        <v>6200</v>
      </c>
      <c r="J16" s="1011">
        <f t="shared" si="0"/>
        <v>3720000</v>
      </c>
      <c r="K16" s="1011">
        <f>ROUND(VLOOKUP(B16,'Cost x Depart'!$C$2:$AQ$72,39,0),0)</f>
        <v>3472</v>
      </c>
      <c r="L16" s="1011">
        <f t="shared" si="1"/>
        <v>2083200</v>
      </c>
      <c r="M16" s="1011">
        <f t="shared" si="3"/>
        <v>150871500</v>
      </c>
      <c r="N16" s="1013">
        <f>ROUND((VLOOKUP(B16,'Cost x Depart'!$E$2:$AQ$72,18,0)+VLOOKUP(B16,'Cost x Depart'!$E$2:$AQ$72,19,0))/VLOOKUP(B16,'Cost x Depart'!$E$2:$AQ$72,33,0),4)</f>
        <v>0.34029999999999999</v>
      </c>
      <c r="O16" s="760">
        <f>((VLOOKUP(B16,'Cost x Depart'!$C$2:$AN$72,36,0))-G16)*C16*'Parametros Generales'!$C$6</f>
        <v>-1387.7508925521397</v>
      </c>
      <c r="P16" s="760">
        <f>((VLOOKUP(B16,'Cost x Depart'!$C$2:$AN$72,37,0))-I16)*C16</f>
        <v>-335.58335621928563</v>
      </c>
      <c r="Q16" s="967">
        <f t="shared" si="4"/>
        <v>0</v>
      </c>
      <c r="R16" s="966"/>
    </row>
    <row r="17" spans="2:18" hidden="1">
      <c r="B17" s="413" t="s">
        <v>420</v>
      </c>
      <c r="C17" s="1010">
        <f>+VLOOKUP(B17,'Cost x Depart'!$C$2:$AL$72,6,0)</f>
        <v>0</v>
      </c>
      <c r="D17" s="1010">
        <f>+VLOOKUP(B17,'Cost x Depart'!$C$2:$AL$72,11,0)</f>
        <v>0</v>
      </c>
      <c r="E17" s="1215">
        <f>+VLOOKUP(B17,'Cost x Depart'!$C$2:$AL$72,15,0)</f>
        <v>0</v>
      </c>
      <c r="F17" s="1215">
        <f>+VLOOKUP(B17,'Cost x Depart'!$C$2:$AL$72,16,0)</f>
        <v>0</v>
      </c>
      <c r="G17" s="1011">
        <f>ROUND(VLOOKUP(B17,'Cost x Depart'!$C$2:$AN$72,36,0),0)</f>
        <v>0</v>
      </c>
      <c r="H17" s="1011">
        <f>+G17*C17*'Parametros Generales'!$C$6</f>
        <v>0</v>
      </c>
      <c r="I17" s="1011">
        <f>+ROUND((G17/'Parametros Generales'!$C$11)*'Parametros Generales'!$C$14,0)</f>
        <v>0</v>
      </c>
      <c r="J17" s="1011">
        <f t="shared" si="0"/>
        <v>0</v>
      </c>
      <c r="K17" s="1011">
        <f>ROUND(VLOOKUP(B17,'Cost x Depart'!$C$2:$AQ$72,39,0),0)</f>
        <v>0</v>
      </c>
      <c r="L17" s="1011">
        <f t="shared" si="1"/>
        <v>0</v>
      </c>
      <c r="M17" s="1011">
        <f t="shared" si="3"/>
        <v>0</v>
      </c>
      <c r="N17" s="1013" t="e">
        <f>ROUND((VLOOKUP(B17,'Cost x Depart'!$E$2:$AQ$72,18,0)+VLOOKUP(B17,'Cost x Depart'!$E$2:$AQ$72,19,0))/VLOOKUP(B17,'Cost x Depart'!$E$2:$AQ$72,33,0),4)</f>
        <v>#DIV/0!</v>
      </c>
      <c r="O17" s="760">
        <f>((VLOOKUP(B17,'Cost x Depart'!$C$2:$AN$72,36,0))-G17)*C17*'Parametros Generales'!$C$6</f>
        <v>0</v>
      </c>
      <c r="P17" s="760">
        <f>((VLOOKUP(B17,'Cost x Depart'!$C$2:$AN$72,37,0))-I17)*C17</f>
        <v>0</v>
      </c>
      <c r="Q17" s="967">
        <f t="shared" si="4"/>
        <v>0</v>
      </c>
      <c r="R17" s="966"/>
    </row>
    <row r="18" spans="2:18">
      <c r="B18" s="413" t="s">
        <v>433</v>
      </c>
      <c r="C18" s="1010">
        <f>+VLOOKUP(B18,'Cost x Depart'!$C$2:$AL$72,6,0)</f>
        <v>300</v>
      </c>
      <c r="D18" s="1010">
        <f>+VLOOKUP(B18,'Cost x Depart'!$C$2:$AL$72,11,0)</f>
        <v>12</v>
      </c>
      <c r="E18" s="1215">
        <f>+VLOOKUP(B18,'Cost x Depart'!$C$2:$AL$72,15,0)</f>
        <v>0.3</v>
      </c>
      <c r="F18" s="1215">
        <f>+VLOOKUP(B18,'Cost x Depart'!$C$2:$AL$72,16,0)</f>
        <v>3</v>
      </c>
      <c r="G18" s="1011">
        <f>ROUND(VLOOKUP(B18,'Cost x Depart'!$C$2:$AN$72,36,0),0)</f>
        <v>38268</v>
      </c>
      <c r="H18" s="1011">
        <f>+G18*C18*'Parametros Generales'!$C$6</f>
        <v>74622600</v>
      </c>
      <c r="I18" s="1011">
        <f>+ROUND((G18/'Parametros Generales'!$C$11)*'Parametros Generales'!$C$14,0)</f>
        <v>6378</v>
      </c>
      <c r="J18" s="1011">
        <f t="shared" si="0"/>
        <v>1913400</v>
      </c>
      <c r="K18" s="1011">
        <f>ROUND(VLOOKUP(B18,'Cost x Depart'!$C$2:$AQ$72,39,0),0)</f>
        <v>3472</v>
      </c>
      <c r="L18" s="1011">
        <f t="shared" si="1"/>
        <v>1041600</v>
      </c>
      <c r="M18" s="1011">
        <f t="shared" si="3"/>
        <v>77577600</v>
      </c>
      <c r="N18" s="1013">
        <f>ROUND((VLOOKUP(B18,'Cost x Depart'!$E$2:$AQ$72,18,0)+VLOOKUP(B18,'Cost x Depart'!$E$2:$AQ$72,19,0))/VLOOKUP(B18,'Cost x Depart'!$E$2:$AQ$72,33,0),4)</f>
        <v>0.33079999999999998</v>
      </c>
      <c r="O18" s="760">
        <f>((VLOOKUP(B18,'Cost x Depart'!$C$2:$AN$72,36,0))-G18)*C18*'Parametros Generales'!$C$6</f>
        <v>101.07466304216359</v>
      </c>
      <c r="P18" s="760">
        <f>((VLOOKUP(B18,'Cost x Depart'!$C$2:$AN$72,37,0))-I18)*C18</f>
        <v>2.5916580268130929</v>
      </c>
      <c r="Q18" s="967">
        <f t="shared" si="4"/>
        <v>0</v>
      </c>
      <c r="R18" s="966"/>
    </row>
    <row r="19" spans="2:18">
      <c r="B19" s="413" t="s">
        <v>462</v>
      </c>
      <c r="C19" s="1010">
        <f>+VLOOKUP(B19,'Cost x Depart'!$C$2:$AL$72,6,0)</f>
        <v>1100</v>
      </c>
      <c r="D19" s="1010">
        <f>+VLOOKUP(B19,'Cost x Depart'!$C$2:$AL$72,11,0)</f>
        <v>44</v>
      </c>
      <c r="E19" s="1215">
        <f>+VLOOKUP(B19,'Cost x Depart'!$C$2:$AL$72,15,0)</f>
        <v>1.1000000000000001</v>
      </c>
      <c r="F19" s="1215">
        <f>+VLOOKUP(B19,'Cost x Depart'!$C$2:$AL$72,16,0)</f>
        <v>11</v>
      </c>
      <c r="G19" s="1011">
        <f>ROUND(VLOOKUP(B19,'Cost x Depart'!$C$2:$AN$72,36,0),0)</f>
        <v>39813</v>
      </c>
      <c r="H19" s="1011">
        <f>+G19*C19*'Parametros Generales'!$C$6</f>
        <v>284662950</v>
      </c>
      <c r="I19" s="1011">
        <f>+ROUND((G19/'Parametros Generales'!$C$11)*'Parametros Generales'!$C$14,0)</f>
        <v>6636</v>
      </c>
      <c r="J19" s="1011">
        <f t="shared" si="0"/>
        <v>7299600</v>
      </c>
      <c r="K19" s="1011">
        <f>ROUND(VLOOKUP(B19,'Cost x Depart'!$C$2:$AQ$72,39,0),0)</f>
        <v>3472</v>
      </c>
      <c r="L19" s="1011">
        <f t="shared" si="1"/>
        <v>3819200</v>
      </c>
      <c r="M19" s="1011">
        <f t="shared" si="3"/>
        <v>295781750</v>
      </c>
      <c r="N19" s="1013">
        <f>ROUND((VLOOKUP(B19,'Cost x Depart'!$E$2:$AQ$72,18,0)+VLOOKUP(B19,'Cost x Depart'!$E$2:$AQ$72,19,0))/VLOOKUP(B19,'Cost x Depart'!$E$2:$AQ$72,33,0),4)</f>
        <v>0.318</v>
      </c>
      <c r="O19" s="760">
        <f>((VLOOKUP(B19,'Cost x Depart'!$C$2:$AN$72,36,0))-G19)*C19*'Parametros Generales'!$C$6</f>
        <v>-551.39691649164888</v>
      </c>
      <c r="P19" s="760">
        <f>((VLOOKUP(B19,'Cost x Depart'!$C$2:$AN$72,37,0))-I19)*C19</f>
        <v>-564.13838247381136</v>
      </c>
      <c r="Q19" s="967">
        <f t="shared" si="4"/>
        <v>0</v>
      </c>
      <c r="R19" s="966"/>
    </row>
    <row r="20" spans="2:18" hidden="1">
      <c r="B20" s="413" t="s">
        <v>1589</v>
      </c>
      <c r="C20" s="1010">
        <f>+VLOOKUP(B20,'Cost x Depart'!$C$2:$AL$72,6,0)</f>
        <v>0</v>
      </c>
      <c r="D20" s="1010">
        <f>+VLOOKUP(B20,'Cost x Depart'!$C$2:$AL$72,11,0)</f>
        <v>0</v>
      </c>
      <c r="E20" s="1215">
        <f>+VLOOKUP(B20,'Cost x Depart'!$C$2:$AL$72,15,0)</f>
        <v>0</v>
      </c>
      <c r="F20" s="1215">
        <f>+VLOOKUP(B20,'Cost x Depart'!$C$2:$AL$72,16,0)</f>
        <v>0</v>
      </c>
      <c r="G20" s="1011">
        <f>ROUND(VLOOKUP(B20,'Cost x Depart'!$C$2:$AN$72,36,0),0)</f>
        <v>0</v>
      </c>
      <c r="H20" s="1011">
        <f>+G20*C20*'Parametros Generales'!$C$6</f>
        <v>0</v>
      </c>
      <c r="I20" s="1011">
        <f>+ROUND((G20/'Parametros Generales'!$C$11)*'Parametros Generales'!$C$14,0)</f>
        <v>0</v>
      </c>
      <c r="J20" s="1011">
        <f t="shared" si="0"/>
        <v>0</v>
      </c>
      <c r="K20" s="1011">
        <f>ROUND(VLOOKUP(B20,'Cost x Depart'!$C$2:$AQ$72,39,0),0)</f>
        <v>0</v>
      </c>
      <c r="L20" s="1011">
        <f t="shared" si="1"/>
        <v>0</v>
      </c>
      <c r="M20" s="1011">
        <f t="shared" si="3"/>
        <v>0</v>
      </c>
      <c r="N20" s="1013" t="e">
        <f>ROUND((VLOOKUP(B20,'Cost x Depart'!$E$2:$AQ$72,18,0)+VLOOKUP(B20,'Cost x Depart'!$E$2:$AQ$72,19,0))/VLOOKUP(B20,'Cost x Depart'!$E$2:$AQ$72,33,0),4)</f>
        <v>#DIV/0!</v>
      </c>
      <c r="O20" s="760">
        <f>((VLOOKUP(B20,'Cost x Depart'!$C$2:$AN$72,36,0))-G20)*C20*'Parametros Generales'!$C$6</f>
        <v>0</v>
      </c>
      <c r="P20" s="760">
        <f>((VLOOKUP(B20,'Cost x Depart'!$C$2:$AN$72,37,0))-I20)*C20</f>
        <v>0</v>
      </c>
      <c r="Q20" s="967">
        <f t="shared" si="4"/>
        <v>0</v>
      </c>
      <c r="R20" s="966"/>
    </row>
    <row r="21" spans="2:18">
      <c r="B21" s="413" t="s">
        <v>1602</v>
      </c>
      <c r="C21" s="1010">
        <f>+VLOOKUP(B21,'Cost x Depart'!$C$2:$AL$72,6,0)</f>
        <v>1500</v>
      </c>
      <c r="D21" s="1010">
        <f>+VLOOKUP(B21,'Cost x Depart'!$C$2:$AL$72,11,0)</f>
        <v>60</v>
      </c>
      <c r="E21" s="1215">
        <f>+VLOOKUP(B21,'Cost x Depart'!$C$2:$AL$72,15,0)</f>
        <v>1.5</v>
      </c>
      <c r="F21" s="1215">
        <f>+VLOOKUP(B21,'Cost x Depart'!$C$2:$AL$72,16,0)</f>
        <v>15</v>
      </c>
      <c r="G21" s="1011">
        <f>ROUND(VLOOKUP(B21,'Cost x Depart'!$C$2:$AN$72,36,0),0)</f>
        <v>42335</v>
      </c>
      <c r="H21" s="1011">
        <f>+G21*C21*'Parametros Generales'!$C$6</f>
        <v>412766250</v>
      </c>
      <c r="I21" s="1011">
        <f>+ROUND((G21/'Parametros Generales'!$C$11)*'Parametros Generales'!$C$14,0)</f>
        <v>7056</v>
      </c>
      <c r="J21" s="1011">
        <f t="shared" si="0"/>
        <v>10584000</v>
      </c>
      <c r="K21" s="1011">
        <f>ROUND(VLOOKUP(B21,'Cost x Depart'!$C$2:$AQ$72,39,0),0)</f>
        <v>3472</v>
      </c>
      <c r="L21" s="1011">
        <f t="shared" si="1"/>
        <v>5208000</v>
      </c>
      <c r="M21" s="1011">
        <f t="shared" si="3"/>
        <v>428558250</v>
      </c>
      <c r="N21" s="1013">
        <f>ROUND((VLOOKUP(B21,'Cost x Depart'!$E$2:$AQ$72,18,0)+VLOOKUP(B21,'Cost x Depart'!$E$2:$AQ$72,19,0))/VLOOKUP(B21,'Cost x Depart'!$E$2:$AQ$72,33,0),4)</f>
        <v>0.29899999999999999</v>
      </c>
      <c r="O21" s="760">
        <f>((VLOOKUP(B21,'Cost x Depart'!$C$2:$AN$72,36,0))-G21)*C21*'Parametros Generales'!$C$6</f>
        <v>4329.558122826711</v>
      </c>
      <c r="P21" s="760">
        <f>((VLOOKUP(B21,'Cost x Depart'!$C$2:$AN$72,37,0))-I21)*C21</f>
        <v>-138.98568915783471</v>
      </c>
      <c r="Q21" s="967">
        <f t="shared" si="4"/>
        <v>0</v>
      </c>
      <c r="R21" s="966"/>
    </row>
    <row r="22" spans="2:18">
      <c r="B22" s="413" t="s">
        <v>532</v>
      </c>
      <c r="C22" s="1010">
        <f>+VLOOKUP(B22,'Cost x Depart'!$C$2:$AL$72,6,0)</f>
        <v>650</v>
      </c>
      <c r="D22" s="1010">
        <f>+VLOOKUP(B22,'Cost x Depart'!$C$2:$AL$72,11,0)</f>
        <v>26</v>
      </c>
      <c r="E22" s="1215">
        <f>+VLOOKUP(B22,'Cost x Depart'!$C$2:$AL$72,15,0)</f>
        <v>0.65</v>
      </c>
      <c r="F22" s="1215">
        <f>+VLOOKUP(B22,'Cost x Depart'!$C$2:$AL$72,16,0)</f>
        <v>6.5</v>
      </c>
      <c r="G22" s="1011">
        <f>ROUND(VLOOKUP(B22,'Cost x Depart'!$C$2:$AN$72,36,0),0)</f>
        <v>40174</v>
      </c>
      <c r="H22" s="1011">
        <f>+G22*C22*'Parametros Generales'!$C$6</f>
        <v>169735150</v>
      </c>
      <c r="I22" s="1011">
        <f>+ROUND((G22/'Parametros Generales'!$C$11)*'Parametros Generales'!$C$14,0)</f>
        <v>6696</v>
      </c>
      <c r="J22" s="1011">
        <f t="shared" si="0"/>
        <v>4352400</v>
      </c>
      <c r="K22" s="1011">
        <f>ROUND(VLOOKUP(B22,'Cost x Depart'!$C$2:$AQ$72,39,0),0)</f>
        <v>3472</v>
      </c>
      <c r="L22" s="1011">
        <f t="shared" si="1"/>
        <v>2256800</v>
      </c>
      <c r="M22" s="1011">
        <f t="shared" si="3"/>
        <v>176344350</v>
      </c>
      <c r="N22" s="1013">
        <f>ROUND((VLOOKUP(B22,'Cost x Depart'!$E$2:$AQ$72,18,0)+VLOOKUP(B22,'Cost x Depart'!$E$2:$AQ$72,19,0))/VLOOKUP(B22,'Cost x Depart'!$E$2:$AQ$72,33,0),4)</f>
        <v>0.31509999999999999</v>
      </c>
      <c r="O22" s="760">
        <f>((VLOOKUP(B22,'Cost x Depart'!$C$2:$AN$72,36,0))-G22)*C22*'Parametros Generales'!$C$6</f>
        <v>1378.0026361799173</v>
      </c>
      <c r="P22" s="760">
        <f>((VLOOKUP(B22,'Cost x Depart'!$C$2:$AN$72,37,0))-I22)*C22</f>
        <v>-181.33326573897648</v>
      </c>
      <c r="Q22" s="967">
        <f t="shared" si="4"/>
        <v>0</v>
      </c>
      <c r="R22" s="966"/>
    </row>
    <row r="23" spans="2:18" hidden="1">
      <c r="B23" s="413" t="s">
        <v>1534</v>
      </c>
      <c r="C23" s="1010">
        <f>+VLOOKUP(B23,'Cost x Depart'!$C$2:$AL$72,6,0)</f>
        <v>0</v>
      </c>
      <c r="D23" s="1010">
        <f>+VLOOKUP(B23,'Cost x Depart'!$C$2:$AL$72,11,0)</f>
        <v>0</v>
      </c>
      <c r="E23" s="1215">
        <f>+VLOOKUP(B23,'Cost x Depart'!$C$2:$AL$72,15,0)</f>
        <v>0</v>
      </c>
      <c r="F23" s="1215">
        <f>+VLOOKUP(B23,'Cost x Depart'!$C$2:$AL$72,16,0)</f>
        <v>0</v>
      </c>
      <c r="G23" s="1011">
        <f>ROUND(VLOOKUP(B23,'Cost x Depart'!$C$2:$AN$72,36,0),0)</f>
        <v>0</v>
      </c>
      <c r="H23" s="1011">
        <f>+G23*C23*'Parametros Generales'!$C$6</f>
        <v>0</v>
      </c>
      <c r="I23" s="1011">
        <f>+ROUND((G23/'Parametros Generales'!$C$11)*'Parametros Generales'!$C$14,0)</f>
        <v>0</v>
      </c>
      <c r="J23" s="1011">
        <f t="shared" si="0"/>
        <v>0</v>
      </c>
      <c r="K23" s="1011">
        <f>ROUND(VLOOKUP(B23,'Cost x Depart'!$C$2:$AQ$72,39,0),0)</f>
        <v>0</v>
      </c>
      <c r="L23" s="1011">
        <f t="shared" si="1"/>
        <v>0</v>
      </c>
      <c r="M23" s="1011">
        <f t="shared" si="3"/>
        <v>0</v>
      </c>
      <c r="N23" s="1013" t="e">
        <f>ROUND((VLOOKUP(B23,'Cost x Depart'!$E$2:$AQ$72,18,0)+VLOOKUP(B23,'Cost x Depart'!$E$2:$AQ$72,19,0))/VLOOKUP(B23,'Cost x Depart'!$E$2:$AQ$72,33,0),4)</f>
        <v>#DIV/0!</v>
      </c>
      <c r="O23" s="760">
        <f>((VLOOKUP(B23,'Cost x Depart'!$C$2:$AN$72,36,0))-G23)*C23*'Parametros Generales'!$C$6</f>
        <v>0</v>
      </c>
      <c r="P23" s="760">
        <f>((VLOOKUP(B23,'Cost x Depart'!$C$2:$AN$72,37,0))-I23)*C23</f>
        <v>0</v>
      </c>
      <c r="Q23" s="967">
        <f t="shared" si="4"/>
        <v>0</v>
      </c>
      <c r="R23" s="966"/>
    </row>
    <row r="24" spans="2:18" hidden="1">
      <c r="B24" s="413" t="s">
        <v>563</v>
      </c>
      <c r="C24" s="1010">
        <f>+VLOOKUP(B24,'Cost x Depart'!$C$2:$AL$72,6,0)</f>
        <v>0</v>
      </c>
      <c r="D24" s="1010">
        <f>+VLOOKUP(B24,'Cost x Depart'!$C$2:$AL$72,11,0)</f>
        <v>0</v>
      </c>
      <c r="E24" s="1215">
        <f>+VLOOKUP(B24,'Cost x Depart'!$C$2:$AL$72,15,0)</f>
        <v>0</v>
      </c>
      <c r="F24" s="1215">
        <f>+VLOOKUP(B24,'Cost x Depart'!$C$2:$AL$72,16,0)</f>
        <v>0</v>
      </c>
      <c r="G24" s="1011">
        <f>ROUND(VLOOKUP(B24,'Cost x Depart'!$C$2:$AN$72,36,0),0)</f>
        <v>0</v>
      </c>
      <c r="H24" s="1011">
        <f>+G24*C24*'Parametros Generales'!$C$6</f>
        <v>0</v>
      </c>
      <c r="I24" s="1011">
        <f>+ROUND((G24/'Parametros Generales'!$C$11)*'Parametros Generales'!$C$14,0)</f>
        <v>0</v>
      </c>
      <c r="J24" s="1011">
        <f t="shared" si="0"/>
        <v>0</v>
      </c>
      <c r="K24" s="1011">
        <f>ROUND(VLOOKUP(B24,'Cost x Depart'!$C$2:$AQ$72,39,0),0)</f>
        <v>0</v>
      </c>
      <c r="L24" s="1011">
        <f t="shared" si="1"/>
        <v>0</v>
      </c>
      <c r="M24" s="1011">
        <f t="shared" si="3"/>
        <v>0</v>
      </c>
      <c r="N24" s="1013" t="e">
        <f>ROUND((VLOOKUP(B24,'Cost x Depart'!$E$2:$AQ$72,18,0)+VLOOKUP(B24,'Cost x Depart'!$E$2:$AQ$72,19,0))/VLOOKUP(B24,'Cost x Depart'!$E$2:$AQ$72,33,0),4)</f>
        <v>#DIV/0!</v>
      </c>
      <c r="O24" s="760">
        <f>((VLOOKUP(B24,'Cost x Depart'!$C$2:$AN$72,36,0))-G24)*C24*'Parametros Generales'!$C$6</f>
        <v>0</v>
      </c>
      <c r="P24" s="760">
        <f>((VLOOKUP(B24,'Cost x Depart'!$C$2:$AN$72,37,0))-I24)*C24</f>
        <v>0</v>
      </c>
      <c r="Q24" s="967">
        <f t="shared" si="4"/>
        <v>0</v>
      </c>
      <c r="R24" s="966"/>
    </row>
    <row r="25" spans="2:18" hidden="1">
      <c r="B25" s="413" t="s">
        <v>572</v>
      </c>
      <c r="C25" s="1010">
        <f>+VLOOKUP(B25,'Cost x Depart'!$C$2:$AL$72,6,0)</f>
        <v>0</v>
      </c>
      <c r="D25" s="1010">
        <f>+VLOOKUP(B25,'Cost x Depart'!$C$2:$AL$72,11,0)</f>
        <v>0</v>
      </c>
      <c r="E25" s="1215">
        <f>+VLOOKUP(B25,'Cost x Depart'!$C$2:$AL$72,15,0)</f>
        <v>0</v>
      </c>
      <c r="F25" s="1215">
        <f>+VLOOKUP(B25,'Cost x Depart'!$C$2:$AL$72,16,0)</f>
        <v>0</v>
      </c>
      <c r="G25" s="1011">
        <f>ROUND(VLOOKUP(B25,'Cost x Depart'!$C$2:$AN$72,36,0),0)</f>
        <v>0</v>
      </c>
      <c r="H25" s="1011">
        <f>+G25*C25*'Parametros Generales'!$C$6</f>
        <v>0</v>
      </c>
      <c r="I25" s="1011">
        <f>+ROUND((G25/'Parametros Generales'!$C$11)*'Parametros Generales'!$C$14,0)</f>
        <v>0</v>
      </c>
      <c r="J25" s="1011">
        <f t="shared" si="0"/>
        <v>0</v>
      </c>
      <c r="K25" s="1011">
        <f>ROUND(VLOOKUP(B25,'Cost x Depart'!$C$2:$AQ$72,39,0),0)</f>
        <v>0</v>
      </c>
      <c r="L25" s="1011">
        <f t="shared" si="1"/>
        <v>0</v>
      </c>
      <c r="M25" s="1011">
        <f t="shared" si="3"/>
        <v>0</v>
      </c>
      <c r="N25" s="1013" t="e">
        <f>ROUND((VLOOKUP(B25,'Cost x Depart'!$E$2:$AQ$72,18,0)+VLOOKUP(B25,'Cost x Depart'!$E$2:$AQ$72,19,0))/VLOOKUP(B25,'Cost x Depart'!$E$2:$AQ$72,33,0),4)</f>
        <v>#DIV/0!</v>
      </c>
      <c r="O25" s="760">
        <f>((VLOOKUP(B25,'Cost x Depart'!$C$2:$AN$72,36,0))-G25)*C25*'Parametros Generales'!$C$6</f>
        <v>0</v>
      </c>
      <c r="P25" s="760">
        <f>((VLOOKUP(B25,'Cost x Depart'!$C$2:$AN$72,37,0))-I25)*C25</f>
        <v>0</v>
      </c>
      <c r="Q25" s="967">
        <f t="shared" si="4"/>
        <v>0</v>
      </c>
      <c r="R25" s="966"/>
    </row>
    <row r="26" spans="2:18">
      <c r="B26" s="413" t="s">
        <v>595</v>
      </c>
      <c r="C26" s="1010">
        <f>+VLOOKUP(B26,'Cost x Depart'!$C$2:$AL$72,6,0)</f>
        <v>450</v>
      </c>
      <c r="D26" s="1010">
        <f>+VLOOKUP(B26,'Cost x Depart'!$C$2:$AL$72,11,0)</f>
        <v>18</v>
      </c>
      <c r="E26" s="1215">
        <f>+VLOOKUP(B26,'Cost x Depart'!$C$2:$AL$72,15,0)</f>
        <v>0.45</v>
      </c>
      <c r="F26" s="1215">
        <f>+VLOOKUP(B26,'Cost x Depart'!$C$2:$AL$72,16,0)</f>
        <v>4.5</v>
      </c>
      <c r="G26" s="1011">
        <f>ROUND(VLOOKUP(B26,'Cost x Depart'!$C$2:$AN$72,36,0),0)</f>
        <v>40524</v>
      </c>
      <c r="H26" s="1011">
        <f>+G26*C26*'Parametros Generales'!$C$6</f>
        <v>118532700</v>
      </c>
      <c r="I26" s="1011">
        <f>+ROUND((G26/'Parametros Generales'!$C$11)*'Parametros Generales'!$C$14,0)</f>
        <v>6754</v>
      </c>
      <c r="J26" s="1011">
        <f t="shared" si="0"/>
        <v>3039300</v>
      </c>
      <c r="K26" s="1011">
        <f>ROUND(VLOOKUP(B26,'Cost x Depart'!$C$2:$AQ$72,39,0),0)</f>
        <v>3472</v>
      </c>
      <c r="L26" s="1011">
        <f t="shared" si="1"/>
        <v>1562400</v>
      </c>
      <c r="M26" s="1011">
        <f t="shared" si="3"/>
        <v>123134400</v>
      </c>
      <c r="N26" s="1013">
        <f>ROUND((VLOOKUP(B26,'Cost x Depart'!$E$2:$AQ$72,18,0)+VLOOKUP(B26,'Cost x Depart'!$E$2:$AQ$72,19,0))/VLOOKUP(B26,'Cost x Depart'!$E$2:$AQ$72,33,0),4)</f>
        <v>0.31240000000000001</v>
      </c>
      <c r="O26" s="760">
        <f>((VLOOKUP(B26,'Cost x Depart'!$C$2:$AN$72,36,0))-G26)*C26*'Parametros Generales'!$C$6</f>
        <v>1032.7118455530581</v>
      </c>
      <c r="P26" s="760">
        <f>((VLOOKUP(B26,'Cost x Depart'!$C$2:$AN$72,37,0))-I26)*C26</f>
        <v>26.479790911753298</v>
      </c>
      <c r="Q26" s="967">
        <f t="shared" si="4"/>
        <v>0</v>
      </c>
      <c r="R26" s="966"/>
    </row>
    <row r="27" spans="2:18">
      <c r="B27" s="413" t="s">
        <v>622</v>
      </c>
      <c r="C27" s="1010">
        <f>+VLOOKUP(B27,'Cost x Depart'!$C$2:$AL$72,6,0)</f>
        <v>600</v>
      </c>
      <c r="D27" s="1010">
        <f>+VLOOKUP(B27,'Cost x Depart'!$C$2:$AL$72,11,0)</f>
        <v>24</v>
      </c>
      <c r="E27" s="1215">
        <f>+VLOOKUP(B27,'Cost x Depart'!$C$2:$AL$72,15,0)</f>
        <v>0.6</v>
      </c>
      <c r="F27" s="1215">
        <f>+VLOOKUP(B27,'Cost x Depart'!$C$2:$AL$72,16,0)</f>
        <v>6</v>
      </c>
      <c r="G27" s="1011">
        <f>ROUND(VLOOKUP(B27,'Cost x Depart'!$C$2:$AN$72,36,0),0)</f>
        <v>39571</v>
      </c>
      <c r="H27" s="1011">
        <f>+G27*C27*'Parametros Generales'!$C$6</f>
        <v>154326900</v>
      </c>
      <c r="I27" s="1011">
        <f>+ROUND((G27/'Parametros Generales'!$C$11)*'Parametros Generales'!$C$14,0)</f>
        <v>6595</v>
      </c>
      <c r="J27" s="1011">
        <f t="shared" si="0"/>
        <v>3957000</v>
      </c>
      <c r="K27" s="1011">
        <f>ROUND(VLOOKUP(B27,'Cost x Depart'!$C$2:$AQ$72,39,0),0)</f>
        <v>3472</v>
      </c>
      <c r="L27" s="1011">
        <f t="shared" si="1"/>
        <v>2083200</v>
      </c>
      <c r="M27" s="1011">
        <f t="shared" si="3"/>
        <v>160367100</v>
      </c>
      <c r="N27" s="1013">
        <f>ROUND((VLOOKUP(B27,'Cost x Depart'!$E$2:$AQ$72,18,0)+VLOOKUP(B27,'Cost x Depart'!$E$2:$AQ$72,19,0))/VLOOKUP(B27,'Cost x Depart'!$E$2:$AQ$72,33,0),4)</f>
        <v>0.31990000000000002</v>
      </c>
      <c r="O27" s="760">
        <f>((VLOOKUP(B27,'Cost x Depart'!$C$2:$AN$72,36,0))-G27)*C27*'Parametros Generales'!$C$6</f>
        <v>-683.51843578711851</v>
      </c>
      <c r="P27" s="760">
        <f>((VLOOKUP(B27,'Cost x Depart'!$C$2:$AN$72,37,0))-I27)*C27</f>
        <v>82.473886261868756</v>
      </c>
      <c r="Q27" s="967">
        <f t="shared" si="4"/>
        <v>0</v>
      </c>
      <c r="R27" s="966"/>
    </row>
    <row r="28" spans="2:18">
      <c r="B28" s="413" t="s">
        <v>648</v>
      </c>
      <c r="C28" s="1010">
        <f>+VLOOKUP(B28,'Cost x Depart'!$C$2:$AL$72,6,0)</f>
        <v>700</v>
      </c>
      <c r="D28" s="1010">
        <f>+VLOOKUP(B28,'Cost x Depart'!$C$2:$AL$72,11,0)</f>
        <v>28</v>
      </c>
      <c r="E28" s="1215">
        <f>+VLOOKUP(B28,'Cost x Depart'!$C$2:$AL$72,15,0)</f>
        <v>0.7</v>
      </c>
      <c r="F28" s="1215">
        <f>+VLOOKUP(B28,'Cost x Depart'!$C$2:$AL$72,16,0)</f>
        <v>7</v>
      </c>
      <c r="G28" s="1011">
        <f>ROUND(VLOOKUP(B28,'Cost x Depart'!$C$2:$AN$72,36,0),0)</f>
        <v>37649</v>
      </c>
      <c r="H28" s="1011">
        <f>+G28*C28*'Parametros Generales'!$C$6</f>
        <v>171302950</v>
      </c>
      <c r="I28" s="1011">
        <f>+ROUND((G28/'Parametros Generales'!$C$11)*'Parametros Generales'!$C$14,0)</f>
        <v>6275</v>
      </c>
      <c r="J28" s="1011">
        <f t="shared" si="0"/>
        <v>4392500</v>
      </c>
      <c r="K28" s="1011">
        <f>ROUND(VLOOKUP(B28,'Cost x Depart'!$C$2:$AQ$72,39,0),0)</f>
        <v>3472</v>
      </c>
      <c r="L28" s="1011">
        <f t="shared" si="1"/>
        <v>2430400</v>
      </c>
      <c r="M28" s="1011">
        <f t="shared" si="3"/>
        <v>178125850</v>
      </c>
      <c r="N28" s="1013">
        <f>ROUND((VLOOKUP(B28,'Cost x Depart'!$E$2:$AQ$72,18,0)+VLOOKUP(B28,'Cost x Depart'!$E$2:$AQ$72,19,0))/VLOOKUP(B28,'Cost x Depart'!$E$2:$AQ$72,33,0),4)</f>
        <v>0.3362</v>
      </c>
      <c r="O28" s="760">
        <f>((VLOOKUP(B28,'Cost x Depart'!$C$2:$AN$72,36,0))-G28)*C28*'Parametros Generales'!$C$6</f>
        <v>2083.8663680078753</v>
      </c>
      <c r="P28" s="760">
        <f>((VLOOKUP(B28,'Cost x Depart'!$C$2:$AN$72,37,0))-I28)*C28</f>
        <v>-63.234195691893547</v>
      </c>
      <c r="Q28" s="967">
        <f t="shared" si="4"/>
        <v>0</v>
      </c>
      <c r="R28" s="966"/>
    </row>
    <row r="29" spans="2:18">
      <c r="B29" s="413" t="s">
        <v>691</v>
      </c>
      <c r="C29" s="1010">
        <f>+VLOOKUP(B29,'Cost x Depart'!$C$2:$AL$72,6,0)</f>
        <v>800</v>
      </c>
      <c r="D29" s="1010">
        <f>+VLOOKUP(B29,'Cost x Depart'!$C$2:$AL$72,11,0)</f>
        <v>32</v>
      </c>
      <c r="E29" s="1215">
        <f>+VLOOKUP(B29,'Cost x Depart'!$C$2:$AL$72,15,0)</f>
        <v>0.8</v>
      </c>
      <c r="F29" s="1215">
        <f>+VLOOKUP(B29,'Cost x Depart'!$C$2:$AL$72,16,0)</f>
        <v>8</v>
      </c>
      <c r="G29" s="1011">
        <f>ROUND(VLOOKUP(B29,'Cost x Depart'!$C$2:$AN$72,36,0),0)</f>
        <v>77444</v>
      </c>
      <c r="H29" s="1011">
        <f>+G29*C29*'Parametros Generales'!$C$6</f>
        <v>402708800</v>
      </c>
      <c r="I29" s="1011">
        <f>+ROUND((G29/'Parametros Generales'!$C$11)*'Parametros Generales'!$C$14,0)</f>
        <v>12907</v>
      </c>
      <c r="J29" s="1011">
        <f t="shared" si="0"/>
        <v>10325600</v>
      </c>
      <c r="K29" s="1011">
        <f>ROUND(VLOOKUP(B29,'Cost x Depart'!$C$2:$AQ$72,39,0),0)</f>
        <v>3472</v>
      </c>
      <c r="L29" s="1011">
        <f t="shared" si="1"/>
        <v>2777600</v>
      </c>
      <c r="M29" s="1011">
        <f t="shared" si="3"/>
        <v>415812000</v>
      </c>
      <c r="N29" s="1013">
        <f>ROUND((VLOOKUP(B29,'Cost x Depart'!$E$2:$AQ$72,18,0)+VLOOKUP(B29,'Cost x Depart'!$E$2:$AQ$72,19,0))/VLOOKUP(B29,'Cost x Depart'!$E$2:$AQ$72,33,0),4)</f>
        <v>0.16350000000000001</v>
      </c>
      <c r="O29" s="760">
        <f>((VLOOKUP(B29,'Cost x Depart'!$C$2:$AN$72,36,0))-G29)*C29*'Parametros Generales'!$C$6</f>
        <v>1069.817423686618</v>
      </c>
      <c r="P29" s="760">
        <f>((VLOOKUP(B29,'Cost x Depart'!$C$2:$AN$72,37,0))-I29)*C29</f>
        <v>294.09788265911629</v>
      </c>
      <c r="Q29" s="967">
        <f t="shared" si="4"/>
        <v>0</v>
      </c>
      <c r="R29" s="966"/>
    </row>
    <row r="30" spans="2:18">
      <c r="B30" s="413" t="s">
        <v>697</v>
      </c>
      <c r="C30" s="1010">
        <f>+VLOOKUP(B30,'Cost x Depart'!$C$2:$AL$72,6,0)</f>
        <v>200</v>
      </c>
      <c r="D30" s="1010">
        <f>+VLOOKUP(B30,'Cost x Depart'!$C$2:$AL$72,11,0)</f>
        <v>8</v>
      </c>
      <c r="E30" s="1215">
        <f>+VLOOKUP(B30,'Cost x Depart'!$C$2:$AL$72,15,0)</f>
        <v>0.2</v>
      </c>
      <c r="F30" s="1215">
        <f>+VLOOKUP(B30,'Cost x Depart'!$C$2:$AL$72,16,0)</f>
        <v>2</v>
      </c>
      <c r="G30" s="1011">
        <f>ROUND(VLOOKUP(B30,'Cost x Depart'!$C$2:$AN$72,36,0),0)</f>
        <v>56336</v>
      </c>
      <c r="H30" s="1011">
        <f>+G30*C30*'Parametros Generales'!$C$6</f>
        <v>73236800</v>
      </c>
      <c r="I30" s="1011">
        <f>+ROUND((G30/'Parametros Generales'!$C$11)*'Parametros Generales'!$C$14,0)</f>
        <v>9389</v>
      </c>
      <c r="J30" s="1011">
        <f t="shared" si="0"/>
        <v>1877800</v>
      </c>
      <c r="K30" s="1011">
        <f>ROUND(VLOOKUP(B30,'Cost x Depart'!$C$2:$AQ$72,39,0),0)</f>
        <v>3472</v>
      </c>
      <c r="L30" s="1011">
        <f t="shared" si="1"/>
        <v>694400</v>
      </c>
      <c r="M30" s="1011">
        <f t="shared" si="3"/>
        <v>75809000</v>
      </c>
      <c r="N30" s="1013">
        <f>ROUND((VLOOKUP(B30,'Cost x Depart'!$E$2:$AQ$72,18,0)+VLOOKUP(B30,'Cost x Depart'!$E$2:$AQ$72,19,0))/VLOOKUP(B30,'Cost x Depart'!$E$2:$AQ$72,33,0),4)</f>
        <v>0.22470000000000001</v>
      </c>
      <c r="O30" s="760">
        <f>((VLOOKUP(B30,'Cost x Depart'!$C$2:$AN$72,36,0))-G30)*C30*'Parametros Generales'!$C$6</f>
        <v>252.80227832117816</v>
      </c>
      <c r="P30" s="760">
        <f>((VLOOKUP(B30,'Cost x Depart'!$C$2:$AN$72,37,0))-I30)*C30</f>
        <v>73.148776367088431</v>
      </c>
      <c r="Q30" s="967">
        <f t="shared" si="4"/>
        <v>0</v>
      </c>
      <c r="R30" s="966"/>
    </row>
    <row r="31" spans="2:18">
      <c r="B31" s="413" t="s">
        <v>708</v>
      </c>
      <c r="C31" s="1010">
        <f>+VLOOKUP(B31,'Cost x Depart'!$C$2:$AL$72,6,0)</f>
        <v>1000</v>
      </c>
      <c r="D31" s="1010">
        <f>+VLOOKUP(B31,'Cost x Depart'!$C$2:$AL$72,11,0)</f>
        <v>40</v>
      </c>
      <c r="E31" s="1215">
        <f>+VLOOKUP(B31,'Cost x Depart'!$C$2:$AL$72,15,0)</f>
        <v>1</v>
      </c>
      <c r="F31" s="1215">
        <f>+VLOOKUP(B31,'Cost x Depart'!$C$2:$AL$72,16,0)</f>
        <v>10</v>
      </c>
      <c r="G31" s="1011">
        <f>ROUND(VLOOKUP(B31,'Cost x Depart'!$C$2:$AN$72,36,0),0)</f>
        <v>44547</v>
      </c>
      <c r="H31" s="1011">
        <f>+G31*C31*'Parametros Generales'!$C$6</f>
        <v>289555500</v>
      </c>
      <c r="I31" s="1011">
        <f>+ROUND((G31/'Parametros Generales'!$C$11)*'Parametros Generales'!$C$14,0)</f>
        <v>7425</v>
      </c>
      <c r="J31" s="1011">
        <f t="shared" si="0"/>
        <v>7425000</v>
      </c>
      <c r="K31" s="1011">
        <f>ROUND(VLOOKUP(B31,'Cost x Depart'!$C$2:$AQ$72,39,0),0)</f>
        <v>3472</v>
      </c>
      <c r="L31" s="1011">
        <f t="shared" si="1"/>
        <v>3472000</v>
      </c>
      <c r="M31" s="1011">
        <f t="shared" si="3"/>
        <v>300452500</v>
      </c>
      <c r="N31" s="1013">
        <f>ROUND((VLOOKUP(B31,'Cost x Depart'!$E$2:$AQ$72,18,0)+VLOOKUP(B31,'Cost x Depart'!$E$2:$AQ$72,19,0))/VLOOKUP(B31,'Cost x Depart'!$E$2:$AQ$72,33,0),4)</f>
        <v>0.28420000000000001</v>
      </c>
      <c r="O31" s="760">
        <f>((VLOOKUP(B31,'Cost x Depart'!$C$2:$AN$72,36,0))-G31)*C31*'Parametros Generales'!$C$6</f>
        <v>1839.1027231336921</v>
      </c>
      <c r="P31" s="760">
        <f>((VLOOKUP(B31,'Cost x Depart'!$C$2:$AN$72,37,0))-I31)*C31</f>
        <v>-452.84351991995209</v>
      </c>
      <c r="Q31" s="967">
        <f t="shared" si="4"/>
        <v>0</v>
      </c>
      <c r="R31" s="966"/>
    </row>
    <row r="32" spans="2:18" hidden="1">
      <c r="B32" s="413" t="s">
        <v>1538</v>
      </c>
      <c r="C32" s="1010">
        <f>+VLOOKUP(B32,'Cost x Depart'!$C$2:$AL$72,6,0)</f>
        <v>0</v>
      </c>
      <c r="D32" s="1010">
        <f>+VLOOKUP(B32,'Cost x Depart'!$C$2:$AL$72,11,0)</f>
        <v>0</v>
      </c>
      <c r="E32" s="1215">
        <f>+VLOOKUP(B32,'Cost x Depart'!$C$2:$AL$72,15,0)</f>
        <v>0</v>
      </c>
      <c r="F32" s="1215">
        <f>+VLOOKUP(B32,'Cost x Depart'!$C$2:$AL$72,16,0)</f>
        <v>0</v>
      </c>
      <c r="G32" s="1011">
        <f>ROUND(VLOOKUP(B32,'Cost x Depart'!$C$2:$AN$72,36,0),0)</f>
        <v>0</v>
      </c>
      <c r="H32" s="1011">
        <f>+G32*C32*'Parametros Generales'!$C$6</f>
        <v>0</v>
      </c>
      <c r="I32" s="1011">
        <f>+ROUND((G32/'Parametros Generales'!$C$11)*'Parametros Generales'!$C$14,0)</f>
        <v>0</v>
      </c>
      <c r="J32" s="1011">
        <f t="shared" si="0"/>
        <v>0</v>
      </c>
      <c r="K32" s="1011">
        <f>ROUND(VLOOKUP(B32,'Cost x Depart'!$C$2:$AQ$72,39,0),0)</f>
        <v>0</v>
      </c>
      <c r="L32" s="1011">
        <f t="shared" si="1"/>
        <v>0</v>
      </c>
      <c r="M32" s="1011">
        <f t="shared" si="3"/>
        <v>0</v>
      </c>
      <c r="N32" s="1013" t="e">
        <f>ROUND((VLOOKUP(B32,'Cost x Depart'!$E$2:$AQ$72,18,0)+VLOOKUP(B32,'Cost x Depart'!$E$2:$AQ$72,19,0))/VLOOKUP(B32,'Cost x Depart'!$E$2:$AQ$72,33,0),4)</f>
        <v>#N/A</v>
      </c>
      <c r="O32" s="760">
        <f>((VLOOKUP(B32,'Cost x Depart'!$C$2:$AN$72,36,0))-G32)*C32*'Parametros Generales'!$C$6</f>
        <v>0</v>
      </c>
      <c r="P32" s="760">
        <f>((VLOOKUP(B32,'Cost x Depart'!$C$2:$AN$72,37,0))-I32)*C32</f>
        <v>0</v>
      </c>
      <c r="Q32" s="967">
        <f t="shared" si="4"/>
        <v>0</v>
      </c>
      <c r="R32" s="966"/>
    </row>
    <row r="33" spans="2:18" hidden="1">
      <c r="B33" s="413" t="s">
        <v>723</v>
      </c>
      <c r="C33" s="1010">
        <f>+VLOOKUP(B33,'Cost x Depart'!$C$2:$AL$72,6,0)</f>
        <v>0</v>
      </c>
      <c r="D33" s="1010">
        <f>+VLOOKUP(B33,'Cost x Depart'!$C$2:$AL$72,11,0)</f>
        <v>0</v>
      </c>
      <c r="E33" s="1215">
        <f>+VLOOKUP(B33,'Cost x Depart'!$C$2:$AL$72,15,0)</f>
        <v>0</v>
      </c>
      <c r="F33" s="1215">
        <f>+VLOOKUP(B33,'Cost x Depart'!$C$2:$AL$72,16,0)</f>
        <v>0</v>
      </c>
      <c r="G33" s="1011">
        <f>ROUND(VLOOKUP(B33,'Cost x Depart'!$C$2:$AN$72,36,0),0)</f>
        <v>0</v>
      </c>
      <c r="H33" s="1011">
        <f>+G33*C33*'Parametros Generales'!$C$6</f>
        <v>0</v>
      </c>
      <c r="I33" s="1011">
        <f>+ROUND((G33/'Parametros Generales'!$C$11)*'Parametros Generales'!$C$14,0)</f>
        <v>0</v>
      </c>
      <c r="J33" s="1011">
        <f t="shared" si="0"/>
        <v>0</v>
      </c>
      <c r="K33" s="1011">
        <f>ROUND(VLOOKUP(B33,'Cost x Depart'!$C$2:$AQ$72,39,0),0)</f>
        <v>0</v>
      </c>
      <c r="L33" s="1011">
        <f t="shared" si="1"/>
        <v>0</v>
      </c>
      <c r="M33" s="1011">
        <f t="shared" si="3"/>
        <v>0</v>
      </c>
      <c r="N33" s="1013" t="e">
        <f>ROUND((VLOOKUP(B33,'Cost x Depart'!$E$2:$AQ$72,18,0)+VLOOKUP(B33,'Cost x Depart'!$E$2:$AQ$72,19,0))/VLOOKUP(B33,'Cost x Depart'!$E$2:$AQ$72,33,0),4)</f>
        <v>#DIV/0!</v>
      </c>
      <c r="O33" s="760">
        <f>((VLOOKUP(B33,'Cost x Depart'!$C$2:$AN$72,36,0))-G33)*C33*'Parametros Generales'!$C$6</f>
        <v>0</v>
      </c>
      <c r="P33" s="760">
        <f>((VLOOKUP(B33,'Cost x Depart'!$C$2:$AN$72,37,0))-I33)*C33</f>
        <v>0</v>
      </c>
      <c r="Q33" s="967">
        <f t="shared" si="4"/>
        <v>0</v>
      </c>
      <c r="R33" s="966"/>
    </row>
    <row r="34" spans="2:18" hidden="1">
      <c r="B34" s="413" t="s">
        <v>1539</v>
      </c>
      <c r="C34" s="1010">
        <f>+VLOOKUP(B34,'Cost x Depart'!$C$2:$AL$72,6,0)</f>
        <v>0</v>
      </c>
      <c r="D34" s="1010">
        <f>+VLOOKUP(B34,'Cost x Depart'!$C$2:$AL$72,11,0)</f>
        <v>0</v>
      </c>
      <c r="E34" s="1215">
        <f>+VLOOKUP(B34,'Cost x Depart'!$C$2:$AL$72,15,0)</f>
        <v>0</v>
      </c>
      <c r="F34" s="1215">
        <f>+VLOOKUP(B34,'Cost x Depart'!$C$2:$AL$72,16,0)</f>
        <v>0</v>
      </c>
      <c r="G34" s="1011">
        <f>ROUND(VLOOKUP(B34,'Cost x Depart'!$C$2:$AN$72,36,0),0)</f>
        <v>0</v>
      </c>
      <c r="H34" s="1011">
        <f>+G34*C34*'Parametros Generales'!$C$6</f>
        <v>0</v>
      </c>
      <c r="I34" s="1011">
        <f>+ROUND((G34/'Parametros Generales'!$C$11)*'Parametros Generales'!$C$14,0)</f>
        <v>0</v>
      </c>
      <c r="J34" s="1011">
        <f t="shared" si="0"/>
        <v>0</v>
      </c>
      <c r="K34" s="1011">
        <f>ROUND(VLOOKUP(B34,'Cost x Depart'!$C$2:$AQ$72,39,0),0)</f>
        <v>0</v>
      </c>
      <c r="L34" s="1011">
        <f t="shared" si="1"/>
        <v>0</v>
      </c>
      <c r="M34" s="1011">
        <f t="shared" si="3"/>
        <v>0</v>
      </c>
      <c r="N34" s="1013" t="e">
        <f>ROUND((VLOOKUP(B34,'Cost x Depart'!$E$2:$AQ$72,18,0)+VLOOKUP(B34,'Cost x Depart'!$E$2:$AQ$72,19,0))/VLOOKUP(B34,'Cost x Depart'!$E$2:$AQ$72,33,0),4)</f>
        <v>#N/A</v>
      </c>
      <c r="O34" s="760">
        <f>((VLOOKUP(B34,'Cost x Depart'!$C$2:$AN$72,36,0))-G34)*C34*'Parametros Generales'!$C$6</f>
        <v>0</v>
      </c>
      <c r="P34" s="760">
        <f>((VLOOKUP(B34,'Cost x Depart'!$C$2:$AN$72,37,0))-I34)*C34</f>
        <v>0</v>
      </c>
      <c r="Q34" s="967">
        <f t="shared" si="4"/>
        <v>0</v>
      </c>
      <c r="R34" s="966"/>
    </row>
    <row r="35" spans="2:18">
      <c r="B35" s="413" t="s">
        <v>735</v>
      </c>
      <c r="C35" s="1010">
        <f>+VLOOKUP(B35,'Cost x Depart'!$C$2:$AL$72,6,0)</f>
        <v>600</v>
      </c>
      <c r="D35" s="1010">
        <f>+VLOOKUP(B35,'Cost x Depart'!$C$2:$AL$72,11,0)</f>
        <v>24</v>
      </c>
      <c r="E35" s="1215">
        <f>+VLOOKUP(B35,'Cost x Depart'!$C$2:$AL$72,15,0)</f>
        <v>0.6</v>
      </c>
      <c r="F35" s="1215">
        <f>+VLOOKUP(B35,'Cost x Depart'!$C$2:$AL$72,16,0)</f>
        <v>6</v>
      </c>
      <c r="G35" s="1011">
        <f>ROUND(VLOOKUP(B35,'Cost x Depart'!$C$2:$AN$72,36,0),0)</f>
        <v>77444</v>
      </c>
      <c r="H35" s="1011">
        <f>+G35*C35*'Parametros Generales'!$C$6</f>
        <v>302031600</v>
      </c>
      <c r="I35" s="1011">
        <f>+ROUND((G35/'Parametros Generales'!$C$11)*'Parametros Generales'!$C$14,0)</f>
        <v>12907</v>
      </c>
      <c r="J35" s="1011">
        <f t="shared" si="0"/>
        <v>7744200</v>
      </c>
      <c r="K35" s="1011">
        <f>ROUND(VLOOKUP(B35,'Cost x Depart'!$C$2:$AQ$72,39,0),0)</f>
        <v>3472</v>
      </c>
      <c r="L35" s="1011">
        <f t="shared" si="1"/>
        <v>2083200</v>
      </c>
      <c r="M35" s="1011">
        <f t="shared" si="3"/>
        <v>311859000</v>
      </c>
      <c r="N35" s="1013">
        <f>ROUND((VLOOKUP(B35,'Cost x Depart'!$E$2:$AQ$72,18,0)+VLOOKUP(B35,'Cost x Depart'!$E$2:$AQ$72,19,0))/VLOOKUP(B35,'Cost x Depart'!$E$2:$AQ$72,33,0),4)</f>
        <v>0.16350000000000001</v>
      </c>
      <c r="O35" s="760">
        <f>((VLOOKUP(B35,'Cost x Depart'!$C$2:$AN$72,36,0))-G35)*C35*'Parametros Generales'!$C$6</f>
        <v>802.36306782171596</v>
      </c>
      <c r="P35" s="760">
        <f>((VLOOKUP(B35,'Cost x Depart'!$C$2:$AN$72,37,0))-I35)*C35</f>
        <v>220.57341199542861</v>
      </c>
      <c r="Q35" s="967">
        <f t="shared" si="4"/>
        <v>0</v>
      </c>
      <c r="R35" s="966"/>
    </row>
    <row r="36" spans="2:18">
      <c r="B36" s="413" t="s">
        <v>1540</v>
      </c>
      <c r="C36" s="1010">
        <f>+VLOOKUP(B36,'Cost x Depart'!$C$2:$AL$72,6,0)</f>
        <v>100</v>
      </c>
      <c r="D36" s="1010">
        <f>+VLOOKUP(B36,'Cost x Depart'!$C$2:$AL$72,11,0)</f>
        <v>4</v>
      </c>
      <c r="E36" s="1215">
        <f>+VLOOKUP(B36,'Cost x Depart'!$C$2:$AL$72,15,0)</f>
        <v>0.1</v>
      </c>
      <c r="F36" s="1215">
        <f>+VLOOKUP(B36,'Cost x Depart'!$C$2:$AL$72,16,0)</f>
        <v>1</v>
      </c>
      <c r="G36" s="1011">
        <f>ROUND(VLOOKUP(B36,'Cost x Depart'!$C$2:$AN$72,36,0),0)</f>
        <v>88139</v>
      </c>
      <c r="H36" s="1011">
        <f>+G36*C36*'Parametros Generales'!$C$6</f>
        <v>57290350</v>
      </c>
      <c r="I36" s="1011">
        <f>+ROUND((G36/'Parametros Generales'!$C$11)*'Parametros Generales'!$C$14,0)</f>
        <v>14690</v>
      </c>
      <c r="J36" s="1011">
        <f t="shared" si="0"/>
        <v>1469000</v>
      </c>
      <c r="K36" s="1011">
        <f>ROUND(VLOOKUP(B36,'Cost x Depart'!$C$2:$AQ$72,39,0),0)</f>
        <v>3472</v>
      </c>
      <c r="L36" s="1011">
        <f t="shared" si="1"/>
        <v>347200</v>
      </c>
      <c r="M36" s="1011">
        <f t="shared" si="3"/>
        <v>59106550</v>
      </c>
      <c r="N36" s="1013">
        <f>ROUND((VLOOKUP(B36,'Cost x Depart'!$E$2:$AQ$72,18,0)+VLOOKUP(B36,'Cost x Depart'!$E$2:$AQ$72,19,0))/VLOOKUP(B36,'Cost x Depart'!$E$2:$AQ$72,33,0),4)</f>
        <v>0.14360000000000001</v>
      </c>
      <c r="O36" s="760">
        <f>((VLOOKUP(B36,'Cost x Depart'!$C$2:$AN$72,36,0))-G36)*C36*'Parametros Generales'!$C$6</f>
        <v>274.10760404382017</v>
      </c>
      <c r="P36" s="760">
        <f>((VLOOKUP(B36,'Cost x Depart'!$C$2:$AN$72,37,0))-I36)*C36</f>
        <v>-9.6382665629789699</v>
      </c>
      <c r="Q36" s="967">
        <f t="shared" si="4"/>
        <v>0</v>
      </c>
      <c r="R36" s="966"/>
    </row>
    <row r="37" spans="2:18" ht="13.5" thickBot="1">
      <c r="B37" s="413" t="s">
        <v>741</v>
      </c>
      <c r="C37" s="1010">
        <f>+VLOOKUP(B37,'Cost x Depart'!$C$2:$AL$72,6,0)</f>
        <v>350</v>
      </c>
      <c r="D37" s="1010">
        <f>+VLOOKUP(B37,'Cost x Depart'!$C$2:$AL$72,11,0)</f>
        <v>14</v>
      </c>
      <c r="E37" s="1215">
        <f>+VLOOKUP(B37,'Cost x Depart'!$C$2:$AL$72,15,0)</f>
        <v>0.35</v>
      </c>
      <c r="F37" s="1215">
        <f>+VLOOKUP(B37,'Cost x Depart'!$C$2:$AL$72,16,0)</f>
        <v>3.5</v>
      </c>
      <c r="G37" s="1011">
        <f>ROUND(VLOOKUP(B37,'Cost x Depart'!$C$2:$AN$72,36,0),0)</f>
        <v>77444</v>
      </c>
      <c r="H37" s="1011">
        <f>+G37*C37*'Parametros Generales'!$C$6</f>
        <v>176185100</v>
      </c>
      <c r="I37" s="1011">
        <f>+ROUND((G37/'Parametros Generales'!$C$11)*'Parametros Generales'!$C$14,0)</f>
        <v>12907</v>
      </c>
      <c r="J37" s="1011">
        <f t="shared" si="0"/>
        <v>4517450</v>
      </c>
      <c r="K37" s="1011">
        <f>ROUND(VLOOKUP(B37,'Cost x Depart'!$C$2:$AQ$72,39,0),0)</f>
        <v>3472</v>
      </c>
      <c r="L37" s="1011">
        <f t="shared" si="1"/>
        <v>1215200</v>
      </c>
      <c r="M37" s="1011">
        <f t="shared" si="3"/>
        <v>181917750</v>
      </c>
      <c r="N37" s="1013">
        <f>ROUND((VLOOKUP(B37,'Cost x Depart'!$E$2:$AQ$72,18,0)+VLOOKUP(B37,'Cost x Depart'!$E$2:$AQ$72,19,0))/VLOOKUP(B37,'Cost x Depart'!$E$2:$AQ$72,33,0),4)</f>
        <v>0.16350000000000001</v>
      </c>
      <c r="O37" s="760">
        <f>((VLOOKUP(B37,'Cost x Depart'!$C$2:$AN$72,36,0))-G37)*C37*'Parametros Generales'!$C$6</f>
        <v>468.04512289600098</v>
      </c>
      <c r="P37" s="760">
        <f>((VLOOKUP(B37,'Cost x Depart'!$C$2:$AN$72,37,0))-I37)*C37</f>
        <v>128.66782366400003</v>
      </c>
      <c r="Q37" s="967">
        <f t="shared" si="4"/>
        <v>0</v>
      </c>
      <c r="R37" s="966"/>
    </row>
    <row r="38" spans="2:18" ht="13.5" hidden="1" thickBot="1">
      <c r="B38" s="910" t="s">
        <v>1541</v>
      </c>
      <c r="C38" s="1010">
        <f>+VLOOKUP(B38,'Cost x Depart'!$C$2:$AL$72,6,0)</f>
        <v>0</v>
      </c>
      <c r="D38" s="1010">
        <f>+VLOOKUP(B38,'Cost x Depart'!$C$2:$AL$72,11,0)</f>
        <v>0</v>
      </c>
      <c r="E38" s="1010">
        <f>+VLOOKUP(B38,'Cost x Depart'!$C$2:$AL$72,15,0)</f>
        <v>0</v>
      </c>
      <c r="F38" s="1010">
        <f>+VLOOKUP(B38,'Cost x Depart'!$C$2:$AL$72,16,0)</f>
        <v>0</v>
      </c>
      <c r="G38" s="1011">
        <f>ROUND(VLOOKUP(B38,'Cost x Depart'!$C$2:$AN$72,36,0),0)</f>
        <v>0</v>
      </c>
      <c r="H38" s="1011">
        <f>+G38*C38*'Parametros Generales'!$C$6</f>
        <v>0</v>
      </c>
      <c r="I38" s="1011">
        <f>+ROUND((G38/'Parametros Generales'!$C$11)*'Parametros Generales'!$C$14,0)</f>
        <v>0</v>
      </c>
      <c r="J38" s="1011">
        <f t="shared" si="0"/>
        <v>0</v>
      </c>
      <c r="K38" s="1011">
        <f>ROUND(VLOOKUP(B38,'Cost x Depart'!$C$2:$AQ$72,39,0),0)</f>
        <v>0</v>
      </c>
      <c r="L38" s="1011">
        <f t="shared" si="1"/>
        <v>0</v>
      </c>
      <c r="M38" s="1011">
        <f t="shared" si="2"/>
        <v>0</v>
      </c>
      <c r="N38" s="1013" t="e">
        <f>ROUND((VLOOKUP(B38,'Cost x Depart'!$E$2:$AQ$72,18,0)+VLOOKUP(B38,'Cost x Depart'!$E$2:$AQ$72,19,0))/VLOOKUP(B38,'Cost x Depart'!$E$2:$AQ$72,33,0),4)</f>
        <v>#DIV/0!</v>
      </c>
      <c r="O38" s="760">
        <f>((VLOOKUP(B38,'Cost x Depart'!$C$2:$AN$72,36,0))-G38)*C38*'Parametros Generales'!$C$6</f>
        <v>0</v>
      </c>
      <c r="P38" s="760">
        <f>((VLOOKUP(B38,'Cost x Depart'!$C$2:$AN$72,37,0))-I38)*C38</f>
        <v>0</v>
      </c>
      <c r="Q38" s="966"/>
      <c r="R38" s="966"/>
    </row>
    <row r="39" spans="2:18" s="754" customFormat="1" ht="13.5" thickBot="1">
      <c r="B39" s="789" t="s">
        <v>1608</v>
      </c>
      <c r="C39" s="789">
        <f t="shared" ref="C39:F39" si="5">+SUM(C4:C38)</f>
        <v>15000</v>
      </c>
      <c r="D39" s="1021">
        <f t="shared" si="5"/>
        <v>600</v>
      </c>
      <c r="E39" s="1021">
        <f t="shared" si="5"/>
        <v>14.999999999999998</v>
      </c>
      <c r="F39" s="1022">
        <f t="shared" si="5"/>
        <v>150</v>
      </c>
      <c r="G39" s="1023">
        <f>ROUND(VLOOKUP(B39,'Cost x Depart'!$C$2:$AN$72,36,0),0)</f>
        <v>46468</v>
      </c>
      <c r="H39" s="1024">
        <f>SUM(H4:H38)</f>
        <v>4530594900</v>
      </c>
      <c r="I39" s="1023">
        <f>+ROUND((G39/'Parametros Generales'!$C$11)*'Parametros Generales'!$C$14,0)</f>
        <v>7745</v>
      </c>
      <c r="J39" s="1024">
        <f>SUM(J4:J38)</f>
        <v>116169800</v>
      </c>
      <c r="K39" s="1023">
        <f>ROUND(VLOOKUP(B39,'Cost x Depart'!$C$2:$AQ$72,39,0),0)</f>
        <v>3472</v>
      </c>
      <c r="L39" s="1024">
        <f>SUM(L4:L38)</f>
        <v>52080000</v>
      </c>
      <c r="M39" s="1024">
        <f>SUM(M4:M38)</f>
        <v>4698844700</v>
      </c>
      <c r="N39" s="1015">
        <f>ROUND((VLOOKUP(B39,'Cost x Depart'!$E$2:$AQ$72,18,0)+VLOOKUP(B39,'Cost x Depart'!$E$2:$AQ$72,19,0))/VLOOKUP(B39,'Cost x Depart'!$E$2:$AQ$72,33,0),4)</f>
        <v>0.27239999999999998</v>
      </c>
      <c r="O39" s="761">
        <f>SUM(O4:O38)</f>
        <v>12175.782342897401</v>
      </c>
      <c r="P39" s="761">
        <f>SUM(P4:P38)</f>
        <v>-387.80045274584154</v>
      </c>
      <c r="Q39" s="968">
        <f>SUM(Q4:Q37)</f>
        <v>0</v>
      </c>
      <c r="R39" s="761">
        <f>+(K39-'Cost x Depart'!AO72)*C39</f>
        <v>-7296.4719656465604</v>
      </c>
    </row>
    <row r="40" spans="2:18">
      <c r="B40" s="759" t="s">
        <v>1599</v>
      </c>
      <c r="C40" s="911">
        <f>+C39-'Cost x Depart'!H72</f>
        <v>0</v>
      </c>
      <c r="D40" s="911">
        <f>+D39-'Cost x Depart'!M72</f>
        <v>0</v>
      </c>
      <c r="E40" s="912">
        <f>+E39-'Cost x Depart'!Q72</f>
        <v>0</v>
      </c>
      <c r="F40" s="912">
        <f>+F39-'Cost x Depart'!R72</f>
        <v>0</v>
      </c>
      <c r="G40" s="913">
        <f>+G39-'Cost x Depart'!AL72</f>
        <v>0.2351201811034116</v>
      </c>
      <c r="H40" s="913">
        <f>+H39-'Cost x Depart'!AK72+O39</f>
        <v>-1.3365934137254953E-8</v>
      </c>
      <c r="I40" s="913">
        <f>+I39-'Cost x Depart'!AM72</f>
        <v>0.3725200301842051</v>
      </c>
      <c r="J40" s="913">
        <f>+J39-'Cost x Depart'!AN72+P39</f>
        <v>8.05994204711169E-9</v>
      </c>
      <c r="K40" s="913">
        <f>+K39-'Cost x Depart'!AO72</f>
        <v>-0.48643146437643736</v>
      </c>
      <c r="L40" s="913">
        <f>+L39-'Cost x Depart'!AP72-R39</f>
        <v>-9.1240508481860161E-9</v>
      </c>
      <c r="M40" s="913">
        <f>+M39-'Cost x Depart'!AQ72+O39+P39+Q39-R39</f>
        <v>1.2372674973448738E-6</v>
      </c>
      <c r="N40" s="1016">
        <f>+('Cost x Depart'!V72+'Cost x Depart'!W72)/'Cost x Depart'!AK72-N39</f>
        <v>2.0685416492249864E-5</v>
      </c>
      <c r="O40" s="966"/>
      <c r="P40" s="966"/>
      <c r="Q40" s="966"/>
      <c r="R40" s="966"/>
    </row>
    <row r="41" spans="2:18">
      <c r="N41" s="1017"/>
      <c r="O41" s="760">
        <f>+M39-'Res de Costos Pais'!H135</f>
        <v>-19084.453854560852</v>
      </c>
      <c r="P41" s="966" t="s">
        <v>1636</v>
      </c>
      <c r="Q41" s="966"/>
      <c r="R41" s="966"/>
    </row>
    <row r="42" spans="2:18">
      <c r="N42" s="1018"/>
      <c r="P42" s="765"/>
    </row>
    <row r="43" spans="2:18">
      <c r="N43" s="1019"/>
      <c r="O43" s="762"/>
    </row>
    <row r="94" spans="4:6">
      <c r="D94" s="363"/>
      <c r="E94" s="363"/>
      <c r="F94" s="363"/>
    </row>
    <row r="95" spans="4:6">
      <c r="D95" s="363"/>
      <c r="E95" s="363"/>
      <c r="F95" s="363"/>
    </row>
    <row r="96" spans="4:6">
      <c r="D96" s="363"/>
      <c r="E96" s="363"/>
      <c r="F96" s="363"/>
    </row>
    <row r="97" spans="4:6">
      <c r="D97" s="363"/>
      <c r="E97" s="363"/>
      <c r="F97" s="363"/>
    </row>
    <row r="98" spans="4:6">
      <c r="D98" s="363"/>
      <c r="E98" s="363"/>
      <c r="F98" s="363"/>
    </row>
    <row r="99" spans="4:6">
      <c r="D99" s="363"/>
      <c r="E99" s="363"/>
      <c r="F99" s="363"/>
    </row>
  </sheetData>
  <autoFilter ref="A3:P40"/>
  <mergeCells count="1">
    <mergeCell ref="B2:N2"/>
  </mergeCells>
  <conditionalFormatting sqref="C40:F40">
    <cfRule type="cellIs" dxfId="1" priority="6" operator="notEqual">
      <formula>0</formula>
    </cfRule>
  </conditionalFormatting>
  <conditionalFormatting sqref="G40:M40">
    <cfRule type="cellIs" dxfId="0" priority="1" operator="greaterThan">
      <formula>1</formula>
    </cfRule>
  </conditionalFormatting>
  <hyperlinks>
    <hyperlink ref="B1" location="'Hoja índice'!A1" display="Indice"/>
  </hyperlinks>
  <pageMargins left="0.70866141732283472" right="0.70866141732283472" top="0.74803149606299213" bottom="0.74803149606299213" header="0.31496062992125984" footer="0.31496062992125984"/>
  <pageSetup scale="26" orientation="landscape" horizontalDpi="4294967295" verticalDpi="4294967295" r:id="rId1"/>
  <ignoredErrors>
    <ignoredError sqref="I39 K39 N39" formula="1"/>
    <ignoredError sqref="C39:F40" evalError="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4"/>
  </sheetPr>
  <dimension ref="A1:W154"/>
  <sheetViews>
    <sheetView showGridLines="0" zoomScaleNormal="100" workbookViewId="0">
      <selection activeCell="J9" sqref="J9"/>
    </sheetView>
  </sheetViews>
  <sheetFormatPr baseColWidth="10" defaultColWidth="0" defaultRowHeight="22.5" customHeight="1" zeroHeight="1"/>
  <cols>
    <col min="1" max="1" width="2.7109375" style="421" customWidth="1"/>
    <col min="2" max="2" width="44.85546875" style="421" customWidth="1"/>
    <col min="3" max="3" width="15" style="421" bestFit="1" customWidth="1"/>
    <col min="4" max="6" width="11.42578125" style="421" customWidth="1"/>
    <col min="7" max="7" width="12" style="421" bestFit="1" customWidth="1"/>
    <col min="8" max="9" width="11.42578125" style="421" customWidth="1"/>
    <col min="10" max="10" width="12.7109375" style="421" customWidth="1"/>
    <col min="11" max="18" width="11.42578125" style="421" customWidth="1"/>
    <col min="19" max="19" width="3.5703125" style="421" customWidth="1"/>
    <col min="20" max="23" width="0" style="421" hidden="1" customWidth="1"/>
    <col min="24" max="16384" width="11.42578125" style="421" hidden="1"/>
  </cols>
  <sheetData>
    <row r="1" spans="2:11" ht="12.75" customHeight="1" thickBot="1">
      <c r="B1" s="4" t="s">
        <v>1555</v>
      </c>
    </row>
    <row r="2" spans="2:11" ht="22.5" customHeight="1" thickBot="1">
      <c r="B2" s="1034" t="s">
        <v>1586</v>
      </c>
      <c r="C2" s="1035"/>
      <c r="D2" s="1035"/>
      <c r="E2" s="1035"/>
      <c r="F2" s="1035"/>
      <c r="G2" s="1035"/>
      <c r="H2" s="1035"/>
      <c r="I2" s="1035"/>
      <c r="J2" s="1036"/>
    </row>
    <row r="3" spans="2:11" ht="6.75" customHeight="1"/>
    <row r="4" spans="2:11" ht="22.5" customHeight="1">
      <c r="B4" s="449" t="s">
        <v>1524</v>
      </c>
    </row>
    <row r="5" spans="2:11" ht="6.75" customHeight="1" thickBot="1"/>
    <row r="6" spans="2:11" ht="22.5" customHeight="1" thickBot="1">
      <c r="B6" s="807" t="s">
        <v>1199</v>
      </c>
      <c r="C6" s="1007">
        <v>6.5</v>
      </c>
      <c r="D6" s="496"/>
      <c r="F6" s="1051" t="s">
        <v>1523</v>
      </c>
      <c r="G6" s="1052"/>
      <c r="H6" s="1052"/>
      <c r="I6" s="1052"/>
      <c r="J6" s="1053"/>
    </row>
    <row r="7" spans="2:11" ht="22.5" customHeight="1">
      <c r="B7" s="808" t="s">
        <v>1567</v>
      </c>
      <c r="C7" s="809">
        <f>+C6*20</f>
        <v>130</v>
      </c>
      <c r="D7" s="496"/>
      <c r="F7" s="442" t="s">
        <v>1273</v>
      </c>
      <c r="G7" s="440"/>
      <c r="H7" s="440"/>
      <c r="I7" s="445">
        <v>2</v>
      </c>
      <c r="J7" s="962">
        <f>+IF($I$7=1,MAX('Cot Int y Cel'!L36:L38),IF($I$7=2,MIN('Cot Int y Cel'!L36:L38),IF(I7=3,AVERAGE('Cot Int y Cel'!L36:L38),GEOMEAN('Cot Int y Cel'!L36:L38))))</f>
        <v>40504</v>
      </c>
      <c r="K7" s="656"/>
    </row>
    <row r="8" spans="2:11" ht="22.5" customHeight="1">
      <c r="B8" s="808" t="s">
        <v>745</v>
      </c>
      <c r="C8" s="992">
        <v>25</v>
      </c>
      <c r="D8" s="496"/>
      <c r="F8" s="443" t="s">
        <v>1450</v>
      </c>
      <c r="G8" s="439"/>
      <c r="H8" s="439"/>
      <c r="I8" s="446">
        <v>2</v>
      </c>
      <c r="J8" s="963">
        <f>+IF(F8=$B$146,(IF(I8=1,MAX('Cot Int y Cel'!L15,'Cot Int y Cel'!L17,'Cot Int y Cel'!L19),IF(I8=2,MIN('Cot Int y Cel'!L15,'Cot Int y Cel'!L17,'Cot Int y Cel'!L19),IF(I8=3,AVERAGE('Cot Int y Cel'!L15,'Cot Int y Cel'!L17,'Cot Int y Cel'!L19),GEOMEAN('Cot Int y Cel'!L15,'Cot Int y Cel'!L17,'Cot Int y Cel'!L19))))),(IF(I8=1,MAX('Cot Int y Cel'!L14,'Cot Int y Cel'!L16,'Cot Int y Cel'!L18),IF(I8=2,MIN('Cot Int y Cel'!L14,'Cot Int y Cel'!L16,'Cot Int y Cel'!L18),IF(I8=3,AVERAGE('Cot Int y Cel'!L14,'Cot Int y Cel'!L16,'Cot Int y Cel'!L18),GEOMEAN('Cot Int y Cel'!L14,'Cot Int y Cel'!L16,'Cot Int y Cel'!L18))))))</f>
        <v>36976</v>
      </c>
    </row>
    <row r="9" spans="2:11" ht="22.5" customHeight="1">
      <c r="B9" s="808" t="s">
        <v>1198</v>
      </c>
      <c r="C9" s="992">
        <v>4</v>
      </c>
      <c r="D9" s="496"/>
      <c r="F9" s="443" t="s">
        <v>1278</v>
      </c>
      <c r="G9" s="439"/>
      <c r="H9" s="439"/>
      <c r="I9" s="446"/>
      <c r="J9" s="963">
        <f>ROUND(129842*C27,0)</f>
        <v>133737</v>
      </c>
    </row>
    <row r="10" spans="2:11" ht="22.5" customHeight="1">
      <c r="B10" s="810" t="s">
        <v>1522</v>
      </c>
      <c r="C10" s="992">
        <v>10</v>
      </c>
      <c r="D10" s="496"/>
      <c r="F10" s="443" t="s">
        <v>1279</v>
      </c>
      <c r="G10" s="439"/>
      <c r="H10" s="439"/>
      <c r="I10" s="446"/>
      <c r="J10" s="963">
        <f>+'Cot. Refrig. '!D57</f>
        <v>1265.0544775353062</v>
      </c>
    </row>
    <row r="11" spans="2:11" ht="22.5" customHeight="1" thickBot="1">
      <c r="B11" s="810" t="s">
        <v>1568</v>
      </c>
      <c r="C11" s="1008">
        <v>12</v>
      </c>
      <c r="D11" s="496"/>
      <c r="F11" s="444" t="s">
        <v>1453</v>
      </c>
      <c r="G11" s="441"/>
      <c r="H11" s="441"/>
      <c r="I11" s="447">
        <v>1</v>
      </c>
      <c r="J11" s="964">
        <f>+IF(F11=$B$148,(IF(I11=1,MAX('Cot. Chalecos'!H15,'Cot. Chalecos'!H17,'Cot. Chalecos'!H19),IF(I11=2,MIN('Cot. Chalecos'!H15,'Cot. Chalecos'!H17,'Cot. Chalecos'!H19),IF(I11=3,AVERAGE('Cot. Chalecos'!H15,'Cot. Chalecos'!H17,'Cot. Chalecos'!H19),GEOMEAN('Cot. Chalecos'!H15,'Cot. Chalecos'!H17,'Cot. Chalecos'!H19))))),(IF(I11=1,MAX('Cot. Chalecos'!H16,'Cot. Chalecos'!H18,'Cot. Chalecos'!H20),IF(I11=2,MIN('Cot. Chalecos'!H16,'Cot. Chalecos'!H18,'Cot. Chalecos'!H20),IF(I11=3,AVERAGE('Cot. Chalecos'!H16,'Cot. Chalecos'!H18,'Cot. Chalecos'!H20),GEOMEAN('Cot. Chalecos'!H16,'Cot. Chalecos'!H18,'Cot. Chalecos'!H20))))))</f>
        <v>51376</v>
      </c>
      <c r="K11" s="496"/>
    </row>
    <row r="12" spans="2:11" ht="28.5" customHeight="1" thickBot="1">
      <c r="B12" s="811" t="s">
        <v>1607</v>
      </c>
      <c r="C12" s="991">
        <f>4*C6</f>
        <v>26</v>
      </c>
      <c r="D12" s="496"/>
    </row>
    <row r="13" spans="2:11" ht="27.75" customHeight="1" thickBot="1">
      <c r="B13" s="1063" t="s">
        <v>1619</v>
      </c>
      <c r="C13" s="1064"/>
      <c r="D13" s="815"/>
      <c r="F13" s="1054" t="s">
        <v>1593</v>
      </c>
      <c r="G13" s="1055"/>
      <c r="H13" s="1055"/>
      <c r="I13" s="1056"/>
      <c r="J13" s="819" t="s">
        <v>1594</v>
      </c>
    </row>
    <row r="14" spans="2:11" ht="39.75" customHeight="1" thickBot="1">
      <c r="B14" s="812" t="s">
        <v>1620</v>
      </c>
      <c r="C14" s="993">
        <v>2</v>
      </c>
      <c r="D14" s="816"/>
      <c r="F14" s="1060" t="s">
        <v>1606</v>
      </c>
      <c r="G14" s="1061"/>
      <c r="H14" s="1061"/>
      <c r="I14" s="1062"/>
      <c r="J14" s="820">
        <v>1</v>
      </c>
      <c r="K14" s="656"/>
    </row>
    <row r="15" spans="2:11" ht="22.5" customHeight="1">
      <c r="B15" s="813" t="s">
        <v>1621</v>
      </c>
      <c r="C15" s="994">
        <v>0.5</v>
      </c>
      <c r="D15" s="816"/>
    </row>
    <row r="16" spans="2:11" ht="22.5" customHeight="1" thickBot="1">
      <c r="B16" s="814" t="s">
        <v>1622</v>
      </c>
      <c r="C16" s="995">
        <v>0.5</v>
      </c>
      <c r="D16" s="816"/>
    </row>
    <row r="17" spans="2:13" s="423" customFormat="1" ht="22.5" customHeight="1">
      <c r="B17" s="817"/>
      <c r="C17" s="818"/>
      <c r="D17" s="438"/>
    </row>
    <row r="18" spans="2:13" ht="11.25" customHeight="1">
      <c r="G18" s="747"/>
      <c r="H18" s="747"/>
      <c r="I18" s="747"/>
      <c r="K18" s="746"/>
    </row>
    <row r="19" spans="2:13" ht="22.5" customHeight="1">
      <c r="B19" s="449" t="s">
        <v>1562</v>
      </c>
      <c r="G19" s="747"/>
      <c r="H19" s="747"/>
      <c r="I19" s="747"/>
      <c r="K19" s="746"/>
    </row>
    <row r="20" spans="2:13" ht="11.25" customHeight="1" thickBot="1"/>
    <row r="21" spans="2:13" ht="22.5" customHeight="1" thickBot="1">
      <c r="B21" s="493" t="s">
        <v>1454</v>
      </c>
      <c r="C21" s="494"/>
      <c r="D21" s="494"/>
      <c r="E21" s="494"/>
      <c r="F21" s="494"/>
      <c r="G21" s="494"/>
      <c r="H21" s="494"/>
      <c r="I21" s="494"/>
      <c r="J21" s="495"/>
    </row>
    <row r="22" spans="2:13" ht="8.25" customHeight="1"/>
    <row r="23" spans="2:13" ht="22.5" customHeight="1" thickBot="1">
      <c r="D23" s="500">
        <v>1</v>
      </c>
      <c r="E23" s="609">
        <f>D23+1</f>
        <v>2</v>
      </c>
      <c r="F23" s="609">
        <f>E23+1</f>
        <v>3</v>
      </c>
      <c r="G23" s="609">
        <f t="shared" ref="G23:M23" si="0">F23+1</f>
        <v>4</v>
      </c>
      <c r="H23" s="609">
        <f t="shared" si="0"/>
        <v>5</v>
      </c>
      <c r="I23" s="609">
        <f t="shared" si="0"/>
        <v>6</v>
      </c>
      <c r="J23" s="609">
        <f t="shared" si="0"/>
        <v>7</v>
      </c>
      <c r="K23" s="609">
        <f t="shared" si="0"/>
        <v>8</v>
      </c>
      <c r="L23" s="609">
        <f t="shared" si="0"/>
        <v>9</v>
      </c>
      <c r="M23" s="609">
        <f t="shared" si="0"/>
        <v>10</v>
      </c>
    </row>
    <row r="24" spans="2:13" ht="22.5" customHeight="1" thickBot="1">
      <c r="E24" s="472" t="s">
        <v>1455</v>
      </c>
      <c r="F24" s="473" t="s">
        <v>1456</v>
      </c>
      <c r="G24" s="474" t="s">
        <v>1457</v>
      </c>
      <c r="H24" s="473" t="s">
        <v>1458</v>
      </c>
      <c r="I24" s="474" t="s">
        <v>1457</v>
      </c>
      <c r="J24" s="473" t="s">
        <v>1459</v>
      </c>
      <c r="K24" s="474" t="s">
        <v>1457</v>
      </c>
      <c r="L24" s="473" t="s">
        <v>33</v>
      </c>
      <c r="M24" s="475" t="s">
        <v>1457</v>
      </c>
    </row>
    <row r="25" spans="2:13" ht="22.5" customHeight="1">
      <c r="B25" s="460" t="s">
        <v>1525</v>
      </c>
      <c r="C25" s="456"/>
      <c r="D25" s="501">
        <v>1</v>
      </c>
      <c r="E25" s="468">
        <v>2013</v>
      </c>
      <c r="F25" s="469">
        <v>0</v>
      </c>
      <c r="G25" s="477">
        <v>1</v>
      </c>
      <c r="H25" s="469">
        <v>0</v>
      </c>
      <c r="I25" s="477">
        <v>1</v>
      </c>
      <c r="J25" s="469">
        <v>0</v>
      </c>
      <c r="K25" s="477">
        <v>1</v>
      </c>
      <c r="L25" s="469">
        <v>0</v>
      </c>
      <c r="M25" s="476">
        <v>1</v>
      </c>
    </row>
    <row r="26" spans="2:13" ht="22.5" customHeight="1">
      <c r="B26" s="715">
        <v>2</v>
      </c>
      <c r="C26" s="640" t="s">
        <v>1460</v>
      </c>
      <c r="D26" s="501">
        <v>2</v>
      </c>
      <c r="E26" s="463">
        <f>E25+1</f>
        <v>2014</v>
      </c>
      <c r="F26" s="606">
        <f>D33</f>
        <v>0.03</v>
      </c>
      <c r="G26" s="426">
        <f>(G25+F26)</f>
        <v>1.03</v>
      </c>
      <c r="H26" s="606">
        <f>F33</f>
        <v>0.03</v>
      </c>
      <c r="I26" s="426">
        <f>(I25+H26)</f>
        <v>1.03</v>
      </c>
      <c r="J26" s="606">
        <f>G36</f>
        <v>0.03</v>
      </c>
      <c r="K26" s="426">
        <f>(K25+J26)</f>
        <v>1.03</v>
      </c>
      <c r="L26" s="606">
        <f>+J33</f>
        <v>0.03</v>
      </c>
      <c r="M26" s="464">
        <f>(M25+L26)</f>
        <v>1.03</v>
      </c>
    </row>
    <row r="27" spans="2:13" ht="22.5" customHeight="1">
      <c r="B27" s="502" t="s">
        <v>1557</v>
      </c>
      <c r="C27" s="638">
        <f>VLOOKUP($B$26,$D$25:K30,G$23,FALSE)</f>
        <v>1.03</v>
      </c>
      <c r="D27" s="501">
        <v>3</v>
      </c>
      <c r="E27" s="463">
        <f t="shared" ref="E27:E30" si="1">E26+1</f>
        <v>2015</v>
      </c>
      <c r="F27" s="607">
        <v>0.03</v>
      </c>
      <c r="G27" s="426">
        <f>(G26+F27)</f>
        <v>1.06</v>
      </c>
      <c r="H27" s="607">
        <v>0.03</v>
      </c>
      <c r="I27" s="426">
        <f>(I26+H27)</f>
        <v>1.06</v>
      </c>
      <c r="J27" s="607">
        <v>0.03</v>
      </c>
      <c r="K27" s="426">
        <f>(K26+J27)</f>
        <v>1.06</v>
      </c>
      <c r="L27" s="607">
        <v>0.03</v>
      </c>
      <c r="M27" s="464">
        <f>(M26+L27)</f>
        <v>1.06</v>
      </c>
    </row>
    <row r="28" spans="2:13" ht="22.5" customHeight="1">
      <c r="B28" s="502" t="s">
        <v>1558</v>
      </c>
      <c r="C28" s="638">
        <f>VLOOKUP($B$26,$D$25:M30,M$23,FALSE)</f>
        <v>1.03</v>
      </c>
      <c r="D28" s="501">
        <v>4</v>
      </c>
      <c r="E28" s="463">
        <f t="shared" si="1"/>
        <v>2016</v>
      </c>
      <c r="F28" s="607">
        <v>0.03</v>
      </c>
      <c r="G28" s="426">
        <f>(G27+F28)</f>
        <v>1.0900000000000001</v>
      </c>
      <c r="H28" s="607">
        <v>0.03</v>
      </c>
      <c r="I28" s="426">
        <f>(I27+H28)</f>
        <v>1.0900000000000001</v>
      </c>
      <c r="J28" s="607">
        <v>0.03</v>
      </c>
      <c r="K28" s="426">
        <f>(K27+J28)</f>
        <v>1.0900000000000001</v>
      </c>
      <c r="L28" s="607">
        <v>0.03</v>
      </c>
      <c r="M28" s="464">
        <f>(M27+L28)</f>
        <v>1.0900000000000001</v>
      </c>
    </row>
    <row r="29" spans="2:13" ht="22.5" customHeight="1">
      <c r="B29" s="502" t="s">
        <v>1559</v>
      </c>
      <c r="C29" s="638">
        <f>VLOOKUP($B$26,$D$25:K30,I$23,FALSE)</f>
        <v>1.03</v>
      </c>
      <c r="D29" s="501">
        <v>5</v>
      </c>
      <c r="E29" s="463">
        <f t="shared" si="1"/>
        <v>2017</v>
      </c>
      <c r="F29" s="607">
        <v>0.03</v>
      </c>
      <c r="G29" s="426">
        <f>(G28+F29)</f>
        <v>1.1200000000000001</v>
      </c>
      <c r="H29" s="607">
        <v>0.03</v>
      </c>
      <c r="I29" s="426">
        <f>(I28+H29)</f>
        <v>1.1200000000000001</v>
      </c>
      <c r="J29" s="607">
        <v>0.03</v>
      </c>
      <c r="K29" s="426">
        <f>(K28+J29)</f>
        <v>1.1200000000000001</v>
      </c>
      <c r="L29" s="607">
        <v>0.03</v>
      </c>
      <c r="M29" s="464">
        <f>(M28+L29)</f>
        <v>1.1200000000000001</v>
      </c>
    </row>
    <row r="30" spans="2:13" ht="22.5" customHeight="1" thickBot="1">
      <c r="B30" s="503" t="s">
        <v>1560</v>
      </c>
      <c r="C30" s="639">
        <f>VLOOKUP($B$26,$D$25:K30,$K$23,FALSE)</f>
        <v>1.03</v>
      </c>
      <c r="D30" s="501">
        <v>6</v>
      </c>
      <c r="E30" s="465">
        <f t="shared" si="1"/>
        <v>2018</v>
      </c>
      <c r="F30" s="608">
        <v>0.03</v>
      </c>
      <c r="G30" s="466">
        <f>(G29+F30)</f>
        <v>1.1500000000000001</v>
      </c>
      <c r="H30" s="608">
        <v>0.03</v>
      </c>
      <c r="I30" s="466">
        <f>(I29+H30)</f>
        <v>1.1500000000000001</v>
      </c>
      <c r="J30" s="608">
        <v>0.03</v>
      </c>
      <c r="K30" s="466">
        <f>(K29+J30)</f>
        <v>1.1500000000000001</v>
      </c>
      <c r="L30" s="608">
        <v>0.03</v>
      </c>
      <c r="M30" s="467">
        <f>(M29+L30)</f>
        <v>1.1500000000000001</v>
      </c>
    </row>
    <row r="31" spans="2:13" ht="22.5" customHeight="1" thickBot="1"/>
    <row r="32" spans="2:13" ht="22.5" customHeight="1" thickBot="1">
      <c r="B32" s="454" t="s">
        <v>1461</v>
      </c>
      <c r="C32" s="455"/>
      <c r="D32" s="455"/>
      <c r="E32" s="455"/>
      <c r="F32" s="455"/>
      <c r="G32" s="455"/>
      <c r="H32" s="455"/>
      <c r="I32" s="455"/>
      <c r="J32" s="456"/>
    </row>
    <row r="33" spans="2:10" ht="22.5" customHeight="1" thickBot="1">
      <c r="B33" s="715">
        <v>2</v>
      </c>
      <c r="C33" s="491" t="s">
        <v>1526</v>
      </c>
      <c r="D33" s="470">
        <f>IF($I$11=1,C36,IF($I$11=2,C37,C38))</f>
        <v>0.03</v>
      </c>
      <c r="E33" s="492" t="s">
        <v>1527</v>
      </c>
      <c r="F33" s="470">
        <f>IF($I$11=1,E36,IF($I$11=2,E37,E38))</f>
        <v>0.03</v>
      </c>
      <c r="G33" s="492" t="s">
        <v>1528</v>
      </c>
      <c r="H33" s="471">
        <f>IF($I$11=1,G36,IF($I$11=2,G37,G38))</f>
        <v>0.03</v>
      </c>
      <c r="I33" s="492" t="s">
        <v>1530</v>
      </c>
      <c r="J33" s="471">
        <f>IF($I$11=1,I36,IF($I$11=2,I37,I38))</f>
        <v>0.03</v>
      </c>
    </row>
    <row r="34" spans="2:10" ht="9" customHeight="1" thickBot="1">
      <c r="B34" s="457"/>
      <c r="C34" s="458"/>
      <c r="D34" s="458"/>
      <c r="E34" s="458"/>
      <c r="F34" s="458"/>
      <c r="G34" s="458"/>
      <c r="H34" s="458"/>
      <c r="I34" s="458"/>
      <c r="J34" s="459"/>
    </row>
    <row r="35" spans="2:10" ht="5.25" customHeight="1" thickBot="1">
      <c r="B35" s="428"/>
      <c r="C35" s="423"/>
      <c r="D35" s="429"/>
      <c r="E35" s="423"/>
      <c r="F35" s="423"/>
      <c r="G35" s="423"/>
      <c r="H35" s="423"/>
    </row>
    <row r="36" spans="2:10" ht="22.5" customHeight="1">
      <c r="B36" s="451" t="s">
        <v>1462</v>
      </c>
      <c r="C36" s="478">
        <v>0.03</v>
      </c>
      <c r="E36" s="478">
        <v>0.03</v>
      </c>
      <c r="F36" s="423"/>
      <c r="G36" s="478">
        <v>0.03</v>
      </c>
      <c r="H36" s="423"/>
      <c r="I36" s="478">
        <v>0.03</v>
      </c>
    </row>
    <row r="37" spans="2:10" ht="22.5" customHeight="1">
      <c r="B37" s="451" t="s">
        <v>1463</v>
      </c>
      <c r="C37" s="452">
        <f>AVERAGE(D47:D51)</f>
        <v>3.6560000000000002E-2</v>
      </c>
      <c r="D37" s="450" t="s">
        <v>1464</v>
      </c>
      <c r="E37" s="452">
        <f>AVERAGE(E47:E51)</f>
        <v>4.4777999999999998E-2</v>
      </c>
      <c r="F37" s="450" t="s">
        <v>1464</v>
      </c>
      <c r="G37" s="452">
        <f>AVERAGE(G50:G51)</f>
        <v>2.2600000000000002E-2</v>
      </c>
      <c r="H37" s="450" t="s">
        <v>1465</v>
      </c>
      <c r="I37" s="452">
        <f>AVERAGE(H47:H51)</f>
        <v>5.0260000000000006E-2</v>
      </c>
      <c r="J37" s="450" t="s">
        <v>1464</v>
      </c>
    </row>
    <row r="38" spans="2:10" ht="22.5" customHeight="1" thickBot="1">
      <c r="B38" s="451" t="s">
        <v>1466</v>
      </c>
      <c r="C38" s="453">
        <f>GEOMEAN(D47:D51)</f>
        <v>3.2380171196907954E-2</v>
      </c>
      <c r="D38" s="450" t="s">
        <v>1464</v>
      </c>
      <c r="E38" s="453">
        <f>GEOMEAN(E49:E51)</f>
        <v>3.1204215406765511E-2</v>
      </c>
      <c r="F38" s="450" t="s">
        <v>1467</v>
      </c>
      <c r="G38" s="453">
        <f>GEOMEAN(G50:G51)</f>
        <v>2.1098578151145637E-2</v>
      </c>
      <c r="H38" s="450" t="s">
        <v>1465</v>
      </c>
      <c r="I38" s="453">
        <f>GEOMEAN(H47:H51)</f>
        <v>4.8208337759558344E-2</v>
      </c>
      <c r="J38" s="450" t="s">
        <v>1464</v>
      </c>
    </row>
    <row r="39" spans="2:10" ht="22.5" customHeight="1" thickBot="1"/>
    <row r="40" spans="2:10" ht="17.25" thickBot="1">
      <c r="B40" s="423"/>
      <c r="C40" s="487" t="s">
        <v>1455</v>
      </c>
      <c r="D40" s="488" t="s">
        <v>1468</v>
      </c>
      <c r="E40" s="488" t="s">
        <v>1458</v>
      </c>
      <c r="F40" s="489" t="s">
        <v>1469</v>
      </c>
      <c r="G40" s="595" t="s">
        <v>1459</v>
      </c>
      <c r="H40" s="490" t="s">
        <v>33</v>
      </c>
    </row>
    <row r="41" spans="2:10" ht="16.5">
      <c r="B41" s="1037" t="s">
        <v>1556</v>
      </c>
      <c r="C41" s="599">
        <v>2002</v>
      </c>
      <c r="D41" s="600">
        <f>(6.99)/100</f>
        <v>6.9900000000000004E-2</v>
      </c>
      <c r="E41" s="600">
        <v>0.10921341272328422</v>
      </c>
      <c r="F41" s="423"/>
      <c r="G41" s="596"/>
      <c r="H41" s="602">
        <v>7.4399999999999994E-2</v>
      </c>
    </row>
    <row r="42" spans="2:10" ht="16.5">
      <c r="B42" s="1038"/>
      <c r="C42" s="484">
        <v>2003</v>
      </c>
      <c r="D42" s="430">
        <f>(6.49)/100</f>
        <v>6.4899999999999999E-2</v>
      </c>
      <c r="E42" s="430">
        <v>5.3114846729763965E-2</v>
      </c>
      <c r="F42" s="423"/>
      <c r="G42" s="596"/>
      <c r="H42" s="603">
        <v>7.8299999999999995E-2</v>
      </c>
    </row>
    <row r="43" spans="2:10" ht="16.5">
      <c r="B43" s="1038"/>
      <c r="C43" s="484">
        <v>2004</v>
      </c>
      <c r="D43" s="430">
        <f>(5.5)/100</f>
        <v>5.5E-2</v>
      </c>
      <c r="E43" s="430">
        <v>1.4151576123407228E-2</v>
      </c>
      <c r="F43" s="423"/>
      <c r="G43" s="596"/>
      <c r="H43" s="603">
        <v>6.5600000000000006E-2</v>
      </c>
    </row>
    <row r="44" spans="2:10" ht="16.5">
      <c r="B44" s="1038"/>
      <c r="C44" s="484">
        <v>2005</v>
      </c>
      <c r="D44" s="430">
        <f>(4.85)/100</f>
        <v>4.8499999999999995E-2</v>
      </c>
      <c r="E44" s="430">
        <v>0.10779710336617931</v>
      </c>
      <c r="F44" s="423"/>
      <c r="G44" s="596"/>
      <c r="H44" s="603">
        <v>6.9500000000000006E-2</v>
      </c>
    </row>
    <row r="45" spans="2:10" ht="16.5">
      <c r="B45" s="1038"/>
      <c r="C45" s="484">
        <v>2006</v>
      </c>
      <c r="D45" s="430">
        <f>(4.48)/100</f>
        <v>4.4800000000000006E-2</v>
      </c>
      <c r="E45" s="430">
        <v>5.6832427914751404E-2</v>
      </c>
      <c r="F45" s="423"/>
      <c r="G45" s="596"/>
      <c r="H45" s="603">
        <v>6.3E-2</v>
      </c>
    </row>
    <row r="46" spans="2:10" ht="16.5">
      <c r="B46" s="1038"/>
      <c r="C46" s="484">
        <v>2007</v>
      </c>
      <c r="D46" s="430">
        <f>(5.69)/100</f>
        <v>5.6900000000000006E-2</v>
      </c>
      <c r="E46" s="430">
        <v>8.5126814664181261E-2</v>
      </c>
      <c r="F46" s="423"/>
      <c r="G46" s="596"/>
      <c r="H46" s="603">
        <v>6.4100000000000004E-2</v>
      </c>
    </row>
    <row r="47" spans="2:10" ht="16.5">
      <c r="B47" s="1038"/>
      <c r="C47" s="485">
        <v>2008</v>
      </c>
      <c r="D47" s="431">
        <v>7.6700000000000004E-2</v>
      </c>
      <c r="E47" s="431">
        <v>0.13170000000000001</v>
      </c>
      <c r="F47" s="423"/>
      <c r="G47" s="596"/>
      <c r="H47" s="601">
        <v>7.6700000000000004E-2</v>
      </c>
    </row>
    <row r="48" spans="2:10" ht="16.5">
      <c r="B48" s="1038"/>
      <c r="C48" s="485">
        <v>2009</v>
      </c>
      <c r="D48" s="431">
        <v>0.02</v>
      </c>
      <c r="E48" s="431">
        <v>-3.2000000000000002E-3</v>
      </c>
      <c r="F48" s="432">
        <v>-1.6799999999999999E-2</v>
      </c>
      <c r="G48" s="596"/>
      <c r="H48" s="601">
        <v>3.6400000000000002E-2</v>
      </c>
      <c r="I48" s="605"/>
    </row>
    <row r="49" spans="2:10" ht="16.5">
      <c r="B49" s="1038"/>
      <c r="C49" s="485">
        <v>2010</v>
      </c>
      <c r="D49" s="431">
        <v>3.1699999999999999E-2</v>
      </c>
      <c r="E49" s="431">
        <v>4.0189999999999997E-2</v>
      </c>
      <c r="F49" s="432">
        <v>4.9099999999999998E-2</v>
      </c>
      <c r="G49" s="596"/>
      <c r="H49" s="601">
        <v>0.04</v>
      </c>
    </row>
    <row r="50" spans="2:10" ht="16.5">
      <c r="B50" s="1038"/>
      <c r="C50" s="485">
        <v>2011</v>
      </c>
      <c r="D50" s="431">
        <v>0.03</v>
      </c>
      <c r="E50" s="431">
        <v>0.03</v>
      </c>
      <c r="F50" s="432">
        <v>5.3400000000000003E-2</v>
      </c>
      <c r="G50" s="597">
        <v>3.0700000000000002E-2</v>
      </c>
      <c r="H50" s="601">
        <v>5.8000000000000003E-2</v>
      </c>
    </row>
    <row r="51" spans="2:10" ht="17.25" thickBot="1">
      <c r="B51" s="1039"/>
      <c r="C51" s="486">
        <v>2012</v>
      </c>
      <c r="D51" s="482">
        <v>2.4400000000000002E-2</v>
      </c>
      <c r="E51" s="482">
        <v>2.52E-2</v>
      </c>
      <c r="F51" s="483">
        <v>2.29E-2</v>
      </c>
      <c r="G51" s="598">
        <v>1.4500000000000001E-2</v>
      </c>
      <c r="H51" s="604">
        <v>4.02E-2</v>
      </c>
    </row>
    <row r="52" spans="2:10" ht="22.5" customHeight="1">
      <c r="B52" s="479"/>
      <c r="C52" s="480"/>
      <c r="D52" s="481"/>
      <c r="E52" s="481"/>
      <c r="F52" s="481"/>
      <c r="G52" s="481"/>
    </row>
    <row r="53" spans="2:10" ht="5.25" customHeight="1" thickBot="1">
      <c r="B53" s="479"/>
      <c r="C53" s="480"/>
      <c r="D53" s="481"/>
      <c r="E53" s="481"/>
      <c r="F53" s="481"/>
      <c r="G53" s="481"/>
    </row>
    <row r="54" spans="2:10" ht="22.5" customHeight="1" thickBot="1">
      <c r="B54" s="493" t="s">
        <v>1561</v>
      </c>
      <c r="C54" s="494"/>
      <c r="D54" s="494"/>
      <c r="E54" s="494"/>
      <c r="F54" s="494"/>
      <c r="G54" s="494"/>
      <c r="H54" s="494"/>
      <c r="I54" s="494"/>
      <c r="J54" s="495"/>
    </row>
    <row r="55" spans="2:10" s="496" customFormat="1" ht="13.5" customHeight="1" thickBot="1">
      <c r="B55" s="497"/>
      <c r="C55" s="438"/>
      <c r="D55" s="438"/>
      <c r="E55" s="438"/>
      <c r="F55" s="438"/>
      <c r="G55" s="438"/>
      <c r="H55" s="438"/>
      <c r="I55" s="438"/>
      <c r="J55" s="438"/>
    </row>
    <row r="56" spans="2:10" ht="17.25" customHeight="1">
      <c r="B56" s="498"/>
      <c r="C56" s="455"/>
      <c r="D56" s="455"/>
      <c r="E56" s="455"/>
      <c r="F56" s="455"/>
      <c r="G56" s="455"/>
      <c r="H56" s="456"/>
    </row>
    <row r="57" spans="2:10" ht="17.25" customHeight="1">
      <c r="B57" s="461"/>
      <c r="C57" s="423"/>
      <c r="D57" s="423"/>
      <c r="E57" s="423"/>
      <c r="F57" s="423"/>
      <c r="G57" s="423"/>
      <c r="H57" s="462"/>
    </row>
    <row r="58" spans="2:10" ht="17.25" customHeight="1" thickBot="1">
      <c r="B58" s="461"/>
      <c r="C58" s="423"/>
      <c r="D58" s="423"/>
      <c r="E58" s="423"/>
      <c r="F58" s="423"/>
      <c r="G58" s="423"/>
      <c r="H58" s="462"/>
    </row>
    <row r="59" spans="2:10" ht="16.5">
      <c r="B59" s="504" t="s">
        <v>1471</v>
      </c>
      <c r="C59" s="505">
        <v>2007</v>
      </c>
      <c r="D59" s="506">
        <v>2008</v>
      </c>
      <c r="E59" s="506">
        <v>2009</v>
      </c>
      <c r="F59" s="506">
        <v>2010</v>
      </c>
      <c r="G59" s="506">
        <v>2011</v>
      </c>
      <c r="H59" s="507">
        <v>2012</v>
      </c>
    </row>
    <row r="60" spans="2:10" ht="16.5">
      <c r="B60" s="508" t="s">
        <v>1472</v>
      </c>
      <c r="C60" s="509">
        <v>0.77</v>
      </c>
      <c r="D60" s="509">
        <v>1.06</v>
      </c>
      <c r="E60" s="509">
        <v>0.59</v>
      </c>
      <c r="F60" s="509">
        <v>0.69</v>
      </c>
      <c r="G60" s="509">
        <v>0.91</v>
      </c>
      <c r="H60" s="510">
        <v>0.73</v>
      </c>
    </row>
    <row r="61" spans="2:10" ht="16.5">
      <c r="B61" s="511" t="s">
        <v>1473</v>
      </c>
      <c r="C61" s="512">
        <v>1.17</v>
      </c>
      <c r="D61" s="512">
        <v>1.51</v>
      </c>
      <c r="E61" s="512">
        <v>0.84</v>
      </c>
      <c r="F61" s="512">
        <v>0.83</v>
      </c>
      <c r="G61" s="512">
        <v>0.6</v>
      </c>
      <c r="H61" s="513">
        <v>0.61</v>
      </c>
    </row>
    <row r="62" spans="2:10" ht="16.5">
      <c r="B62" s="514" t="s">
        <v>1474</v>
      </c>
      <c r="C62" s="515">
        <v>1.21</v>
      </c>
      <c r="D62" s="515">
        <v>0.81</v>
      </c>
      <c r="E62" s="515">
        <v>0.5</v>
      </c>
      <c r="F62" s="515">
        <v>0.25</v>
      </c>
      <c r="G62" s="515">
        <v>0.27</v>
      </c>
      <c r="H62" s="516">
        <v>0.12</v>
      </c>
      <c r="J62" s="423"/>
    </row>
    <row r="63" spans="2:10" ht="16.5">
      <c r="B63" s="511" t="s">
        <v>1475</v>
      </c>
      <c r="C63" s="512">
        <v>0.9</v>
      </c>
      <c r="D63" s="512">
        <v>0.71</v>
      </c>
      <c r="E63" s="512">
        <v>0.32</v>
      </c>
      <c r="F63" s="512">
        <v>0.46</v>
      </c>
      <c r="G63" s="512">
        <v>0.12</v>
      </c>
      <c r="H63" s="513">
        <v>0.14000000000000001</v>
      </c>
      <c r="J63" s="423"/>
    </row>
    <row r="64" spans="2:10" ht="16.5">
      <c r="B64" s="514" t="s">
        <v>1476</v>
      </c>
      <c r="C64" s="515">
        <v>0.3</v>
      </c>
      <c r="D64" s="515">
        <v>0.93</v>
      </c>
      <c r="E64" s="515">
        <v>0.01</v>
      </c>
      <c r="F64" s="515">
        <v>0.1</v>
      </c>
      <c r="G64" s="515">
        <v>0.28000000000000003</v>
      </c>
      <c r="H64" s="516">
        <v>0.3</v>
      </c>
    </row>
    <row r="65" spans="2:10" ht="16.5">
      <c r="B65" s="511" t="s">
        <v>1477</v>
      </c>
      <c r="C65" s="512">
        <v>0.12</v>
      </c>
      <c r="D65" s="512">
        <v>0.86</v>
      </c>
      <c r="E65" s="512">
        <v>-0.06</v>
      </c>
      <c r="F65" s="512">
        <v>0.11</v>
      </c>
      <c r="G65" s="512">
        <v>0.32</v>
      </c>
      <c r="H65" s="513">
        <v>0.08</v>
      </c>
    </row>
    <row r="66" spans="2:10" ht="16.5">
      <c r="B66" s="514" t="s">
        <v>1478</v>
      </c>
      <c r="C66" s="515">
        <v>0.17</v>
      </c>
      <c r="D66" s="515">
        <v>0.48</v>
      </c>
      <c r="E66" s="515">
        <v>-0.04</v>
      </c>
      <c r="F66" s="515">
        <v>-0.04</v>
      </c>
      <c r="G66" s="515">
        <v>0.14000000000000001</v>
      </c>
      <c r="H66" s="516">
        <v>-0.02</v>
      </c>
    </row>
    <row r="67" spans="2:10" ht="16.5">
      <c r="B67" s="511" t="s">
        <v>1479</v>
      </c>
      <c r="C67" s="512">
        <v>-0.13</v>
      </c>
      <c r="D67" s="512">
        <v>0.19</v>
      </c>
      <c r="E67" s="512">
        <v>0.04</v>
      </c>
      <c r="F67" s="512">
        <v>0.11</v>
      </c>
      <c r="G67" s="512">
        <v>-0.03</v>
      </c>
      <c r="H67" s="513">
        <v>0.04</v>
      </c>
    </row>
    <row r="68" spans="2:10" ht="16.5">
      <c r="B68" s="514" t="s">
        <v>1480</v>
      </c>
      <c r="C68" s="517">
        <v>0.08</v>
      </c>
      <c r="D68" s="515">
        <v>-0.19</v>
      </c>
      <c r="E68" s="515">
        <v>-0.11</v>
      </c>
      <c r="F68" s="515">
        <v>-0.14000000000000001</v>
      </c>
      <c r="G68" s="515">
        <v>0.31</v>
      </c>
      <c r="H68" s="516">
        <v>0.28999999999999998</v>
      </c>
    </row>
    <row r="69" spans="2:10" ht="16.5">
      <c r="B69" s="511" t="s">
        <v>1481</v>
      </c>
      <c r="C69" s="512">
        <v>0.01</v>
      </c>
      <c r="D69" s="512">
        <v>0.35</v>
      </c>
      <c r="E69" s="512">
        <v>-0.13</v>
      </c>
      <c r="F69" s="512">
        <v>-0.09</v>
      </c>
      <c r="G69" s="512">
        <v>0.19</v>
      </c>
      <c r="H69" s="513">
        <v>0.16</v>
      </c>
    </row>
    <row r="70" spans="2:10" ht="16.5">
      <c r="B70" s="514" t="s">
        <v>1482</v>
      </c>
      <c r="C70" s="515">
        <v>0.47</v>
      </c>
      <c r="D70" s="515">
        <v>0.28000000000000003</v>
      </c>
      <c r="E70" s="515">
        <v>-7.0000000000000007E-2</v>
      </c>
      <c r="F70" s="515">
        <v>0.19</v>
      </c>
      <c r="G70" s="515">
        <v>0.14000000000000001</v>
      </c>
      <c r="H70" s="516">
        <v>-0.14000000000000001</v>
      </c>
    </row>
    <row r="71" spans="2:10" ht="16.5">
      <c r="B71" s="511" t="s">
        <v>1483</v>
      </c>
      <c r="C71" s="512">
        <v>0.49</v>
      </c>
      <c r="D71" s="512">
        <v>0.44</v>
      </c>
      <c r="E71" s="512">
        <v>0.08</v>
      </c>
      <c r="F71" s="512">
        <v>0.65</v>
      </c>
      <c r="G71" s="512">
        <v>0.42</v>
      </c>
      <c r="H71" s="513">
        <v>0.09</v>
      </c>
    </row>
    <row r="72" spans="2:10" ht="17.25" thickBot="1">
      <c r="B72" s="518" t="s">
        <v>1484</v>
      </c>
      <c r="C72" s="519">
        <v>5.69</v>
      </c>
      <c r="D72" s="519">
        <v>7.67</v>
      </c>
      <c r="E72" s="519">
        <v>2</v>
      </c>
      <c r="F72" s="519">
        <v>3.17</v>
      </c>
      <c r="G72" s="519">
        <v>3.73</v>
      </c>
      <c r="H72" s="520">
        <v>2.44</v>
      </c>
    </row>
    <row r="73" spans="2:10" ht="16.5">
      <c r="B73" s="521" t="s">
        <v>1470</v>
      </c>
      <c r="C73" s="427"/>
      <c r="D73" s="427"/>
      <c r="E73" s="427"/>
      <c r="F73" s="427"/>
      <c r="G73" s="427"/>
      <c r="H73" s="427"/>
    </row>
    <row r="74" spans="2:10" ht="17.25" thickBot="1"/>
    <row r="75" spans="2:10" ht="17.25" thickBot="1">
      <c r="B75" s="1048" t="s">
        <v>1485</v>
      </c>
      <c r="C75" s="1049"/>
      <c r="D75" s="1049"/>
      <c r="E75" s="1049"/>
      <c r="F75" s="1049"/>
      <c r="G75" s="1049"/>
      <c r="H75" s="1049"/>
      <c r="I75" s="1050"/>
      <c r="J75" s="423"/>
    </row>
    <row r="76" spans="2:10" ht="16.5">
      <c r="B76" s="522" t="s">
        <v>1486</v>
      </c>
      <c r="C76" s="523"/>
      <c r="D76" s="523"/>
      <c r="E76" s="523"/>
      <c r="F76" s="523"/>
      <c r="G76" s="523"/>
      <c r="H76" s="523"/>
      <c r="I76" s="524"/>
      <c r="J76" s="433"/>
    </row>
    <row r="77" spans="2:10" ht="16.5">
      <c r="B77" s="522" t="s">
        <v>1487</v>
      </c>
      <c r="C77" s="523"/>
      <c r="D77" s="523"/>
      <c r="E77" s="523"/>
      <c r="F77" s="523"/>
      <c r="G77" s="523"/>
      <c r="H77" s="523"/>
      <c r="I77" s="524"/>
      <c r="J77" s="433"/>
    </row>
    <row r="78" spans="2:10" ht="16.5">
      <c r="B78" s="525" t="s">
        <v>1488</v>
      </c>
      <c r="C78" s="526" t="s">
        <v>1489</v>
      </c>
      <c r="D78" s="526"/>
      <c r="E78" s="526"/>
      <c r="F78" s="526"/>
      <c r="G78" s="527"/>
      <c r="H78" s="527"/>
      <c r="I78" s="528"/>
      <c r="J78" s="433"/>
    </row>
    <row r="79" spans="2:10" ht="16.5">
      <c r="B79" s="525"/>
      <c r="C79" s="529">
        <v>2009</v>
      </c>
      <c r="D79" s="526">
        <v>2010</v>
      </c>
      <c r="E79" s="526">
        <v>2011</v>
      </c>
      <c r="F79" s="526">
        <v>2012</v>
      </c>
      <c r="G79" s="527"/>
      <c r="H79" s="527"/>
      <c r="I79" s="528"/>
      <c r="J79" s="433"/>
    </row>
    <row r="80" spans="2:10" ht="16.5">
      <c r="B80" s="530" t="s">
        <v>1490</v>
      </c>
      <c r="C80" s="531">
        <v>0.79</v>
      </c>
      <c r="D80" s="531">
        <v>1.32</v>
      </c>
      <c r="E80" s="531">
        <v>2.11</v>
      </c>
      <c r="F80" s="531">
        <v>2.48</v>
      </c>
      <c r="G80" s="527"/>
      <c r="H80" s="527"/>
      <c r="I80" s="528"/>
      <c r="J80" s="433"/>
    </row>
    <row r="81" spans="2:16" ht="16.5">
      <c r="B81" s="532" t="s">
        <v>1491</v>
      </c>
      <c r="C81" s="533">
        <v>-2.2799999999999998</v>
      </c>
      <c r="D81" s="533">
        <v>0.99</v>
      </c>
      <c r="E81" s="533">
        <v>1.4</v>
      </c>
      <c r="F81" s="533">
        <v>-0.33</v>
      </c>
      <c r="G81" s="527"/>
      <c r="H81" s="527"/>
      <c r="I81" s="528"/>
      <c r="J81" s="433"/>
    </row>
    <row r="82" spans="2:16" ht="16.5">
      <c r="B82" s="530" t="s">
        <v>1492</v>
      </c>
      <c r="C82" s="531">
        <v>-0.2</v>
      </c>
      <c r="D82" s="531">
        <v>1.17</v>
      </c>
      <c r="E82" s="531">
        <v>0.09</v>
      </c>
      <c r="F82" s="534">
        <v>0.15</v>
      </c>
      <c r="G82" s="527"/>
      <c r="H82" s="527"/>
      <c r="I82" s="528"/>
      <c r="J82" s="433"/>
    </row>
    <row r="83" spans="2:16" ht="17.25" thickBot="1">
      <c r="B83" s="532" t="s">
        <v>1493</v>
      </c>
      <c r="C83" s="533">
        <v>0.03</v>
      </c>
      <c r="D83" s="533">
        <v>1.34</v>
      </c>
      <c r="E83" s="533">
        <v>1.65</v>
      </c>
      <c r="F83" s="535"/>
      <c r="G83" s="527"/>
      <c r="H83" s="527"/>
      <c r="I83" s="528"/>
      <c r="J83" s="434"/>
    </row>
    <row r="84" spans="2:16" ht="17.25" thickBot="1">
      <c r="B84" s="530" t="s">
        <v>1494</v>
      </c>
      <c r="C84" s="531">
        <v>-1.68</v>
      </c>
      <c r="D84" s="531">
        <v>4.91</v>
      </c>
      <c r="E84" s="531">
        <v>5.34</v>
      </c>
      <c r="F84" s="536">
        <v>2.29</v>
      </c>
      <c r="G84" s="1040"/>
      <c r="H84" s="1041"/>
      <c r="I84" s="528"/>
      <c r="J84" s="434"/>
    </row>
    <row r="85" spans="2:16" ht="16.5">
      <c r="B85" s="530" t="s">
        <v>1470</v>
      </c>
      <c r="C85" s="537"/>
      <c r="D85" s="537"/>
      <c r="E85" s="527"/>
      <c r="F85" s="527"/>
      <c r="G85" s="538"/>
      <c r="H85" s="538"/>
      <c r="I85" s="528"/>
      <c r="J85" s="422"/>
    </row>
    <row r="86" spans="2:16" ht="16.5">
      <c r="B86" s="530" t="s">
        <v>1495</v>
      </c>
      <c r="C86" s="527"/>
      <c r="D86" s="527"/>
      <c r="E86" s="527"/>
      <c r="F86" s="527"/>
      <c r="G86" s="527"/>
      <c r="H86" s="527"/>
      <c r="I86" s="528"/>
    </row>
    <row r="87" spans="2:16" ht="17.25" thickBot="1">
      <c r="B87" s="1057" t="s">
        <v>1496</v>
      </c>
      <c r="C87" s="1058"/>
      <c r="D87" s="1058"/>
      <c r="E87" s="1058"/>
      <c r="F87" s="1058"/>
      <c r="G87" s="1058"/>
      <c r="H87" s="1058"/>
      <c r="I87" s="1059"/>
    </row>
    <row r="88" spans="2:16" ht="17.25" thickBot="1">
      <c r="B88" s="499"/>
      <c r="C88" s="499"/>
      <c r="D88" s="499"/>
      <c r="E88" s="499"/>
      <c r="F88" s="499"/>
      <c r="G88" s="499"/>
      <c r="H88" s="499"/>
      <c r="I88" s="422"/>
    </row>
    <row r="89" spans="2:16" s="448" customFormat="1" ht="15.75">
      <c r="B89" s="539"/>
      <c r="C89" s="540"/>
      <c r="D89" s="540"/>
      <c r="E89" s="540"/>
      <c r="F89" s="540"/>
      <c r="G89" s="540"/>
      <c r="H89" s="540"/>
      <c r="I89" s="540"/>
      <c r="J89" s="540"/>
      <c r="K89" s="540"/>
      <c r="L89" s="540"/>
      <c r="M89" s="540"/>
      <c r="N89" s="540"/>
      <c r="O89" s="541"/>
      <c r="P89" s="542"/>
    </row>
    <row r="90" spans="2:16" s="448" customFormat="1" ht="15.75">
      <c r="B90" s="543" t="s">
        <v>1497</v>
      </c>
      <c r="C90" s="544"/>
      <c r="D90" s="544"/>
      <c r="E90" s="544"/>
      <c r="F90" s="544"/>
      <c r="G90" s="544"/>
      <c r="H90" s="544"/>
      <c r="I90" s="544"/>
      <c r="J90" s="544"/>
      <c r="K90" s="544"/>
      <c r="L90" s="544"/>
      <c r="M90" s="544"/>
      <c r="N90" s="544"/>
      <c r="O90" s="545"/>
      <c r="P90" s="542"/>
    </row>
    <row r="91" spans="2:16" s="448" customFormat="1" ht="15.75">
      <c r="B91" s="543" t="s">
        <v>1498</v>
      </c>
      <c r="C91" s="544"/>
      <c r="D91" s="544"/>
      <c r="E91" s="544"/>
      <c r="F91" s="544"/>
      <c r="G91" s="544"/>
      <c r="H91" s="544"/>
      <c r="I91" s="544"/>
      <c r="J91" s="544"/>
      <c r="K91" s="544"/>
      <c r="L91" s="544"/>
      <c r="M91" s="544"/>
      <c r="N91" s="544"/>
      <c r="O91" s="545"/>
      <c r="P91" s="542"/>
    </row>
    <row r="92" spans="2:16" s="448" customFormat="1" ht="15.75">
      <c r="B92" s="543" t="s">
        <v>1499</v>
      </c>
      <c r="C92" s="544"/>
      <c r="D92" s="544"/>
      <c r="E92" s="544"/>
      <c r="F92" s="544"/>
      <c r="G92" s="544"/>
      <c r="H92" s="544"/>
      <c r="I92" s="544"/>
      <c r="J92" s="544"/>
      <c r="K92" s="544"/>
      <c r="L92" s="544"/>
      <c r="M92" s="544"/>
      <c r="N92" s="544"/>
      <c r="O92" s="545"/>
      <c r="P92" s="542"/>
    </row>
    <row r="93" spans="2:16" s="448" customFormat="1" ht="15.75">
      <c r="B93" s="546" t="s">
        <v>1500</v>
      </c>
      <c r="C93" s="547"/>
      <c r="D93" s="547"/>
      <c r="E93" s="548"/>
      <c r="F93" s="548"/>
      <c r="G93" s="548"/>
      <c r="H93" s="548"/>
      <c r="I93" s="548"/>
      <c r="J93" s="548"/>
      <c r="K93" s="548"/>
      <c r="L93" s="548"/>
      <c r="M93" s="548"/>
      <c r="N93" s="548"/>
      <c r="O93" s="549"/>
      <c r="P93" s="542"/>
    </row>
    <row r="94" spans="2:16" s="448" customFormat="1" ht="15.75">
      <c r="B94" s="550" t="s">
        <v>1501</v>
      </c>
      <c r="C94" s="551" t="s">
        <v>1472</v>
      </c>
      <c r="D94" s="551" t="s">
        <v>1473</v>
      </c>
      <c r="E94" s="551" t="s">
        <v>1474</v>
      </c>
      <c r="F94" s="551" t="s">
        <v>1475</v>
      </c>
      <c r="G94" s="551" t="s">
        <v>1476</v>
      </c>
      <c r="H94" s="551" t="s">
        <v>1477</v>
      </c>
      <c r="I94" s="551" t="s">
        <v>1478</v>
      </c>
      <c r="J94" s="551" t="s">
        <v>1479</v>
      </c>
      <c r="K94" s="551" t="s">
        <v>1480</v>
      </c>
      <c r="L94" s="551" t="s">
        <v>1481</v>
      </c>
      <c r="M94" s="551" t="s">
        <v>1482</v>
      </c>
      <c r="N94" s="551" t="s">
        <v>1483</v>
      </c>
      <c r="O94" s="552" t="s">
        <v>1502</v>
      </c>
      <c r="P94" s="542"/>
    </row>
    <row r="95" spans="2:16" s="448" customFormat="1" ht="15.75">
      <c r="B95" s="553" t="s">
        <v>1503</v>
      </c>
      <c r="C95" s="554">
        <v>0.91</v>
      </c>
      <c r="D95" s="554">
        <v>0.6</v>
      </c>
      <c r="E95" s="554">
        <v>0.27</v>
      </c>
      <c r="F95" s="554">
        <v>0.12</v>
      </c>
      <c r="G95" s="554">
        <v>0.28000000000000003</v>
      </c>
      <c r="H95" s="554">
        <v>0.32</v>
      </c>
      <c r="I95" s="554">
        <v>0.14000000000000001</v>
      </c>
      <c r="J95" s="554">
        <v>-0.03</v>
      </c>
      <c r="K95" s="555">
        <v>0.31</v>
      </c>
      <c r="L95" s="555">
        <v>0.19</v>
      </c>
      <c r="M95" s="554">
        <v>0.14000000000000001</v>
      </c>
      <c r="N95" s="554">
        <v>0.42</v>
      </c>
      <c r="O95" s="556">
        <v>3.73</v>
      </c>
      <c r="P95" s="542"/>
    </row>
    <row r="96" spans="2:16" s="448" customFormat="1" ht="15.75">
      <c r="B96" s="557" t="s">
        <v>1504</v>
      </c>
      <c r="C96" s="558">
        <v>1.61</v>
      </c>
      <c r="D96" s="558">
        <v>0.66</v>
      </c>
      <c r="E96" s="558">
        <v>0.08</v>
      </c>
      <c r="F96" s="558">
        <v>-0.04</v>
      </c>
      <c r="G96" s="558">
        <v>0.78</v>
      </c>
      <c r="H96" s="558">
        <v>0.43</v>
      </c>
      <c r="I96" s="558">
        <v>0.31</v>
      </c>
      <c r="J96" s="558">
        <v>-0.19</v>
      </c>
      <c r="K96" s="559">
        <v>0.47</v>
      </c>
      <c r="L96" s="559">
        <v>0.43</v>
      </c>
      <c r="M96" s="558">
        <v>0.05</v>
      </c>
      <c r="N96" s="559">
        <v>0.56000000000000005</v>
      </c>
      <c r="O96" s="560">
        <v>5.27</v>
      </c>
      <c r="P96" s="542"/>
    </row>
    <row r="97" spans="2:16" s="448" customFormat="1" ht="15.75">
      <c r="B97" s="553" t="s">
        <v>1505</v>
      </c>
      <c r="C97" s="554">
        <v>0.35</v>
      </c>
      <c r="D97" s="554">
        <v>0.3</v>
      </c>
      <c r="E97" s="554">
        <v>0.51</v>
      </c>
      <c r="F97" s="554">
        <v>0.26</v>
      </c>
      <c r="G97" s="554">
        <v>0.19</v>
      </c>
      <c r="H97" s="554">
        <v>0.39</v>
      </c>
      <c r="I97" s="554">
        <v>0.28000000000000003</v>
      </c>
      <c r="J97" s="554">
        <v>0.27</v>
      </c>
      <c r="K97" s="555">
        <v>0.6</v>
      </c>
      <c r="L97" s="555">
        <v>0.17</v>
      </c>
      <c r="M97" s="554">
        <v>0.03</v>
      </c>
      <c r="N97" s="555">
        <v>0.36</v>
      </c>
      <c r="O97" s="561">
        <v>3.78</v>
      </c>
      <c r="P97" s="542"/>
    </row>
    <row r="98" spans="2:16" s="448" customFormat="1" ht="15.75">
      <c r="B98" s="557" t="s">
        <v>1506</v>
      </c>
      <c r="C98" s="558">
        <v>0.12</v>
      </c>
      <c r="D98" s="558">
        <v>-0.1</v>
      </c>
      <c r="E98" s="558">
        <v>0.05</v>
      </c>
      <c r="F98" s="558">
        <v>-0.03</v>
      </c>
      <c r="G98" s="558">
        <v>0.15</v>
      </c>
      <c r="H98" s="558">
        <v>0.03</v>
      </c>
      <c r="I98" s="558">
        <v>0.09</v>
      </c>
      <c r="J98" s="558">
        <v>-0.01</v>
      </c>
      <c r="K98" s="559">
        <v>0.05</v>
      </c>
      <c r="L98" s="559">
        <v>0.06</v>
      </c>
      <c r="M98" s="558">
        <v>0.06</v>
      </c>
      <c r="N98" s="559">
        <v>0.06</v>
      </c>
      <c r="O98" s="560">
        <v>0.54</v>
      </c>
      <c r="P98" s="542"/>
    </row>
    <row r="99" spans="2:16" s="448" customFormat="1" ht="15.75">
      <c r="B99" s="553" t="s">
        <v>1507</v>
      </c>
      <c r="C99" s="554">
        <v>0.68</v>
      </c>
      <c r="D99" s="554">
        <v>0.6</v>
      </c>
      <c r="E99" s="554">
        <v>0.66</v>
      </c>
      <c r="F99" s="554">
        <v>0.22</v>
      </c>
      <c r="G99" s="554">
        <v>0.13</v>
      </c>
      <c r="H99" s="554">
        <v>0.11</v>
      </c>
      <c r="I99" s="554">
        <v>0.3</v>
      </c>
      <c r="J99" s="554">
        <v>0.05</v>
      </c>
      <c r="K99" s="555">
        <v>0.14000000000000001</v>
      </c>
      <c r="L99" s="555">
        <v>0.33</v>
      </c>
      <c r="M99" s="554">
        <v>0.26</v>
      </c>
      <c r="N99" s="555">
        <v>0.1</v>
      </c>
      <c r="O99" s="561">
        <v>3.64</v>
      </c>
      <c r="P99" s="542"/>
    </row>
    <row r="100" spans="2:16" s="448" customFormat="1" ht="15.75">
      <c r="B100" s="557" t="s">
        <v>1508</v>
      </c>
      <c r="C100" s="558">
        <v>0</v>
      </c>
      <c r="D100" s="558">
        <v>4.17</v>
      </c>
      <c r="E100" s="558">
        <v>0.06</v>
      </c>
      <c r="F100" s="558">
        <v>-0.01</v>
      </c>
      <c r="G100" s="558">
        <v>0</v>
      </c>
      <c r="H100" s="558">
        <v>0</v>
      </c>
      <c r="I100" s="558">
        <v>0</v>
      </c>
      <c r="J100" s="558">
        <v>0.09</v>
      </c>
      <c r="K100" s="559">
        <v>0.23</v>
      </c>
      <c r="L100" s="559">
        <v>0.01</v>
      </c>
      <c r="M100" s="558">
        <v>0.01</v>
      </c>
      <c r="N100" s="559">
        <v>0</v>
      </c>
      <c r="O100" s="560">
        <v>4.57</v>
      </c>
      <c r="P100" s="542"/>
    </row>
    <row r="101" spans="2:16" s="448" customFormat="1" ht="15.75">
      <c r="B101" s="553" t="s">
        <v>1509</v>
      </c>
      <c r="C101" s="554">
        <v>0.44</v>
      </c>
      <c r="D101" s="554">
        <v>-0.14000000000000001</v>
      </c>
      <c r="E101" s="554">
        <v>-0.59</v>
      </c>
      <c r="F101" s="554">
        <v>-0.48</v>
      </c>
      <c r="G101" s="554">
        <v>0.04</v>
      </c>
      <c r="H101" s="554">
        <v>2.87</v>
      </c>
      <c r="I101" s="554">
        <v>-0.04</v>
      </c>
      <c r="J101" s="554">
        <v>-3.2</v>
      </c>
      <c r="K101" s="555">
        <v>-0.25</v>
      </c>
      <c r="L101" s="555">
        <v>-0.19</v>
      </c>
      <c r="M101" s="554">
        <v>0.14000000000000001</v>
      </c>
      <c r="N101" s="555">
        <v>1.19</v>
      </c>
      <c r="O101" s="561">
        <v>-0.32</v>
      </c>
      <c r="P101" s="542"/>
    </row>
    <row r="102" spans="2:16" s="448" customFormat="1" ht="15.75">
      <c r="B102" s="557" t="s">
        <v>1510</v>
      </c>
      <c r="C102" s="558">
        <v>1.73</v>
      </c>
      <c r="D102" s="558">
        <v>0.28999999999999998</v>
      </c>
      <c r="E102" s="558">
        <v>0.35</v>
      </c>
      <c r="F102" s="558">
        <v>0.34</v>
      </c>
      <c r="G102" s="558">
        <v>-0.11</v>
      </c>
      <c r="H102" s="558">
        <v>-0.06</v>
      </c>
      <c r="I102" s="558">
        <v>-0.36</v>
      </c>
      <c r="J102" s="558">
        <v>0.16</v>
      </c>
      <c r="K102" s="559">
        <v>-0.19</v>
      </c>
      <c r="L102" s="559">
        <v>7.0000000000000007E-2</v>
      </c>
      <c r="M102" s="558">
        <v>0.41</v>
      </c>
      <c r="N102" s="559">
        <v>0.41</v>
      </c>
      <c r="O102" s="560">
        <v>3.07</v>
      </c>
      <c r="P102" s="542"/>
    </row>
    <row r="103" spans="2:16" s="448" customFormat="1" ht="15.75">
      <c r="B103" s="553" t="s">
        <v>1511</v>
      </c>
      <c r="C103" s="554">
        <v>0.56999999999999995</v>
      </c>
      <c r="D103" s="554">
        <v>0.04</v>
      </c>
      <c r="E103" s="554">
        <v>0.63</v>
      </c>
      <c r="F103" s="554">
        <v>0</v>
      </c>
      <c r="G103" s="554">
        <v>-0.04</v>
      </c>
      <c r="H103" s="554">
        <v>0.01</v>
      </c>
      <c r="I103" s="554">
        <v>0</v>
      </c>
      <c r="J103" s="554">
        <v>-0.09</v>
      </c>
      <c r="K103" s="555">
        <v>-0.05</v>
      </c>
      <c r="L103" s="555">
        <v>-0.05</v>
      </c>
      <c r="M103" s="554">
        <v>0.94</v>
      </c>
      <c r="N103" s="555">
        <v>1.27</v>
      </c>
      <c r="O103" s="561">
        <v>3.26</v>
      </c>
      <c r="P103" s="542"/>
    </row>
    <row r="104" spans="2:16" s="448" customFormat="1" ht="15.75">
      <c r="B104" s="562" t="s">
        <v>1512</v>
      </c>
      <c r="C104" s="563">
        <v>0.57999999999999996</v>
      </c>
      <c r="D104" s="563">
        <v>0.38</v>
      </c>
      <c r="E104" s="563">
        <v>0.14000000000000001</v>
      </c>
      <c r="F104" s="563">
        <v>0.17</v>
      </c>
      <c r="G104" s="563">
        <v>0.19</v>
      </c>
      <c r="H104" s="563">
        <v>0.02</v>
      </c>
      <c r="I104" s="563">
        <v>0.12</v>
      </c>
      <c r="J104" s="563">
        <v>0.09</v>
      </c>
      <c r="K104" s="564">
        <v>0.1</v>
      </c>
      <c r="L104" s="564">
        <v>0.03</v>
      </c>
      <c r="M104" s="563">
        <v>0.17</v>
      </c>
      <c r="N104" s="564">
        <v>7.0000000000000007E-2</v>
      </c>
      <c r="O104" s="565">
        <v>2.08</v>
      </c>
      <c r="P104" s="542"/>
    </row>
    <row r="105" spans="2:16" s="448" customFormat="1" ht="15.75">
      <c r="B105" s="566" t="s">
        <v>1470</v>
      </c>
      <c r="C105" s="542"/>
      <c r="D105" s="542"/>
      <c r="E105" s="542"/>
      <c r="F105" s="542"/>
      <c r="G105" s="542"/>
      <c r="H105" s="542"/>
      <c r="I105" s="542"/>
      <c r="J105" s="542"/>
      <c r="K105" s="542"/>
      <c r="L105" s="542"/>
      <c r="M105" s="542"/>
      <c r="N105" s="542"/>
      <c r="O105" s="556"/>
      <c r="P105" s="542"/>
    </row>
    <row r="106" spans="2:16" s="448" customFormat="1" ht="15.75">
      <c r="B106" s="546" t="s">
        <v>1513</v>
      </c>
      <c r="C106" s="547"/>
      <c r="D106" s="547"/>
      <c r="E106" s="547"/>
      <c r="F106" s="548"/>
      <c r="G106" s="547"/>
      <c r="H106" s="548"/>
      <c r="I106" s="547"/>
      <c r="J106" s="548"/>
      <c r="K106" s="547"/>
      <c r="L106" s="548"/>
      <c r="M106" s="547"/>
      <c r="N106" s="548"/>
      <c r="O106" s="549"/>
      <c r="P106" s="542"/>
    </row>
    <row r="107" spans="2:16" s="448" customFormat="1" ht="15.75">
      <c r="B107" s="550" t="s">
        <v>1501</v>
      </c>
      <c r="C107" s="551" t="s">
        <v>1472</v>
      </c>
      <c r="D107" s="551" t="s">
        <v>1473</v>
      </c>
      <c r="E107" s="551" t="s">
        <v>1474</v>
      </c>
      <c r="F107" s="551" t="s">
        <v>1475</v>
      </c>
      <c r="G107" s="551" t="s">
        <v>1476</v>
      </c>
      <c r="H107" s="551" t="s">
        <v>1477</v>
      </c>
      <c r="I107" s="551" t="s">
        <v>1478</v>
      </c>
      <c r="J107" s="551" t="s">
        <v>1479</v>
      </c>
      <c r="K107" s="551" t="s">
        <v>1480</v>
      </c>
      <c r="L107" s="551" t="s">
        <v>1481</v>
      </c>
      <c r="M107" s="551" t="s">
        <v>1482</v>
      </c>
      <c r="N107" s="551" t="s">
        <v>1483</v>
      </c>
      <c r="O107" s="552" t="s">
        <v>1502</v>
      </c>
      <c r="P107" s="542"/>
    </row>
    <row r="108" spans="2:16" s="448" customFormat="1" ht="15.75">
      <c r="B108" s="553" t="s">
        <v>1503</v>
      </c>
      <c r="C108" s="554">
        <v>0.73</v>
      </c>
      <c r="D108" s="554">
        <v>0.61</v>
      </c>
      <c r="E108" s="554">
        <v>0.12</v>
      </c>
      <c r="F108" s="554">
        <v>0.14000000000000001</v>
      </c>
      <c r="G108" s="554">
        <v>0.3</v>
      </c>
      <c r="H108" s="554">
        <v>0.08</v>
      </c>
      <c r="I108" s="554">
        <v>-0.02</v>
      </c>
      <c r="J108" s="554">
        <v>0.04</v>
      </c>
      <c r="K108" s="555">
        <v>0.28999999999999998</v>
      </c>
      <c r="L108" s="555">
        <v>0.16</v>
      </c>
      <c r="M108" s="554">
        <v>-0.14000000000000001</v>
      </c>
      <c r="N108" s="554">
        <v>0.09</v>
      </c>
      <c r="O108" s="556">
        <v>2.44</v>
      </c>
      <c r="P108" s="542"/>
    </row>
    <row r="109" spans="2:16" s="448" customFormat="1" ht="15.75">
      <c r="B109" s="557" t="s">
        <v>1504</v>
      </c>
      <c r="C109" s="558">
        <v>1.29</v>
      </c>
      <c r="D109" s="558">
        <v>0.44</v>
      </c>
      <c r="E109" s="558">
        <v>-0.06</v>
      </c>
      <c r="F109" s="558">
        <v>0.39</v>
      </c>
      <c r="G109" s="558">
        <v>0.5</v>
      </c>
      <c r="H109" s="558">
        <v>-0.06</v>
      </c>
      <c r="I109" s="558">
        <v>-0.1</v>
      </c>
      <c r="J109" s="558">
        <v>0.02</v>
      </c>
      <c r="K109" s="559">
        <v>0.1</v>
      </c>
      <c r="L109" s="559">
        <v>0.36</v>
      </c>
      <c r="M109" s="558">
        <v>-0.49</v>
      </c>
      <c r="N109" s="559">
        <v>0.08</v>
      </c>
      <c r="O109" s="560">
        <v>2.52</v>
      </c>
      <c r="P109" s="542"/>
    </row>
    <row r="110" spans="2:16" s="448" customFormat="1" ht="15.75">
      <c r="B110" s="553" t="s">
        <v>1505</v>
      </c>
      <c r="C110" s="554">
        <v>0.63</v>
      </c>
      <c r="D110" s="554">
        <v>0.42</v>
      </c>
      <c r="E110" s="554">
        <v>0.3</v>
      </c>
      <c r="F110" s="554">
        <v>-0.17</v>
      </c>
      <c r="G110" s="554">
        <v>0.56000000000000005</v>
      </c>
      <c r="H110" s="554">
        <v>0.36</v>
      </c>
      <c r="I110" s="554">
        <v>-0.13</v>
      </c>
      <c r="J110" s="554">
        <v>0.31</v>
      </c>
      <c r="K110" s="555">
        <v>0.57999999999999996</v>
      </c>
      <c r="L110" s="555">
        <v>0.03</v>
      </c>
      <c r="M110" s="554">
        <v>0.02</v>
      </c>
      <c r="N110" s="555">
        <v>0.09</v>
      </c>
      <c r="O110" s="561">
        <v>3.03</v>
      </c>
      <c r="P110" s="542"/>
    </row>
    <row r="111" spans="2:16" s="448" customFormat="1" ht="15.75">
      <c r="B111" s="557" t="s">
        <v>1506</v>
      </c>
      <c r="C111" s="558">
        <v>0.02</v>
      </c>
      <c r="D111" s="558">
        <v>0</v>
      </c>
      <c r="E111" s="558">
        <v>7.0000000000000007E-2</v>
      </c>
      <c r="F111" s="558">
        <v>0</v>
      </c>
      <c r="G111" s="558">
        <v>0.11</v>
      </c>
      <c r="H111" s="558">
        <v>0.06</v>
      </c>
      <c r="I111" s="558">
        <v>0.11</v>
      </c>
      <c r="J111" s="558">
        <v>-0.05</v>
      </c>
      <c r="K111" s="559">
        <v>0.04</v>
      </c>
      <c r="L111" s="559">
        <v>0.15</v>
      </c>
      <c r="M111" s="558">
        <v>0.14000000000000001</v>
      </c>
      <c r="N111" s="559">
        <v>0.09</v>
      </c>
      <c r="O111" s="560">
        <v>0.75</v>
      </c>
      <c r="P111" s="542"/>
    </row>
    <row r="112" spans="2:16" s="448" customFormat="1" ht="15.75">
      <c r="B112" s="553" t="s">
        <v>1507</v>
      </c>
      <c r="C112" s="554">
        <v>0.93</v>
      </c>
      <c r="D112" s="554">
        <v>1</v>
      </c>
      <c r="E112" s="554">
        <v>0.82</v>
      </c>
      <c r="F112" s="554">
        <v>0.45</v>
      </c>
      <c r="G112" s="554">
        <v>0.18</v>
      </c>
      <c r="H112" s="554">
        <v>0</v>
      </c>
      <c r="I112" s="554">
        <v>0.23</v>
      </c>
      <c r="J112" s="554">
        <v>0.14000000000000001</v>
      </c>
      <c r="K112" s="555">
        <v>0.16</v>
      </c>
      <c r="L112" s="555">
        <v>0.19</v>
      </c>
      <c r="M112" s="554">
        <v>0.05</v>
      </c>
      <c r="N112" s="555">
        <v>0.04</v>
      </c>
      <c r="O112" s="561">
        <v>4.2699999999999996</v>
      </c>
      <c r="P112" s="542"/>
    </row>
    <row r="113" spans="2:19" s="448" customFormat="1" ht="15.75">
      <c r="B113" s="557" t="s">
        <v>1508</v>
      </c>
      <c r="C113" s="558">
        <v>0.01</v>
      </c>
      <c r="D113" s="558">
        <v>4.24</v>
      </c>
      <c r="E113" s="558">
        <v>0.02</v>
      </c>
      <c r="F113" s="558">
        <v>0</v>
      </c>
      <c r="G113" s="558">
        <v>0</v>
      </c>
      <c r="H113" s="558">
        <v>0</v>
      </c>
      <c r="I113" s="558">
        <v>0.01</v>
      </c>
      <c r="J113" s="558">
        <v>0.11</v>
      </c>
      <c r="K113" s="559">
        <v>0.2</v>
      </c>
      <c r="L113" s="559">
        <v>0</v>
      </c>
      <c r="M113" s="558">
        <v>-0.01</v>
      </c>
      <c r="N113" s="559">
        <v>0</v>
      </c>
      <c r="O113" s="560">
        <v>4.59</v>
      </c>
      <c r="P113" s="542"/>
    </row>
    <row r="114" spans="2:19" s="448" customFormat="1" ht="15.75">
      <c r="B114" s="553" t="s">
        <v>1509</v>
      </c>
      <c r="C114" s="554">
        <v>7.0000000000000007E-2</v>
      </c>
      <c r="D114" s="554">
        <v>-0.13</v>
      </c>
      <c r="E114" s="554">
        <v>-0.57999999999999996</v>
      </c>
      <c r="F114" s="554">
        <v>0.03</v>
      </c>
      <c r="G114" s="554">
        <v>-0.31</v>
      </c>
      <c r="H114" s="554">
        <v>1.1399999999999999</v>
      </c>
      <c r="I114" s="554">
        <v>0.27</v>
      </c>
      <c r="J114" s="554">
        <v>-0.74</v>
      </c>
      <c r="K114" s="555">
        <v>-0.2</v>
      </c>
      <c r="L114" s="555">
        <v>-0.09</v>
      </c>
      <c r="M114" s="554">
        <v>0.01</v>
      </c>
      <c r="N114" s="555">
        <v>1.0900000000000001</v>
      </c>
      <c r="O114" s="561">
        <v>0.53</v>
      </c>
      <c r="P114" s="542"/>
      <c r="S114" s="567"/>
    </row>
    <row r="115" spans="2:19" s="448" customFormat="1" ht="15.75">
      <c r="B115" s="557" t="s">
        <v>1510</v>
      </c>
      <c r="C115" s="558">
        <v>0.81</v>
      </c>
      <c r="D115" s="558">
        <v>0.28999999999999998</v>
      </c>
      <c r="E115" s="558">
        <v>0.26</v>
      </c>
      <c r="F115" s="558">
        <v>0.32</v>
      </c>
      <c r="G115" s="558">
        <v>-0.14000000000000001</v>
      </c>
      <c r="H115" s="558">
        <v>-0.31</v>
      </c>
      <c r="I115" s="558">
        <v>0.18</v>
      </c>
      <c r="J115" s="558">
        <v>-0.32</v>
      </c>
      <c r="K115" s="559">
        <v>0.38</v>
      </c>
      <c r="L115" s="559">
        <v>0.21</v>
      </c>
      <c r="M115" s="558">
        <v>-0.09</v>
      </c>
      <c r="N115" s="559">
        <v>-0.14000000000000001</v>
      </c>
      <c r="O115" s="560">
        <v>1.45</v>
      </c>
      <c r="P115" s="542"/>
      <c r="S115" s="567"/>
    </row>
    <row r="116" spans="2:19" s="448" customFormat="1" ht="15.75">
      <c r="B116" s="553" t="s">
        <v>1511</v>
      </c>
      <c r="C116" s="554">
        <v>-0.16</v>
      </c>
      <c r="D116" s="554">
        <v>0.35</v>
      </c>
      <c r="E116" s="554">
        <v>-0.02</v>
      </c>
      <c r="F116" s="554">
        <v>0.8</v>
      </c>
      <c r="G116" s="554">
        <v>-0.06</v>
      </c>
      <c r="H116" s="554">
        <v>-7.0000000000000007E-2</v>
      </c>
      <c r="I116" s="554">
        <v>-0.1</v>
      </c>
      <c r="J116" s="554">
        <v>-0.1</v>
      </c>
      <c r="K116" s="555">
        <v>-0.02</v>
      </c>
      <c r="L116" s="555">
        <v>0.06</v>
      </c>
      <c r="M116" s="554">
        <v>0.1</v>
      </c>
      <c r="N116" s="555">
        <v>0.78</v>
      </c>
      <c r="O116" s="561">
        <v>1.57</v>
      </c>
      <c r="P116" s="542"/>
      <c r="S116" s="567"/>
    </row>
    <row r="117" spans="2:19" s="448" customFormat="1" ht="15.75">
      <c r="B117" s="562" t="s">
        <v>1512</v>
      </c>
      <c r="C117" s="563">
        <v>0.49</v>
      </c>
      <c r="D117" s="563">
        <v>0.39</v>
      </c>
      <c r="E117" s="563">
        <v>-0.03</v>
      </c>
      <c r="F117" s="563">
        <v>-0.01</v>
      </c>
      <c r="G117" s="563">
        <v>0.08</v>
      </c>
      <c r="H117" s="563">
        <v>0.01</v>
      </c>
      <c r="I117" s="563">
        <v>0.09</v>
      </c>
      <c r="J117" s="563">
        <v>0.06</v>
      </c>
      <c r="K117" s="564">
        <v>0.13</v>
      </c>
      <c r="L117" s="564">
        <v>0.15</v>
      </c>
      <c r="M117" s="563">
        <v>-0.06</v>
      </c>
      <c r="N117" s="564">
        <v>-0.03</v>
      </c>
      <c r="O117" s="565">
        <v>1.28</v>
      </c>
      <c r="P117" s="542"/>
      <c r="S117" s="567"/>
    </row>
    <row r="118" spans="2:19" s="448" customFormat="1" ht="16.5" thickBot="1">
      <c r="B118" s="568" t="s">
        <v>1470</v>
      </c>
      <c r="C118" s="569"/>
      <c r="D118" s="569"/>
      <c r="E118" s="569"/>
      <c r="F118" s="569"/>
      <c r="G118" s="569"/>
      <c r="H118" s="569"/>
      <c r="I118" s="569"/>
      <c r="J118" s="569"/>
      <c r="K118" s="569"/>
      <c r="L118" s="569"/>
      <c r="M118" s="569"/>
      <c r="N118" s="569"/>
      <c r="O118" s="570"/>
      <c r="P118" s="542"/>
      <c r="S118" s="567"/>
    </row>
    <row r="119" spans="2:19" s="448" customFormat="1" ht="16.5" thickBot="1">
      <c r="S119" s="567"/>
    </row>
    <row r="120" spans="2:19" s="448" customFormat="1" ht="15.75">
      <c r="B120" s="571"/>
      <c r="C120" s="572"/>
      <c r="D120" s="572"/>
      <c r="E120" s="572"/>
      <c r="F120" s="572"/>
      <c r="G120" s="572"/>
      <c r="H120" s="572"/>
      <c r="I120" s="572"/>
      <c r="J120" s="572"/>
      <c r="K120" s="572"/>
      <c r="L120" s="572"/>
      <c r="M120" s="572"/>
      <c r="N120" s="572"/>
      <c r="O120" s="572"/>
      <c r="P120" s="572"/>
      <c r="Q120" s="572"/>
      <c r="R120" s="573"/>
      <c r="S120" s="567"/>
    </row>
    <row r="121" spans="2:19" s="448" customFormat="1" ht="15.75">
      <c r="B121" s="522" t="s">
        <v>1514</v>
      </c>
      <c r="C121" s="574"/>
      <c r="D121" s="574"/>
      <c r="E121" s="574"/>
      <c r="F121" s="574"/>
      <c r="G121" s="574"/>
      <c r="H121" s="574"/>
      <c r="I121" s="574"/>
      <c r="J121" s="574"/>
      <c r="K121" s="574"/>
      <c r="L121" s="574"/>
      <c r="M121" s="574"/>
      <c r="N121" s="574"/>
      <c r="O121" s="574"/>
      <c r="P121" s="574"/>
      <c r="Q121" s="523"/>
      <c r="R121" s="524"/>
      <c r="S121" s="567"/>
    </row>
    <row r="122" spans="2:19" s="448" customFormat="1" ht="15.75">
      <c r="B122" s="522" t="s">
        <v>1486</v>
      </c>
      <c r="C122" s="574"/>
      <c r="D122" s="574"/>
      <c r="E122" s="574"/>
      <c r="F122" s="574"/>
      <c r="G122" s="574"/>
      <c r="H122" s="574"/>
      <c r="I122" s="574"/>
      <c r="J122" s="574"/>
      <c r="K122" s="574"/>
      <c r="L122" s="574"/>
      <c r="M122" s="574"/>
      <c r="N122" s="574"/>
      <c r="O122" s="574"/>
      <c r="P122" s="574"/>
      <c r="Q122" s="523"/>
      <c r="R122" s="524"/>
      <c r="S122" s="567"/>
    </row>
    <row r="123" spans="2:19" s="448" customFormat="1" ht="15.75">
      <c r="B123" s="522" t="s">
        <v>1515</v>
      </c>
      <c r="C123" s="574"/>
      <c r="D123" s="574"/>
      <c r="E123" s="574"/>
      <c r="F123" s="574"/>
      <c r="G123" s="574"/>
      <c r="H123" s="574"/>
      <c r="I123" s="574"/>
      <c r="J123" s="574"/>
      <c r="K123" s="574"/>
      <c r="L123" s="574"/>
      <c r="M123" s="574"/>
      <c r="N123" s="574"/>
      <c r="O123" s="574"/>
      <c r="P123" s="574"/>
      <c r="Q123" s="523"/>
      <c r="R123" s="524"/>
      <c r="S123" s="567"/>
    </row>
    <row r="124" spans="2:19" s="448" customFormat="1" ht="16.5" thickBot="1">
      <c r="B124" s="522"/>
      <c r="C124" s="574"/>
      <c r="D124" s="574"/>
      <c r="E124" s="574"/>
      <c r="F124" s="574"/>
      <c r="G124" s="574"/>
      <c r="H124" s="574"/>
      <c r="I124" s="574"/>
      <c r="J124" s="574"/>
      <c r="K124" s="574"/>
      <c r="L124" s="574"/>
      <c r="M124" s="574"/>
      <c r="N124" s="574"/>
      <c r="O124" s="574"/>
      <c r="P124" s="574"/>
      <c r="Q124" s="523"/>
      <c r="R124" s="524"/>
      <c r="S124" s="567"/>
    </row>
    <row r="125" spans="2:19" s="448" customFormat="1" ht="16.5" thickBot="1">
      <c r="B125" s="575" t="s">
        <v>1516</v>
      </c>
      <c r="C125" s="540"/>
      <c r="D125" s="540"/>
      <c r="E125" s="540"/>
      <c r="F125" s="540"/>
      <c r="G125" s="540"/>
      <c r="H125" s="540"/>
      <c r="I125" s="540"/>
      <c r="J125" s="540"/>
      <c r="K125" s="540"/>
      <c r="L125" s="540"/>
      <c r="M125" s="540"/>
      <c r="N125" s="540"/>
      <c r="O125" s="540"/>
      <c r="P125" s="576"/>
      <c r="Q125" s="577"/>
      <c r="R125" s="578" t="s">
        <v>1489</v>
      </c>
      <c r="S125" s="567"/>
    </row>
    <row r="126" spans="2:19" s="448" customFormat="1" ht="17.25" thickTop="1" thickBot="1">
      <c r="B126" s="579" t="s">
        <v>1501</v>
      </c>
      <c r="C126" s="580">
        <v>1997</v>
      </c>
      <c r="D126" s="580">
        <v>1998</v>
      </c>
      <c r="E126" s="580">
        <v>1999</v>
      </c>
      <c r="F126" s="580">
        <v>2000</v>
      </c>
      <c r="G126" s="580">
        <v>2001</v>
      </c>
      <c r="H126" s="580">
        <v>2002</v>
      </c>
      <c r="I126" s="580">
        <v>2003</v>
      </c>
      <c r="J126" s="580">
        <v>2004</v>
      </c>
      <c r="K126" s="580">
        <v>2005</v>
      </c>
      <c r="L126" s="580">
        <v>2006</v>
      </c>
      <c r="M126" s="580">
        <v>2007</v>
      </c>
      <c r="N126" s="580">
        <v>2008</v>
      </c>
      <c r="O126" s="580">
        <v>2009</v>
      </c>
      <c r="P126" s="580">
        <v>2010</v>
      </c>
      <c r="Q126" s="580">
        <v>2011</v>
      </c>
      <c r="R126" s="581">
        <v>2012</v>
      </c>
      <c r="S126" s="567"/>
    </row>
    <row r="127" spans="2:19" s="448" customFormat="1" ht="15.75">
      <c r="B127" s="582" t="s">
        <v>1472</v>
      </c>
      <c r="C127" s="583">
        <v>1.65</v>
      </c>
      <c r="D127" s="583">
        <v>1.79</v>
      </c>
      <c r="E127" s="583">
        <v>2.21</v>
      </c>
      <c r="F127" s="583">
        <v>1.29</v>
      </c>
      <c r="G127" s="583">
        <v>1.05</v>
      </c>
      <c r="H127" s="583">
        <v>0.8</v>
      </c>
      <c r="I127" s="583">
        <v>1.17</v>
      </c>
      <c r="J127" s="583">
        <v>0.89</v>
      </c>
      <c r="K127" s="583">
        <v>0.82</v>
      </c>
      <c r="L127" s="583">
        <v>0.54</v>
      </c>
      <c r="M127" s="583">
        <v>0.77</v>
      </c>
      <c r="N127" s="583">
        <v>1.06</v>
      </c>
      <c r="O127" s="583">
        <v>0.59</v>
      </c>
      <c r="P127" s="583">
        <v>0.69</v>
      </c>
      <c r="Q127" s="583">
        <v>0.91</v>
      </c>
      <c r="R127" s="584">
        <v>0.73</v>
      </c>
      <c r="S127" s="567"/>
    </row>
    <row r="128" spans="2:19" s="448" customFormat="1" ht="15.75">
      <c r="B128" s="585" t="s">
        <v>1473</v>
      </c>
      <c r="C128" s="586">
        <v>3.11</v>
      </c>
      <c r="D128" s="586">
        <v>3.28</v>
      </c>
      <c r="E128" s="586">
        <v>1.7</v>
      </c>
      <c r="F128" s="586">
        <v>2.2999999999999998</v>
      </c>
      <c r="G128" s="586">
        <v>1.89</v>
      </c>
      <c r="H128" s="586">
        <v>1.26</v>
      </c>
      <c r="I128" s="586">
        <v>1.1100000000000001</v>
      </c>
      <c r="J128" s="586">
        <v>1.2</v>
      </c>
      <c r="K128" s="586">
        <v>1.02</v>
      </c>
      <c r="L128" s="586">
        <v>0.66</v>
      </c>
      <c r="M128" s="586">
        <v>1.17</v>
      </c>
      <c r="N128" s="586">
        <v>1.51</v>
      </c>
      <c r="O128" s="586">
        <v>0.84</v>
      </c>
      <c r="P128" s="586">
        <v>0.83</v>
      </c>
      <c r="Q128" s="586">
        <v>0.6</v>
      </c>
      <c r="R128" s="587">
        <v>0.61</v>
      </c>
      <c r="S128" s="567"/>
    </row>
    <row r="129" spans="2:19" s="448" customFormat="1" ht="15.75">
      <c r="B129" s="582" t="s">
        <v>1474</v>
      </c>
      <c r="C129" s="583">
        <v>1.55</v>
      </c>
      <c r="D129" s="583">
        <v>2.6</v>
      </c>
      <c r="E129" s="583">
        <v>0.94</v>
      </c>
      <c r="F129" s="583">
        <v>1.71</v>
      </c>
      <c r="G129" s="583">
        <v>1.48</v>
      </c>
      <c r="H129" s="583">
        <v>0.71</v>
      </c>
      <c r="I129" s="583">
        <v>1.05</v>
      </c>
      <c r="J129" s="583">
        <v>0.98</v>
      </c>
      <c r="K129" s="583">
        <v>0.77</v>
      </c>
      <c r="L129" s="583">
        <v>0.7</v>
      </c>
      <c r="M129" s="583">
        <v>1.21</v>
      </c>
      <c r="N129" s="583">
        <v>0.81</v>
      </c>
      <c r="O129" s="583">
        <v>0.5</v>
      </c>
      <c r="P129" s="583">
        <v>0.25</v>
      </c>
      <c r="Q129" s="583">
        <v>0.27</v>
      </c>
      <c r="R129" s="584">
        <v>0.12</v>
      </c>
      <c r="S129" s="588"/>
    </row>
    <row r="130" spans="2:19" s="448" customFormat="1" ht="15.75">
      <c r="B130" s="585" t="s">
        <v>1475</v>
      </c>
      <c r="C130" s="586">
        <v>1.62</v>
      </c>
      <c r="D130" s="586">
        <v>2.9</v>
      </c>
      <c r="E130" s="586">
        <v>0.78</v>
      </c>
      <c r="F130" s="586">
        <v>1</v>
      </c>
      <c r="G130" s="586">
        <v>1.1499999999999999</v>
      </c>
      <c r="H130" s="586">
        <v>0.92</v>
      </c>
      <c r="I130" s="586">
        <v>1.1499999999999999</v>
      </c>
      <c r="J130" s="586">
        <v>0.46</v>
      </c>
      <c r="K130" s="586">
        <v>0.44</v>
      </c>
      <c r="L130" s="586">
        <v>0.45</v>
      </c>
      <c r="M130" s="586">
        <v>0.9</v>
      </c>
      <c r="N130" s="586">
        <v>0.71</v>
      </c>
      <c r="O130" s="586">
        <v>0.32</v>
      </c>
      <c r="P130" s="586">
        <v>0.46</v>
      </c>
      <c r="Q130" s="586">
        <v>0.12</v>
      </c>
      <c r="R130" s="587">
        <v>0.14000000000000001</v>
      </c>
      <c r="S130" s="567"/>
    </row>
    <row r="131" spans="2:19" s="448" customFormat="1" ht="15.75">
      <c r="B131" s="582" t="s">
        <v>1476</v>
      </c>
      <c r="C131" s="583">
        <v>1.62</v>
      </c>
      <c r="D131" s="583">
        <v>1.56</v>
      </c>
      <c r="E131" s="583">
        <v>0.48</v>
      </c>
      <c r="F131" s="583">
        <v>0.52</v>
      </c>
      <c r="G131" s="583">
        <v>0.42</v>
      </c>
      <c r="H131" s="583">
        <v>0.6</v>
      </c>
      <c r="I131" s="583">
        <v>0.49</v>
      </c>
      <c r="J131" s="583">
        <v>0.38</v>
      </c>
      <c r="K131" s="583">
        <v>0.41</v>
      </c>
      <c r="L131" s="583">
        <v>0.33</v>
      </c>
      <c r="M131" s="583">
        <v>0.3</v>
      </c>
      <c r="N131" s="583">
        <v>0.93</v>
      </c>
      <c r="O131" s="583">
        <v>0.01</v>
      </c>
      <c r="P131" s="583">
        <v>0.1</v>
      </c>
      <c r="Q131" s="583">
        <v>0.28000000000000003</v>
      </c>
      <c r="R131" s="584">
        <v>0.3</v>
      </c>
      <c r="S131" s="567"/>
    </row>
    <row r="132" spans="2:19" s="448" customFormat="1" ht="15.75">
      <c r="B132" s="585" t="s">
        <v>1477</v>
      </c>
      <c r="C132" s="586">
        <v>1.2</v>
      </c>
      <c r="D132" s="586">
        <v>1.22</v>
      </c>
      <c r="E132" s="586">
        <v>0.28000000000000003</v>
      </c>
      <c r="F132" s="586">
        <v>-0.02</v>
      </c>
      <c r="G132" s="586">
        <v>0.04</v>
      </c>
      <c r="H132" s="586">
        <v>0.43</v>
      </c>
      <c r="I132" s="586">
        <v>-0.05</v>
      </c>
      <c r="J132" s="586">
        <v>0.6</v>
      </c>
      <c r="K132" s="586">
        <v>0.4</v>
      </c>
      <c r="L132" s="586">
        <v>0.3</v>
      </c>
      <c r="M132" s="586">
        <v>0.12</v>
      </c>
      <c r="N132" s="586">
        <v>0.86</v>
      </c>
      <c r="O132" s="586">
        <v>-0.06</v>
      </c>
      <c r="P132" s="586">
        <v>0.11</v>
      </c>
      <c r="Q132" s="586">
        <v>0.32</v>
      </c>
      <c r="R132" s="587">
        <v>0.08</v>
      </c>
      <c r="S132" s="567"/>
    </row>
    <row r="133" spans="2:19" s="448" customFormat="1" ht="15.75">
      <c r="B133" s="582" t="s">
        <v>1478</v>
      </c>
      <c r="C133" s="583">
        <v>0.83</v>
      </c>
      <c r="D133" s="583">
        <v>0.47</v>
      </c>
      <c r="E133" s="583">
        <v>0.31</v>
      </c>
      <c r="F133" s="583">
        <v>-0.04</v>
      </c>
      <c r="G133" s="583">
        <v>0.11</v>
      </c>
      <c r="H133" s="583">
        <v>0.02</v>
      </c>
      <c r="I133" s="583">
        <v>-0.14000000000000001</v>
      </c>
      <c r="J133" s="583">
        <v>-0.03</v>
      </c>
      <c r="K133" s="583">
        <v>0.05</v>
      </c>
      <c r="L133" s="583">
        <v>0.41</v>
      </c>
      <c r="M133" s="583">
        <v>0.17</v>
      </c>
      <c r="N133" s="583">
        <v>0.48</v>
      </c>
      <c r="O133" s="583">
        <v>-0.04</v>
      </c>
      <c r="P133" s="583">
        <v>-0.04</v>
      </c>
      <c r="Q133" s="583">
        <v>0.14000000000000001</v>
      </c>
      <c r="R133" s="584">
        <v>-0.02</v>
      </c>
    </row>
    <row r="134" spans="2:19" s="448" customFormat="1" ht="15.75">
      <c r="B134" s="585" t="s">
        <v>1479</v>
      </c>
      <c r="C134" s="586">
        <v>1.1399999999999999</v>
      </c>
      <c r="D134" s="586">
        <v>0.03</v>
      </c>
      <c r="E134" s="586">
        <v>0.5</v>
      </c>
      <c r="F134" s="586">
        <v>0.32</v>
      </c>
      <c r="G134" s="586">
        <v>0.26</v>
      </c>
      <c r="H134" s="586">
        <v>0.09</v>
      </c>
      <c r="I134" s="586">
        <v>0.31</v>
      </c>
      <c r="J134" s="586">
        <v>0.03</v>
      </c>
      <c r="K134" s="586">
        <v>0</v>
      </c>
      <c r="L134" s="586">
        <v>0.39</v>
      </c>
      <c r="M134" s="586">
        <v>-0.13</v>
      </c>
      <c r="N134" s="586">
        <v>0.19</v>
      </c>
      <c r="O134" s="586">
        <v>0.04</v>
      </c>
      <c r="P134" s="586">
        <v>0.11</v>
      </c>
      <c r="Q134" s="586">
        <v>-0.03</v>
      </c>
      <c r="R134" s="587">
        <v>0.04</v>
      </c>
    </row>
    <row r="135" spans="2:19" s="448" customFormat="1" ht="15.75">
      <c r="B135" s="582" t="s">
        <v>1480</v>
      </c>
      <c r="C135" s="583">
        <v>1.26</v>
      </c>
      <c r="D135" s="583">
        <v>0.28999999999999998</v>
      </c>
      <c r="E135" s="583">
        <v>0.33</v>
      </c>
      <c r="F135" s="583">
        <v>0.43</v>
      </c>
      <c r="G135" s="583">
        <v>0.37</v>
      </c>
      <c r="H135" s="583">
        <v>0.36</v>
      </c>
      <c r="I135" s="583">
        <v>0.22</v>
      </c>
      <c r="J135" s="583">
        <v>0.3</v>
      </c>
      <c r="K135" s="583">
        <v>0.43</v>
      </c>
      <c r="L135" s="583">
        <v>0.28999999999999998</v>
      </c>
      <c r="M135" s="589">
        <v>0.08</v>
      </c>
      <c r="N135" s="583">
        <v>-0.19</v>
      </c>
      <c r="O135" s="583">
        <v>-0.11</v>
      </c>
      <c r="P135" s="583">
        <v>-0.14000000000000001</v>
      </c>
      <c r="Q135" s="583">
        <v>0.31</v>
      </c>
      <c r="R135" s="584">
        <v>0.28999999999999998</v>
      </c>
    </row>
    <row r="136" spans="2:19" s="448" customFormat="1" ht="15.75">
      <c r="B136" s="585" t="s">
        <v>1481</v>
      </c>
      <c r="C136" s="586">
        <v>0.96</v>
      </c>
      <c r="D136" s="586">
        <v>0.35</v>
      </c>
      <c r="E136" s="586">
        <v>0.35</v>
      </c>
      <c r="F136" s="586">
        <v>0.15</v>
      </c>
      <c r="G136" s="586">
        <v>0.19</v>
      </c>
      <c r="H136" s="586">
        <v>0.56000000000000005</v>
      </c>
      <c r="I136" s="586">
        <v>0.06</v>
      </c>
      <c r="J136" s="586">
        <v>-0.01</v>
      </c>
      <c r="K136" s="586">
        <v>0.23</v>
      </c>
      <c r="L136" s="586">
        <v>-0.14000000000000001</v>
      </c>
      <c r="M136" s="586">
        <v>0.01</v>
      </c>
      <c r="N136" s="586">
        <v>0.35</v>
      </c>
      <c r="O136" s="586">
        <v>-0.13</v>
      </c>
      <c r="P136" s="586">
        <v>-0.09</v>
      </c>
      <c r="Q136" s="586">
        <v>0.19</v>
      </c>
      <c r="R136" s="587">
        <v>0.16</v>
      </c>
    </row>
    <row r="137" spans="2:19" s="448" customFormat="1" ht="15.75">
      <c r="B137" s="582" t="s">
        <v>1482</v>
      </c>
      <c r="C137" s="583">
        <v>0.81</v>
      </c>
      <c r="D137" s="583">
        <v>0.17</v>
      </c>
      <c r="E137" s="583">
        <v>0.48</v>
      </c>
      <c r="F137" s="583">
        <v>0.33</v>
      </c>
      <c r="G137" s="583">
        <v>0.12</v>
      </c>
      <c r="H137" s="583">
        <v>0.78</v>
      </c>
      <c r="I137" s="583">
        <v>0.35</v>
      </c>
      <c r="J137" s="583">
        <v>0.28000000000000003</v>
      </c>
      <c r="K137" s="583">
        <v>0.11</v>
      </c>
      <c r="L137" s="583">
        <v>0.24</v>
      </c>
      <c r="M137" s="583">
        <v>0.47</v>
      </c>
      <c r="N137" s="583">
        <v>0.28000000000000003</v>
      </c>
      <c r="O137" s="583">
        <v>-7.0000000000000007E-2</v>
      </c>
      <c r="P137" s="583">
        <v>0.19</v>
      </c>
      <c r="Q137" s="583">
        <v>0.14000000000000001</v>
      </c>
      <c r="R137" s="584">
        <v>-0.14000000000000001</v>
      </c>
    </row>
    <row r="138" spans="2:19" s="448" customFormat="1" ht="15.75">
      <c r="B138" s="585" t="s">
        <v>1483</v>
      </c>
      <c r="C138" s="586">
        <v>0.61</v>
      </c>
      <c r="D138" s="586">
        <v>0.91</v>
      </c>
      <c r="E138" s="586">
        <v>0.53</v>
      </c>
      <c r="F138" s="586">
        <v>0.46</v>
      </c>
      <c r="G138" s="586">
        <v>0.34</v>
      </c>
      <c r="H138" s="586">
        <v>0.27</v>
      </c>
      <c r="I138" s="586">
        <v>0.61</v>
      </c>
      <c r="J138" s="586">
        <v>0.3</v>
      </c>
      <c r="K138" s="586">
        <v>7.0000000000000007E-2</v>
      </c>
      <c r="L138" s="586">
        <v>0.23</v>
      </c>
      <c r="M138" s="586">
        <v>0.49</v>
      </c>
      <c r="N138" s="586">
        <v>0.44</v>
      </c>
      <c r="O138" s="586">
        <v>0.08</v>
      </c>
      <c r="P138" s="586">
        <v>0.65</v>
      </c>
      <c r="Q138" s="586">
        <v>0.42</v>
      </c>
      <c r="R138" s="587">
        <v>0.09</v>
      </c>
    </row>
    <row r="139" spans="2:19" s="448" customFormat="1" ht="16.5" thickBot="1">
      <c r="B139" s="582" t="s">
        <v>1494</v>
      </c>
      <c r="C139" s="583">
        <v>17.68</v>
      </c>
      <c r="D139" s="583">
        <v>16.7</v>
      </c>
      <c r="E139" s="583">
        <v>9.23</v>
      </c>
      <c r="F139" s="583">
        <v>8.75</v>
      </c>
      <c r="G139" s="583">
        <v>7.65</v>
      </c>
      <c r="H139" s="583">
        <v>6.99</v>
      </c>
      <c r="I139" s="583">
        <v>6.49</v>
      </c>
      <c r="J139" s="583">
        <v>5.5</v>
      </c>
      <c r="K139" s="583">
        <v>4.8499999999999996</v>
      </c>
      <c r="L139" s="583">
        <v>4.4800000000000004</v>
      </c>
      <c r="M139" s="583">
        <v>5.69</v>
      </c>
      <c r="N139" s="583">
        <v>7.67</v>
      </c>
      <c r="O139" s="583">
        <v>2</v>
      </c>
      <c r="P139" s="583">
        <v>3.17</v>
      </c>
      <c r="Q139" s="583">
        <v>3.73</v>
      </c>
      <c r="R139" s="584">
        <v>2.44</v>
      </c>
    </row>
    <row r="140" spans="2:19" s="448" customFormat="1" ht="15.75">
      <c r="B140" s="1042" t="s">
        <v>1517</v>
      </c>
      <c r="C140" s="1043"/>
      <c r="D140" s="1043"/>
      <c r="E140" s="1043"/>
      <c r="F140" s="1043"/>
      <c r="G140" s="1043"/>
      <c r="H140" s="1043"/>
      <c r="I140" s="1043"/>
      <c r="J140" s="1043"/>
      <c r="K140" s="1043"/>
      <c r="L140" s="1043"/>
      <c r="M140" s="1043"/>
      <c r="N140" s="1043"/>
      <c r="O140" s="1043"/>
      <c r="P140" s="1043"/>
      <c r="Q140" s="1043"/>
      <c r="R140" s="1044"/>
    </row>
    <row r="141" spans="2:19" s="448" customFormat="1" ht="16.5" thickBot="1">
      <c r="B141" s="1045"/>
      <c r="C141" s="1046"/>
      <c r="D141" s="1046"/>
      <c r="E141" s="1046"/>
      <c r="F141" s="1046"/>
      <c r="G141" s="1046"/>
      <c r="H141" s="1046"/>
      <c r="I141" s="1046"/>
      <c r="J141" s="1046"/>
      <c r="K141" s="1046"/>
      <c r="L141" s="1046"/>
      <c r="M141" s="1046"/>
      <c r="N141" s="1046"/>
      <c r="O141" s="1046"/>
      <c r="P141" s="1046"/>
      <c r="Q141" s="1046"/>
      <c r="R141" s="1047"/>
    </row>
    <row r="142" spans="2:19" ht="22.5" customHeight="1"/>
    <row r="143" spans="2:19" ht="22.5" hidden="1" customHeight="1"/>
    <row r="144" spans="2:19" ht="22.5" hidden="1" customHeight="1"/>
    <row r="145" spans="2:2" ht="22.5" hidden="1" customHeight="1">
      <c r="B145" s="421" t="s">
        <v>1450</v>
      </c>
    </row>
    <row r="146" spans="2:2" ht="22.5" hidden="1" customHeight="1">
      <c r="B146" s="421" t="s">
        <v>1451</v>
      </c>
    </row>
    <row r="147" spans="2:2" ht="22.5" hidden="1" customHeight="1"/>
    <row r="148" spans="2:2" ht="22.5" hidden="1" customHeight="1">
      <c r="B148" s="435" t="s">
        <v>1452</v>
      </c>
    </row>
    <row r="149" spans="2:2" ht="22.5" hidden="1" customHeight="1">
      <c r="B149" s="435" t="s">
        <v>1453</v>
      </c>
    </row>
    <row r="150" spans="2:2" ht="22.5" hidden="1" customHeight="1"/>
    <row r="151" spans="2:2" ht="22.5" hidden="1" customHeight="1">
      <c r="B151" s="421" t="s">
        <v>1446</v>
      </c>
    </row>
    <row r="152" spans="2:2" ht="22.5" hidden="1" customHeight="1">
      <c r="B152" s="421" t="s">
        <v>1447</v>
      </c>
    </row>
    <row r="153" spans="2:2" ht="22.5" hidden="1" customHeight="1">
      <c r="B153" s="421" t="s">
        <v>1448</v>
      </c>
    </row>
    <row r="154" spans="2:2" ht="22.5" hidden="1" customHeight="1">
      <c r="B154" s="421" t="s">
        <v>1449</v>
      </c>
    </row>
  </sheetData>
  <mergeCells count="10">
    <mergeCell ref="B2:J2"/>
    <mergeCell ref="B41:B51"/>
    <mergeCell ref="G84:H84"/>
    <mergeCell ref="B140:R141"/>
    <mergeCell ref="B75:I75"/>
    <mergeCell ref="F6:J6"/>
    <mergeCell ref="F13:I13"/>
    <mergeCell ref="B87:I87"/>
    <mergeCell ref="F14:I14"/>
    <mergeCell ref="B13:C13"/>
  </mergeCells>
  <dataValidations disablePrompts="1" count="2">
    <dataValidation type="list" allowBlank="1" showInputMessage="1" showErrorMessage="1" sqref="F8">
      <formula1>$B$145:$B$146</formula1>
    </dataValidation>
    <dataValidation type="list" allowBlank="1" showInputMessage="1" showErrorMessage="1" sqref="F11">
      <formula1>$B$148:$B$149</formula1>
    </dataValidation>
  </dataValidations>
  <hyperlinks>
    <hyperlink ref="B1" location="'Hoja índice'!A1" display="Indice"/>
  </hyperlinks>
  <pageMargins left="0.7" right="0.7" top="0.75" bottom="0.75" header="0.3" footer="0.3"/>
  <pageSetup orientation="portrait" r:id="rId1"/>
  <ignoredErrors>
    <ignoredError sqref="I37:I38" formulaRange="1"/>
    <ignoredError sqref="G26 J26:L2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4" r:id="rId4" name="Drop Down 4">
              <controlPr defaultSize="0" autoLine="0" autoPict="0">
                <anchor moveWithCells="1">
                  <from>
                    <xdr:col>6</xdr:col>
                    <xdr:colOff>790575</xdr:colOff>
                    <xdr:row>6</xdr:row>
                    <xdr:rowOff>28575</xdr:rowOff>
                  </from>
                  <to>
                    <xdr:col>8</xdr:col>
                    <xdr:colOff>733425</xdr:colOff>
                    <xdr:row>6</xdr:row>
                    <xdr:rowOff>228600</xdr:rowOff>
                  </to>
                </anchor>
              </controlPr>
            </control>
          </mc:Choice>
        </mc:AlternateContent>
        <mc:AlternateContent xmlns:mc="http://schemas.openxmlformats.org/markup-compatibility/2006">
          <mc:Choice Requires="x14">
            <control shapeId="5125" r:id="rId5" name="Drop Down 5">
              <controlPr defaultSize="0" autoLine="0" autoPict="0">
                <anchor moveWithCells="1">
                  <from>
                    <xdr:col>6</xdr:col>
                    <xdr:colOff>790575</xdr:colOff>
                    <xdr:row>7</xdr:row>
                    <xdr:rowOff>38100</xdr:rowOff>
                  </from>
                  <to>
                    <xdr:col>8</xdr:col>
                    <xdr:colOff>733425</xdr:colOff>
                    <xdr:row>7</xdr:row>
                    <xdr:rowOff>238125</xdr:rowOff>
                  </to>
                </anchor>
              </controlPr>
            </control>
          </mc:Choice>
        </mc:AlternateContent>
        <mc:AlternateContent xmlns:mc="http://schemas.openxmlformats.org/markup-compatibility/2006">
          <mc:Choice Requires="x14">
            <control shapeId="5133" r:id="rId6" name="Drop Down 13">
              <controlPr defaultSize="0" autoLine="0" autoPict="0">
                <anchor moveWithCells="1">
                  <from>
                    <xdr:col>6</xdr:col>
                    <xdr:colOff>781050</xdr:colOff>
                    <xdr:row>10</xdr:row>
                    <xdr:rowOff>28575</xdr:rowOff>
                  </from>
                  <to>
                    <xdr:col>8</xdr:col>
                    <xdr:colOff>733425</xdr:colOff>
                    <xdr:row>10</xdr:row>
                    <xdr:rowOff>238125</xdr:rowOff>
                  </to>
                </anchor>
              </controlPr>
            </control>
          </mc:Choice>
        </mc:AlternateContent>
        <mc:AlternateContent xmlns:mc="http://schemas.openxmlformats.org/markup-compatibility/2006">
          <mc:Choice Requires="x14">
            <control shapeId="5137" r:id="rId7" name="Drop Down 17">
              <controlPr defaultSize="0" autoLine="0" autoPict="0">
                <anchor moveWithCells="1">
                  <from>
                    <xdr:col>1</xdr:col>
                    <xdr:colOff>19050</xdr:colOff>
                    <xdr:row>32</xdr:row>
                    <xdr:rowOff>47625</xdr:rowOff>
                  </from>
                  <to>
                    <xdr:col>1</xdr:col>
                    <xdr:colOff>2847975</xdr:colOff>
                    <xdr:row>32</xdr:row>
                    <xdr:rowOff>247650</xdr:rowOff>
                  </to>
                </anchor>
              </controlPr>
            </control>
          </mc:Choice>
        </mc:AlternateContent>
        <mc:AlternateContent xmlns:mc="http://schemas.openxmlformats.org/markup-compatibility/2006">
          <mc:Choice Requires="x14">
            <control shapeId="5138" r:id="rId8" name="Drop Down 18">
              <controlPr defaultSize="0" autoLine="0" autoPict="0">
                <anchor moveWithCells="1">
                  <from>
                    <xdr:col>1</xdr:col>
                    <xdr:colOff>28575</xdr:colOff>
                    <xdr:row>25</xdr:row>
                    <xdr:rowOff>28575</xdr:rowOff>
                  </from>
                  <to>
                    <xdr:col>1</xdr:col>
                    <xdr:colOff>2895600</xdr:colOff>
                    <xdr:row>25</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4"/>
  </sheetPr>
  <dimension ref="A1:F120"/>
  <sheetViews>
    <sheetView showGridLines="0" zoomScaleNormal="100" zoomScaleSheetLayoutView="100" workbookViewId="0"/>
  </sheetViews>
  <sheetFormatPr baseColWidth="10" defaultColWidth="0" defaultRowHeight="0" customHeight="1" zeroHeight="1"/>
  <cols>
    <col min="1" max="1" width="1.140625" customWidth="1"/>
    <col min="2" max="2" width="25.5703125" customWidth="1"/>
    <col min="3" max="3" width="16.42578125" customWidth="1"/>
    <col min="4" max="4" width="2.85546875" customWidth="1"/>
    <col min="5" max="5" width="30.42578125" customWidth="1"/>
    <col min="6" max="6" width="3" customWidth="1"/>
    <col min="7" max="16384" width="11.42578125" hidden="1"/>
  </cols>
  <sheetData>
    <row r="1" spans="2:6" ht="36.75" customHeight="1">
      <c r="B1" s="1065" t="s">
        <v>0</v>
      </c>
      <c r="C1" s="1065"/>
      <c r="D1" s="1065"/>
      <c r="E1" s="1065"/>
      <c r="F1" s="2"/>
    </row>
    <row r="2" spans="2:6" ht="15" customHeight="1">
      <c r="B2" s="1066" t="s">
        <v>1</v>
      </c>
      <c r="C2" s="1066"/>
      <c r="D2" s="1066"/>
      <c r="E2" s="1066"/>
      <c r="F2" s="3"/>
    </row>
    <row r="3" spans="2:6" ht="15">
      <c r="B3" s="4"/>
      <c r="C3" s="1067" t="s">
        <v>2</v>
      </c>
      <c r="D3" s="1067"/>
      <c r="E3" s="1067"/>
      <c r="F3" s="3"/>
    </row>
    <row r="4" spans="2:6" ht="15.75" thickBot="1">
      <c r="B4" s="4" t="s">
        <v>1555</v>
      </c>
      <c r="C4" s="6"/>
      <c r="D4" s="6"/>
      <c r="E4" s="5"/>
      <c r="F4" s="7"/>
    </row>
    <row r="5" spans="2:6" ht="15.75" thickBot="1">
      <c r="B5" s="8" t="s">
        <v>3</v>
      </c>
      <c r="C5" s="9"/>
      <c r="D5" s="10"/>
      <c r="E5" s="11" t="s">
        <v>1200</v>
      </c>
      <c r="F5" s="12"/>
    </row>
    <row r="6" spans="2:6" ht="15">
      <c r="B6" s="13" t="str">
        <f t="shared" ref="B6:B69" si="0">+CONCATENATE(C6," ",D6)</f>
        <v>Directivo 1</v>
      </c>
      <c r="C6" s="14" t="s">
        <v>4</v>
      </c>
      <c r="D6" s="15">
        <v>1</v>
      </c>
      <c r="E6" s="16">
        <v>2233354</v>
      </c>
      <c r="F6" s="17"/>
    </row>
    <row r="7" spans="2:6" ht="15">
      <c r="B7" s="18" t="str">
        <f t="shared" si="0"/>
        <v>Directivo 2</v>
      </c>
      <c r="C7" s="19" t="s">
        <v>4</v>
      </c>
      <c r="D7" s="20">
        <v>2</v>
      </c>
      <c r="E7" s="21">
        <v>2497580</v>
      </c>
      <c r="F7" s="17"/>
    </row>
    <row r="8" spans="2:6" ht="15">
      <c r="B8" s="18" t="str">
        <f t="shared" si="0"/>
        <v>Directivo 3</v>
      </c>
      <c r="C8" s="19" t="s">
        <v>4</v>
      </c>
      <c r="D8" s="20">
        <v>3</v>
      </c>
      <c r="E8" s="21">
        <v>2637233</v>
      </c>
      <c r="F8" s="17"/>
    </row>
    <row r="9" spans="2:6" ht="15">
      <c r="B9" s="18" t="str">
        <f t="shared" si="0"/>
        <v>Directivo 4</v>
      </c>
      <c r="C9" s="19" t="s">
        <v>4</v>
      </c>
      <c r="D9" s="20">
        <v>4</v>
      </c>
      <c r="E9" s="21">
        <v>2803049</v>
      </c>
      <c r="F9" s="17"/>
    </row>
    <row r="10" spans="2:6" ht="15">
      <c r="B10" s="18" t="str">
        <f t="shared" si="0"/>
        <v>Directivo 5</v>
      </c>
      <c r="C10" s="19" t="s">
        <v>4</v>
      </c>
      <c r="D10" s="20">
        <v>5</v>
      </c>
      <c r="E10" s="21">
        <v>2875180</v>
      </c>
      <c r="F10" s="17"/>
    </row>
    <row r="11" spans="2:6" ht="15">
      <c r="B11" s="18" t="str">
        <f t="shared" si="0"/>
        <v>Directivo 6</v>
      </c>
      <c r="C11" s="19" t="s">
        <v>4</v>
      </c>
      <c r="D11" s="20">
        <v>6</v>
      </c>
      <c r="E11" s="21">
        <v>3002689</v>
      </c>
      <c r="F11" s="17"/>
    </row>
    <row r="12" spans="2:6" ht="15">
      <c r="B12" s="18" t="str">
        <f t="shared" si="0"/>
        <v>Directivo 7</v>
      </c>
      <c r="C12" s="19" t="s">
        <v>4</v>
      </c>
      <c r="D12" s="20">
        <v>7</v>
      </c>
      <c r="E12" s="21">
        <v>3182234</v>
      </c>
      <c r="F12" s="17"/>
    </row>
    <row r="13" spans="2:6" ht="15">
      <c r="B13" s="18" t="str">
        <f t="shared" si="0"/>
        <v>Directivo 8</v>
      </c>
      <c r="C13" s="19" t="s">
        <v>4</v>
      </c>
      <c r="D13" s="20">
        <v>8</v>
      </c>
      <c r="E13" s="21">
        <v>3252416</v>
      </c>
      <c r="F13" s="17"/>
    </row>
    <row r="14" spans="2:6" ht="15">
      <c r="B14" s="18" t="str">
        <f t="shared" si="0"/>
        <v>Directivo 9</v>
      </c>
      <c r="C14" s="19" t="s">
        <v>4</v>
      </c>
      <c r="D14" s="20">
        <v>9</v>
      </c>
      <c r="E14" s="21">
        <v>3372970</v>
      </c>
      <c r="F14" s="17"/>
    </row>
    <row r="15" spans="2:6" ht="15">
      <c r="B15" s="18" t="str">
        <f t="shared" si="0"/>
        <v>Directivo 10</v>
      </c>
      <c r="C15" s="19" t="s">
        <v>4</v>
      </c>
      <c r="D15" s="20">
        <v>10</v>
      </c>
      <c r="E15" s="21">
        <v>3623537</v>
      </c>
      <c r="F15" s="17"/>
    </row>
    <row r="16" spans="2:6" ht="15">
      <c r="B16" s="18" t="str">
        <f t="shared" si="0"/>
        <v>Directivo 11</v>
      </c>
      <c r="C16" s="19" t="s">
        <v>4</v>
      </c>
      <c r="D16" s="20">
        <v>11</v>
      </c>
      <c r="E16" s="21">
        <v>3679737</v>
      </c>
      <c r="F16" s="17"/>
    </row>
    <row r="17" spans="2:6" ht="15">
      <c r="B17" s="18" t="str">
        <f t="shared" si="0"/>
        <v>Directivo 12</v>
      </c>
      <c r="C17" s="19" t="s">
        <v>4</v>
      </c>
      <c r="D17" s="20">
        <v>12</v>
      </c>
      <c r="E17" s="21">
        <v>3795848</v>
      </c>
      <c r="F17" s="17"/>
    </row>
    <row r="18" spans="2:6" ht="15">
      <c r="B18" s="18" t="str">
        <f t="shared" si="0"/>
        <v>Directivo 13</v>
      </c>
      <c r="C18" s="19" t="s">
        <v>4</v>
      </c>
      <c r="D18" s="20">
        <v>13</v>
      </c>
      <c r="E18" s="21">
        <v>3960173</v>
      </c>
      <c r="F18" s="17"/>
    </row>
    <row r="19" spans="2:6" ht="15">
      <c r="B19" s="18" t="str">
        <f t="shared" si="0"/>
        <v>Directivo 14</v>
      </c>
      <c r="C19" s="19" t="s">
        <v>4</v>
      </c>
      <c r="D19" s="20">
        <v>14</v>
      </c>
      <c r="E19" s="21">
        <v>4260338</v>
      </c>
      <c r="F19" s="17"/>
    </row>
    <row r="20" spans="2:6" ht="15">
      <c r="B20" s="18" t="str">
        <f t="shared" si="0"/>
        <v>Directivo 15</v>
      </c>
      <c r="C20" s="19" t="s">
        <v>4</v>
      </c>
      <c r="D20" s="20">
        <v>15</v>
      </c>
      <c r="E20" s="21">
        <v>4319249</v>
      </c>
      <c r="F20" s="17"/>
    </row>
    <row r="21" spans="2:6" ht="15">
      <c r="B21" s="18" t="str">
        <f t="shared" si="0"/>
        <v>Directivo 16</v>
      </c>
      <c r="C21" s="19" t="s">
        <v>4</v>
      </c>
      <c r="D21" s="20">
        <v>16</v>
      </c>
      <c r="E21" s="21">
        <v>4555421</v>
      </c>
      <c r="F21" s="17"/>
    </row>
    <row r="22" spans="2:6" ht="15">
      <c r="B22" s="18" t="str">
        <f t="shared" si="0"/>
        <v>Directivo 17</v>
      </c>
      <c r="C22" s="19" t="s">
        <v>4</v>
      </c>
      <c r="D22" s="20">
        <v>17</v>
      </c>
      <c r="E22" s="21">
        <v>4933677</v>
      </c>
      <c r="F22" s="17"/>
    </row>
    <row r="23" spans="2:6" ht="15">
      <c r="B23" s="18" t="str">
        <f t="shared" si="0"/>
        <v>Directivo 18</v>
      </c>
      <c r="C23" s="19" t="s">
        <v>4</v>
      </c>
      <c r="D23" s="20">
        <v>18</v>
      </c>
      <c r="E23" s="21">
        <v>5312782</v>
      </c>
      <c r="F23" s="17"/>
    </row>
    <row r="24" spans="2:6" ht="15">
      <c r="B24" s="18" t="str">
        <f t="shared" si="0"/>
        <v>Directivo 19</v>
      </c>
      <c r="C24" s="19" t="s">
        <v>4</v>
      </c>
      <c r="D24" s="20">
        <v>19</v>
      </c>
      <c r="E24" s="21">
        <v>5842185</v>
      </c>
      <c r="F24" s="17"/>
    </row>
    <row r="25" spans="2:6" ht="15">
      <c r="B25" s="18" t="str">
        <f t="shared" si="0"/>
        <v>Directivo 20</v>
      </c>
      <c r="C25" s="19" t="s">
        <v>4</v>
      </c>
      <c r="D25" s="20">
        <v>20</v>
      </c>
      <c r="E25" s="21">
        <v>5922203</v>
      </c>
      <c r="F25" s="17"/>
    </row>
    <row r="26" spans="2:6" ht="15">
      <c r="B26" s="18" t="str">
        <f t="shared" si="0"/>
        <v>Directivo 21</v>
      </c>
      <c r="C26" s="19" t="s">
        <v>4</v>
      </c>
      <c r="D26" s="20">
        <v>21</v>
      </c>
      <c r="E26" s="21">
        <v>6553250</v>
      </c>
      <c r="F26" s="17"/>
    </row>
    <row r="27" spans="2:6" ht="15">
      <c r="B27" s="18" t="str">
        <f t="shared" si="0"/>
        <v>Directivo 22</v>
      </c>
      <c r="C27" s="19" t="s">
        <v>4</v>
      </c>
      <c r="D27" s="20">
        <v>22</v>
      </c>
      <c r="E27" s="21">
        <v>7197704</v>
      </c>
      <c r="F27" s="17"/>
    </row>
    <row r="28" spans="2:6" ht="15">
      <c r="B28" s="18" t="str">
        <f t="shared" si="0"/>
        <v>Directivo 23</v>
      </c>
      <c r="C28" s="19" t="s">
        <v>4</v>
      </c>
      <c r="D28" s="20">
        <v>23</v>
      </c>
      <c r="E28" s="21">
        <v>7766751</v>
      </c>
      <c r="F28" s="17"/>
    </row>
    <row r="29" spans="2:6" ht="15">
      <c r="B29" s="18" t="str">
        <f t="shared" si="0"/>
        <v>Directivo 24</v>
      </c>
      <c r="C29" s="19" t="s">
        <v>4</v>
      </c>
      <c r="D29" s="20">
        <v>24</v>
      </c>
      <c r="E29" s="21">
        <v>8374274</v>
      </c>
      <c r="F29" s="17"/>
    </row>
    <row r="30" spans="2:6" ht="15">
      <c r="B30" s="18" t="str">
        <f t="shared" si="0"/>
        <v>Directivo 25</v>
      </c>
      <c r="C30" s="19" t="s">
        <v>4</v>
      </c>
      <c r="D30" s="20">
        <v>25</v>
      </c>
      <c r="E30" s="21">
        <v>8809736</v>
      </c>
      <c r="F30" s="17"/>
    </row>
    <row r="31" spans="2:6" ht="15">
      <c r="B31" s="18" t="str">
        <f t="shared" si="0"/>
        <v>Directivo 26</v>
      </c>
      <c r="C31" s="19" t="s">
        <v>4</v>
      </c>
      <c r="D31" s="20">
        <v>26</v>
      </c>
      <c r="E31" s="21">
        <v>9246513</v>
      </c>
      <c r="F31" s="17"/>
    </row>
    <row r="32" spans="2:6" ht="15">
      <c r="B32" s="18" t="str">
        <f t="shared" si="0"/>
        <v>Directivo 27</v>
      </c>
      <c r="C32" s="19" t="s">
        <v>4</v>
      </c>
      <c r="D32" s="20">
        <v>27</v>
      </c>
      <c r="E32" s="21">
        <v>9761707</v>
      </c>
      <c r="F32" s="17"/>
    </row>
    <row r="33" spans="2:6" ht="15">
      <c r="B33" s="18" t="str">
        <f t="shared" si="0"/>
        <v>Asesor 1</v>
      </c>
      <c r="C33" s="19" t="s">
        <v>1292</v>
      </c>
      <c r="D33" s="20">
        <v>1</v>
      </c>
      <c r="E33" s="21">
        <v>2179619</v>
      </c>
      <c r="F33" s="17"/>
    </row>
    <row r="34" spans="2:6" ht="15">
      <c r="B34" s="18" t="str">
        <f t="shared" si="0"/>
        <v>Asesor 2</v>
      </c>
      <c r="C34" s="19" t="s">
        <v>1292</v>
      </c>
      <c r="D34" s="20">
        <v>2</v>
      </c>
      <c r="E34" s="21">
        <v>2357013</v>
      </c>
      <c r="F34" s="17"/>
    </row>
    <row r="35" spans="2:6" ht="15">
      <c r="B35" s="18" t="str">
        <f t="shared" si="0"/>
        <v>Asesor 3</v>
      </c>
      <c r="C35" s="19" t="s">
        <v>1292</v>
      </c>
      <c r="D35" s="20">
        <v>3</v>
      </c>
      <c r="E35" s="21">
        <v>2572258</v>
      </c>
      <c r="F35" s="17"/>
    </row>
    <row r="36" spans="2:6" ht="15">
      <c r="B36" s="18" t="str">
        <f t="shared" si="0"/>
        <v>Asesor 4</v>
      </c>
      <c r="C36" s="19" t="s">
        <v>1292</v>
      </c>
      <c r="D36" s="20">
        <v>4</v>
      </c>
      <c r="E36" s="21">
        <v>2927532</v>
      </c>
      <c r="F36" s="17"/>
    </row>
    <row r="37" spans="2:6" ht="15">
      <c r="B37" s="18" t="str">
        <f t="shared" si="0"/>
        <v>Asesor 5</v>
      </c>
      <c r="C37" s="19" t="s">
        <v>1292</v>
      </c>
      <c r="D37" s="20">
        <v>5</v>
      </c>
      <c r="E37" s="21">
        <v>3002689</v>
      </c>
      <c r="F37" s="17"/>
    </row>
    <row r="38" spans="2:6" ht="15">
      <c r="B38" s="18" t="str">
        <f t="shared" si="0"/>
        <v>Asesor 6</v>
      </c>
      <c r="C38" s="19" t="s">
        <v>1292</v>
      </c>
      <c r="D38" s="20">
        <v>6</v>
      </c>
      <c r="E38" s="21">
        <v>3399927</v>
      </c>
      <c r="F38" s="17"/>
    </row>
    <row r="39" spans="2:6" ht="15">
      <c r="B39" s="18" t="str">
        <f t="shared" si="0"/>
        <v>Asesor 7</v>
      </c>
      <c r="C39" s="19" t="s">
        <v>1292</v>
      </c>
      <c r="D39" s="20">
        <v>7</v>
      </c>
      <c r="E39" s="21">
        <v>3795848</v>
      </c>
      <c r="F39" s="17"/>
    </row>
    <row r="40" spans="2:6" ht="15">
      <c r="B40" s="18" t="str">
        <f t="shared" si="0"/>
        <v>Asesor 8</v>
      </c>
      <c r="C40" s="19" t="s">
        <v>1292</v>
      </c>
      <c r="D40" s="20">
        <v>8</v>
      </c>
      <c r="E40" s="21">
        <v>4154020</v>
      </c>
      <c r="F40" s="17"/>
    </row>
    <row r="41" spans="2:6" ht="15">
      <c r="B41" s="18" t="str">
        <f t="shared" si="0"/>
        <v>Asesor 9</v>
      </c>
      <c r="C41" s="19" t="s">
        <v>1292</v>
      </c>
      <c r="D41" s="20">
        <v>9</v>
      </c>
      <c r="E41" s="21">
        <v>4365588</v>
      </c>
      <c r="F41" s="17"/>
    </row>
    <row r="42" spans="2:6" ht="15">
      <c r="B42" s="18" t="str">
        <f t="shared" si="0"/>
        <v>Asesor 10</v>
      </c>
      <c r="C42" s="19" t="s">
        <v>1292</v>
      </c>
      <c r="D42" s="20">
        <v>10</v>
      </c>
      <c r="E42" s="21">
        <v>4539658</v>
      </c>
      <c r="F42" s="17"/>
    </row>
    <row r="43" spans="2:6" ht="15">
      <c r="B43" s="18" t="str">
        <f t="shared" si="0"/>
        <v>Asesor 11</v>
      </c>
      <c r="C43" s="19" t="s">
        <v>1292</v>
      </c>
      <c r="D43" s="20">
        <v>11</v>
      </c>
      <c r="E43" s="21">
        <v>4773304</v>
      </c>
      <c r="F43" s="17"/>
    </row>
    <row r="44" spans="2:6" ht="15">
      <c r="B44" s="18" t="str">
        <f t="shared" si="0"/>
        <v>Asesor 12</v>
      </c>
      <c r="C44" s="19" t="s">
        <v>1292</v>
      </c>
      <c r="D44" s="20">
        <v>12</v>
      </c>
      <c r="E44" s="21">
        <v>5013419</v>
      </c>
      <c r="F44" s="17"/>
    </row>
    <row r="45" spans="2:6" ht="15">
      <c r="B45" s="18" t="str">
        <f t="shared" si="0"/>
        <v>Asesor 13</v>
      </c>
      <c r="C45" s="19" t="s">
        <v>1292</v>
      </c>
      <c r="D45" s="20">
        <v>13</v>
      </c>
      <c r="E45" s="21">
        <v>5496701</v>
      </c>
      <c r="F45" s="17"/>
    </row>
    <row r="46" spans="2:6" ht="15">
      <c r="B46" s="18" t="str">
        <f t="shared" si="0"/>
        <v>Asesor 14</v>
      </c>
      <c r="C46" s="19" t="s">
        <v>1292</v>
      </c>
      <c r="D46" s="20">
        <v>14</v>
      </c>
      <c r="E46" s="21">
        <v>5802065</v>
      </c>
      <c r="F46" s="17"/>
    </row>
    <row r="47" spans="2:6" ht="15">
      <c r="B47" s="18" t="str">
        <f t="shared" si="0"/>
        <v>Asesor 15</v>
      </c>
      <c r="C47" s="19" t="s">
        <v>1292</v>
      </c>
      <c r="D47" s="20">
        <v>15</v>
      </c>
      <c r="E47" s="21">
        <v>5921433</v>
      </c>
      <c r="F47" s="17"/>
    </row>
    <row r="48" spans="2:6" ht="15">
      <c r="B48" s="18" t="str">
        <f t="shared" si="0"/>
        <v>Asesor 16</v>
      </c>
      <c r="C48" s="19" t="s">
        <v>1292</v>
      </c>
      <c r="D48" s="20">
        <v>16</v>
      </c>
      <c r="E48" s="21">
        <v>6506604</v>
      </c>
      <c r="F48" s="17"/>
    </row>
    <row r="49" spans="2:6" ht="15">
      <c r="B49" s="18" t="str">
        <f t="shared" si="0"/>
        <v>Asesor 17</v>
      </c>
      <c r="C49" s="19" t="s">
        <v>1292</v>
      </c>
      <c r="D49" s="20">
        <v>17</v>
      </c>
      <c r="E49" s="21">
        <v>7188672</v>
      </c>
      <c r="F49" s="17"/>
    </row>
    <row r="50" spans="2:6" ht="15">
      <c r="B50" s="18" t="str">
        <f t="shared" si="0"/>
        <v>Asesor 18</v>
      </c>
      <c r="C50" s="19" t="s">
        <v>1292</v>
      </c>
      <c r="D50" s="20">
        <v>18</v>
      </c>
      <c r="E50" s="21">
        <v>7802839</v>
      </c>
      <c r="F50" s="17"/>
    </row>
    <row r="51" spans="2:6" ht="15">
      <c r="B51" s="18" t="str">
        <f t="shared" si="0"/>
        <v>Profesional  1</v>
      </c>
      <c r="C51" s="19" t="s">
        <v>1293</v>
      </c>
      <c r="D51" s="20">
        <v>1</v>
      </c>
      <c r="E51" s="21">
        <v>1315939</v>
      </c>
      <c r="F51" s="17"/>
    </row>
    <row r="52" spans="2:6" ht="15">
      <c r="B52" s="18" t="str">
        <f t="shared" si="0"/>
        <v>Profesional  2</v>
      </c>
      <c r="C52" s="19" t="s">
        <v>1293</v>
      </c>
      <c r="D52" s="20">
        <v>2</v>
      </c>
      <c r="E52" s="21">
        <v>1454601</v>
      </c>
      <c r="F52" s="17"/>
    </row>
    <row r="53" spans="2:6" ht="15">
      <c r="B53" s="18" t="str">
        <f t="shared" si="0"/>
        <v>Profesional  3</v>
      </c>
      <c r="C53" s="19" t="s">
        <v>1293</v>
      </c>
      <c r="D53" s="20">
        <v>3</v>
      </c>
      <c r="E53" s="21">
        <v>1520238</v>
      </c>
      <c r="F53" s="17"/>
    </row>
    <row r="54" spans="2:6" ht="15">
      <c r="B54" s="18" t="str">
        <f t="shared" si="0"/>
        <v>Profesional  4</v>
      </c>
      <c r="C54" s="19" t="s">
        <v>1293</v>
      </c>
      <c r="D54" s="20">
        <v>4</v>
      </c>
      <c r="E54" s="21">
        <v>1600782</v>
      </c>
      <c r="F54" s="17"/>
    </row>
    <row r="55" spans="2:6" ht="15">
      <c r="B55" s="18" t="str">
        <f t="shared" si="0"/>
        <v>Profesional  5</v>
      </c>
      <c r="C55" s="19" t="s">
        <v>1293</v>
      </c>
      <c r="D55" s="20">
        <v>5</v>
      </c>
      <c r="E55" s="21">
        <v>1693321</v>
      </c>
      <c r="F55" s="17"/>
    </row>
    <row r="56" spans="2:6" ht="15">
      <c r="B56" s="18" t="str">
        <f t="shared" si="0"/>
        <v>Profesional  6</v>
      </c>
      <c r="C56" s="19" t="s">
        <v>1293</v>
      </c>
      <c r="D56" s="20">
        <v>6</v>
      </c>
      <c r="E56" s="21">
        <v>1752286</v>
      </c>
      <c r="F56" s="17"/>
    </row>
    <row r="57" spans="2:6" ht="15">
      <c r="B57" s="18" t="str">
        <f t="shared" si="0"/>
        <v>Profesional  7</v>
      </c>
      <c r="C57" s="19" t="s">
        <v>1293</v>
      </c>
      <c r="D57" s="20">
        <v>7</v>
      </c>
      <c r="E57" s="21">
        <v>1839033</v>
      </c>
      <c r="F57" s="17"/>
    </row>
    <row r="58" spans="2:6" ht="15">
      <c r="B58" s="18" t="str">
        <f t="shared" si="0"/>
        <v>Profesional  8</v>
      </c>
      <c r="C58" s="19" t="s">
        <v>1293</v>
      </c>
      <c r="D58" s="20">
        <v>8</v>
      </c>
      <c r="E58" s="21">
        <v>1930469</v>
      </c>
      <c r="F58" s="17"/>
    </row>
    <row r="59" spans="2:6" ht="15">
      <c r="B59" s="18" t="str">
        <f t="shared" si="0"/>
        <v>Profesional  9</v>
      </c>
      <c r="C59" s="19" t="s">
        <v>1293</v>
      </c>
      <c r="D59" s="20">
        <v>9</v>
      </c>
      <c r="E59" s="21">
        <v>2013569</v>
      </c>
      <c r="F59" s="17"/>
    </row>
    <row r="60" spans="2:6" ht="15">
      <c r="B60" s="18" t="str">
        <f t="shared" si="0"/>
        <v>Profesional  10</v>
      </c>
      <c r="C60" s="19" t="s">
        <v>1293</v>
      </c>
      <c r="D60" s="20">
        <v>10</v>
      </c>
      <c r="E60" s="21">
        <v>2082275</v>
      </c>
      <c r="F60" s="17"/>
    </row>
    <row r="61" spans="2:6" ht="15">
      <c r="B61" s="22" t="str">
        <f t="shared" si="0"/>
        <v>Profesional  11</v>
      </c>
      <c r="C61" s="19" t="s">
        <v>1293</v>
      </c>
      <c r="D61" s="20">
        <v>11</v>
      </c>
      <c r="E61" s="21">
        <v>2169943</v>
      </c>
      <c r="F61" s="17"/>
    </row>
    <row r="62" spans="2:6" ht="15">
      <c r="B62" s="18" t="str">
        <f t="shared" si="0"/>
        <v>Profesional  12</v>
      </c>
      <c r="C62" s="19" t="s">
        <v>1293</v>
      </c>
      <c r="D62" s="20">
        <v>12</v>
      </c>
      <c r="E62" s="21">
        <v>2302196</v>
      </c>
      <c r="F62" s="17"/>
    </row>
    <row r="63" spans="2:6" ht="15">
      <c r="B63" s="22" t="str">
        <f t="shared" si="0"/>
        <v>Profesional  13</v>
      </c>
      <c r="C63" s="19" t="s">
        <v>1293</v>
      </c>
      <c r="D63" s="20">
        <v>13</v>
      </c>
      <c r="E63" s="21">
        <v>2494331</v>
      </c>
      <c r="F63" s="17"/>
    </row>
    <row r="64" spans="2:6" ht="15">
      <c r="B64" s="18" t="str">
        <f t="shared" si="0"/>
        <v>Profesional  14</v>
      </c>
      <c r="C64" s="19" t="s">
        <v>1293</v>
      </c>
      <c r="D64" s="20">
        <v>14</v>
      </c>
      <c r="E64" s="21">
        <v>2669283</v>
      </c>
      <c r="F64" s="17"/>
    </row>
    <row r="65" spans="2:6" ht="15">
      <c r="B65" s="18" t="str">
        <f t="shared" si="0"/>
        <v>Profesional  15</v>
      </c>
      <c r="C65" s="19" t="s">
        <v>1293</v>
      </c>
      <c r="D65" s="20">
        <v>15</v>
      </c>
      <c r="E65" s="21">
        <v>2951171</v>
      </c>
      <c r="F65" s="17"/>
    </row>
    <row r="66" spans="2:6" ht="15">
      <c r="B66" s="18" t="str">
        <f t="shared" si="0"/>
        <v>Profesional  16</v>
      </c>
      <c r="C66" s="19" t="s">
        <v>1293</v>
      </c>
      <c r="D66" s="20">
        <v>16</v>
      </c>
      <c r="E66" s="21">
        <v>3181780</v>
      </c>
      <c r="F66" s="17"/>
    </row>
    <row r="67" spans="2:6" ht="15">
      <c r="B67" s="18" t="str">
        <f t="shared" si="0"/>
        <v>Profesional  17</v>
      </c>
      <c r="C67" s="19" t="s">
        <v>1293</v>
      </c>
      <c r="D67" s="20">
        <v>17</v>
      </c>
      <c r="E67" s="21">
        <v>3346665</v>
      </c>
      <c r="F67" s="17"/>
    </row>
    <row r="68" spans="2:6" ht="15">
      <c r="B68" s="18" t="str">
        <f t="shared" si="0"/>
        <v>Profesional  18</v>
      </c>
      <c r="C68" s="19" t="s">
        <v>1293</v>
      </c>
      <c r="D68" s="20">
        <v>18</v>
      </c>
      <c r="E68" s="21">
        <v>3604191</v>
      </c>
      <c r="F68" s="17"/>
    </row>
    <row r="69" spans="2:6" ht="15">
      <c r="B69" s="18" t="str">
        <f t="shared" si="0"/>
        <v>Profesional  19</v>
      </c>
      <c r="C69" s="19" t="s">
        <v>1293</v>
      </c>
      <c r="D69" s="20">
        <v>19</v>
      </c>
      <c r="E69" s="21">
        <v>3876862</v>
      </c>
      <c r="F69" s="17"/>
    </row>
    <row r="70" spans="2:6" ht="15">
      <c r="B70" s="18" t="str">
        <f t="shared" ref="B70:B116" si="1">+CONCATENATE(C70," ",D70)</f>
        <v>Profesional  20</v>
      </c>
      <c r="C70" s="19" t="s">
        <v>1293</v>
      </c>
      <c r="D70" s="20">
        <v>20</v>
      </c>
      <c r="E70" s="21">
        <v>4173350</v>
      </c>
      <c r="F70" s="17"/>
    </row>
    <row r="71" spans="2:6" ht="15">
      <c r="B71" s="18" t="str">
        <f t="shared" si="1"/>
        <v>Profesional  21</v>
      </c>
      <c r="C71" s="19" t="s">
        <v>1293</v>
      </c>
      <c r="D71" s="20">
        <v>21</v>
      </c>
      <c r="E71" s="21">
        <v>4448103</v>
      </c>
      <c r="F71" s="17"/>
    </row>
    <row r="72" spans="2:6" ht="15">
      <c r="B72" s="18" t="str">
        <f t="shared" si="1"/>
        <v>Profesional  22</v>
      </c>
      <c r="C72" s="19" t="s">
        <v>1293</v>
      </c>
      <c r="D72" s="20">
        <v>22</v>
      </c>
      <c r="E72" s="21">
        <v>4784075</v>
      </c>
      <c r="F72" s="17"/>
    </row>
    <row r="73" spans="2:6" ht="15">
      <c r="B73" s="18" t="str">
        <f t="shared" si="1"/>
        <v>Profesional  23</v>
      </c>
      <c r="C73" s="19" t="s">
        <v>1293</v>
      </c>
      <c r="D73" s="20">
        <v>23</v>
      </c>
      <c r="E73" s="21">
        <v>5054940</v>
      </c>
      <c r="F73" s="17"/>
    </row>
    <row r="74" spans="2:6" ht="15">
      <c r="B74" s="18" t="str">
        <f t="shared" si="1"/>
        <v>Profesional  24</v>
      </c>
      <c r="C74" s="19" t="s">
        <v>1293</v>
      </c>
      <c r="D74" s="20">
        <v>24</v>
      </c>
      <c r="E74" s="21">
        <v>5450909</v>
      </c>
      <c r="F74" s="17"/>
    </row>
    <row r="75" spans="2:6" ht="15">
      <c r="B75" s="18" t="str">
        <f t="shared" si="1"/>
        <v>Técnico 1</v>
      </c>
      <c r="C75" s="19" t="s">
        <v>1294</v>
      </c>
      <c r="D75" s="20">
        <v>1</v>
      </c>
      <c r="E75" s="21">
        <f>566700*1.07</f>
        <v>606369</v>
      </c>
      <c r="F75" s="17"/>
    </row>
    <row r="76" spans="2:6" ht="15">
      <c r="B76" s="18" t="str">
        <f t="shared" si="1"/>
        <v>Técnico 2</v>
      </c>
      <c r="C76" s="19" t="s">
        <v>1294</v>
      </c>
      <c r="D76" s="20">
        <v>2</v>
      </c>
      <c r="E76" s="21">
        <v>613926</v>
      </c>
      <c r="F76" s="17"/>
    </row>
    <row r="77" spans="2:6" ht="15">
      <c r="B77" s="18" t="str">
        <f t="shared" si="1"/>
        <v>Técnico 3</v>
      </c>
      <c r="C77" s="19" t="s">
        <v>1294</v>
      </c>
      <c r="D77" s="20">
        <v>3</v>
      </c>
      <c r="E77" s="21">
        <v>689588</v>
      </c>
    </row>
    <row r="78" spans="2:6" ht="15">
      <c r="B78" s="18" t="str">
        <f t="shared" si="1"/>
        <v>Técnico 4</v>
      </c>
      <c r="C78" s="19" t="s">
        <v>1294</v>
      </c>
      <c r="D78" s="20">
        <v>4</v>
      </c>
      <c r="E78" s="21">
        <v>730670</v>
      </c>
    </row>
    <row r="79" spans="2:6" ht="15">
      <c r="B79" s="18" t="str">
        <f t="shared" si="1"/>
        <v>Técnico 5</v>
      </c>
      <c r="C79" s="19" t="s">
        <v>1294</v>
      </c>
      <c r="D79" s="20">
        <v>5</v>
      </c>
      <c r="E79" s="21">
        <v>777282</v>
      </c>
    </row>
    <row r="80" spans="2:6" ht="15">
      <c r="B80" s="18" t="str">
        <f t="shared" si="1"/>
        <v>Técnico 6</v>
      </c>
      <c r="C80" s="19" t="s">
        <v>1294</v>
      </c>
      <c r="D80" s="20">
        <v>6</v>
      </c>
      <c r="E80" s="21">
        <v>935516</v>
      </c>
    </row>
    <row r="81" spans="2:5" ht="15">
      <c r="B81" s="18" t="str">
        <f t="shared" si="1"/>
        <v>Técnico 7</v>
      </c>
      <c r="C81" s="19" t="s">
        <v>1294</v>
      </c>
      <c r="D81" s="20">
        <v>7</v>
      </c>
      <c r="E81" s="21">
        <v>996878</v>
      </c>
    </row>
    <row r="82" spans="2:5" ht="15">
      <c r="B82" s="18" t="str">
        <f t="shared" si="1"/>
        <v>Técnico 8</v>
      </c>
      <c r="C82" s="19" t="s">
        <v>1294</v>
      </c>
      <c r="D82" s="20">
        <v>8</v>
      </c>
      <c r="E82" s="21">
        <v>1022146</v>
      </c>
    </row>
    <row r="83" spans="2:5" ht="15">
      <c r="B83" s="18" t="str">
        <f t="shared" si="1"/>
        <v>Técnico 9</v>
      </c>
      <c r="C83" s="19" t="s">
        <v>1294</v>
      </c>
      <c r="D83" s="20">
        <v>9</v>
      </c>
      <c r="E83" s="21">
        <v>1124891</v>
      </c>
    </row>
    <row r="84" spans="2:5" ht="15">
      <c r="B84" s="18" t="str">
        <f t="shared" si="1"/>
        <v>Técnico 10</v>
      </c>
      <c r="C84" s="19" t="s">
        <v>1294</v>
      </c>
      <c r="D84" s="20">
        <v>10</v>
      </c>
      <c r="E84" s="21">
        <v>1177140</v>
      </c>
    </row>
    <row r="85" spans="2:5" ht="15">
      <c r="B85" s="18" t="str">
        <f t="shared" si="1"/>
        <v>Técnico 11</v>
      </c>
      <c r="C85" s="19" t="s">
        <v>1294</v>
      </c>
      <c r="D85" s="20">
        <v>11</v>
      </c>
      <c r="E85" s="21">
        <v>1240971</v>
      </c>
    </row>
    <row r="86" spans="2:5" ht="15">
      <c r="B86" s="18" t="str">
        <f t="shared" si="1"/>
        <v>Técnico 12</v>
      </c>
      <c r="C86" s="19" t="s">
        <v>1294</v>
      </c>
      <c r="D86" s="20">
        <v>12</v>
      </c>
      <c r="E86" s="21">
        <v>1315939</v>
      </c>
    </row>
    <row r="87" spans="2:5" ht="15">
      <c r="B87" s="18" t="str">
        <f t="shared" si="1"/>
        <v>Técnico 13</v>
      </c>
      <c r="C87" s="19" t="s">
        <v>1294</v>
      </c>
      <c r="D87" s="20">
        <v>13</v>
      </c>
      <c r="E87" s="21">
        <v>1403343</v>
      </c>
    </row>
    <row r="88" spans="2:5" ht="15">
      <c r="B88" s="18" t="str">
        <f t="shared" si="1"/>
        <v>Técnico 14</v>
      </c>
      <c r="C88" s="19" t="s">
        <v>1294</v>
      </c>
      <c r="D88" s="20">
        <v>14</v>
      </c>
      <c r="E88" s="21">
        <v>1454601</v>
      </c>
    </row>
    <row r="89" spans="2:5" ht="15">
      <c r="B89" s="18" t="str">
        <f t="shared" si="1"/>
        <v>Técnico 15</v>
      </c>
      <c r="C89" s="19" t="s">
        <v>1294</v>
      </c>
      <c r="D89" s="20">
        <v>15</v>
      </c>
      <c r="E89" s="21">
        <v>1520238</v>
      </c>
    </row>
    <row r="90" spans="2:5" ht="15">
      <c r="B90" s="18" t="str">
        <f t="shared" si="1"/>
        <v>Técnico 16</v>
      </c>
      <c r="C90" s="19" t="s">
        <v>1294</v>
      </c>
      <c r="D90" s="20">
        <v>16</v>
      </c>
      <c r="E90" s="21">
        <v>1717662</v>
      </c>
    </row>
    <row r="91" spans="2:5" ht="15">
      <c r="B91" s="18" t="str">
        <f t="shared" si="1"/>
        <v>Técnico 17</v>
      </c>
      <c r="C91" s="19" t="s">
        <v>1294</v>
      </c>
      <c r="D91" s="20">
        <v>17</v>
      </c>
      <c r="E91" s="21">
        <v>1838799</v>
      </c>
    </row>
    <row r="92" spans="2:5" ht="15">
      <c r="B92" s="18" t="str">
        <f t="shared" si="1"/>
        <v>Técnico 18</v>
      </c>
      <c r="C92" s="19" t="s">
        <v>1294</v>
      </c>
      <c r="D92" s="20">
        <v>18</v>
      </c>
      <c r="E92" s="21">
        <v>2020686</v>
      </c>
    </row>
    <row r="93" spans="2:5" ht="15">
      <c r="B93" s="18" t="str">
        <f t="shared" si="1"/>
        <v>Asistencial  1</v>
      </c>
      <c r="C93" s="19" t="s">
        <v>1295</v>
      </c>
      <c r="D93" s="20">
        <v>1</v>
      </c>
      <c r="E93" s="21">
        <v>566700</v>
      </c>
    </row>
    <row r="94" spans="2:5" ht="15">
      <c r="B94" s="18" t="str">
        <f t="shared" si="1"/>
        <v>Asistencial  2</v>
      </c>
      <c r="C94" s="19" t="s">
        <v>1295</v>
      </c>
      <c r="D94" s="20">
        <v>2</v>
      </c>
      <c r="E94" s="21">
        <v>566711</v>
      </c>
    </row>
    <row r="95" spans="2:5" ht="15">
      <c r="B95" s="18" t="str">
        <f t="shared" si="1"/>
        <v>Asistencial  3</v>
      </c>
      <c r="C95" s="19" t="s">
        <v>1295</v>
      </c>
      <c r="D95" s="20">
        <v>3</v>
      </c>
      <c r="E95" s="21">
        <v>566746</v>
      </c>
    </row>
    <row r="96" spans="2:5" ht="15">
      <c r="B96" s="18" t="str">
        <f t="shared" si="1"/>
        <v>Asistencial  4</v>
      </c>
      <c r="C96" s="19" t="s">
        <v>1295</v>
      </c>
      <c r="D96" s="20">
        <v>4</v>
      </c>
      <c r="E96" s="21">
        <v>568629</v>
      </c>
    </row>
    <row r="97" spans="2:5" ht="15">
      <c r="B97" s="18" t="str">
        <f t="shared" si="1"/>
        <v>Asistencial  5</v>
      </c>
      <c r="C97" s="19" t="s">
        <v>1295</v>
      </c>
      <c r="D97" s="20">
        <v>5</v>
      </c>
      <c r="E97" s="21">
        <v>576077</v>
      </c>
    </row>
    <row r="98" spans="2:5" ht="15">
      <c r="B98" s="18" t="str">
        <f t="shared" si="1"/>
        <v>Asistencial  6</v>
      </c>
      <c r="C98" s="19" t="s">
        <v>1295</v>
      </c>
      <c r="D98" s="20">
        <v>6</v>
      </c>
      <c r="E98" s="21">
        <v>630060</v>
      </c>
    </row>
    <row r="99" spans="2:5" ht="15">
      <c r="B99" s="18" t="str">
        <f t="shared" si="1"/>
        <v>Asistencial  7</v>
      </c>
      <c r="C99" s="19" t="s">
        <v>1295</v>
      </c>
      <c r="D99" s="20">
        <v>7</v>
      </c>
      <c r="E99" s="21">
        <v>689588</v>
      </c>
    </row>
    <row r="100" spans="2:5" ht="15">
      <c r="B100" s="18" t="str">
        <f t="shared" si="1"/>
        <v>Asistencial  8</v>
      </c>
      <c r="C100" s="19" t="s">
        <v>1295</v>
      </c>
      <c r="D100" s="20">
        <v>8</v>
      </c>
      <c r="E100" s="21">
        <v>730670</v>
      </c>
    </row>
    <row r="101" spans="2:5" ht="15">
      <c r="B101" s="18" t="str">
        <f t="shared" si="1"/>
        <v>Asistencial  9</v>
      </c>
      <c r="C101" s="19" t="s">
        <v>1295</v>
      </c>
      <c r="D101" s="20">
        <v>9</v>
      </c>
      <c r="E101" s="21">
        <v>777282</v>
      </c>
    </row>
    <row r="102" spans="2:5" ht="15">
      <c r="B102" s="18" t="str">
        <f t="shared" si="1"/>
        <v>Asistencial  10</v>
      </c>
      <c r="C102" s="19" t="s">
        <v>1295</v>
      </c>
      <c r="D102" s="20">
        <v>10</v>
      </c>
      <c r="E102" s="21">
        <v>854322</v>
      </c>
    </row>
    <row r="103" spans="2:5" ht="15">
      <c r="B103" s="18" t="str">
        <f t="shared" si="1"/>
        <v>Asistencial  11</v>
      </c>
      <c r="C103" s="19" t="s">
        <v>1295</v>
      </c>
      <c r="D103" s="20">
        <v>11</v>
      </c>
      <c r="E103" s="21">
        <v>922142</v>
      </c>
    </row>
    <row r="104" spans="2:5" ht="15">
      <c r="B104" s="18" t="str">
        <f t="shared" si="1"/>
        <v>Asistencial  12</v>
      </c>
      <c r="C104" s="19" t="s">
        <v>1295</v>
      </c>
      <c r="D104" s="20">
        <v>12</v>
      </c>
      <c r="E104" s="21">
        <v>990139</v>
      </c>
    </row>
    <row r="105" spans="2:5" ht="15">
      <c r="B105" s="18" t="str">
        <f t="shared" si="1"/>
        <v>Asistencial  13</v>
      </c>
      <c r="C105" s="19" t="s">
        <v>1295</v>
      </c>
      <c r="D105" s="20">
        <v>13</v>
      </c>
      <c r="E105" s="21">
        <v>1022146</v>
      </c>
    </row>
    <row r="106" spans="2:5" ht="15">
      <c r="B106" s="18" t="str">
        <f t="shared" si="1"/>
        <v>Asistencial  14</v>
      </c>
      <c r="C106" s="19" t="s">
        <v>1295</v>
      </c>
      <c r="D106" s="20">
        <v>14</v>
      </c>
      <c r="E106" s="21">
        <v>1044537</v>
      </c>
    </row>
    <row r="107" spans="2:5" ht="15">
      <c r="B107" s="18" t="str">
        <f t="shared" si="1"/>
        <v>Asistencial  15</v>
      </c>
      <c r="C107" s="19" t="s">
        <v>1295</v>
      </c>
      <c r="D107" s="20">
        <v>15</v>
      </c>
      <c r="E107" s="21">
        <v>1077005</v>
      </c>
    </row>
    <row r="108" spans="2:5" ht="15">
      <c r="B108" s="18" t="str">
        <f t="shared" si="1"/>
        <v>Asistencial  16</v>
      </c>
      <c r="C108" s="19" t="s">
        <v>1295</v>
      </c>
      <c r="D108" s="20">
        <v>16</v>
      </c>
      <c r="E108" s="21">
        <v>1124891</v>
      </c>
    </row>
    <row r="109" spans="2:5" ht="15">
      <c r="B109" s="18" t="str">
        <f t="shared" si="1"/>
        <v>Asistencial  17</v>
      </c>
      <c r="C109" s="19" t="s">
        <v>1295</v>
      </c>
      <c r="D109" s="20">
        <v>17</v>
      </c>
      <c r="E109" s="21">
        <v>1148647</v>
      </c>
    </row>
    <row r="110" spans="2:5" ht="15">
      <c r="B110" s="18" t="str">
        <f t="shared" si="1"/>
        <v>Asistencial  18</v>
      </c>
      <c r="C110" s="19" t="s">
        <v>1295</v>
      </c>
      <c r="D110" s="20">
        <v>18</v>
      </c>
      <c r="E110" s="21">
        <v>1177140</v>
      </c>
    </row>
    <row r="111" spans="2:5" ht="15">
      <c r="B111" s="18" t="str">
        <f t="shared" si="1"/>
        <v>Asistencial  19</v>
      </c>
      <c r="C111" s="19" t="s">
        <v>1295</v>
      </c>
      <c r="D111" s="20">
        <v>19</v>
      </c>
      <c r="E111" s="21">
        <v>1207504</v>
      </c>
    </row>
    <row r="112" spans="2:5" ht="15">
      <c r="B112" s="18" t="str">
        <f t="shared" si="1"/>
        <v>Asistencial  20</v>
      </c>
      <c r="C112" s="19" t="s">
        <v>1295</v>
      </c>
      <c r="D112" s="20">
        <v>20</v>
      </c>
      <c r="E112" s="21">
        <v>1245020</v>
      </c>
    </row>
    <row r="113" spans="2:5" ht="15">
      <c r="B113" s="18" t="str">
        <f t="shared" si="1"/>
        <v>Asistencial  21</v>
      </c>
      <c r="C113" s="19" t="s">
        <v>1295</v>
      </c>
      <c r="D113" s="20">
        <v>21</v>
      </c>
      <c r="E113" s="21">
        <v>1297418</v>
      </c>
    </row>
    <row r="114" spans="2:5" ht="15">
      <c r="B114" s="18" t="str">
        <f t="shared" si="1"/>
        <v>Asistencial  22</v>
      </c>
      <c r="C114" s="19" t="s">
        <v>1295</v>
      </c>
      <c r="D114" s="20">
        <v>22</v>
      </c>
      <c r="E114" s="21">
        <v>1376801</v>
      </c>
    </row>
    <row r="115" spans="2:5" ht="15">
      <c r="B115" s="18" t="str">
        <f t="shared" si="1"/>
        <v>Asistencial  23</v>
      </c>
      <c r="C115" s="19" t="s">
        <v>1295</v>
      </c>
      <c r="D115" s="20">
        <v>23</v>
      </c>
      <c r="E115" s="21">
        <v>1520238</v>
      </c>
    </row>
    <row r="116" spans="2:5" ht="15">
      <c r="B116" s="18" t="str">
        <f t="shared" si="1"/>
        <v>Asistencial  24</v>
      </c>
      <c r="C116" s="19" t="s">
        <v>1295</v>
      </c>
      <c r="D116" s="20">
        <v>24</v>
      </c>
      <c r="E116" s="21">
        <v>1658141</v>
      </c>
    </row>
    <row r="117" spans="2:5" ht="15">
      <c r="B117" s="18" t="str">
        <f>+CONCATENATE(C117," ",D117)</f>
        <v>Asistencial  25</v>
      </c>
      <c r="C117" s="19" t="s">
        <v>1295</v>
      </c>
      <c r="D117" s="20">
        <v>25</v>
      </c>
      <c r="E117" s="21">
        <v>1839033</v>
      </c>
    </row>
    <row r="118" spans="2:5" ht="15.75" thickBot="1">
      <c r="B118" s="23" t="str">
        <f>+CONCATENATE(C118," ",D118)</f>
        <v>Asistencial  26</v>
      </c>
      <c r="C118" s="24" t="s">
        <v>1295</v>
      </c>
      <c r="D118" s="25">
        <v>26</v>
      </c>
      <c r="E118" s="26">
        <v>2000635</v>
      </c>
    </row>
    <row r="119" spans="2:5" ht="15.75" thickBot="1">
      <c r="B119" s="286" t="s">
        <v>33</v>
      </c>
      <c r="C119" s="287"/>
      <c r="D119" s="288"/>
      <c r="E119" s="289">
        <f>+'Componentes T.H.'!D25</f>
        <v>589500</v>
      </c>
    </row>
    <row r="120" spans="2:5" ht="15"/>
  </sheetData>
  <mergeCells count="3">
    <mergeCell ref="B1:E1"/>
    <mergeCell ref="B2:E2"/>
    <mergeCell ref="C3:E3"/>
  </mergeCells>
  <hyperlinks>
    <hyperlink ref="B4" location="'Hoja índice'!A1" display="Indic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4"/>
    <outlinePr summaryRight="0"/>
    <pageSetUpPr fitToPage="1"/>
  </sheetPr>
  <dimension ref="A1:AL146"/>
  <sheetViews>
    <sheetView showGridLines="0" zoomScale="85" zoomScaleNormal="85" zoomScaleSheetLayoutView="70" workbookViewId="0">
      <selection activeCell="D24" sqref="D24"/>
    </sheetView>
  </sheetViews>
  <sheetFormatPr baseColWidth="10" defaultRowHeight="16.5" zeroHeight="1" outlineLevelCol="1"/>
  <cols>
    <col min="1" max="1" width="5.5703125" style="34" customWidth="1"/>
    <col min="2" max="2" width="45.85546875" style="34" customWidth="1"/>
    <col min="3" max="3" width="23" style="34" customWidth="1"/>
    <col min="4" max="4" width="11.42578125" style="34" bestFit="1" customWidth="1" collapsed="1"/>
    <col min="5" max="7" width="16.5703125" style="34" hidden="1" customWidth="1" outlineLevel="1"/>
    <col min="8" max="8" width="9" style="34" hidden="1" customWidth="1" outlineLevel="1"/>
    <col min="9" max="9" width="11.28515625" style="34" hidden="1" customWidth="1" outlineLevel="1"/>
    <col min="10" max="10" width="13.7109375" style="34" hidden="1" customWidth="1" outlineLevel="1"/>
    <col min="11" max="11" width="12.7109375" style="34" hidden="1" customWidth="1" outlineLevel="1"/>
    <col min="12" max="12" width="10" style="34" hidden="1" customWidth="1" outlineLevel="1"/>
    <col min="13" max="13" width="16.5703125" style="34" hidden="1" customWidth="1" outlineLevel="1"/>
    <col min="14" max="14" width="11.42578125" style="34" hidden="1" customWidth="1" outlineLevel="1"/>
    <col min="15" max="15" width="12.28515625" style="34" hidden="1" customWidth="1" outlineLevel="1"/>
    <col min="16" max="16" width="12.7109375" style="34" hidden="1" customWidth="1" outlineLevel="1"/>
    <col min="17" max="17" width="13.28515625" style="34" customWidth="1" collapsed="1"/>
    <col min="18" max="18" width="14.28515625" style="34" customWidth="1"/>
    <col min="19" max="19" width="7" style="34" customWidth="1"/>
    <col min="20" max="20" width="16" style="34" customWidth="1"/>
    <col min="21" max="21" width="12.140625" style="34" customWidth="1"/>
    <col min="22" max="22" width="14.85546875" style="34" bestFit="1" customWidth="1"/>
    <col min="23" max="16384" width="11.42578125" style="34"/>
  </cols>
  <sheetData>
    <row r="1" spans="1:38">
      <c r="A1" s="33"/>
      <c r="B1" s="4" t="s">
        <v>1555</v>
      </c>
      <c r="C1" s="217">
        <v>2</v>
      </c>
      <c r="D1" s="217">
        <v>3</v>
      </c>
      <c r="E1" s="217">
        <v>4</v>
      </c>
      <c r="F1" s="217">
        <v>5</v>
      </c>
      <c r="G1" s="217">
        <v>6</v>
      </c>
      <c r="H1" s="217">
        <v>7</v>
      </c>
      <c r="I1" s="217">
        <v>8</v>
      </c>
      <c r="J1" s="217">
        <v>9</v>
      </c>
      <c r="K1" s="217">
        <v>10</v>
      </c>
      <c r="L1" s="217">
        <v>11</v>
      </c>
      <c r="M1" s="217"/>
      <c r="N1" s="217">
        <v>12</v>
      </c>
      <c r="O1" s="217">
        <v>13</v>
      </c>
      <c r="P1" s="217">
        <v>14</v>
      </c>
      <c r="Q1" s="217">
        <v>16</v>
      </c>
      <c r="R1" s="217">
        <v>16</v>
      </c>
    </row>
    <row r="2" spans="1:38" ht="18.75" customHeight="1">
      <c r="B2" s="33" t="s">
        <v>5</v>
      </c>
      <c r="C2" s="33"/>
    </row>
    <row r="3" spans="1:38" ht="6" customHeight="1" thickBot="1">
      <c r="D3" s="34">
        <f>+'Parametros Generales'!C28</f>
        <v>1.03</v>
      </c>
    </row>
    <row r="4" spans="1:38" ht="66.75" thickBot="1">
      <c r="B4" s="92" t="s">
        <v>6</v>
      </c>
      <c r="C4" s="1068" t="s">
        <v>7</v>
      </c>
      <c r="D4" s="84" t="s">
        <v>8</v>
      </c>
      <c r="E4" s="85" t="s">
        <v>9</v>
      </c>
      <c r="F4" s="85" t="s">
        <v>10</v>
      </c>
      <c r="G4" s="85" t="s">
        <v>11</v>
      </c>
      <c r="H4" s="85" t="s">
        <v>12</v>
      </c>
      <c r="I4" s="85" t="s">
        <v>13</v>
      </c>
      <c r="J4" s="85" t="s">
        <v>14</v>
      </c>
      <c r="K4" s="85" t="s">
        <v>15</v>
      </c>
      <c r="L4" s="85" t="s">
        <v>16</v>
      </c>
      <c r="M4" s="296" t="s">
        <v>1286</v>
      </c>
      <c r="N4" s="86" t="s">
        <v>17</v>
      </c>
      <c r="O4" s="44" t="s">
        <v>18</v>
      </c>
      <c r="P4" s="44" t="s">
        <v>19</v>
      </c>
      <c r="Q4" s="86" t="s">
        <v>20</v>
      </c>
      <c r="R4" s="44" t="s">
        <v>21</v>
      </c>
      <c r="S4" s="44" t="s">
        <v>22</v>
      </c>
      <c r="T4" s="44" t="s">
        <v>23</v>
      </c>
      <c r="U4" s="44" t="s">
        <v>24</v>
      </c>
      <c r="V4" s="44" t="s">
        <v>25</v>
      </c>
      <c r="W4" s="610"/>
      <c r="X4" s="610"/>
      <c r="Y4" s="610"/>
      <c r="Z4" s="610"/>
      <c r="AA4" s="610"/>
      <c r="AB4" s="610"/>
      <c r="AC4" s="610"/>
      <c r="AD4" s="610"/>
      <c r="AE4" s="610"/>
      <c r="AF4" s="610"/>
      <c r="AG4" s="610"/>
      <c r="AH4" s="1051" t="s">
        <v>1201</v>
      </c>
      <c r="AI4" s="1052"/>
      <c r="AJ4" s="1053"/>
      <c r="AK4" s="610"/>
      <c r="AL4" s="610"/>
    </row>
    <row r="5" spans="1:38" ht="17.25" thickBot="1">
      <c r="B5" s="93"/>
      <c r="C5" s="1069"/>
      <c r="D5" s="87"/>
      <c r="E5" s="88"/>
      <c r="F5" s="89">
        <v>8.5000000000000006E-2</v>
      </c>
      <c r="G5" s="89">
        <v>0.12</v>
      </c>
      <c r="H5" s="89">
        <v>5.1999999999999998E-3</v>
      </c>
      <c r="I5" s="89">
        <v>8.3299999999999999E-2</v>
      </c>
      <c r="J5" s="90">
        <v>0.01</v>
      </c>
      <c r="K5" s="89">
        <v>4.1666666666666699E-2</v>
      </c>
      <c r="L5" s="298">
        <v>8.3299999999999999E-2</v>
      </c>
      <c r="M5" s="299">
        <v>0.09</v>
      </c>
      <c r="N5" s="91"/>
      <c r="O5" s="45"/>
      <c r="P5" s="45"/>
      <c r="Q5" s="91"/>
      <c r="R5" s="45"/>
      <c r="S5" s="45"/>
      <c r="T5" s="45"/>
      <c r="U5" s="45"/>
      <c r="V5" s="45"/>
      <c r="W5" s="610"/>
      <c r="X5" s="610"/>
      <c r="Y5" s="610"/>
      <c r="Z5" s="610"/>
      <c r="AA5" s="610"/>
      <c r="AB5" s="610"/>
      <c r="AC5" s="610"/>
      <c r="AD5" s="610"/>
      <c r="AE5" s="610"/>
      <c r="AF5" s="610"/>
      <c r="AG5" s="610"/>
      <c r="AH5" s="610"/>
      <c r="AI5" s="610"/>
      <c r="AJ5" s="610"/>
      <c r="AK5" s="610"/>
      <c r="AL5" s="610"/>
    </row>
    <row r="6" spans="1:38" s="821" customFormat="1" ht="17.25" hidden="1" thickBot="1">
      <c r="B6" s="46"/>
      <c r="C6" s="47"/>
      <c r="D6" s="822"/>
      <c r="E6" s="823"/>
      <c r="F6" s="823"/>
      <c r="G6" s="823"/>
      <c r="H6" s="823"/>
      <c r="I6" s="823"/>
      <c r="J6" s="823"/>
      <c r="K6" s="823"/>
      <c r="L6" s="823"/>
      <c r="M6" s="824"/>
      <c r="N6" s="825"/>
      <c r="O6" s="826"/>
      <c r="P6" s="824"/>
      <c r="Q6" s="825"/>
      <c r="R6" s="827"/>
      <c r="S6" s="828"/>
      <c r="T6" s="829"/>
      <c r="U6" s="830"/>
      <c r="V6" s="831">
        <f t="shared" ref="V6:V10" si="0">+T6*S6*Q6*U6</f>
        <v>0</v>
      </c>
      <c r="W6" s="758"/>
      <c r="X6" s="758"/>
      <c r="Y6" s="758"/>
      <c r="Z6" s="758"/>
      <c r="AA6" s="758"/>
      <c r="AB6" s="758"/>
      <c r="AC6" s="758"/>
      <c r="AD6" s="758"/>
      <c r="AE6" s="758"/>
      <c r="AF6" s="758"/>
      <c r="AG6" s="758"/>
      <c r="AH6" s="758"/>
      <c r="AI6" s="758"/>
      <c r="AJ6" s="758"/>
      <c r="AK6" s="758"/>
      <c r="AL6" s="758"/>
    </row>
    <row r="7" spans="1:38" s="821" customFormat="1" hidden="1">
      <c r="B7" s="46"/>
      <c r="C7" s="47"/>
      <c r="D7" s="822"/>
      <c r="E7" s="823"/>
      <c r="F7" s="823"/>
      <c r="G7" s="823"/>
      <c r="H7" s="823"/>
      <c r="I7" s="823"/>
      <c r="J7" s="823"/>
      <c r="K7" s="823"/>
      <c r="L7" s="823"/>
      <c r="M7" s="824"/>
      <c r="N7" s="825"/>
      <c r="O7" s="826"/>
      <c r="P7" s="824"/>
      <c r="Q7" s="825"/>
      <c r="R7" s="827"/>
      <c r="S7" s="828"/>
      <c r="T7" s="832"/>
      <c r="U7" s="830"/>
      <c r="V7" s="831">
        <f t="shared" si="0"/>
        <v>0</v>
      </c>
      <c r="W7" s="758"/>
      <c r="X7" s="758"/>
      <c r="Y7" s="758"/>
      <c r="Z7" s="758"/>
      <c r="AA7" s="758"/>
      <c r="AB7" s="758"/>
      <c r="AC7" s="758"/>
      <c r="AD7" s="758"/>
      <c r="AE7" s="758"/>
      <c r="AF7" s="758"/>
      <c r="AG7" s="758"/>
      <c r="AH7" s="833">
        <v>1</v>
      </c>
      <c r="AI7" s="834">
        <v>2000</v>
      </c>
      <c r="AJ7" s="835">
        <v>0.4</v>
      </c>
      <c r="AK7" s="758"/>
      <c r="AL7" s="758"/>
    </row>
    <row r="8" spans="1:38" s="35" customFormat="1">
      <c r="B8" s="46" t="s">
        <v>1291</v>
      </c>
      <c r="C8" s="47" t="s">
        <v>1296</v>
      </c>
      <c r="D8" s="48">
        <f>((+IFERROR(VLOOKUP(C8,'Salarios de Ref'!$B$6:$E$119,4,0),0)))*'Parametros Generales'!C28</f>
        <v>1355417.17</v>
      </c>
      <c r="E8" s="49">
        <f>(IF(D8&gt;0,IF(D8&lt;=($D$25*2),$D$26,0),0))*'Parametros Generales'!C28</f>
        <v>0</v>
      </c>
      <c r="F8" s="49">
        <f t="shared" ref="F8:H9" si="1">($D8*F$5)</f>
        <v>115210.45944999999</v>
      </c>
      <c r="G8" s="49">
        <f t="shared" si="1"/>
        <v>162650.06039999999</v>
      </c>
      <c r="H8" s="49">
        <f t="shared" si="1"/>
        <v>7048.1692839999996</v>
      </c>
      <c r="I8" s="49">
        <f t="shared" ref="I8:J9" si="2">(($D8+$E8)*I$5)</f>
        <v>112906.25026099999</v>
      </c>
      <c r="J8" s="49">
        <f t="shared" si="2"/>
        <v>13554.171699999999</v>
      </c>
      <c r="K8" s="49">
        <f t="shared" ref="K8:K9" si="3">($D8*K$5)</f>
        <v>56475.71541666671</v>
      </c>
      <c r="L8" s="49">
        <f t="shared" ref="L8:L9" si="4">(($D8+$E8)*L$5)</f>
        <v>112906.25026099999</v>
      </c>
      <c r="M8" s="52">
        <f t="shared" ref="M8:M9" si="5">+D8*M$5</f>
        <v>121987.54529999998</v>
      </c>
      <c r="N8" s="50">
        <f t="shared" ref="N8:N9" si="6">SUM(D8:M8)</f>
        <v>2058155.7920726666</v>
      </c>
      <c r="O8" s="51">
        <f t="shared" ref="O8:O22" si="7">IFERROR(N8/D8,0)</f>
        <v>1.5184666666666666</v>
      </c>
      <c r="P8" s="52">
        <f t="shared" ref="P8:P9" si="8">IF(D8&gt;0,IF(D8&lt;=($D$25*2),$D$27,0),0)</f>
        <v>0</v>
      </c>
      <c r="Q8" s="53">
        <f t="shared" ref="Q8:Q9" si="9">N8+P8</f>
        <v>2058155.7920726666</v>
      </c>
      <c r="R8" s="54">
        <f t="shared" ref="R8:R22" si="10">IFERROR(Q8/D8,0)</f>
        <v>1.5184666666666666</v>
      </c>
      <c r="S8" s="55">
        <f>+'Parametros Generales'!$C$6</f>
        <v>6.5</v>
      </c>
      <c r="T8" s="37">
        <v>1</v>
      </c>
      <c r="U8" s="36">
        <f>+'Cost x Depart'!Q72</f>
        <v>14.999999999999998</v>
      </c>
      <c r="V8" s="56">
        <f t="shared" si="0"/>
        <v>200670189.72708496</v>
      </c>
      <c r="W8" s="610"/>
      <c r="X8" s="610"/>
      <c r="Y8" s="610"/>
      <c r="Z8" s="610"/>
      <c r="AA8" s="610"/>
      <c r="AB8" s="610"/>
      <c r="AC8" s="610"/>
      <c r="AD8" s="610"/>
      <c r="AE8" s="610"/>
      <c r="AF8" s="610"/>
      <c r="AG8" s="610"/>
      <c r="AH8" s="436">
        <f>+AI7+1</f>
        <v>2001</v>
      </c>
      <c r="AI8" s="424">
        <f>+AI7+3000</f>
        <v>5000</v>
      </c>
      <c r="AJ8" s="646">
        <v>0.6</v>
      </c>
      <c r="AK8" s="610"/>
      <c r="AL8" s="610"/>
    </row>
    <row r="9" spans="1:38" s="35" customFormat="1" ht="17.25" thickBot="1">
      <c r="B9" s="46" t="s">
        <v>32</v>
      </c>
      <c r="C9" s="47" t="s">
        <v>1297</v>
      </c>
      <c r="D9" s="48">
        <f>((+IFERROR(VLOOKUP(C9,'Salarios de Ref'!$B$6:$E$119,4,0),0)))*'Parametros Generales'!C28</f>
        <v>624560.07000000007</v>
      </c>
      <c r="E9" s="49">
        <f>(IF(D9&gt;0,IF(D9&lt;=($D$25*2),$D$26,0),0))*'Parametros Generales'!C28</f>
        <v>72615</v>
      </c>
      <c r="F9" s="49">
        <f t="shared" si="1"/>
        <v>53087.605950000012</v>
      </c>
      <c r="G9" s="49">
        <f t="shared" si="1"/>
        <v>74947.208400000003</v>
      </c>
      <c r="H9" s="49">
        <f t="shared" si="1"/>
        <v>3247.712364</v>
      </c>
      <c r="I9" s="49">
        <f t="shared" si="2"/>
        <v>58074.683331000007</v>
      </c>
      <c r="J9" s="49">
        <f t="shared" si="2"/>
        <v>6971.7507000000005</v>
      </c>
      <c r="K9" s="49">
        <f t="shared" si="3"/>
        <v>26023.336250000022</v>
      </c>
      <c r="L9" s="49">
        <f t="shared" si="4"/>
        <v>58074.683331000007</v>
      </c>
      <c r="M9" s="52">
        <f t="shared" si="5"/>
        <v>56210.406300000002</v>
      </c>
      <c r="N9" s="50">
        <f t="shared" si="6"/>
        <v>1033812.4566260002</v>
      </c>
      <c r="O9" s="51">
        <f t="shared" si="7"/>
        <v>1.6552650518083876</v>
      </c>
      <c r="P9" s="837">
        <f t="shared" si="8"/>
        <v>26250</v>
      </c>
      <c r="Q9" s="53">
        <f t="shared" si="9"/>
        <v>1060062.4566260003</v>
      </c>
      <c r="R9" s="54">
        <f t="shared" si="10"/>
        <v>1.6972946359282948</v>
      </c>
      <c r="S9" s="55">
        <f>+'Parametros Generales'!$C$6</f>
        <v>6.5</v>
      </c>
      <c r="T9" s="37">
        <v>1</v>
      </c>
      <c r="U9" s="36">
        <f>+'Cost x Depart'!R72</f>
        <v>150</v>
      </c>
      <c r="V9" s="310">
        <f t="shared" si="0"/>
        <v>1033560895.2103503</v>
      </c>
      <c r="W9" s="610"/>
      <c r="X9" s="610"/>
      <c r="Y9" s="610"/>
      <c r="Z9" s="610"/>
      <c r="AA9" s="610"/>
      <c r="AB9" s="610"/>
      <c r="AC9" s="610"/>
      <c r="AD9" s="610"/>
      <c r="AE9" s="610"/>
      <c r="AF9" s="610"/>
      <c r="AG9" s="610"/>
      <c r="AH9" s="436">
        <f>+AI8+1</f>
        <v>5001</v>
      </c>
      <c r="AI9" s="424">
        <f>+AI8+4000</f>
        <v>9000</v>
      </c>
      <c r="AJ9" s="646">
        <v>0.8</v>
      </c>
      <c r="AK9" s="610"/>
      <c r="AL9" s="610"/>
    </row>
    <row r="10" spans="1:38" s="35" customFormat="1" ht="17.25" hidden="1" thickBot="1">
      <c r="B10" s="46"/>
      <c r="C10" s="47"/>
      <c r="D10" s="48"/>
      <c r="E10" s="49"/>
      <c r="F10" s="49"/>
      <c r="G10" s="49"/>
      <c r="H10" s="49"/>
      <c r="I10" s="49"/>
      <c r="J10" s="49"/>
      <c r="K10" s="49"/>
      <c r="L10" s="49"/>
      <c r="M10" s="52"/>
      <c r="N10" s="50"/>
      <c r="O10" s="51"/>
      <c r="P10" s="52"/>
      <c r="Q10" s="53"/>
      <c r="R10" s="54"/>
      <c r="S10" s="55"/>
      <c r="T10" s="37"/>
      <c r="U10" s="36"/>
      <c r="V10" s="56">
        <f t="shared" si="0"/>
        <v>0</v>
      </c>
      <c r="W10" s="610"/>
      <c r="X10" s="610"/>
      <c r="Y10" s="610"/>
      <c r="Z10" s="610"/>
      <c r="AA10" s="610"/>
      <c r="AB10" s="610"/>
      <c r="AC10" s="610"/>
      <c r="AD10" s="610"/>
      <c r="AE10" s="610"/>
      <c r="AF10" s="610"/>
      <c r="AG10" s="610"/>
      <c r="AH10" s="437">
        <v>9001</v>
      </c>
      <c r="AI10" s="425" t="s">
        <v>1202</v>
      </c>
      <c r="AJ10" s="647">
        <v>1</v>
      </c>
      <c r="AK10" s="610"/>
      <c r="AL10" s="610"/>
    </row>
    <row r="11" spans="1:38" s="821" customFormat="1" hidden="1">
      <c r="B11" s="46"/>
      <c r="C11" s="47"/>
      <c r="D11" s="822"/>
      <c r="E11" s="823"/>
      <c r="F11" s="823"/>
      <c r="G11" s="823"/>
      <c r="H11" s="823"/>
      <c r="I11" s="823"/>
      <c r="J11" s="823"/>
      <c r="K11" s="823"/>
      <c r="L11" s="823"/>
      <c r="M11" s="824"/>
      <c r="N11" s="825"/>
      <c r="O11" s="826"/>
      <c r="P11" s="824"/>
      <c r="Q11" s="825"/>
      <c r="R11" s="827"/>
      <c r="S11" s="828"/>
      <c r="T11" s="836"/>
      <c r="U11" s="830"/>
      <c r="V11" s="831"/>
      <c r="W11" s="758"/>
      <c r="X11" s="758"/>
      <c r="Y11" s="758"/>
      <c r="Z11" s="758"/>
      <c r="AA11" s="758"/>
      <c r="AB11" s="758"/>
      <c r="AC11" s="758"/>
      <c r="AD11" s="758"/>
      <c r="AE11" s="758"/>
      <c r="AF11" s="758"/>
      <c r="AG11" s="758"/>
      <c r="AH11" s="758"/>
      <c r="AI11" s="758"/>
      <c r="AJ11" s="758"/>
      <c r="AK11" s="758"/>
      <c r="AL11" s="758"/>
    </row>
    <row r="12" spans="1:38" s="821" customFormat="1" ht="17.25" hidden="1" thickBot="1">
      <c r="B12" s="46"/>
      <c r="C12" s="47"/>
      <c r="D12" s="822"/>
      <c r="E12" s="823"/>
      <c r="F12" s="823"/>
      <c r="G12" s="823"/>
      <c r="H12" s="823"/>
      <c r="I12" s="823"/>
      <c r="J12" s="823"/>
      <c r="K12" s="823"/>
      <c r="L12" s="823"/>
      <c r="M12" s="824"/>
      <c r="N12" s="825"/>
      <c r="O12" s="826"/>
      <c r="P12" s="824"/>
      <c r="Q12" s="825"/>
      <c r="R12" s="827"/>
      <c r="S12" s="828"/>
      <c r="T12" s="836"/>
      <c r="U12" s="830"/>
      <c r="V12" s="831"/>
      <c r="W12" s="758"/>
      <c r="X12" s="758"/>
      <c r="Y12" s="758"/>
      <c r="Z12" s="758"/>
      <c r="AA12" s="758"/>
      <c r="AB12" s="758"/>
      <c r="AC12" s="758"/>
      <c r="AD12" s="758"/>
      <c r="AE12" s="758"/>
      <c r="AF12" s="758"/>
      <c r="AG12" s="758"/>
      <c r="AH12" s="758"/>
      <c r="AI12" s="758"/>
      <c r="AJ12" s="758"/>
      <c r="AK12" s="758"/>
      <c r="AL12" s="758"/>
    </row>
    <row r="13" spans="1:38" s="821" customFormat="1" hidden="1">
      <c r="B13" s="46"/>
      <c r="C13" s="47"/>
      <c r="D13" s="822"/>
      <c r="E13" s="823"/>
      <c r="F13" s="823"/>
      <c r="G13" s="823"/>
      <c r="H13" s="823"/>
      <c r="I13" s="823"/>
      <c r="J13" s="823"/>
      <c r="K13" s="823"/>
      <c r="L13" s="823"/>
      <c r="M13" s="824"/>
      <c r="N13" s="825"/>
      <c r="O13" s="826"/>
      <c r="P13" s="824"/>
      <c r="Q13" s="825"/>
      <c r="R13" s="827"/>
      <c r="S13" s="828"/>
      <c r="T13" s="836"/>
      <c r="U13" s="830"/>
      <c r="V13" s="831"/>
      <c r="W13" s="758"/>
      <c r="X13" s="758"/>
      <c r="Y13" s="758"/>
      <c r="Z13" s="758"/>
      <c r="AA13" s="758"/>
      <c r="AB13" s="758"/>
      <c r="AC13" s="758"/>
      <c r="AD13" s="758"/>
      <c r="AE13" s="758"/>
      <c r="AF13" s="758"/>
      <c r="AG13" s="758"/>
      <c r="AH13" s="1070" t="s">
        <v>1542</v>
      </c>
      <c r="AI13" s="1071"/>
      <c r="AJ13" s="1072"/>
      <c r="AK13" s="758"/>
      <c r="AL13" s="758"/>
    </row>
    <row r="14" spans="1:38" s="821" customFormat="1" ht="17.25" hidden="1" thickBot="1">
      <c r="B14" s="46"/>
      <c r="C14" s="47"/>
      <c r="D14" s="822"/>
      <c r="E14" s="823"/>
      <c r="F14" s="823"/>
      <c r="G14" s="823"/>
      <c r="H14" s="823"/>
      <c r="I14" s="823"/>
      <c r="J14" s="823"/>
      <c r="K14" s="823"/>
      <c r="L14" s="823"/>
      <c r="M14" s="824"/>
      <c r="N14" s="825"/>
      <c r="O14" s="826"/>
      <c r="P14" s="824"/>
      <c r="Q14" s="825"/>
      <c r="R14" s="827"/>
      <c r="S14" s="828"/>
      <c r="T14" s="836"/>
      <c r="U14" s="830"/>
      <c r="V14" s="831"/>
      <c r="W14" s="758"/>
      <c r="X14" s="758"/>
      <c r="Y14" s="758"/>
      <c r="Z14" s="758"/>
      <c r="AA14" s="758"/>
      <c r="AB14" s="758"/>
      <c r="AC14" s="758"/>
      <c r="AD14" s="758"/>
      <c r="AE14" s="758"/>
      <c r="AF14" s="758"/>
      <c r="AG14" s="758"/>
      <c r="AH14" s="1073"/>
      <c r="AI14" s="1074"/>
      <c r="AJ14" s="1075"/>
      <c r="AK14" s="758"/>
      <c r="AL14" s="758"/>
    </row>
    <row r="15" spans="1:38" s="821" customFormat="1" hidden="1">
      <c r="B15" s="46"/>
      <c r="C15" s="47"/>
      <c r="D15" s="822"/>
      <c r="E15" s="823"/>
      <c r="F15" s="823"/>
      <c r="G15" s="823"/>
      <c r="H15" s="823"/>
      <c r="I15" s="823"/>
      <c r="J15" s="823"/>
      <c r="K15" s="823"/>
      <c r="L15" s="823"/>
      <c r="M15" s="824"/>
      <c r="N15" s="825"/>
      <c r="O15" s="826"/>
      <c r="P15" s="824"/>
      <c r="Q15" s="825"/>
      <c r="R15" s="827"/>
      <c r="S15" s="828"/>
      <c r="T15" s="836"/>
      <c r="U15" s="830"/>
      <c r="V15" s="831"/>
      <c r="W15" s="758"/>
      <c r="X15" s="758"/>
      <c r="Y15" s="758"/>
      <c r="Z15" s="758"/>
      <c r="AA15" s="758"/>
      <c r="AB15" s="758"/>
      <c r="AC15" s="758"/>
      <c r="AD15" s="758"/>
      <c r="AE15" s="758"/>
      <c r="AF15" s="758"/>
      <c r="AG15" s="758"/>
      <c r="AH15" s="758"/>
      <c r="AI15" s="758"/>
      <c r="AJ15" s="758"/>
      <c r="AK15" s="758"/>
      <c r="AL15" s="758"/>
    </row>
    <row r="16" spans="1:38" s="821" customFormat="1" ht="17.25" hidden="1" thickBot="1">
      <c r="B16" s="46"/>
      <c r="C16" s="47"/>
      <c r="D16" s="822"/>
      <c r="E16" s="823"/>
      <c r="F16" s="823"/>
      <c r="G16" s="823"/>
      <c r="H16" s="823"/>
      <c r="I16" s="823"/>
      <c r="J16" s="823"/>
      <c r="K16" s="823"/>
      <c r="L16" s="823"/>
      <c r="M16" s="824"/>
      <c r="N16" s="825"/>
      <c r="O16" s="826"/>
      <c r="P16" s="824"/>
      <c r="Q16" s="825"/>
      <c r="R16" s="827"/>
      <c r="S16" s="828"/>
      <c r="T16" s="836"/>
      <c r="U16" s="830"/>
      <c r="V16" s="831"/>
      <c r="W16" s="758"/>
      <c r="X16" s="758"/>
      <c r="Y16" s="758"/>
      <c r="Z16" s="758"/>
      <c r="AA16" s="758"/>
      <c r="AB16" s="758"/>
      <c r="AC16" s="758"/>
      <c r="AD16" s="758"/>
      <c r="AE16" s="758"/>
      <c r="AF16" s="758"/>
      <c r="AG16" s="758"/>
      <c r="AH16" s="758"/>
      <c r="AI16" s="758"/>
      <c r="AJ16" s="758"/>
      <c r="AK16" s="758"/>
      <c r="AL16" s="758"/>
    </row>
    <row r="17" spans="2:38" s="821" customFormat="1" hidden="1">
      <c r="B17" s="46"/>
      <c r="C17" s="47"/>
      <c r="D17" s="822"/>
      <c r="E17" s="823"/>
      <c r="F17" s="823"/>
      <c r="G17" s="823"/>
      <c r="H17" s="823"/>
      <c r="I17" s="823"/>
      <c r="J17" s="823"/>
      <c r="K17" s="823"/>
      <c r="L17" s="823"/>
      <c r="M17" s="824"/>
      <c r="N17" s="825"/>
      <c r="O17" s="826"/>
      <c r="P17" s="824"/>
      <c r="Q17" s="825"/>
      <c r="R17" s="827"/>
      <c r="S17" s="828"/>
      <c r="T17" s="836"/>
      <c r="U17" s="830"/>
      <c r="V17" s="831"/>
      <c r="W17" s="758"/>
      <c r="X17" s="758"/>
      <c r="Y17" s="758"/>
      <c r="Z17" s="758"/>
      <c r="AA17" s="758"/>
      <c r="AB17" s="758"/>
      <c r="AC17" s="758"/>
      <c r="AD17" s="758"/>
      <c r="AE17" s="758"/>
      <c r="AF17" s="758"/>
      <c r="AG17" s="758"/>
      <c r="AH17" s="1070" t="s">
        <v>1566</v>
      </c>
      <c r="AI17" s="1071"/>
      <c r="AJ17" s="1072"/>
      <c r="AK17" s="758"/>
      <c r="AL17" s="758"/>
    </row>
    <row r="18" spans="2:38" s="821" customFormat="1" ht="17.25" hidden="1" thickBot="1">
      <c r="B18" s="46"/>
      <c r="C18" s="47"/>
      <c r="D18" s="822"/>
      <c r="E18" s="823"/>
      <c r="F18" s="823"/>
      <c r="G18" s="823"/>
      <c r="H18" s="823"/>
      <c r="I18" s="823"/>
      <c r="J18" s="823"/>
      <c r="K18" s="823"/>
      <c r="L18" s="823"/>
      <c r="M18" s="824"/>
      <c r="N18" s="825"/>
      <c r="O18" s="826"/>
      <c r="P18" s="824"/>
      <c r="Q18" s="825"/>
      <c r="R18" s="827"/>
      <c r="S18" s="828"/>
      <c r="T18" s="836"/>
      <c r="U18" s="830"/>
      <c r="V18" s="831"/>
      <c r="W18" s="758"/>
      <c r="X18" s="758"/>
      <c r="Y18" s="758"/>
      <c r="Z18" s="758"/>
      <c r="AA18" s="758"/>
      <c r="AB18" s="758"/>
      <c r="AC18" s="758"/>
      <c r="AD18" s="758"/>
      <c r="AE18" s="758"/>
      <c r="AF18" s="758"/>
      <c r="AG18" s="758"/>
      <c r="AH18" s="1073"/>
      <c r="AI18" s="1074"/>
      <c r="AJ18" s="1075"/>
      <c r="AK18" s="758"/>
      <c r="AL18" s="758"/>
    </row>
    <row r="19" spans="2:38" s="821" customFormat="1" hidden="1">
      <c r="B19" s="46"/>
      <c r="C19" s="47"/>
      <c r="D19" s="822"/>
      <c r="E19" s="823"/>
      <c r="F19" s="823"/>
      <c r="G19" s="823"/>
      <c r="H19" s="823"/>
      <c r="I19" s="823"/>
      <c r="J19" s="823"/>
      <c r="K19" s="823"/>
      <c r="L19" s="823"/>
      <c r="M19" s="824"/>
      <c r="N19" s="825"/>
      <c r="O19" s="826"/>
      <c r="P19" s="824"/>
      <c r="Q19" s="825"/>
      <c r="R19" s="827"/>
      <c r="S19" s="828"/>
      <c r="T19" s="836"/>
      <c r="U19" s="830"/>
      <c r="V19" s="831"/>
      <c r="W19" s="758"/>
      <c r="X19" s="758"/>
      <c r="Y19" s="758"/>
      <c r="Z19" s="758"/>
      <c r="AA19" s="758"/>
      <c r="AB19" s="758"/>
      <c r="AC19" s="758"/>
      <c r="AD19" s="758"/>
      <c r="AE19" s="758"/>
      <c r="AF19" s="758"/>
      <c r="AG19" s="758"/>
      <c r="AH19" s="758"/>
      <c r="AI19" s="758"/>
      <c r="AJ19" s="758"/>
      <c r="AK19" s="758"/>
      <c r="AL19" s="758"/>
    </row>
    <row r="20" spans="2:38" s="821" customFormat="1" hidden="1">
      <c r="B20" s="46"/>
      <c r="C20" s="47"/>
      <c r="D20" s="822"/>
      <c r="E20" s="823"/>
      <c r="F20" s="823"/>
      <c r="G20" s="823"/>
      <c r="H20" s="823"/>
      <c r="I20" s="823"/>
      <c r="J20" s="823"/>
      <c r="K20" s="823"/>
      <c r="L20" s="823"/>
      <c r="M20" s="824"/>
      <c r="N20" s="825"/>
      <c r="O20" s="826"/>
      <c r="P20" s="824"/>
      <c r="Q20" s="825"/>
      <c r="R20" s="827"/>
      <c r="S20" s="828"/>
      <c r="T20" s="836"/>
      <c r="U20" s="830"/>
      <c r="V20" s="831"/>
    </row>
    <row r="21" spans="2:38" s="821" customFormat="1" ht="17.25" hidden="1" thickBot="1">
      <c r="B21" s="46"/>
      <c r="C21" s="47"/>
      <c r="D21" s="822"/>
      <c r="E21" s="823"/>
      <c r="F21" s="823"/>
      <c r="G21" s="823"/>
      <c r="H21" s="823"/>
      <c r="I21" s="823"/>
      <c r="J21" s="823"/>
      <c r="K21" s="823"/>
      <c r="L21" s="823"/>
      <c r="M21" s="824"/>
      <c r="N21" s="825"/>
      <c r="O21" s="826"/>
      <c r="P21" s="824"/>
      <c r="Q21" s="825"/>
      <c r="R21" s="827"/>
      <c r="S21" s="828"/>
      <c r="T21" s="836"/>
      <c r="U21" s="830"/>
      <c r="V21" s="831"/>
    </row>
    <row r="22" spans="2:38" ht="17.25" thickBot="1">
      <c r="B22" s="57" t="s">
        <v>26</v>
      </c>
      <c r="C22" s="58"/>
      <c r="D22" s="59">
        <f t="shared" ref="D22:N22" si="11">SUM(D6:D21)</f>
        <v>1979977.24</v>
      </c>
      <c r="E22" s="60">
        <f t="shared" si="11"/>
        <v>72615</v>
      </c>
      <c r="F22" s="60">
        <f t="shared" si="11"/>
        <v>168298.06540000002</v>
      </c>
      <c r="G22" s="60">
        <f t="shared" si="11"/>
        <v>237597.26879999999</v>
      </c>
      <c r="H22" s="60">
        <f t="shared" si="11"/>
        <v>10295.881647999999</v>
      </c>
      <c r="I22" s="60">
        <f t="shared" si="11"/>
        <v>170980.93359199999</v>
      </c>
      <c r="J22" s="60">
        <f t="shared" si="11"/>
        <v>20525.922399999999</v>
      </c>
      <c r="K22" s="60">
        <f t="shared" si="11"/>
        <v>82499.051666666724</v>
      </c>
      <c r="L22" s="60">
        <f t="shared" si="11"/>
        <v>170980.93359199999</v>
      </c>
      <c r="M22" s="297"/>
      <c r="N22" s="61">
        <f t="shared" si="11"/>
        <v>3091968.2486986667</v>
      </c>
      <c r="O22" s="62">
        <f t="shared" si="7"/>
        <v>1.561618076326305</v>
      </c>
      <c r="P22" s="61">
        <f>SUM(P6:P21)</f>
        <v>26250</v>
      </c>
      <c r="Q22" s="61">
        <f>SUM(Q6:Q21)</f>
        <v>3118218.2486986667</v>
      </c>
      <c r="R22" s="63">
        <f t="shared" si="10"/>
        <v>1.5748758044807962</v>
      </c>
      <c r="S22" s="63"/>
      <c r="T22" s="63"/>
      <c r="U22" s="64"/>
      <c r="V22" s="82">
        <f>SUM(V6:V21)</f>
        <v>1234231084.9374352</v>
      </c>
    </row>
    <row r="23" spans="2:38" ht="6" customHeight="1" thickBot="1">
      <c r="B23" s="65"/>
      <c r="C23" s="65"/>
      <c r="D23" s="66"/>
      <c r="E23" s="67"/>
      <c r="F23" s="68"/>
      <c r="G23" s="67"/>
      <c r="H23" s="67"/>
      <c r="I23" s="68"/>
      <c r="J23" s="67"/>
      <c r="K23" s="67"/>
      <c r="L23" s="67"/>
      <c r="M23" s="67"/>
      <c r="N23" s="38"/>
      <c r="O23" s="67"/>
      <c r="P23" s="38"/>
      <c r="Q23" s="38"/>
      <c r="R23" s="38"/>
      <c r="S23" s="38"/>
      <c r="T23" s="38"/>
      <c r="U23" s="38"/>
      <c r="V23" s="38"/>
    </row>
    <row r="24" spans="2:38" ht="17.25" thickBot="1">
      <c r="B24" s="69" t="s">
        <v>27</v>
      </c>
      <c r="C24" s="70"/>
      <c r="D24" s="838">
        <v>2013</v>
      </c>
      <c r="E24" s="71"/>
      <c r="F24" s="71"/>
      <c r="G24" s="71"/>
      <c r="H24" s="71"/>
      <c r="I24" s="71"/>
      <c r="J24" s="71"/>
      <c r="K24" s="71"/>
      <c r="L24" s="71"/>
      <c r="M24" s="71"/>
      <c r="N24" s="38"/>
      <c r="O24" s="72"/>
      <c r="P24" s="38"/>
      <c r="Q24" s="38"/>
      <c r="R24" s="38"/>
      <c r="S24" s="38"/>
      <c r="T24" s="38"/>
      <c r="U24" s="38"/>
      <c r="V24" s="38"/>
    </row>
    <row r="25" spans="2:38" ht="16.5" customHeight="1">
      <c r="B25" s="73" t="s">
        <v>28</v>
      </c>
      <c r="C25" s="74"/>
      <c r="D25" s="748">
        <f>ROUND(566700*1.0402,-2)</f>
        <v>589500</v>
      </c>
      <c r="E25" s="71"/>
      <c r="F25" s="71"/>
      <c r="G25" s="67"/>
      <c r="H25" s="71"/>
      <c r="I25" s="71"/>
      <c r="J25" s="71"/>
      <c r="K25" s="71"/>
      <c r="L25" s="71"/>
      <c r="M25" s="71"/>
      <c r="N25" s="38"/>
      <c r="O25" s="72"/>
      <c r="P25" s="38"/>
      <c r="Q25" s="38"/>
      <c r="R25" s="38"/>
      <c r="S25" s="38"/>
      <c r="T25" s="38"/>
      <c r="U25" s="38"/>
      <c r="V25" s="38"/>
    </row>
    <row r="26" spans="2:38" ht="16.5" customHeight="1">
      <c r="B26" s="75" t="s">
        <v>29</v>
      </c>
      <c r="C26" s="76"/>
      <c r="D26" s="749">
        <v>70500</v>
      </c>
      <c r="E26" s="71"/>
      <c r="F26" s="71"/>
      <c r="G26" s="77"/>
      <c r="H26" s="71"/>
      <c r="I26" s="71"/>
      <c r="J26" s="71"/>
      <c r="K26" s="71"/>
      <c r="L26" s="71"/>
      <c r="M26" s="71"/>
      <c r="N26" s="38"/>
      <c r="O26" s="72"/>
      <c r="P26" s="38"/>
      <c r="Q26" s="38"/>
      <c r="R26" s="38"/>
      <c r="S26" s="38"/>
      <c r="T26" s="38"/>
      <c r="U26" s="38"/>
      <c r="V26" s="38"/>
    </row>
    <row r="27" spans="2:38" ht="16.5" customHeight="1">
      <c r="B27" s="75" t="s">
        <v>30</v>
      </c>
      <c r="C27" s="76"/>
      <c r="D27" s="749">
        <f>105000*3/12</f>
        <v>26250</v>
      </c>
      <c r="E27" s="38"/>
      <c r="F27" s="38"/>
      <c r="G27" s="38"/>
      <c r="H27" s="38"/>
      <c r="I27" s="38"/>
      <c r="J27" s="38"/>
      <c r="K27" s="38"/>
      <c r="L27" s="38"/>
      <c r="M27" s="38"/>
      <c r="N27" s="38"/>
      <c r="O27" s="38"/>
      <c r="P27" s="38"/>
      <c r="Q27" s="38"/>
      <c r="R27" s="38"/>
      <c r="S27" s="38"/>
      <c r="T27" s="38"/>
      <c r="U27" s="38"/>
      <c r="V27" s="38"/>
    </row>
    <row r="28" spans="2:38" ht="16.5" customHeight="1" thickBot="1">
      <c r="B28" s="78" t="s">
        <v>31</v>
      </c>
      <c r="C28" s="79"/>
      <c r="D28" s="750">
        <v>30</v>
      </c>
      <c r="E28" s="38"/>
      <c r="F28" s="38"/>
      <c r="G28" s="38"/>
      <c r="H28" s="38"/>
      <c r="I28" s="38"/>
      <c r="J28" s="38"/>
      <c r="K28" s="38"/>
      <c r="L28" s="38"/>
      <c r="M28" s="38"/>
      <c r="N28" s="38"/>
      <c r="O28" s="38"/>
      <c r="P28" s="38"/>
      <c r="Q28" s="38"/>
      <c r="R28" s="38"/>
      <c r="S28" s="38"/>
      <c r="T28" s="38"/>
      <c r="U28" s="38"/>
      <c r="V28" s="38"/>
    </row>
    <row r="29" spans="2:38">
      <c r="B29" s="80"/>
      <c r="C29" s="39"/>
      <c r="D29" s="39"/>
      <c r="E29" s="39"/>
      <c r="F29" s="39"/>
      <c r="G29" s="39"/>
      <c r="H29" s="39"/>
      <c r="I29" s="39"/>
      <c r="J29" s="39"/>
      <c r="K29" s="39"/>
      <c r="L29" s="39"/>
      <c r="M29" s="39"/>
      <c r="N29" s="39"/>
      <c r="O29" s="39"/>
      <c r="P29" s="39"/>
      <c r="Q29" s="39"/>
    </row>
    <row r="30" spans="2:38" ht="6" customHeight="1">
      <c r="B30" s="39"/>
      <c r="C30" s="39"/>
      <c r="D30" s="39"/>
      <c r="E30" s="39"/>
      <c r="F30" s="39"/>
      <c r="G30" s="39"/>
      <c r="H30" s="39"/>
      <c r="I30" s="39"/>
      <c r="J30" s="39"/>
      <c r="K30" s="39"/>
      <c r="L30" s="39"/>
      <c r="M30" s="39"/>
      <c r="N30" s="39"/>
      <c r="O30" s="39"/>
      <c r="P30" s="39"/>
      <c r="Q30" s="39"/>
    </row>
    <row r="31" spans="2:38">
      <c r="B31" s="40"/>
      <c r="C31" s="39"/>
      <c r="D31" s="41"/>
      <c r="E31" s="39"/>
      <c r="F31" s="39"/>
      <c r="G31" s="39"/>
      <c r="H31" s="39"/>
      <c r="I31" s="39"/>
      <c r="J31" s="39"/>
      <c r="K31" s="39"/>
      <c r="L31" s="39"/>
      <c r="M31" s="39"/>
      <c r="N31" s="39"/>
      <c r="O31" s="39"/>
      <c r="P31" s="39"/>
      <c r="Q31" s="39"/>
    </row>
    <row r="32" spans="2:38" hidden="1">
      <c r="B32" s="42"/>
      <c r="C32" s="81"/>
      <c r="D32" s="43"/>
    </row>
    <row r="33" spans="2:4" hidden="1">
      <c r="B33" s="42" t="str">
        <f>+'Salarios de Ref'!B6</f>
        <v>Directivo 1</v>
      </c>
      <c r="C33" s="81"/>
      <c r="D33" s="43"/>
    </row>
    <row r="34" spans="2:4" hidden="1">
      <c r="B34" s="42" t="str">
        <f>+'Salarios de Ref'!B7</f>
        <v>Directivo 2</v>
      </c>
      <c r="C34" s="39"/>
      <c r="D34" s="39"/>
    </row>
    <row r="35" spans="2:4" hidden="1">
      <c r="B35" s="42" t="str">
        <f>+'Salarios de Ref'!B8</f>
        <v>Directivo 3</v>
      </c>
    </row>
    <row r="36" spans="2:4" hidden="1">
      <c r="B36" s="42" t="str">
        <f>+'Salarios de Ref'!B9</f>
        <v>Directivo 4</v>
      </c>
    </row>
    <row r="37" spans="2:4" hidden="1">
      <c r="B37" s="42" t="str">
        <f>+'Salarios de Ref'!B10</f>
        <v>Directivo 5</v>
      </c>
    </row>
    <row r="38" spans="2:4" hidden="1">
      <c r="B38" s="42" t="str">
        <f>+'Salarios de Ref'!B11</f>
        <v>Directivo 6</v>
      </c>
    </row>
    <row r="39" spans="2:4" hidden="1">
      <c r="B39" s="42" t="str">
        <f>+'Salarios de Ref'!B12</f>
        <v>Directivo 7</v>
      </c>
    </row>
    <row r="40" spans="2:4" hidden="1">
      <c r="B40" s="42" t="str">
        <f>+'Salarios de Ref'!B13</f>
        <v>Directivo 8</v>
      </c>
    </row>
    <row r="41" spans="2:4" hidden="1">
      <c r="B41" s="42" t="str">
        <f>+'Salarios de Ref'!B14</f>
        <v>Directivo 9</v>
      </c>
    </row>
    <row r="42" spans="2:4" hidden="1">
      <c r="B42" s="42" t="str">
        <f>+'Salarios de Ref'!B15</f>
        <v>Directivo 10</v>
      </c>
    </row>
    <row r="43" spans="2:4" hidden="1">
      <c r="B43" s="42" t="str">
        <f>+'Salarios de Ref'!B16</f>
        <v>Directivo 11</v>
      </c>
    </row>
    <row r="44" spans="2:4" hidden="1">
      <c r="B44" s="42" t="str">
        <f>+'Salarios de Ref'!B17</f>
        <v>Directivo 12</v>
      </c>
    </row>
    <row r="45" spans="2:4" hidden="1">
      <c r="B45" s="42" t="str">
        <f>+'Salarios de Ref'!B18</f>
        <v>Directivo 13</v>
      </c>
    </row>
    <row r="46" spans="2:4" hidden="1">
      <c r="B46" s="42" t="str">
        <f>+'Salarios de Ref'!B19</f>
        <v>Directivo 14</v>
      </c>
    </row>
    <row r="47" spans="2:4" hidden="1">
      <c r="B47" s="42" t="str">
        <f>+'Salarios de Ref'!B20</f>
        <v>Directivo 15</v>
      </c>
    </row>
    <row r="48" spans="2:4" hidden="1">
      <c r="B48" s="42" t="str">
        <f>+'Salarios de Ref'!B21</f>
        <v>Directivo 16</v>
      </c>
    </row>
    <row r="49" spans="2:2" hidden="1">
      <c r="B49" s="42" t="str">
        <f>+'Salarios de Ref'!B22</f>
        <v>Directivo 17</v>
      </c>
    </row>
    <row r="50" spans="2:2" hidden="1">
      <c r="B50" s="42" t="str">
        <f>+'Salarios de Ref'!B23</f>
        <v>Directivo 18</v>
      </c>
    </row>
    <row r="51" spans="2:2" hidden="1">
      <c r="B51" s="42" t="str">
        <f>+'Salarios de Ref'!B24</f>
        <v>Directivo 19</v>
      </c>
    </row>
    <row r="52" spans="2:2" hidden="1">
      <c r="B52" s="42" t="str">
        <f>+'Salarios de Ref'!B25</f>
        <v>Directivo 20</v>
      </c>
    </row>
    <row r="53" spans="2:2" hidden="1">
      <c r="B53" s="42" t="str">
        <f>+'Salarios de Ref'!B26</f>
        <v>Directivo 21</v>
      </c>
    </row>
    <row r="54" spans="2:2" hidden="1">
      <c r="B54" s="42" t="str">
        <f>+'Salarios de Ref'!B27</f>
        <v>Directivo 22</v>
      </c>
    </row>
    <row r="55" spans="2:2" hidden="1">
      <c r="B55" s="42" t="str">
        <f>+'Salarios de Ref'!B28</f>
        <v>Directivo 23</v>
      </c>
    </row>
    <row r="56" spans="2:2" hidden="1">
      <c r="B56" s="42" t="str">
        <f>+'Salarios de Ref'!B29</f>
        <v>Directivo 24</v>
      </c>
    </row>
    <row r="57" spans="2:2" hidden="1">
      <c r="B57" s="42" t="str">
        <f>+'Salarios de Ref'!B30</f>
        <v>Directivo 25</v>
      </c>
    </row>
    <row r="58" spans="2:2" hidden="1">
      <c r="B58" s="42" t="str">
        <f>+'Salarios de Ref'!B31</f>
        <v>Directivo 26</v>
      </c>
    </row>
    <row r="59" spans="2:2" hidden="1">
      <c r="B59" s="42" t="str">
        <f>+'Salarios de Ref'!B32</f>
        <v>Directivo 27</v>
      </c>
    </row>
    <row r="60" spans="2:2" hidden="1">
      <c r="B60" s="42" t="str">
        <f>+'Salarios de Ref'!B33</f>
        <v>Asesor 1</v>
      </c>
    </row>
    <row r="61" spans="2:2" hidden="1">
      <c r="B61" s="42" t="str">
        <f>+'Salarios de Ref'!B34</f>
        <v>Asesor 2</v>
      </c>
    </row>
    <row r="62" spans="2:2" hidden="1">
      <c r="B62" s="42" t="str">
        <f>+'Salarios de Ref'!B35</f>
        <v>Asesor 3</v>
      </c>
    </row>
    <row r="63" spans="2:2" hidden="1">
      <c r="B63" s="42" t="str">
        <f>+'Salarios de Ref'!B36</f>
        <v>Asesor 4</v>
      </c>
    </row>
    <row r="64" spans="2:2" hidden="1">
      <c r="B64" s="42" t="str">
        <f>+'Salarios de Ref'!B37</f>
        <v>Asesor 5</v>
      </c>
    </row>
    <row r="65" spans="2:2" hidden="1">
      <c r="B65" s="42" t="str">
        <f>+'Salarios de Ref'!B38</f>
        <v>Asesor 6</v>
      </c>
    </row>
    <row r="66" spans="2:2" hidden="1">
      <c r="B66" s="42" t="str">
        <f>+'Salarios de Ref'!B39</f>
        <v>Asesor 7</v>
      </c>
    </row>
    <row r="67" spans="2:2" hidden="1">
      <c r="B67" s="42" t="str">
        <f>+'Salarios de Ref'!B40</f>
        <v>Asesor 8</v>
      </c>
    </row>
    <row r="68" spans="2:2" hidden="1">
      <c r="B68" s="42" t="str">
        <f>+'Salarios de Ref'!B41</f>
        <v>Asesor 9</v>
      </c>
    </row>
    <row r="69" spans="2:2" hidden="1">
      <c r="B69" s="42" t="str">
        <f>+'Salarios de Ref'!B42</f>
        <v>Asesor 10</v>
      </c>
    </row>
    <row r="70" spans="2:2" hidden="1">
      <c r="B70" s="42" t="str">
        <f>+'Salarios de Ref'!B43</f>
        <v>Asesor 11</v>
      </c>
    </row>
    <row r="71" spans="2:2" hidden="1">
      <c r="B71" s="42" t="str">
        <f>+'Salarios de Ref'!B44</f>
        <v>Asesor 12</v>
      </c>
    </row>
    <row r="72" spans="2:2" hidden="1">
      <c r="B72" s="42" t="str">
        <f>+'Salarios de Ref'!B45</f>
        <v>Asesor 13</v>
      </c>
    </row>
    <row r="73" spans="2:2" hidden="1">
      <c r="B73" s="42" t="str">
        <f>+'Salarios de Ref'!B46</f>
        <v>Asesor 14</v>
      </c>
    </row>
    <row r="74" spans="2:2" hidden="1">
      <c r="B74" s="42" t="str">
        <f>+'Salarios de Ref'!B47</f>
        <v>Asesor 15</v>
      </c>
    </row>
    <row r="75" spans="2:2" hidden="1">
      <c r="B75" s="42" t="str">
        <f>+'Salarios de Ref'!B48</f>
        <v>Asesor 16</v>
      </c>
    </row>
    <row r="76" spans="2:2" hidden="1">
      <c r="B76" s="42" t="str">
        <f>+'Salarios de Ref'!B49</f>
        <v>Asesor 17</v>
      </c>
    </row>
    <row r="77" spans="2:2" hidden="1">
      <c r="B77" s="42" t="str">
        <f>+'Salarios de Ref'!B50</f>
        <v>Asesor 18</v>
      </c>
    </row>
    <row r="78" spans="2:2" hidden="1">
      <c r="B78" s="42" t="str">
        <f>+'Salarios de Ref'!B51</f>
        <v>Profesional  1</v>
      </c>
    </row>
    <row r="79" spans="2:2" hidden="1">
      <c r="B79" s="42" t="str">
        <f>+'Salarios de Ref'!B52</f>
        <v>Profesional  2</v>
      </c>
    </row>
    <row r="80" spans="2:2" hidden="1">
      <c r="B80" s="42" t="str">
        <f>+'Salarios de Ref'!B53</f>
        <v>Profesional  3</v>
      </c>
    </row>
    <row r="81" spans="2:2" hidden="1">
      <c r="B81" s="42" t="str">
        <f>+'Salarios de Ref'!B54</f>
        <v>Profesional  4</v>
      </c>
    </row>
    <row r="82" spans="2:2" hidden="1">
      <c r="B82" s="42" t="str">
        <f>+'Salarios de Ref'!B55</f>
        <v>Profesional  5</v>
      </c>
    </row>
    <row r="83" spans="2:2" hidden="1">
      <c r="B83" s="42" t="str">
        <f>+'Salarios de Ref'!B56</f>
        <v>Profesional  6</v>
      </c>
    </row>
    <row r="84" spans="2:2" hidden="1">
      <c r="B84" s="42" t="str">
        <f>+'Salarios de Ref'!B57</f>
        <v>Profesional  7</v>
      </c>
    </row>
    <row r="85" spans="2:2" hidden="1">
      <c r="B85" s="42" t="str">
        <f>+'Salarios de Ref'!B58</f>
        <v>Profesional  8</v>
      </c>
    </row>
    <row r="86" spans="2:2" hidden="1">
      <c r="B86" s="42" t="str">
        <f>+'Salarios de Ref'!B59</f>
        <v>Profesional  9</v>
      </c>
    </row>
    <row r="87" spans="2:2" hidden="1">
      <c r="B87" s="42" t="str">
        <f>+'Salarios de Ref'!B60</f>
        <v>Profesional  10</v>
      </c>
    </row>
    <row r="88" spans="2:2" hidden="1">
      <c r="B88" s="42" t="str">
        <f>+'Salarios de Ref'!B61</f>
        <v>Profesional  11</v>
      </c>
    </row>
    <row r="89" spans="2:2" hidden="1">
      <c r="B89" s="42" t="str">
        <f>+'Salarios de Ref'!B62</f>
        <v>Profesional  12</v>
      </c>
    </row>
    <row r="90" spans="2:2" hidden="1">
      <c r="B90" s="42" t="str">
        <f>+'Salarios de Ref'!B63</f>
        <v>Profesional  13</v>
      </c>
    </row>
    <row r="91" spans="2:2" hidden="1">
      <c r="B91" s="42" t="str">
        <f>+'Salarios de Ref'!B64</f>
        <v>Profesional  14</v>
      </c>
    </row>
    <row r="92" spans="2:2" hidden="1">
      <c r="B92" s="42" t="str">
        <f>+'Salarios de Ref'!B65</f>
        <v>Profesional  15</v>
      </c>
    </row>
    <row r="93" spans="2:2" hidden="1">
      <c r="B93" s="42" t="str">
        <f>+'Salarios de Ref'!B66</f>
        <v>Profesional  16</v>
      </c>
    </row>
    <row r="94" spans="2:2" hidden="1">
      <c r="B94" s="42" t="str">
        <f>+'Salarios de Ref'!B67</f>
        <v>Profesional  17</v>
      </c>
    </row>
    <row r="95" spans="2:2" hidden="1">
      <c r="B95" s="42" t="str">
        <f>+'Salarios de Ref'!B68</f>
        <v>Profesional  18</v>
      </c>
    </row>
    <row r="96" spans="2:2" hidden="1">
      <c r="B96" s="42" t="str">
        <f>+'Salarios de Ref'!B69</f>
        <v>Profesional  19</v>
      </c>
    </row>
    <row r="97" spans="2:2" hidden="1">
      <c r="B97" s="42" t="str">
        <f>+'Salarios de Ref'!B70</f>
        <v>Profesional  20</v>
      </c>
    </row>
    <row r="98" spans="2:2" hidden="1">
      <c r="B98" s="42" t="str">
        <f>+'Salarios de Ref'!B71</f>
        <v>Profesional  21</v>
      </c>
    </row>
    <row r="99" spans="2:2" hidden="1">
      <c r="B99" s="42" t="str">
        <f>+'Salarios de Ref'!B72</f>
        <v>Profesional  22</v>
      </c>
    </row>
    <row r="100" spans="2:2" hidden="1">
      <c r="B100" s="42" t="str">
        <f>+'Salarios de Ref'!B73</f>
        <v>Profesional  23</v>
      </c>
    </row>
    <row r="101" spans="2:2" hidden="1">
      <c r="B101" s="42" t="str">
        <f>+'Salarios de Ref'!B74</f>
        <v>Profesional  24</v>
      </c>
    </row>
    <row r="102" spans="2:2" hidden="1">
      <c r="B102" s="42" t="str">
        <f>+'Salarios de Ref'!B75</f>
        <v>Técnico 1</v>
      </c>
    </row>
    <row r="103" spans="2:2" hidden="1">
      <c r="B103" s="42" t="str">
        <f>+'Salarios de Ref'!B76</f>
        <v>Técnico 2</v>
      </c>
    </row>
    <row r="104" spans="2:2" hidden="1">
      <c r="B104" s="42" t="str">
        <f>+'Salarios de Ref'!B77</f>
        <v>Técnico 3</v>
      </c>
    </row>
    <row r="105" spans="2:2" hidden="1">
      <c r="B105" s="42" t="str">
        <f>+'Salarios de Ref'!B78</f>
        <v>Técnico 4</v>
      </c>
    </row>
    <row r="106" spans="2:2" hidden="1">
      <c r="B106" s="42" t="str">
        <f>+'Salarios de Ref'!B79</f>
        <v>Técnico 5</v>
      </c>
    </row>
    <row r="107" spans="2:2" hidden="1">
      <c r="B107" s="42" t="str">
        <f>+'Salarios de Ref'!B80</f>
        <v>Técnico 6</v>
      </c>
    </row>
    <row r="108" spans="2:2" hidden="1">
      <c r="B108" s="42" t="str">
        <f>+'Salarios de Ref'!B81</f>
        <v>Técnico 7</v>
      </c>
    </row>
    <row r="109" spans="2:2" hidden="1">
      <c r="B109" s="42" t="str">
        <f>+'Salarios de Ref'!B82</f>
        <v>Técnico 8</v>
      </c>
    </row>
    <row r="110" spans="2:2" hidden="1">
      <c r="B110" s="42" t="str">
        <f>+'Salarios de Ref'!B83</f>
        <v>Técnico 9</v>
      </c>
    </row>
    <row r="111" spans="2:2" hidden="1">
      <c r="B111" s="42" t="str">
        <f>+'Salarios de Ref'!B84</f>
        <v>Técnico 10</v>
      </c>
    </row>
    <row r="112" spans="2:2" hidden="1">
      <c r="B112" s="42" t="str">
        <f>+'Salarios de Ref'!B85</f>
        <v>Técnico 11</v>
      </c>
    </row>
    <row r="113" spans="2:2" hidden="1">
      <c r="B113" s="42" t="str">
        <f>+'Salarios de Ref'!B86</f>
        <v>Técnico 12</v>
      </c>
    </row>
    <row r="114" spans="2:2" hidden="1">
      <c r="B114" s="42" t="str">
        <f>+'Salarios de Ref'!B87</f>
        <v>Técnico 13</v>
      </c>
    </row>
    <row r="115" spans="2:2" hidden="1">
      <c r="B115" s="42" t="str">
        <f>+'Salarios de Ref'!B88</f>
        <v>Técnico 14</v>
      </c>
    </row>
    <row r="116" spans="2:2" hidden="1">
      <c r="B116" s="42" t="str">
        <f>+'Salarios de Ref'!B89</f>
        <v>Técnico 15</v>
      </c>
    </row>
    <row r="117" spans="2:2" hidden="1">
      <c r="B117" s="42" t="str">
        <f>+'Salarios de Ref'!B90</f>
        <v>Técnico 16</v>
      </c>
    </row>
    <row r="118" spans="2:2" hidden="1">
      <c r="B118" s="42" t="str">
        <f>+'Salarios de Ref'!B91</f>
        <v>Técnico 17</v>
      </c>
    </row>
    <row r="119" spans="2:2" hidden="1">
      <c r="B119" s="42" t="str">
        <f>+'Salarios de Ref'!B92</f>
        <v>Técnico 18</v>
      </c>
    </row>
    <row r="120" spans="2:2" hidden="1">
      <c r="B120" s="42" t="str">
        <f>+'Salarios de Ref'!B93</f>
        <v>Asistencial  1</v>
      </c>
    </row>
    <row r="121" spans="2:2" hidden="1">
      <c r="B121" s="42" t="str">
        <f>+'Salarios de Ref'!B94</f>
        <v>Asistencial  2</v>
      </c>
    </row>
    <row r="122" spans="2:2" hidden="1">
      <c r="B122" s="42" t="str">
        <f>+'Salarios de Ref'!B95</f>
        <v>Asistencial  3</v>
      </c>
    </row>
    <row r="123" spans="2:2" hidden="1">
      <c r="B123" s="42" t="str">
        <f>+'Salarios de Ref'!B96</f>
        <v>Asistencial  4</v>
      </c>
    </row>
    <row r="124" spans="2:2" hidden="1">
      <c r="B124" s="42" t="str">
        <f>+'Salarios de Ref'!B97</f>
        <v>Asistencial  5</v>
      </c>
    </row>
    <row r="125" spans="2:2" hidden="1">
      <c r="B125" s="42" t="str">
        <f>+'Salarios de Ref'!B98</f>
        <v>Asistencial  6</v>
      </c>
    </row>
    <row r="126" spans="2:2" hidden="1">
      <c r="B126" s="42" t="str">
        <f>+'Salarios de Ref'!B99</f>
        <v>Asistencial  7</v>
      </c>
    </row>
    <row r="127" spans="2:2" hidden="1">
      <c r="B127" s="42" t="str">
        <f>+'Salarios de Ref'!B100</f>
        <v>Asistencial  8</v>
      </c>
    </row>
    <row r="128" spans="2:2" hidden="1">
      <c r="B128" s="42" t="str">
        <f>+'Salarios de Ref'!B101</f>
        <v>Asistencial  9</v>
      </c>
    </row>
    <row r="129" spans="2:2" hidden="1">
      <c r="B129" s="42" t="str">
        <f>+'Salarios de Ref'!B102</f>
        <v>Asistencial  10</v>
      </c>
    </row>
    <row r="130" spans="2:2" hidden="1">
      <c r="B130" s="42" t="str">
        <f>+'Salarios de Ref'!B103</f>
        <v>Asistencial  11</v>
      </c>
    </row>
    <row r="131" spans="2:2" hidden="1">
      <c r="B131" s="42" t="str">
        <f>+'Salarios de Ref'!B104</f>
        <v>Asistencial  12</v>
      </c>
    </row>
    <row r="132" spans="2:2" hidden="1">
      <c r="B132" s="42" t="str">
        <f>+'Salarios de Ref'!B105</f>
        <v>Asistencial  13</v>
      </c>
    </row>
    <row r="133" spans="2:2" hidden="1">
      <c r="B133" s="42" t="str">
        <f>+'Salarios de Ref'!B106</f>
        <v>Asistencial  14</v>
      </c>
    </row>
    <row r="134" spans="2:2" hidden="1">
      <c r="B134" s="42" t="str">
        <f>+'Salarios de Ref'!B107</f>
        <v>Asistencial  15</v>
      </c>
    </row>
    <row r="135" spans="2:2" hidden="1">
      <c r="B135" s="42" t="str">
        <f>+'Salarios de Ref'!B108</f>
        <v>Asistencial  16</v>
      </c>
    </row>
    <row r="136" spans="2:2" hidden="1">
      <c r="B136" s="42" t="str">
        <f>+'Salarios de Ref'!B109</f>
        <v>Asistencial  17</v>
      </c>
    </row>
    <row r="137" spans="2:2" hidden="1">
      <c r="B137" s="42" t="str">
        <f>+'Salarios de Ref'!B110</f>
        <v>Asistencial  18</v>
      </c>
    </row>
    <row r="138" spans="2:2" hidden="1">
      <c r="B138" s="42" t="str">
        <f>+'Salarios de Ref'!B111</f>
        <v>Asistencial  19</v>
      </c>
    </row>
    <row r="139" spans="2:2" hidden="1">
      <c r="B139" s="42" t="str">
        <f>+'Salarios de Ref'!B112</f>
        <v>Asistencial  20</v>
      </c>
    </row>
    <row r="140" spans="2:2" hidden="1">
      <c r="B140" s="42" t="str">
        <f>+'Salarios de Ref'!B113</f>
        <v>Asistencial  21</v>
      </c>
    </row>
    <row r="141" spans="2:2" hidden="1">
      <c r="B141" s="42" t="str">
        <f>+'Salarios de Ref'!B114</f>
        <v>Asistencial  22</v>
      </c>
    </row>
    <row r="142" spans="2:2" hidden="1">
      <c r="B142" s="42" t="str">
        <f>+'Salarios de Ref'!B115</f>
        <v>Asistencial  23</v>
      </c>
    </row>
    <row r="143" spans="2:2" hidden="1">
      <c r="B143" s="42" t="str">
        <f>+'Salarios de Ref'!B116</f>
        <v>Asistencial  24</v>
      </c>
    </row>
    <row r="144" spans="2:2" hidden="1">
      <c r="B144" s="42" t="str">
        <f>+'Salarios de Ref'!B117</f>
        <v>Asistencial  25</v>
      </c>
    </row>
    <row r="145" spans="2:2" hidden="1">
      <c r="B145" s="42" t="str">
        <f>+'Salarios de Ref'!B118</f>
        <v>Asistencial  26</v>
      </c>
    </row>
    <row r="146" spans="2:2" hidden="1">
      <c r="B146" s="42" t="str">
        <f>+'Salarios de Ref'!B119</f>
        <v>SMMLV</v>
      </c>
    </row>
  </sheetData>
  <mergeCells count="4">
    <mergeCell ref="C4:C5"/>
    <mergeCell ref="AH4:AJ4"/>
    <mergeCell ref="AH13:AJ14"/>
    <mergeCell ref="AH17:AJ18"/>
  </mergeCells>
  <dataValidations count="2">
    <dataValidation type="list" allowBlank="1" showInputMessage="1" showErrorMessage="1" sqref="C6:C21">
      <formula1>$B$33:$B$146</formula1>
    </dataValidation>
    <dataValidation type="list" allowBlank="1" showInputMessage="1" showErrorMessage="1" sqref="C31:C41">
      <formula1>perfil</formula1>
    </dataValidation>
  </dataValidations>
  <hyperlinks>
    <hyperlink ref="B1" location="'Hoja índice'!A1" display="Indice"/>
  </hyperlinks>
  <printOptions horizontalCentered="1" verticalCentered="1"/>
  <pageMargins left="0.31496062992125984" right="0.31496062992125984" top="0.55118110236220474" bottom="0.35433070866141736" header="0.31496062992125984" footer="0.31496062992125984"/>
  <pageSetup paperSize="9" scale="80" orientation="landscape" r:id="rId1"/>
  <ignoredErrors>
    <ignoredError sqref="K8:K9 O22"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4"/>
  </sheetPr>
  <dimension ref="A1:N845"/>
  <sheetViews>
    <sheetView showGridLines="0" topLeftCell="A85" zoomScale="85" zoomScaleNormal="85" workbookViewId="0">
      <selection activeCell="B86" sqref="B86"/>
    </sheetView>
  </sheetViews>
  <sheetFormatPr baseColWidth="10" defaultRowHeight="12.75"/>
  <cols>
    <col min="1" max="1" width="2.5703125" style="136" customWidth="1"/>
    <col min="2" max="2" width="52" style="136" customWidth="1"/>
    <col min="3" max="5" width="14.140625" style="136" customWidth="1"/>
    <col min="6" max="6" width="14.140625" style="136" bestFit="1" customWidth="1"/>
    <col min="7" max="7" width="13.5703125" style="769" customWidth="1"/>
    <col min="8" max="8" width="12.42578125" style="136" customWidth="1"/>
    <col min="9" max="10" width="12.7109375" style="136" customWidth="1"/>
    <col min="11" max="11" width="14.42578125" style="136" customWidth="1"/>
    <col min="12" max="12" width="17.85546875" style="136" customWidth="1"/>
    <col min="13" max="13" width="13.28515625" style="136" customWidth="1"/>
    <col min="14" max="14" width="16.28515625" style="136" bestFit="1" customWidth="1"/>
    <col min="15" max="15" width="19" style="136" bestFit="1" customWidth="1"/>
    <col min="16" max="17" width="16.28515625" style="136" bestFit="1" customWidth="1"/>
    <col min="18" max="18" width="11.85546875" style="136" bestFit="1" customWidth="1"/>
    <col min="19" max="21" width="15.5703125" style="136" bestFit="1" customWidth="1"/>
    <col min="22" max="251" width="11.42578125" style="136"/>
    <col min="252" max="252" width="2.5703125" style="136" customWidth="1"/>
    <col min="253" max="253" width="37.5703125" style="136" customWidth="1"/>
    <col min="254" max="256" width="14.140625" style="136" customWidth="1"/>
    <col min="257" max="257" width="19.42578125" style="136" customWidth="1"/>
    <col min="258" max="258" width="13.5703125" style="136" customWidth="1"/>
    <col min="259" max="259" width="14.140625" style="136" customWidth="1"/>
    <col min="260" max="263" width="12.7109375" style="136" customWidth="1"/>
    <col min="264" max="264" width="12.42578125" style="136" customWidth="1"/>
    <col min="265" max="268" width="12.7109375" style="136" customWidth="1"/>
    <col min="269" max="269" width="11.42578125" style="136"/>
    <col min="270" max="270" width="16.28515625" style="136" bestFit="1" customWidth="1"/>
    <col min="271" max="271" width="19" style="136" bestFit="1" customWidth="1"/>
    <col min="272" max="273" width="16.28515625" style="136" bestFit="1" customWidth="1"/>
    <col min="274" max="274" width="11.85546875" style="136" bestFit="1" customWidth="1"/>
    <col min="275" max="277" width="15.5703125" style="136" bestFit="1" customWidth="1"/>
    <col min="278" max="507" width="11.42578125" style="136"/>
    <col min="508" max="508" width="2.5703125" style="136" customWidth="1"/>
    <col min="509" max="509" width="37.5703125" style="136" customWidth="1"/>
    <col min="510" max="512" width="14.140625" style="136" customWidth="1"/>
    <col min="513" max="513" width="19.42578125" style="136" customWidth="1"/>
    <col min="514" max="514" width="13.5703125" style="136" customWidth="1"/>
    <col min="515" max="515" width="14.140625" style="136" customWidth="1"/>
    <col min="516" max="519" width="12.7109375" style="136" customWidth="1"/>
    <col min="520" max="520" width="12.42578125" style="136" customWidth="1"/>
    <col min="521" max="524" width="12.7109375" style="136" customWidth="1"/>
    <col min="525" max="525" width="11.42578125" style="136"/>
    <col min="526" max="526" width="16.28515625" style="136" bestFit="1" customWidth="1"/>
    <col min="527" max="527" width="19" style="136" bestFit="1" customWidth="1"/>
    <col min="528" max="529" width="16.28515625" style="136" bestFit="1" customWidth="1"/>
    <col min="530" max="530" width="11.85546875" style="136" bestFit="1" customWidth="1"/>
    <col min="531" max="533" width="15.5703125" style="136" bestFit="1" customWidth="1"/>
    <col min="534" max="763" width="11.42578125" style="136"/>
    <col min="764" max="764" width="2.5703125" style="136" customWidth="1"/>
    <col min="765" max="765" width="37.5703125" style="136" customWidth="1"/>
    <col min="766" max="768" width="14.140625" style="136" customWidth="1"/>
    <col min="769" max="769" width="19.42578125" style="136" customWidth="1"/>
    <col min="770" max="770" width="13.5703125" style="136" customWidth="1"/>
    <col min="771" max="771" width="14.140625" style="136" customWidth="1"/>
    <col min="772" max="775" width="12.7109375" style="136" customWidth="1"/>
    <col min="776" max="776" width="12.42578125" style="136" customWidth="1"/>
    <col min="777" max="780" width="12.7109375" style="136" customWidth="1"/>
    <col min="781" max="781" width="11.42578125" style="136"/>
    <col min="782" max="782" width="16.28515625" style="136" bestFit="1" customWidth="1"/>
    <col min="783" max="783" width="19" style="136" bestFit="1" customWidth="1"/>
    <col min="784" max="785" width="16.28515625" style="136" bestFit="1" customWidth="1"/>
    <col min="786" max="786" width="11.85546875" style="136" bestFit="1" customWidth="1"/>
    <col min="787" max="789" width="15.5703125" style="136" bestFit="1" customWidth="1"/>
    <col min="790" max="1019" width="11.42578125" style="136"/>
    <col min="1020" max="1020" width="2.5703125" style="136" customWidth="1"/>
    <col min="1021" max="1021" width="37.5703125" style="136" customWidth="1"/>
    <col min="1022" max="1024" width="14.140625" style="136" customWidth="1"/>
    <col min="1025" max="1025" width="19.42578125" style="136" customWidth="1"/>
    <col min="1026" max="1026" width="13.5703125" style="136" customWidth="1"/>
    <col min="1027" max="1027" width="14.140625" style="136" customWidth="1"/>
    <col min="1028" max="1031" width="12.7109375" style="136" customWidth="1"/>
    <col min="1032" max="1032" width="12.42578125" style="136" customWidth="1"/>
    <col min="1033" max="1036" width="12.7109375" style="136" customWidth="1"/>
    <col min="1037" max="1037" width="11.42578125" style="136"/>
    <col min="1038" max="1038" width="16.28515625" style="136" bestFit="1" customWidth="1"/>
    <col min="1039" max="1039" width="19" style="136" bestFit="1" customWidth="1"/>
    <col min="1040" max="1041" width="16.28515625" style="136" bestFit="1" customWidth="1"/>
    <col min="1042" max="1042" width="11.85546875" style="136" bestFit="1" customWidth="1"/>
    <col min="1043" max="1045" width="15.5703125" style="136" bestFit="1" customWidth="1"/>
    <col min="1046" max="1275" width="11.42578125" style="136"/>
    <col min="1276" max="1276" width="2.5703125" style="136" customWidth="1"/>
    <col min="1277" max="1277" width="37.5703125" style="136" customWidth="1"/>
    <col min="1278" max="1280" width="14.140625" style="136" customWidth="1"/>
    <col min="1281" max="1281" width="19.42578125" style="136" customWidth="1"/>
    <col min="1282" max="1282" width="13.5703125" style="136" customWidth="1"/>
    <col min="1283" max="1283" width="14.140625" style="136" customWidth="1"/>
    <col min="1284" max="1287" width="12.7109375" style="136" customWidth="1"/>
    <col min="1288" max="1288" width="12.42578125" style="136" customWidth="1"/>
    <col min="1289" max="1292" width="12.7109375" style="136" customWidth="1"/>
    <col min="1293" max="1293" width="11.42578125" style="136"/>
    <col min="1294" max="1294" width="16.28515625" style="136" bestFit="1" customWidth="1"/>
    <col min="1295" max="1295" width="19" style="136" bestFit="1" customWidth="1"/>
    <col min="1296" max="1297" width="16.28515625" style="136" bestFit="1" customWidth="1"/>
    <col min="1298" max="1298" width="11.85546875" style="136" bestFit="1" customWidth="1"/>
    <col min="1299" max="1301" width="15.5703125" style="136" bestFit="1" customWidth="1"/>
    <col min="1302" max="1531" width="11.42578125" style="136"/>
    <col min="1532" max="1532" width="2.5703125" style="136" customWidth="1"/>
    <col min="1533" max="1533" width="37.5703125" style="136" customWidth="1"/>
    <col min="1534" max="1536" width="14.140625" style="136" customWidth="1"/>
    <col min="1537" max="1537" width="19.42578125" style="136" customWidth="1"/>
    <col min="1538" max="1538" width="13.5703125" style="136" customWidth="1"/>
    <col min="1539" max="1539" width="14.140625" style="136" customWidth="1"/>
    <col min="1540" max="1543" width="12.7109375" style="136" customWidth="1"/>
    <col min="1544" max="1544" width="12.42578125" style="136" customWidth="1"/>
    <col min="1545" max="1548" width="12.7109375" style="136" customWidth="1"/>
    <col min="1549" max="1549" width="11.42578125" style="136"/>
    <col min="1550" max="1550" width="16.28515625" style="136" bestFit="1" customWidth="1"/>
    <col min="1551" max="1551" width="19" style="136" bestFit="1" customWidth="1"/>
    <col min="1552" max="1553" width="16.28515625" style="136" bestFit="1" customWidth="1"/>
    <col min="1554" max="1554" width="11.85546875" style="136" bestFit="1" customWidth="1"/>
    <col min="1555" max="1557" width="15.5703125" style="136" bestFit="1" customWidth="1"/>
    <col min="1558" max="1787" width="11.42578125" style="136"/>
    <col min="1788" max="1788" width="2.5703125" style="136" customWidth="1"/>
    <col min="1789" max="1789" width="37.5703125" style="136" customWidth="1"/>
    <col min="1790" max="1792" width="14.140625" style="136" customWidth="1"/>
    <col min="1793" max="1793" width="19.42578125" style="136" customWidth="1"/>
    <col min="1794" max="1794" width="13.5703125" style="136" customWidth="1"/>
    <col min="1795" max="1795" width="14.140625" style="136" customWidth="1"/>
    <col min="1796" max="1799" width="12.7109375" style="136" customWidth="1"/>
    <col min="1800" max="1800" width="12.42578125" style="136" customWidth="1"/>
    <col min="1801" max="1804" width="12.7109375" style="136" customWidth="1"/>
    <col min="1805" max="1805" width="11.42578125" style="136"/>
    <col min="1806" max="1806" width="16.28515625" style="136" bestFit="1" customWidth="1"/>
    <col min="1807" max="1807" width="19" style="136" bestFit="1" customWidth="1"/>
    <col min="1808" max="1809" width="16.28515625" style="136" bestFit="1" customWidth="1"/>
    <col min="1810" max="1810" width="11.85546875" style="136" bestFit="1" customWidth="1"/>
    <col min="1811" max="1813" width="15.5703125" style="136" bestFit="1" customWidth="1"/>
    <col min="1814" max="2043" width="11.42578125" style="136"/>
    <col min="2044" max="2044" width="2.5703125" style="136" customWidth="1"/>
    <col min="2045" max="2045" width="37.5703125" style="136" customWidth="1"/>
    <col min="2046" max="2048" width="14.140625" style="136" customWidth="1"/>
    <col min="2049" max="2049" width="19.42578125" style="136" customWidth="1"/>
    <col min="2050" max="2050" width="13.5703125" style="136" customWidth="1"/>
    <col min="2051" max="2051" width="14.140625" style="136" customWidth="1"/>
    <col min="2052" max="2055" width="12.7109375" style="136" customWidth="1"/>
    <col min="2056" max="2056" width="12.42578125" style="136" customWidth="1"/>
    <col min="2057" max="2060" width="12.7109375" style="136" customWidth="1"/>
    <col min="2061" max="2061" width="11.42578125" style="136"/>
    <col min="2062" max="2062" width="16.28515625" style="136" bestFit="1" customWidth="1"/>
    <col min="2063" max="2063" width="19" style="136" bestFit="1" customWidth="1"/>
    <col min="2064" max="2065" width="16.28515625" style="136" bestFit="1" customWidth="1"/>
    <col min="2066" max="2066" width="11.85546875" style="136" bestFit="1" customWidth="1"/>
    <col min="2067" max="2069" width="15.5703125" style="136" bestFit="1" customWidth="1"/>
    <col min="2070" max="2299" width="11.42578125" style="136"/>
    <col min="2300" max="2300" width="2.5703125" style="136" customWidth="1"/>
    <col min="2301" max="2301" width="37.5703125" style="136" customWidth="1"/>
    <col min="2302" max="2304" width="14.140625" style="136" customWidth="1"/>
    <col min="2305" max="2305" width="19.42578125" style="136" customWidth="1"/>
    <col min="2306" max="2306" width="13.5703125" style="136" customWidth="1"/>
    <col min="2307" max="2307" width="14.140625" style="136" customWidth="1"/>
    <col min="2308" max="2311" width="12.7109375" style="136" customWidth="1"/>
    <col min="2312" max="2312" width="12.42578125" style="136" customWidth="1"/>
    <col min="2313" max="2316" width="12.7109375" style="136" customWidth="1"/>
    <col min="2317" max="2317" width="11.42578125" style="136"/>
    <col min="2318" max="2318" width="16.28515625" style="136" bestFit="1" customWidth="1"/>
    <col min="2319" max="2319" width="19" style="136" bestFit="1" customWidth="1"/>
    <col min="2320" max="2321" width="16.28515625" style="136" bestFit="1" customWidth="1"/>
    <col min="2322" max="2322" width="11.85546875" style="136" bestFit="1" customWidth="1"/>
    <col min="2323" max="2325" width="15.5703125" style="136" bestFit="1" customWidth="1"/>
    <col min="2326" max="2555" width="11.42578125" style="136"/>
    <col min="2556" max="2556" width="2.5703125" style="136" customWidth="1"/>
    <col min="2557" max="2557" width="37.5703125" style="136" customWidth="1"/>
    <col min="2558" max="2560" width="14.140625" style="136" customWidth="1"/>
    <col min="2561" max="2561" width="19.42578125" style="136" customWidth="1"/>
    <col min="2562" max="2562" width="13.5703125" style="136" customWidth="1"/>
    <col min="2563" max="2563" width="14.140625" style="136" customWidth="1"/>
    <col min="2564" max="2567" width="12.7109375" style="136" customWidth="1"/>
    <col min="2568" max="2568" width="12.42578125" style="136" customWidth="1"/>
    <col min="2569" max="2572" width="12.7109375" style="136" customWidth="1"/>
    <col min="2573" max="2573" width="11.42578125" style="136"/>
    <col min="2574" max="2574" width="16.28515625" style="136" bestFit="1" customWidth="1"/>
    <col min="2575" max="2575" width="19" style="136" bestFit="1" customWidth="1"/>
    <col min="2576" max="2577" width="16.28515625" style="136" bestFit="1" customWidth="1"/>
    <col min="2578" max="2578" width="11.85546875" style="136" bestFit="1" customWidth="1"/>
    <col min="2579" max="2581" width="15.5703125" style="136" bestFit="1" customWidth="1"/>
    <col min="2582" max="2811" width="11.42578125" style="136"/>
    <col min="2812" max="2812" width="2.5703125" style="136" customWidth="1"/>
    <col min="2813" max="2813" width="37.5703125" style="136" customWidth="1"/>
    <col min="2814" max="2816" width="14.140625" style="136" customWidth="1"/>
    <col min="2817" max="2817" width="19.42578125" style="136" customWidth="1"/>
    <col min="2818" max="2818" width="13.5703125" style="136" customWidth="1"/>
    <col min="2819" max="2819" width="14.140625" style="136" customWidth="1"/>
    <col min="2820" max="2823" width="12.7109375" style="136" customWidth="1"/>
    <col min="2824" max="2824" width="12.42578125" style="136" customWidth="1"/>
    <col min="2825" max="2828" width="12.7109375" style="136" customWidth="1"/>
    <col min="2829" max="2829" width="11.42578125" style="136"/>
    <col min="2830" max="2830" width="16.28515625" style="136" bestFit="1" customWidth="1"/>
    <col min="2831" max="2831" width="19" style="136" bestFit="1" customWidth="1"/>
    <col min="2832" max="2833" width="16.28515625" style="136" bestFit="1" customWidth="1"/>
    <col min="2834" max="2834" width="11.85546875" style="136" bestFit="1" customWidth="1"/>
    <col min="2835" max="2837" width="15.5703125" style="136" bestFit="1" customWidth="1"/>
    <col min="2838" max="3067" width="11.42578125" style="136"/>
    <col min="3068" max="3068" width="2.5703125" style="136" customWidth="1"/>
    <col min="3069" max="3069" width="37.5703125" style="136" customWidth="1"/>
    <col min="3070" max="3072" width="14.140625" style="136" customWidth="1"/>
    <col min="3073" max="3073" width="19.42578125" style="136" customWidth="1"/>
    <col min="3074" max="3074" width="13.5703125" style="136" customWidth="1"/>
    <col min="3075" max="3075" width="14.140625" style="136" customWidth="1"/>
    <col min="3076" max="3079" width="12.7109375" style="136" customWidth="1"/>
    <col min="3080" max="3080" width="12.42578125" style="136" customWidth="1"/>
    <col min="3081" max="3084" width="12.7109375" style="136" customWidth="1"/>
    <col min="3085" max="3085" width="11.42578125" style="136"/>
    <col min="3086" max="3086" width="16.28515625" style="136" bestFit="1" customWidth="1"/>
    <col min="3087" max="3087" width="19" style="136" bestFit="1" customWidth="1"/>
    <col min="3088" max="3089" width="16.28515625" style="136" bestFit="1" customWidth="1"/>
    <col min="3090" max="3090" width="11.85546875" style="136" bestFit="1" customWidth="1"/>
    <col min="3091" max="3093" width="15.5703125" style="136" bestFit="1" customWidth="1"/>
    <col min="3094" max="3323" width="11.42578125" style="136"/>
    <col min="3324" max="3324" width="2.5703125" style="136" customWidth="1"/>
    <col min="3325" max="3325" width="37.5703125" style="136" customWidth="1"/>
    <col min="3326" max="3328" width="14.140625" style="136" customWidth="1"/>
    <col min="3329" max="3329" width="19.42578125" style="136" customWidth="1"/>
    <col min="3330" max="3330" width="13.5703125" style="136" customWidth="1"/>
    <col min="3331" max="3331" width="14.140625" style="136" customWidth="1"/>
    <col min="3332" max="3335" width="12.7109375" style="136" customWidth="1"/>
    <col min="3336" max="3336" width="12.42578125" style="136" customWidth="1"/>
    <col min="3337" max="3340" width="12.7109375" style="136" customWidth="1"/>
    <col min="3341" max="3341" width="11.42578125" style="136"/>
    <col min="3342" max="3342" width="16.28515625" style="136" bestFit="1" customWidth="1"/>
    <col min="3343" max="3343" width="19" style="136" bestFit="1" customWidth="1"/>
    <col min="3344" max="3345" width="16.28515625" style="136" bestFit="1" customWidth="1"/>
    <col min="3346" max="3346" width="11.85546875" style="136" bestFit="1" customWidth="1"/>
    <col min="3347" max="3349" width="15.5703125" style="136" bestFit="1" customWidth="1"/>
    <col min="3350" max="3579" width="11.42578125" style="136"/>
    <col min="3580" max="3580" width="2.5703125" style="136" customWidth="1"/>
    <col min="3581" max="3581" width="37.5703125" style="136" customWidth="1"/>
    <col min="3582" max="3584" width="14.140625" style="136" customWidth="1"/>
    <col min="3585" max="3585" width="19.42578125" style="136" customWidth="1"/>
    <col min="3586" max="3586" width="13.5703125" style="136" customWidth="1"/>
    <col min="3587" max="3587" width="14.140625" style="136" customWidth="1"/>
    <col min="3588" max="3591" width="12.7109375" style="136" customWidth="1"/>
    <col min="3592" max="3592" width="12.42578125" style="136" customWidth="1"/>
    <col min="3593" max="3596" width="12.7109375" style="136" customWidth="1"/>
    <col min="3597" max="3597" width="11.42578125" style="136"/>
    <col min="3598" max="3598" width="16.28515625" style="136" bestFit="1" customWidth="1"/>
    <col min="3599" max="3599" width="19" style="136" bestFit="1" customWidth="1"/>
    <col min="3600" max="3601" width="16.28515625" style="136" bestFit="1" customWidth="1"/>
    <col min="3602" max="3602" width="11.85546875" style="136" bestFit="1" customWidth="1"/>
    <col min="3603" max="3605" width="15.5703125" style="136" bestFit="1" customWidth="1"/>
    <col min="3606" max="3835" width="11.42578125" style="136"/>
    <col min="3836" max="3836" width="2.5703125" style="136" customWidth="1"/>
    <col min="3837" max="3837" width="37.5703125" style="136" customWidth="1"/>
    <col min="3838" max="3840" width="14.140625" style="136" customWidth="1"/>
    <col min="3841" max="3841" width="19.42578125" style="136" customWidth="1"/>
    <col min="3842" max="3842" width="13.5703125" style="136" customWidth="1"/>
    <col min="3843" max="3843" width="14.140625" style="136" customWidth="1"/>
    <col min="3844" max="3847" width="12.7109375" style="136" customWidth="1"/>
    <col min="3848" max="3848" width="12.42578125" style="136" customWidth="1"/>
    <col min="3849" max="3852" width="12.7109375" style="136" customWidth="1"/>
    <col min="3853" max="3853" width="11.42578125" style="136"/>
    <col min="3854" max="3854" width="16.28515625" style="136" bestFit="1" customWidth="1"/>
    <col min="3855" max="3855" width="19" style="136" bestFit="1" customWidth="1"/>
    <col min="3856" max="3857" width="16.28515625" style="136" bestFit="1" customWidth="1"/>
    <col min="3858" max="3858" width="11.85546875" style="136" bestFit="1" customWidth="1"/>
    <col min="3859" max="3861" width="15.5703125" style="136" bestFit="1" customWidth="1"/>
    <col min="3862" max="4091" width="11.42578125" style="136"/>
    <col min="4092" max="4092" width="2.5703125" style="136" customWidth="1"/>
    <col min="4093" max="4093" width="37.5703125" style="136" customWidth="1"/>
    <col min="4094" max="4096" width="14.140625" style="136" customWidth="1"/>
    <col min="4097" max="4097" width="19.42578125" style="136" customWidth="1"/>
    <col min="4098" max="4098" width="13.5703125" style="136" customWidth="1"/>
    <col min="4099" max="4099" width="14.140625" style="136" customWidth="1"/>
    <col min="4100" max="4103" width="12.7109375" style="136" customWidth="1"/>
    <col min="4104" max="4104" width="12.42578125" style="136" customWidth="1"/>
    <col min="4105" max="4108" width="12.7109375" style="136" customWidth="1"/>
    <col min="4109" max="4109" width="11.42578125" style="136"/>
    <col min="4110" max="4110" width="16.28515625" style="136" bestFit="1" customWidth="1"/>
    <col min="4111" max="4111" width="19" style="136" bestFit="1" customWidth="1"/>
    <col min="4112" max="4113" width="16.28515625" style="136" bestFit="1" customWidth="1"/>
    <col min="4114" max="4114" width="11.85546875" style="136" bestFit="1" customWidth="1"/>
    <col min="4115" max="4117" width="15.5703125" style="136" bestFit="1" customWidth="1"/>
    <col min="4118" max="4347" width="11.42578125" style="136"/>
    <col min="4348" max="4348" width="2.5703125" style="136" customWidth="1"/>
    <col min="4349" max="4349" width="37.5703125" style="136" customWidth="1"/>
    <col min="4350" max="4352" width="14.140625" style="136" customWidth="1"/>
    <col min="4353" max="4353" width="19.42578125" style="136" customWidth="1"/>
    <col min="4354" max="4354" width="13.5703125" style="136" customWidth="1"/>
    <col min="4355" max="4355" width="14.140625" style="136" customWidth="1"/>
    <col min="4356" max="4359" width="12.7109375" style="136" customWidth="1"/>
    <col min="4360" max="4360" width="12.42578125" style="136" customWidth="1"/>
    <col min="4361" max="4364" width="12.7109375" style="136" customWidth="1"/>
    <col min="4365" max="4365" width="11.42578125" style="136"/>
    <col min="4366" max="4366" width="16.28515625" style="136" bestFit="1" customWidth="1"/>
    <col min="4367" max="4367" width="19" style="136" bestFit="1" customWidth="1"/>
    <col min="4368" max="4369" width="16.28515625" style="136" bestFit="1" customWidth="1"/>
    <col min="4370" max="4370" width="11.85546875" style="136" bestFit="1" customWidth="1"/>
    <col min="4371" max="4373" width="15.5703125" style="136" bestFit="1" customWidth="1"/>
    <col min="4374" max="4603" width="11.42578125" style="136"/>
    <col min="4604" max="4604" width="2.5703125" style="136" customWidth="1"/>
    <col min="4605" max="4605" width="37.5703125" style="136" customWidth="1"/>
    <col min="4606" max="4608" width="14.140625" style="136" customWidth="1"/>
    <col min="4609" max="4609" width="19.42578125" style="136" customWidth="1"/>
    <col min="4610" max="4610" width="13.5703125" style="136" customWidth="1"/>
    <col min="4611" max="4611" width="14.140625" style="136" customWidth="1"/>
    <col min="4612" max="4615" width="12.7109375" style="136" customWidth="1"/>
    <col min="4616" max="4616" width="12.42578125" style="136" customWidth="1"/>
    <col min="4617" max="4620" width="12.7109375" style="136" customWidth="1"/>
    <col min="4621" max="4621" width="11.42578125" style="136"/>
    <col min="4622" max="4622" width="16.28515625" style="136" bestFit="1" customWidth="1"/>
    <col min="4623" max="4623" width="19" style="136" bestFit="1" customWidth="1"/>
    <col min="4624" max="4625" width="16.28515625" style="136" bestFit="1" customWidth="1"/>
    <col min="4626" max="4626" width="11.85546875" style="136" bestFit="1" customWidth="1"/>
    <col min="4627" max="4629" width="15.5703125" style="136" bestFit="1" customWidth="1"/>
    <col min="4630" max="4859" width="11.42578125" style="136"/>
    <col min="4860" max="4860" width="2.5703125" style="136" customWidth="1"/>
    <col min="4861" max="4861" width="37.5703125" style="136" customWidth="1"/>
    <col min="4862" max="4864" width="14.140625" style="136" customWidth="1"/>
    <col min="4865" max="4865" width="19.42578125" style="136" customWidth="1"/>
    <col min="4866" max="4866" width="13.5703125" style="136" customWidth="1"/>
    <col min="4867" max="4867" width="14.140625" style="136" customWidth="1"/>
    <col min="4868" max="4871" width="12.7109375" style="136" customWidth="1"/>
    <col min="4872" max="4872" width="12.42578125" style="136" customWidth="1"/>
    <col min="4873" max="4876" width="12.7109375" style="136" customWidth="1"/>
    <col min="4877" max="4877" width="11.42578125" style="136"/>
    <col min="4878" max="4878" width="16.28515625" style="136" bestFit="1" customWidth="1"/>
    <col min="4879" max="4879" width="19" style="136" bestFit="1" customWidth="1"/>
    <col min="4880" max="4881" width="16.28515625" style="136" bestFit="1" customWidth="1"/>
    <col min="4882" max="4882" width="11.85546875" style="136" bestFit="1" customWidth="1"/>
    <col min="4883" max="4885" width="15.5703125" style="136" bestFit="1" customWidth="1"/>
    <col min="4886" max="5115" width="11.42578125" style="136"/>
    <col min="5116" max="5116" width="2.5703125" style="136" customWidth="1"/>
    <col min="5117" max="5117" width="37.5703125" style="136" customWidth="1"/>
    <col min="5118" max="5120" width="14.140625" style="136" customWidth="1"/>
    <col min="5121" max="5121" width="19.42578125" style="136" customWidth="1"/>
    <col min="5122" max="5122" width="13.5703125" style="136" customWidth="1"/>
    <col min="5123" max="5123" width="14.140625" style="136" customWidth="1"/>
    <col min="5124" max="5127" width="12.7109375" style="136" customWidth="1"/>
    <col min="5128" max="5128" width="12.42578125" style="136" customWidth="1"/>
    <col min="5129" max="5132" width="12.7109375" style="136" customWidth="1"/>
    <col min="5133" max="5133" width="11.42578125" style="136"/>
    <col min="5134" max="5134" width="16.28515625" style="136" bestFit="1" customWidth="1"/>
    <col min="5135" max="5135" width="19" style="136" bestFit="1" customWidth="1"/>
    <col min="5136" max="5137" width="16.28515625" style="136" bestFit="1" customWidth="1"/>
    <col min="5138" max="5138" width="11.85546875" style="136" bestFit="1" customWidth="1"/>
    <col min="5139" max="5141" width="15.5703125" style="136" bestFit="1" customWidth="1"/>
    <col min="5142" max="5371" width="11.42578125" style="136"/>
    <col min="5372" max="5372" width="2.5703125" style="136" customWidth="1"/>
    <col min="5373" max="5373" width="37.5703125" style="136" customWidth="1"/>
    <col min="5374" max="5376" width="14.140625" style="136" customWidth="1"/>
    <col min="5377" max="5377" width="19.42578125" style="136" customWidth="1"/>
    <col min="5378" max="5378" width="13.5703125" style="136" customWidth="1"/>
    <col min="5379" max="5379" width="14.140625" style="136" customWidth="1"/>
    <col min="5380" max="5383" width="12.7109375" style="136" customWidth="1"/>
    <col min="5384" max="5384" width="12.42578125" style="136" customWidth="1"/>
    <col min="5385" max="5388" width="12.7109375" style="136" customWidth="1"/>
    <col min="5389" max="5389" width="11.42578125" style="136"/>
    <col min="5390" max="5390" width="16.28515625" style="136" bestFit="1" customWidth="1"/>
    <col min="5391" max="5391" width="19" style="136" bestFit="1" customWidth="1"/>
    <col min="5392" max="5393" width="16.28515625" style="136" bestFit="1" customWidth="1"/>
    <col min="5394" max="5394" width="11.85546875" style="136" bestFit="1" customWidth="1"/>
    <col min="5395" max="5397" width="15.5703125" style="136" bestFit="1" customWidth="1"/>
    <col min="5398" max="5627" width="11.42578125" style="136"/>
    <col min="5628" max="5628" width="2.5703125" style="136" customWidth="1"/>
    <col min="5629" max="5629" width="37.5703125" style="136" customWidth="1"/>
    <col min="5630" max="5632" width="14.140625" style="136" customWidth="1"/>
    <col min="5633" max="5633" width="19.42578125" style="136" customWidth="1"/>
    <col min="5634" max="5634" width="13.5703125" style="136" customWidth="1"/>
    <col min="5635" max="5635" width="14.140625" style="136" customWidth="1"/>
    <col min="5636" max="5639" width="12.7109375" style="136" customWidth="1"/>
    <col min="5640" max="5640" width="12.42578125" style="136" customWidth="1"/>
    <col min="5641" max="5644" width="12.7109375" style="136" customWidth="1"/>
    <col min="5645" max="5645" width="11.42578125" style="136"/>
    <col min="5646" max="5646" width="16.28515625" style="136" bestFit="1" customWidth="1"/>
    <col min="5647" max="5647" width="19" style="136" bestFit="1" customWidth="1"/>
    <col min="5648" max="5649" width="16.28515625" style="136" bestFit="1" customWidth="1"/>
    <col min="5650" max="5650" width="11.85546875" style="136" bestFit="1" customWidth="1"/>
    <col min="5651" max="5653" width="15.5703125" style="136" bestFit="1" customWidth="1"/>
    <col min="5654" max="5883" width="11.42578125" style="136"/>
    <col min="5884" max="5884" width="2.5703125" style="136" customWidth="1"/>
    <col min="5885" max="5885" width="37.5703125" style="136" customWidth="1"/>
    <col min="5886" max="5888" width="14.140625" style="136" customWidth="1"/>
    <col min="5889" max="5889" width="19.42578125" style="136" customWidth="1"/>
    <col min="5890" max="5890" width="13.5703125" style="136" customWidth="1"/>
    <col min="5891" max="5891" width="14.140625" style="136" customWidth="1"/>
    <col min="5892" max="5895" width="12.7109375" style="136" customWidth="1"/>
    <col min="5896" max="5896" width="12.42578125" style="136" customWidth="1"/>
    <col min="5897" max="5900" width="12.7109375" style="136" customWidth="1"/>
    <col min="5901" max="5901" width="11.42578125" style="136"/>
    <col min="5902" max="5902" width="16.28515625" style="136" bestFit="1" customWidth="1"/>
    <col min="5903" max="5903" width="19" style="136" bestFit="1" customWidth="1"/>
    <col min="5904" max="5905" width="16.28515625" style="136" bestFit="1" customWidth="1"/>
    <col min="5906" max="5906" width="11.85546875" style="136" bestFit="1" customWidth="1"/>
    <col min="5907" max="5909" width="15.5703125" style="136" bestFit="1" customWidth="1"/>
    <col min="5910" max="6139" width="11.42578125" style="136"/>
    <col min="6140" max="6140" width="2.5703125" style="136" customWidth="1"/>
    <col min="6141" max="6141" width="37.5703125" style="136" customWidth="1"/>
    <col min="6142" max="6144" width="14.140625" style="136" customWidth="1"/>
    <col min="6145" max="6145" width="19.42578125" style="136" customWidth="1"/>
    <col min="6146" max="6146" width="13.5703125" style="136" customWidth="1"/>
    <col min="6147" max="6147" width="14.140625" style="136" customWidth="1"/>
    <col min="6148" max="6151" width="12.7109375" style="136" customWidth="1"/>
    <col min="6152" max="6152" width="12.42578125" style="136" customWidth="1"/>
    <col min="6153" max="6156" width="12.7109375" style="136" customWidth="1"/>
    <col min="6157" max="6157" width="11.42578125" style="136"/>
    <col min="6158" max="6158" width="16.28515625" style="136" bestFit="1" customWidth="1"/>
    <col min="6159" max="6159" width="19" style="136" bestFit="1" customWidth="1"/>
    <col min="6160" max="6161" width="16.28515625" style="136" bestFit="1" customWidth="1"/>
    <col min="6162" max="6162" width="11.85546875" style="136" bestFit="1" customWidth="1"/>
    <col min="6163" max="6165" width="15.5703125" style="136" bestFit="1" customWidth="1"/>
    <col min="6166" max="6395" width="11.42578125" style="136"/>
    <col min="6396" max="6396" width="2.5703125" style="136" customWidth="1"/>
    <col min="6397" max="6397" width="37.5703125" style="136" customWidth="1"/>
    <col min="6398" max="6400" width="14.140625" style="136" customWidth="1"/>
    <col min="6401" max="6401" width="19.42578125" style="136" customWidth="1"/>
    <col min="6402" max="6402" width="13.5703125" style="136" customWidth="1"/>
    <col min="6403" max="6403" width="14.140625" style="136" customWidth="1"/>
    <col min="6404" max="6407" width="12.7109375" style="136" customWidth="1"/>
    <col min="6408" max="6408" width="12.42578125" style="136" customWidth="1"/>
    <col min="6409" max="6412" width="12.7109375" style="136" customWidth="1"/>
    <col min="6413" max="6413" width="11.42578125" style="136"/>
    <col min="6414" max="6414" width="16.28515625" style="136" bestFit="1" customWidth="1"/>
    <col min="6415" max="6415" width="19" style="136" bestFit="1" customWidth="1"/>
    <col min="6416" max="6417" width="16.28515625" style="136" bestFit="1" customWidth="1"/>
    <col min="6418" max="6418" width="11.85546875" style="136" bestFit="1" customWidth="1"/>
    <col min="6419" max="6421" width="15.5703125" style="136" bestFit="1" customWidth="1"/>
    <col min="6422" max="6651" width="11.42578125" style="136"/>
    <col min="6652" max="6652" width="2.5703125" style="136" customWidth="1"/>
    <col min="6653" max="6653" width="37.5703125" style="136" customWidth="1"/>
    <col min="6654" max="6656" width="14.140625" style="136" customWidth="1"/>
    <col min="6657" max="6657" width="19.42578125" style="136" customWidth="1"/>
    <col min="6658" max="6658" width="13.5703125" style="136" customWidth="1"/>
    <col min="6659" max="6659" width="14.140625" style="136" customWidth="1"/>
    <col min="6660" max="6663" width="12.7109375" style="136" customWidth="1"/>
    <col min="6664" max="6664" width="12.42578125" style="136" customWidth="1"/>
    <col min="6665" max="6668" width="12.7109375" style="136" customWidth="1"/>
    <col min="6669" max="6669" width="11.42578125" style="136"/>
    <col min="6670" max="6670" width="16.28515625" style="136" bestFit="1" customWidth="1"/>
    <col min="6671" max="6671" width="19" style="136" bestFit="1" customWidth="1"/>
    <col min="6672" max="6673" width="16.28515625" style="136" bestFit="1" customWidth="1"/>
    <col min="6674" max="6674" width="11.85546875" style="136" bestFit="1" customWidth="1"/>
    <col min="6675" max="6677" width="15.5703125" style="136" bestFit="1" customWidth="1"/>
    <col min="6678" max="6907" width="11.42578125" style="136"/>
    <col min="6908" max="6908" width="2.5703125" style="136" customWidth="1"/>
    <col min="6909" max="6909" width="37.5703125" style="136" customWidth="1"/>
    <col min="6910" max="6912" width="14.140625" style="136" customWidth="1"/>
    <col min="6913" max="6913" width="19.42578125" style="136" customWidth="1"/>
    <col min="6914" max="6914" width="13.5703125" style="136" customWidth="1"/>
    <col min="6915" max="6915" width="14.140625" style="136" customWidth="1"/>
    <col min="6916" max="6919" width="12.7109375" style="136" customWidth="1"/>
    <col min="6920" max="6920" width="12.42578125" style="136" customWidth="1"/>
    <col min="6921" max="6924" width="12.7109375" style="136" customWidth="1"/>
    <col min="6925" max="6925" width="11.42578125" style="136"/>
    <col min="6926" max="6926" width="16.28515625" style="136" bestFit="1" customWidth="1"/>
    <col min="6927" max="6927" width="19" style="136" bestFit="1" customWidth="1"/>
    <col min="6928" max="6929" width="16.28515625" style="136" bestFit="1" customWidth="1"/>
    <col min="6930" max="6930" width="11.85546875" style="136" bestFit="1" customWidth="1"/>
    <col min="6931" max="6933" width="15.5703125" style="136" bestFit="1" customWidth="1"/>
    <col min="6934" max="7163" width="11.42578125" style="136"/>
    <col min="7164" max="7164" width="2.5703125" style="136" customWidth="1"/>
    <col min="7165" max="7165" width="37.5703125" style="136" customWidth="1"/>
    <col min="7166" max="7168" width="14.140625" style="136" customWidth="1"/>
    <col min="7169" max="7169" width="19.42578125" style="136" customWidth="1"/>
    <col min="7170" max="7170" width="13.5703125" style="136" customWidth="1"/>
    <col min="7171" max="7171" width="14.140625" style="136" customWidth="1"/>
    <col min="7172" max="7175" width="12.7109375" style="136" customWidth="1"/>
    <col min="7176" max="7176" width="12.42578125" style="136" customWidth="1"/>
    <col min="7177" max="7180" width="12.7109375" style="136" customWidth="1"/>
    <col min="7181" max="7181" width="11.42578125" style="136"/>
    <col min="7182" max="7182" width="16.28515625" style="136" bestFit="1" customWidth="1"/>
    <col min="7183" max="7183" width="19" style="136" bestFit="1" customWidth="1"/>
    <col min="7184" max="7185" width="16.28515625" style="136" bestFit="1" customWidth="1"/>
    <col min="7186" max="7186" width="11.85546875" style="136" bestFit="1" customWidth="1"/>
    <col min="7187" max="7189" width="15.5703125" style="136" bestFit="1" customWidth="1"/>
    <col min="7190" max="7419" width="11.42578125" style="136"/>
    <col min="7420" max="7420" width="2.5703125" style="136" customWidth="1"/>
    <col min="7421" max="7421" width="37.5703125" style="136" customWidth="1"/>
    <col min="7422" max="7424" width="14.140625" style="136" customWidth="1"/>
    <col min="7425" max="7425" width="19.42578125" style="136" customWidth="1"/>
    <col min="7426" max="7426" width="13.5703125" style="136" customWidth="1"/>
    <col min="7427" max="7427" width="14.140625" style="136" customWidth="1"/>
    <col min="7428" max="7431" width="12.7109375" style="136" customWidth="1"/>
    <col min="7432" max="7432" width="12.42578125" style="136" customWidth="1"/>
    <col min="7433" max="7436" width="12.7109375" style="136" customWidth="1"/>
    <col min="7437" max="7437" width="11.42578125" style="136"/>
    <col min="7438" max="7438" width="16.28515625" style="136" bestFit="1" customWidth="1"/>
    <col min="7439" max="7439" width="19" style="136" bestFit="1" customWidth="1"/>
    <col min="7440" max="7441" width="16.28515625" style="136" bestFit="1" customWidth="1"/>
    <col min="7442" max="7442" width="11.85546875" style="136" bestFit="1" customWidth="1"/>
    <col min="7443" max="7445" width="15.5703125" style="136" bestFit="1" customWidth="1"/>
    <col min="7446" max="7675" width="11.42578125" style="136"/>
    <col min="7676" max="7676" width="2.5703125" style="136" customWidth="1"/>
    <col min="7677" max="7677" width="37.5703125" style="136" customWidth="1"/>
    <col min="7678" max="7680" width="14.140625" style="136" customWidth="1"/>
    <col min="7681" max="7681" width="19.42578125" style="136" customWidth="1"/>
    <col min="7682" max="7682" width="13.5703125" style="136" customWidth="1"/>
    <col min="7683" max="7683" width="14.140625" style="136" customWidth="1"/>
    <col min="7684" max="7687" width="12.7109375" style="136" customWidth="1"/>
    <col min="7688" max="7688" width="12.42578125" style="136" customWidth="1"/>
    <col min="7689" max="7692" width="12.7109375" style="136" customWidth="1"/>
    <col min="7693" max="7693" width="11.42578125" style="136"/>
    <col min="7694" max="7694" width="16.28515625" style="136" bestFit="1" customWidth="1"/>
    <col min="7695" max="7695" width="19" style="136" bestFit="1" customWidth="1"/>
    <col min="7696" max="7697" width="16.28515625" style="136" bestFit="1" customWidth="1"/>
    <col min="7698" max="7698" width="11.85546875" style="136" bestFit="1" customWidth="1"/>
    <col min="7699" max="7701" width="15.5703125" style="136" bestFit="1" customWidth="1"/>
    <col min="7702" max="7931" width="11.42578125" style="136"/>
    <col min="7932" max="7932" width="2.5703125" style="136" customWidth="1"/>
    <col min="7933" max="7933" width="37.5703125" style="136" customWidth="1"/>
    <col min="7934" max="7936" width="14.140625" style="136" customWidth="1"/>
    <col min="7937" max="7937" width="19.42578125" style="136" customWidth="1"/>
    <col min="7938" max="7938" width="13.5703125" style="136" customWidth="1"/>
    <col min="7939" max="7939" width="14.140625" style="136" customWidth="1"/>
    <col min="7940" max="7943" width="12.7109375" style="136" customWidth="1"/>
    <col min="7944" max="7944" width="12.42578125" style="136" customWidth="1"/>
    <col min="7945" max="7948" width="12.7109375" style="136" customWidth="1"/>
    <col min="7949" max="7949" width="11.42578125" style="136"/>
    <col min="7950" max="7950" width="16.28515625" style="136" bestFit="1" customWidth="1"/>
    <col min="7951" max="7951" width="19" style="136" bestFit="1" customWidth="1"/>
    <col min="7952" max="7953" width="16.28515625" style="136" bestFit="1" customWidth="1"/>
    <col min="7954" max="7954" width="11.85546875" style="136" bestFit="1" customWidth="1"/>
    <col min="7955" max="7957" width="15.5703125" style="136" bestFit="1" customWidth="1"/>
    <col min="7958" max="8187" width="11.42578125" style="136"/>
    <col min="8188" max="8188" width="2.5703125" style="136" customWidth="1"/>
    <col min="8189" max="8189" width="37.5703125" style="136" customWidth="1"/>
    <col min="8190" max="8192" width="14.140625" style="136" customWidth="1"/>
    <col min="8193" max="8193" width="19.42578125" style="136" customWidth="1"/>
    <col min="8194" max="8194" width="13.5703125" style="136" customWidth="1"/>
    <col min="8195" max="8195" width="14.140625" style="136" customWidth="1"/>
    <col min="8196" max="8199" width="12.7109375" style="136" customWidth="1"/>
    <col min="8200" max="8200" width="12.42578125" style="136" customWidth="1"/>
    <col min="8201" max="8204" width="12.7109375" style="136" customWidth="1"/>
    <col min="8205" max="8205" width="11.42578125" style="136"/>
    <col min="8206" max="8206" width="16.28515625" style="136" bestFit="1" customWidth="1"/>
    <col min="8207" max="8207" width="19" style="136" bestFit="1" customWidth="1"/>
    <col min="8208" max="8209" width="16.28515625" style="136" bestFit="1" customWidth="1"/>
    <col min="8210" max="8210" width="11.85546875" style="136" bestFit="1" customWidth="1"/>
    <col min="8211" max="8213" width="15.5703125" style="136" bestFit="1" customWidth="1"/>
    <col min="8214" max="8443" width="11.42578125" style="136"/>
    <col min="8444" max="8444" width="2.5703125" style="136" customWidth="1"/>
    <col min="8445" max="8445" width="37.5703125" style="136" customWidth="1"/>
    <col min="8446" max="8448" width="14.140625" style="136" customWidth="1"/>
    <col min="8449" max="8449" width="19.42578125" style="136" customWidth="1"/>
    <col min="8450" max="8450" width="13.5703125" style="136" customWidth="1"/>
    <col min="8451" max="8451" width="14.140625" style="136" customWidth="1"/>
    <col min="8452" max="8455" width="12.7109375" style="136" customWidth="1"/>
    <col min="8456" max="8456" width="12.42578125" style="136" customWidth="1"/>
    <col min="8457" max="8460" width="12.7109375" style="136" customWidth="1"/>
    <col min="8461" max="8461" width="11.42578125" style="136"/>
    <col min="8462" max="8462" width="16.28515625" style="136" bestFit="1" customWidth="1"/>
    <col min="8463" max="8463" width="19" style="136" bestFit="1" customWidth="1"/>
    <col min="8464" max="8465" width="16.28515625" style="136" bestFit="1" customWidth="1"/>
    <col min="8466" max="8466" width="11.85546875" style="136" bestFit="1" customWidth="1"/>
    <col min="8467" max="8469" width="15.5703125" style="136" bestFit="1" customWidth="1"/>
    <col min="8470" max="8699" width="11.42578125" style="136"/>
    <col min="8700" max="8700" width="2.5703125" style="136" customWidth="1"/>
    <col min="8701" max="8701" width="37.5703125" style="136" customWidth="1"/>
    <col min="8702" max="8704" width="14.140625" style="136" customWidth="1"/>
    <col min="8705" max="8705" width="19.42578125" style="136" customWidth="1"/>
    <col min="8706" max="8706" width="13.5703125" style="136" customWidth="1"/>
    <col min="8707" max="8707" width="14.140625" style="136" customWidth="1"/>
    <col min="8708" max="8711" width="12.7109375" style="136" customWidth="1"/>
    <col min="8712" max="8712" width="12.42578125" style="136" customWidth="1"/>
    <col min="8713" max="8716" width="12.7109375" style="136" customWidth="1"/>
    <col min="8717" max="8717" width="11.42578125" style="136"/>
    <col min="8718" max="8718" width="16.28515625" style="136" bestFit="1" customWidth="1"/>
    <col min="8719" max="8719" width="19" style="136" bestFit="1" customWidth="1"/>
    <col min="8720" max="8721" width="16.28515625" style="136" bestFit="1" customWidth="1"/>
    <col min="8722" max="8722" width="11.85546875" style="136" bestFit="1" customWidth="1"/>
    <col min="8723" max="8725" width="15.5703125" style="136" bestFit="1" customWidth="1"/>
    <col min="8726" max="8955" width="11.42578125" style="136"/>
    <col min="8956" max="8956" width="2.5703125" style="136" customWidth="1"/>
    <col min="8957" max="8957" width="37.5703125" style="136" customWidth="1"/>
    <col min="8958" max="8960" width="14.140625" style="136" customWidth="1"/>
    <col min="8961" max="8961" width="19.42578125" style="136" customWidth="1"/>
    <col min="8962" max="8962" width="13.5703125" style="136" customWidth="1"/>
    <col min="8963" max="8963" width="14.140625" style="136" customWidth="1"/>
    <col min="8964" max="8967" width="12.7109375" style="136" customWidth="1"/>
    <col min="8968" max="8968" width="12.42578125" style="136" customWidth="1"/>
    <col min="8969" max="8972" width="12.7109375" style="136" customWidth="1"/>
    <col min="8973" max="8973" width="11.42578125" style="136"/>
    <col min="8974" max="8974" width="16.28515625" style="136" bestFit="1" customWidth="1"/>
    <col min="8975" max="8975" width="19" style="136" bestFit="1" customWidth="1"/>
    <col min="8976" max="8977" width="16.28515625" style="136" bestFit="1" customWidth="1"/>
    <col min="8978" max="8978" width="11.85546875" style="136" bestFit="1" customWidth="1"/>
    <col min="8979" max="8981" width="15.5703125" style="136" bestFit="1" customWidth="1"/>
    <col min="8982" max="9211" width="11.42578125" style="136"/>
    <col min="9212" max="9212" width="2.5703125" style="136" customWidth="1"/>
    <col min="9213" max="9213" width="37.5703125" style="136" customWidth="1"/>
    <col min="9214" max="9216" width="14.140625" style="136" customWidth="1"/>
    <col min="9217" max="9217" width="19.42578125" style="136" customWidth="1"/>
    <col min="9218" max="9218" width="13.5703125" style="136" customWidth="1"/>
    <col min="9219" max="9219" width="14.140625" style="136" customWidth="1"/>
    <col min="9220" max="9223" width="12.7109375" style="136" customWidth="1"/>
    <col min="9224" max="9224" width="12.42578125" style="136" customWidth="1"/>
    <col min="9225" max="9228" width="12.7109375" style="136" customWidth="1"/>
    <col min="9229" max="9229" width="11.42578125" style="136"/>
    <col min="9230" max="9230" width="16.28515625" style="136" bestFit="1" customWidth="1"/>
    <col min="9231" max="9231" width="19" style="136" bestFit="1" customWidth="1"/>
    <col min="9232" max="9233" width="16.28515625" style="136" bestFit="1" customWidth="1"/>
    <col min="9234" max="9234" width="11.85546875" style="136" bestFit="1" customWidth="1"/>
    <col min="9235" max="9237" width="15.5703125" style="136" bestFit="1" customWidth="1"/>
    <col min="9238" max="9467" width="11.42578125" style="136"/>
    <col min="9468" max="9468" width="2.5703125" style="136" customWidth="1"/>
    <col min="9469" max="9469" width="37.5703125" style="136" customWidth="1"/>
    <col min="9470" max="9472" width="14.140625" style="136" customWidth="1"/>
    <col min="9473" max="9473" width="19.42578125" style="136" customWidth="1"/>
    <col min="9474" max="9474" width="13.5703125" style="136" customWidth="1"/>
    <col min="9475" max="9475" width="14.140625" style="136" customWidth="1"/>
    <col min="9476" max="9479" width="12.7109375" style="136" customWidth="1"/>
    <col min="9480" max="9480" width="12.42578125" style="136" customWidth="1"/>
    <col min="9481" max="9484" width="12.7109375" style="136" customWidth="1"/>
    <col min="9485" max="9485" width="11.42578125" style="136"/>
    <col min="9486" max="9486" width="16.28515625" style="136" bestFit="1" customWidth="1"/>
    <col min="9487" max="9487" width="19" style="136" bestFit="1" customWidth="1"/>
    <col min="9488" max="9489" width="16.28515625" style="136" bestFit="1" customWidth="1"/>
    <col min="9490" max="9490" width="11.85546875" style="136" bestFit="1" customWidth="1"/>
    <col min="9491" max="9493" width="15.5703125" style="136" bestFit="1" customWidth="1"/>
    <col min="9494" max="9723" width="11.42578125" style="136"/>
    <col min="9724" max="9724" width="2.5703125" style="136" customWidth="1"/>
    <col min="9725" max="9725" width="37.5703125" style="136" customWidth="1"/>
    <col min="9726" max="9728" width="14.140625" style="136" customWidth="1"/>
    <col min="9729" max="9729" width="19.42578125" style="136" customWidth="1"/>
    <col min="9730" max="9730" width="13.5703125" style="136" customWidth="1"/>
    <col min="9731" max="9731" width="14.140625" style="136" customWidth="1"/>
    <col min="9732" max="9735" width="12.7109375" style="136" customWidth="1"/>
    <col min="9736" max="9736" width="12.42578125" style="136" customWidth="1"/>
    <col min="9737" max="9740" width="12.7109375" style="136" customWidth="1"/>
    <col min="9741" max="9741" width="11.42578125" style="136"/>
    <col min="9742" max="9742" width="16.28515625" style="136" bestFit="1" customWidth="1"/>
    <col min="9743" max="9743" width="19" style="136" bestFit="1" customWidth="1"/>
    <col min="9744" max="9745" width="16.28515625" style="136" bestFit="1" customWidth="1"/>
    <col min="9746" max="9746" width="11.85546875" style="136" bestFit="1" customWidth="1"/>
    <col min="9747" max="9749" width="15.5703125" style="136" bestFit="1" customWidth="1"/>
    <col min="9750" max="9979" width="11.42578125" style="136"/>
    <col min="9980" max="9980" width="2.5703125" style="136" customWidth="1"/>
    <col min="9981" max="9981" width="37.5703125" style="136" customWidth="1"/>
    <col min="9982" max="9984" width="14.140625" style="136" customWidth="1"/>
    <col min="9985" max="9985" width="19.42578125" style="136" customWidth="1"/>
    <col min="9986" max="9986" width="13.5703125" style="136" customWidth="1"/>
    <col min="9987" max="9987" width="14.140625" style="136" customWidth="1"/>
    <col min="9988" max="9991" width="12.7109375" style="136" customWidth="1"/>
    <col min="9992" max="9992" width="12.42578125" style="136" customWidth="1"/>
    <col min="9993" max="9996" width="12.7109375" style="136" customWidth="1"/>
    <col min="9997" max="9997" width="11.42578125" style="136"/>
    <col min="9998" max="9998" width="16.28515625" style="136" bestFit="1" customWidth="1"/>
    <col min="9999" max="9999" width="19" style="136" bestFit="1" customWidth="1"/>
    <col min="10000" max="10001" width="16.28515625" style="136" bestFit="1" customWidth="1"/>
    <col min="10002" max="10002" width="11.85546875" style="136" bestFit="1" customWidth="1"/>
    <col min="10003" max="10005" width="15.5703125" style="136" bestFit="1" customWidth="1"/>
    <col min="10006" max="10235" width="11.42578125" style="136"/>
    <col min="10236" max="10236" width="2.5703125" style="136" customWidth="1"/>
    <col min="10237" max="10237" width="37.5703125" style="136" customWidth="1"/>
    <col min="10238" max="10240" width="14.140625" style="136" customWidth="1"/>
    <col min="10241" max="10241" width="19.42578125" style="136" customWidth="1"/>
    <col min="10242" max="10242" width="13.5703125" style="136" customWidth="1"/>
    <col min="10243" max="10243" width="14.140625" style="136" customWidth="1"/>
    <col min="10244" max="10247" width="12.7109375" style="136" customWidth="1"/>
    <col min="10248" max="10248" width="12.42578125" style="136" customWidth="1"/>
    <col min="10249" max="10252" width="12.7109375" style="136" customWidth="1"/>
    <col min="10253" max="10253" width="11.42578125" style="136"/>
    <col min="10254" max="10254" width="16.28515625" style="136" bestFit="1" customWidth="1"/>
    <col min="10255" max="10255" width="19" style="136" bestFit="1" customWidth="1"/>
    <col min="10256" max="10257" width="16.28515625" style="136" bestFit="1" customWidth="1"/>
    <col min="10258" max="10258" width="11.85546875" style="136" bestFit="1" customWidth="1"/>
    <col min="10259" max="10261" width="15.5703125" style="136" bestFit="1" customWidth="1"/>
    <col min="10262" max="10491" width="11.42578125" style="136"/>
    <col min="10492" max="10492" width="2.5703125" style="136" customWidth="1"/>
    <col min="10493" max="10493" width="37.5703125" style="136" customWidth="1"/>
    <col min="10494" max="10496" width="14.140625" style="136" customWidth="1"/>
    <col min="10497" max="10497" width="19.42578125" style="136" customWidth="1"/>
    <col min="10498" max="10498" width="13.5703125" style="136" customWidth="1"/>
    <col min="10499" max="10499" width="14.140625" style="136" customWidth="1"/>
    <col min="10500" max="10503" width="12.7109375" style="136" customWidth="1"/>
    <col min="10504" max="10504" width="12.42578125" style="136" customWidth="1"/>
    <col min="10505" max="10508" width="12.7109375" style="136" customWidth="1"/>
    <col min="10509" max="10509" width="11.42578125" style="136"/>
    <col min="10510" max="10510" width="16.28515625" style="136" bestFit="1" customWidth="1"/>
    <col min="10511" max="10511" width="19" style="136" bestFit="1" customWidth="1"/>
    <col min="10512" max="10513" width="16.28515625" style="136" bestFit="1" customWidth="1"/>
    <col min="10514" max="10514" width="11.85546875" style="136" bestFit="1" customWidth="1"/>
    <col min="10515" max="10517" width="15.5703125" style="136" bestFit="1" customWidth="1"/>
    <col min="10518" max="10747" width="11.42578125" style="136"/>
    <col min="10748" max="10748" width="2.5703125" style="136" customWidth="1"/>
    <col min="10749" max="10749" width="37.5703125" style="136" customWidth="1"/>
    <col min="10750" max="10752" width="14.140625" style="136" customWidth="1"/>
    <col min="10753" max="10753" width="19.42578125" style="136" customWidth="1"/>
    <col min="10754" max="10754" width="13.5703125" style="136" customWidth="1"/>
    <col min="10755" max="10755" width="14.140625" style="136" customWidth="1"/>
    <col min="10756" max="10759" width="12.7109375" style="136" customWidth="1"/>
    <col min="10760" max="10760" width="12.42578125" style="136" customWidth="1"/>
    <col min="10761" max="10764" width="12.7109375" style="136" customWidth="1"/>
    <col min="10765" max="10765" width="11.42578125" style="136"/>
    <col min="10766" max="10766" width="16.28515625" style="136" bestFit="1" customWidth="1"/>
    <col min="10767" max="10767" width="19" style="136" bestFit="1" customWidth="1"/>
    <col min="10768" max="10769" width="16.28515625" style="136" bestFit="1" customWidth="1"/>
    <col min="10770" max="10770" width="11.85546875" style="136" bestFit="1" customWidth="1"/>
    <col min="10771" max="10773" width="15.5703125" style="136" bestFit="1" customWidth="1"/>
    <col min="10774" max="11003" width="11.42578125" style="136"/>
    <col min="11004" max="11004" width="2.5703125" style="136" customWidth="1"/>
    <col min="11005" max="11005" width="37.5703125" style="136" customWidth="1"/>
    <col min="11006" max="11008" width="14.140625" style="136" customWidth="1"/>
    <col min="11009" max="11009" width="19.42578125" style="136" customWidth="1"/>
    <col min="11010" max="11010" width="13.5703125" style="136" customWidth="1"/>
    <col min="11011" max="11011" width="14.140625" style="136" customWidth="1"/>
    <col min="11012" max="11015" width="12.7109375" style="136" customWidth="1"/>
    <col min="11016" max="11016" width="12.42578125" style="136" customWidth="1"/>
    <col min="11017" max="11020" width="12.7109375" style="136" customWidth="1"/>
    <col min="11021" max="11021" width="11.42578125" style="136"/>
    <col min="11022" max="11022" width="16.28515625" style="136" bestFit="1" customWidth="1"/>
    <col min="11023" max="11023" width="19" style="136" bestFit="1" customWidth="1"/>
    <col min="11024" max="11025" width="16.28515625" style="136" bestFit="1" customWidth="1"/>
    <col min="11026" max="11026" width="11.85546875" style="136" bestFit="1" customWidth="1"/>
    <col min="11027" max="11029" width="15.5703125" style="136" bestFit="1" customWidth="1"/>
    <col min="11030" max="11259" width="11.42578125" style="136"/>
    <col min="11260" max="11260" width="2.5703125" style="136" customWidth="1"/>
    <col min="11261" max="11261" width="37.5703125" style="136" customWidth="1"/>
    <col min="11262" max="11264" width="14.140625" style="136" customWidth="1"/>
    <col min="11265" max="11265" width="19.42578125" style="136" customWidth="1"/>
    <col min="11266" max="11266" width="13.5703125" style="136" customWidth="1"/>
    <col min="11267" max="11267" width="14.140625" style="136" customWidth="1"/>
    <col min="11268" max="11271" width="12.7109375" style="136" customWidth="1"/>
    <col min="11272" max="11272" width="12.42578125" style="136" customWidth="1"/>
    <col min="11273" max="11276" width="12.7109375" style="136" customWidth="1"/>
    <col min="11277" max="11277" width="11.42578125" style="136"/>
    <col min="11278" max="11278" width="16.28515625" style="136" bestFit="1" customWidth="1"/>
    <col min="11279" max="11279" width="19" style="136" bestFit="1" customWidth="1"/>
    <col min="11280" max="11281" width="16.28515625" style="136" bestFit="1" customWidth="1"/>
    <col min="11282" max="11282" width="11.85546875" style="136" bestFit="1" customWidth="1"/>
    <col min="11283" max="11285" width="15.5703125" style="136" bestFit="1" customWidth="1"/>
    <col min="11286" max="11515" width="11.42578125" style="136"/>
    <col min="11516" max="11516" width="2.5703125" style="136" customWidth="1"/>
    <col min="11517" max="11517" width="37.5703125" style="136" customWidth="1"/>
    <col min="11518" max="11520" width="14.140625" style="136" customWidth="1"/>
    <col min="11521" max="11521" width="19.42578125" style="136" customWidth="1"/>
    <col min="11522" max="11522" width="13.5703125" style="136" customWidth="1"/>
    <col min="11523" max="11523" width="14.140625" style="136" customWidth="1"/>
    <col min="11524" max="11527" width="12.7109375" style="136" customWidth="1"/>
    <col min="11528" max="11528" width="12.42578125" style="136" customWidth="1"/>
    <col min="11529" max="11532" width="12.7109375" style="136" customWidth="1"/>
    <col min="11533" max="11533" width="11.42578125" style="136"/>
    <col min="11534" max="11534" width="16.28515625" style="136" bestFit="1" customWidth="1"/>
    <col min="11535" max="11535" width="19" style="136" bestFit="1" customWidth="1"/>
    <col min="11536" max="11537" width="16.28515625" style="136" bestFit="1" customWidth="1"/>
    <col min="11538" max="11538" width="11.85546875" style="136" bestFit="1" customWidth="1"/>
    <col min="11539" max="11541" width="15.5703125" style="136" bestFit="1" customWidth="1"/>
    <col min="11542" max="11771" width="11.42578125" style="136"/>
    <col min="11772" max="11772" width="2.5703125" style="136" customWidth="1"/>
    <col min="11773" max="11773" width="37.5703125" style="136" customWidth="1"/>
    <col min="11774" max="11776" width="14.140625" style="136" customWidth="1"/>
    <col min="11777" max="11777" width="19.42578125" style="136" customWidth="1"/>
    <col min="11778" max="11778" width="13.5703125" style="136" customWidth="1"/>
    <col min="11779" max="11779" width="14.140625" style="136" customWidth="1"/>
    <col min="11780" max="11783" width="12.7109375" style="136" customWidth="1"/>
    <col min="11784" max="11784" width="12.42578125" style="136" customWidth="1"/>
    <col min="11785" max="11788" width="12.7109375" style="136" customWidth="1"/>
    <col min="11789" max="11789" width="11.42578125" style="136"/>
    <col min="11790" max="11790" width="16.28515625" style="136" bestFit="1" customWidth="1"/>
    <col min="11791" max="11791" width="19" style="136" bestFit="1" customWidth="1"/>
    <col min="11792" max="11793" width="16.28515625" style="136" bestFit="1" customWidth="1"/>
    <col min="11794" max="11794" width="11.85546875" style="136" bestFit="1" customWidth="1"/>
    <col min="11795" max="11797" width="15.5703125" style="136" bestFit="1" customWidth="1"/>
    <col min="11798" max="12027" width="11.42578125" style="136"/>
    <col min="12028" max="12028" width="2.5703125" style="136" customWidth="1"/>
    <col min="12029" max="12029" width="37.5703125" style="136" customWidth="1"/>
    <col min="12030" max="12032" width="14.140625" style="136" customWidth="1"/>
    <col min="12033" max="12033" width="19.42578125" style="136" customWidth="1"/>
    <col min="12034" max="12034" width="13.5703125" style="136" customWidth="1"/>
    <col min="12035" max="12035" width="14.140625" style="136" customWidth="1"/>
    <col min="12036" max="12039" width="12.7109375" style="136" customWidth="1"/>
    <col min="12040" max="12040" width="12.42578125" style="136" customWidth="1"/>
    <col min="12041" max="12044" width="12.7109375" style="136" customWidth="1"/>
    <col min="12045" max="12045" width="11.42578125" style="136"/>
    <col min="12046" max="12046" width="16.28515625" style="136" bestFit="1" customWidth="1"/>
    <col min="12047" max="12047" width="19" style="136" bestFit="1" customWidth="1"/>
    <col min="12048" max="12049" width="16.28515625" style="136" bestFit="1" customWidth="1"/>
    <col min="12050" max="12050" width="11.85546875" style="136" bestFit="1" customWidth="1"/>
    <col min="12051" max="12053" width="15.5703125" style="136" bestFit="1" customWidth="1"/>
    <col min="12054" max="12283" width="11.42578125" style="136"/>
    <col min="12284" max="12284" width="2.5703125" style="136" customWidth="1"/>
    <col min="12285" max="12285" width="37.5703125" style="136" customWidth="1"/>
    <col min="12286" max="12288" width="14.140625" style="136" customWidth="1"/>
    <col min="12289" max="12289" width="19.42578125" style="136" customWidth="1"/>
    <col min="12290" max="12290" width="13.5703125" style="136" customWidth="1"/>
    <col min="12291" max="12291" width="14.140625" style="136" customWidth="1"/>
    <col min="12292" max="12295" width="12.7109375" style="136" customWidth="1"/>
    <col min="12296" max="12296" width="12.42578125" style="136" customWidth="1"/>
    <col min="12297" max="12300" width="12.7109375" style="136" customWidth="1"/>
    <col min="12301" max="12301" width="11.42578125" style="136"/>
    <col min="12302" max="12302" width="16.28515625" style="136" bestFit="1" customWidth="1"/>
    <col min="12303" max="12303" width="19" style="136" bestFit="1" customWidth="1"/>
    <col min="12304" max="12305" width="16.28515625" style="136" bestFit="1" customWidth="1"/>
    <col min="12306" max="12306" width="11.85546875" style="136" bestFit="1" customWidth="1"/>
    <col min="12307" max="12309" width="15.5703125" style="136" bestFit="1" customWidth="1"/>
    <col min="12310" max="12539" width="11.42578125" style="136"/>
    <col min="12540" max="12540" width="2.5703125" style="136" customWidth="1"/>
    <col min="12541" max="12541" width="37.5703125" style="136" customWidth="1"/>
    <col min="12542" max="12544" width="14.140625" style="136" customWidth="1"/>
    <col min="12545" max="12545" width="19.42578125" style="136" customWidth="1"/>
    <col min="12546" max="12546" width="13.5703125" style="136" customWidth="1"/>
    <col min="12547" max="12547" width="14.140625" style="136" customWidth="1"/>
    <col min="12548" max="12551" width="12.7109375" style="136" customWidth="1"/>
    <col min="12552" max="12552" width="12.42578125" style="136" customWidth="1"/>
    <col min="12553" max="12556" width="12.7109375" style="136" customWidth="1"/>
    <col min="12557" max="12557" width="11.42578125" style="136"/>
    <col min="12558" max="12558" width="16.28515625" style="136" bestFit="1" customWidth="1"/>
    <col min="12559" max="12559" width="19" style="136" bestFit="1" customWidth="1"/>
    <col min="12560" max="12561" width="16.28515625" style="136" bestFit="1" customWidth="1"/>
    <col min="12562" max="12562" width="11.85546875" style="136" bestFit="1" customWidth="1"/>
    <col min="12563" max="12565" width="15.5703125" style="136" bestFit="1" customWidth="1"/>
    <col min="12566" max="12795" width="11.42578125" style="136"/>
    <col min="12796" max="12796" width="2.5703125" style="136" customWidth="1"/>
    <col min="12797" max="12797" width="37.5703125" style="136" customWidth="1"/>
    <col min="12798" max="12800" width="14.140625" style="136" customWidth="1"/>
    <col min="12801" max="12801" width="19.42578125" style="136" customWidth="1"/>
    <col min="12802" max="12802" width="13.5703125" style="136" customWidth="1"/>
    <col min="12803" max="12803" width="14.140625" style="136" customWidth="1"/>
    <col min="12804" max="12807" width="12.7109375" style="136" customWidth="1"/>
    <col min="12808" max="12808" width="12.42578125" style="136" customWidth="1"/>
    <col min="12809" max="12812" width="12.7109375" style="136" customWidth="1"/>
    <col min="12813" max="12813" width="11.42578125" style="136"/>
    <col min="12814" max="12814" width="16.28515625" style="136" bestFit="1" customWidth="1"/>
    <col min="12815" max="12815" width="19" style="136" bestFit="1" customWidth="1"/>
    <col min="12816" max="12817" width="16.28515625" style="136" bestFit="1" customWidth="1"/>
    <col min="12818" max="12818" width="11.85546875" style="136" bestFit="1" customWidth="1"/>
    <col min="12819" max="12821" width="15.5703125" style="136" bestFit="1" customWidth="1"/>
    <col min="12822" max="13051" width="11.42578125" style="136"/>
    <col min="13052" max="13052" width="2.5703125" style="136" customWidth="1"/>
    <col min="13053" max="13053" width="37.5703125" style="136" customWidth="1"/>
    <col min="13054" max="13056" width="14.140625" style="136" customWidth="1"/>
    <col min="13057" max="13057" width="19.42578125" style="136" customWidth="1"/>
    <col min="13058" max="13058" width="13.5703125" style="136" customWidth="1"/>
    <col min="13059" max="13059" width="14.140625" style="136" customWidth="1"/>
    <col min="13060" max="13063" width="12.7109375" style="136" customWidth="1"/>
    <col min="13064" max="13064" width="12.42578125" style="136" customWidth="1"/>
    <col min="13065" max="13068" width="12.7109375" style="136" customWidth="1"/>
    <col min="13069" max="13069" width="11.42578125" style="136"/>
    <col min="13070" max="13070" width="16.28515625" style="136" bestFit="1" customWidth="1"/>
    <col min="13071" max="13071" width="19" style="136" bestFit="1" customWidth="1"/>
    <col min="13072" max="13073" width="16.28515625" style="136" bestFit="1" customWidth="1"/>
    <col min="13074" max="13074" width="11.85546875" style="136" bestFit="1" customWidth="1"/>
    <col min="13075" max="13077" width="15.5703125" style="136" bestFit="1" customWidth="1"/>
    <col min="13078" max="13307" width="11.42578125" style="136"/>
    <col min="13308" max="13308" width="2.5703125" style="136" customWidth="1"/>
    <col min="13309" max="13309" width="37.5703125" style="136" customWidth="1"/>
    <col min="13310" max="13312" width="14.140625" style="136" customWidth="1"/>
    <col min="13313" max="13313" width="19.42578125" style="136" customWidth="1"/>
    <col min="13314" max="13314" width="13.5703125" style="136" customWidth="1"/>
    <col min="13315" max="13315" width="14.140625" style="136" customWidth="1"/>
    <col min="13316" max="13319" width="12.7109375" style="136" customWidth="1"/>
    <col min="13320" max="13320" width="12.42578125" style="136" customWidth="1"/>
    <col min="13321" max="13324" width="12.7109375" style="136" customWidth="1"/>
    <col min="13325" max="13325" width="11.42578125" style="136"/>
    <col min="13326" max="13326" width="16.28515625" style="136" bestFit="1" customWidth="1"/>
    <col min="13327" max="13327" width="19" style="136" bestFit="1" customWidth="1"/>
    <col min="13328" max="13329" width="16.28515625" style="136" bestFit="1" customWidth="1"/>
    <col min="13330" max="13330" width="11.85546875" style="136" bestFit="1" customWidth="1"/>
    <col min="13331" max="13333" width="15.5703125" style="136" bestFit="1" customWidth="1"/>
    <col min="13334" max="13563" width="11.42578125" style="136"/>
    <col min="13564" max="13564" width="2.5703125" style="136" customWidth="1"/>
    <col min="13565" max="13565" width="37.5703125" style="136" customWidth="1"/>
    <col min="13566" max="13568" width="14.140625" style="136" customWidth="1"/>
    <col min="13569" max="13569" width="19.42578125" style="136" customWidth="1"/>
    <col min="13570" max="13570" width="13.5703125" style="136" customWidth="1"/>
    <col min="13571" max="13571" width="14.140625" style="136" customWidth="1"/>
    <col min="13572" max="13575" width="12.7109375" style="136" customWidth="1"/>
    <col min="13576" max="13576" width="12.42578125" style="136" customWidth="1"/>
    <col min="13577" max="13580" width="12.7109375" style="136" customWidth="1"/>
    <col min="13581" max="13581" width="11.42578125" style="136"/>
    <col min="13582" max="13582" width="16.28515625" style="136" bestFit="1" customWidth="1"/>
    <col min="13583" max="13583" width="19" style="136" bestFit="1" customWidth="1"/>
    <col min="13584" max="13585" width="16.28515625" style="136" bestFit="1" customWidth="1"/>
    <col min="13586" max="13586" width="11.85546875" style="136" bestFit="1" customWidth="1"/>
    <col min="13587" max="13589" width="15.5703125" style="136" bestFit="1" customWidth="1"/>
    <col min="13590" max="13819" width="11.42578125" style="136"/>
    <col min="13820" max="13820" width="2.5703125" style="136" customWidth="1"/>
    <col min="13821" max="13821" width="37.5703125" style="136" customWidth="1"/>
    <col min="13822" max="13824" width="14.140625" style="136" customWidth="1"/>
    <col min="13825" max="13825" width="19.42578125" style="136" customWidth="1"/>
    <col min="13826" max="13826" width="13.5703125" style="136" customWidth="1"/>
    <col min="13827" max="13827" width="14.140625" style="136" customWidth="1"/>
    <col min="13828" max="13831" width="12.7109375" style="136" customWidth="1"/>
    <col min="13832" max="13832" width="12.42578125" style="136" customWidth="1"/>
    <col min="13833" max="13836" width="12.7109375" style="136" customWidth="1"/>
    <col min="13837" max="13837" width="11.42578125" style="136"/>
    <col min="13838" max="13838" width="16.28515625" style="136" bestFit="1" customWidth="1"/>
    <col min="13839" max="13839" width="19" style="136" bestFit="1" customWidth="1"/>
    <col min="13840" max="13841" width="16.28515625" style="136" bestFit="1" customWidth="1"/>
    <col min="13842" max="13842" width="11.85546875" style="136" bestFit="1" customWidth="1"/>
    <col min="13843" max="13845" width="15.5703125" style="136" bestFit="1" customWidth="1"/>
    <col min="13846" max="14075" width="11.42578125" style="136"/>
    <col min="14076" max="14076" width="2.5703125" style="136" customWidth="1"/>
    <col min="14077" max="14077" width="37.5703125" style="136" customWidth="1"/>
    <col min="14078" max="14080" width="14.140625" style="136" customWidth="1"/>
    <col min="14081" max="14081" width="19.42578125" style="136" customWidth="1"/>
    <col min="14082" max="14082" width="13.5703125" style="136" customWidth="1"/>
    <col min="14083" max="14083" width="14.140625" style="136" customWidth="1"/>
    <col min="14084" max="14087" width="12.7109375" style="136" customWidth="1"/>
    <col min="14088" max="14088" width="12.42578125" style="136" customWidth="1"/>
    <col min="14089" max="14092" width="12.7109375" style="136" customWidth="1"/>
    <col min="14093" max="14093" width="11.42578125" style="136"/>
    <col min="14094" max="14094" width="16.28515625" style="136" bestFit="1" customWidth="1"/>
    <col min="14095" max="14095" width="19" style="136" bestFit="1" customWidth="1"/>
    <col min="14096" max="14097" width="16.28515625" style="136" bestFit="1" customWidth="1"/>
    <col min="14098" max="14098" width="11.85546875" style="136" bestFit="1" customWidth="1"/>
    <col min="14099" max="14101" width="15.5703125" style="136" bestFit="1" customWidth="1"/>
    <col min="14102" max="14331" width="11.42578125" style="136"/>
    <col min="14332" max="14332" width="2.5703125" style="136" customWidth="1"/>
    <col min="14333" max="14333" width="37.5703125" style="136" customWidth="1"/>
    <col min="14334" max="14336" width="14.140625" style="136" customWidth="1"/>
    <col min="14337" max="14337" width="19.42578125" style="136" customWidth="1"/>
    <col min="14338" max="14338" width="13.5703125" style="136" customWidth="1"/>
    <col min="14339" max="14339" width="14.140625" style="136" customWidth="1"/>
    <col min="14340" max="14343" width="12.7109375" style="136" customWidth="1"/>
    <col min="14344" max="14344" width="12.42578125" style="136" customWidth="1"/>
    <col min="14345" max="14348" width="12.7109375" style="136" customWidth="1"/>
    <col min="14349" max="14349" width="11.42578125" style="136"/>
    <col min="14350" max="14350" width="16.28515625" style="136" bestFit="1" customWidth="1"/>
    <col min="14351" max="14351" width="19" style="136" bestFit="1" customWidth="1"/>
    <col min="14352" max="14353" width="16.28515625" style="136" bestFit="1" customWidth="1"/>
    <col min="14354" max="14354" width="11.85546875" style="136" bestFit="1" customWidth="1"/>
    <col min="14355" max="14357" width="15.5703125" style="136" bestFit="1" customWidth="1"/>
    <col min="14358" max="14587" width="11.42578125" style="136"/>
    <col min="14588" max="14588" width="2.5703125" style="136" customWidth="1"/>
    <col min="14589" max="14589" width="37.5703125" style="136" customWidth="1"/>
    <col min="14590" max="14592" width="14.140625" style="136" customWidth="1"/>
    <col min="14593" max="14593" width="19.42578125" style="136" customWidth="1"/>
    <col min="14594" max="14594" width="13.5703125" style="136" customWidth="1"/>
    <col min="14595" max="14595" width="14.140625" style="136" customWidth="1"/>
    <col min="14596" max="14599" width="12.7109375" style="136" customWidth="1"/>
    <col min="14600" max="14600" width="12.42578125" style="136" customWidth="1"/>
    <col min="14601" max="14604" width="12.7109375" style="136" customWidth="1"/>
    <col min="14605" max="14605" width="11.42578125" style="136"/>
    <col min="14606" max="14606" width="16.28515625" style="136" bestFit="1" customWidth="1"/>
    <col min="14607" max="14607" width="19" style="136" bestFit="1" customWidth="1"/>
    <col min="14608" max="14609" width="16.28515625" style="136" bestFit="1" customWidth="1"/>
    <col min="14610" max="14610" width="11.85546875" style="136" bestFit="1" customWidth="1"/>
    <col min="14611" max="14613" width="15.5703125" style="136" bestFit="1" customWidth="1"/>
    <col min="14614" max="14843" width="11.42578125" style="136"/>
    <col min="14844" max="14844" width="2.5703125" style="136" customWidth="1"/>
    <col min="14845" max="14845" width="37.5703125" style="136" customWidth="1"/>
    <col min="14846" max="14848" width="14.140625" style="136" customWidth="1"/>
    <col min="14849" max="14849" width="19.42578125" style="136" customWidth="1"/>
    <col min="14850" max="14850" width="13.5703125" style="136" customWidth="1"/>
    <col min="14851" max="14851" width="14.140625" style="136" customWidth="1"/>
    <col min="14852" max="14855" width="12.7109375" style="136" customWidth="1"/>
    <col min="14856" max="14856" width="12.42578125" style="136" customWidth="1"/>
    <col min="14857" max="14860" width="12.7109375" style="136" customWidth="1"/>
    <col min="14861" max="14861" width="11.42578125" style="136"/>
    <col min="14862" max="14862" width="16.28515625" style="136" bestFit="1" customWidth="1"/>
    <col min="14863" max="14863" width="19" style="136" bestFit="1" customWidth="1"/>
    <col min="14864" max="14865" width="16.28515625" style="136" bestFit="1" customWidth="1"/>
    <col min="14866" max="14866" width="11.85546875" style="136" bestFit="1" customWidth="1"/>
    <col min="14867" max="14869" width="15.5703125" style="136" bestFit="1" customWidth="1"/>
    <col min="14870" max="15099" width="11.42578125" style="136"/>
    <col min="15100" max="15100" width="2.5703125" style="136" customWidth="1"/>
    <col min="15101" max="15101" width="37.5703125" style="136" customWidth="1"/>
    <col min="15102" max="15104" width="14.140625" style="136" customWidth="1"/>
    <col min="15105" max="15105" width="19.42578125" style="136" customWidth="1"/>
    <col min="15106" max="15106" width="13.5703125" style="136" customWidth="1"/>
    <col min="15107" max="15107" width="14.140625" style="136" customWidth="1"/>
    <col min="15108" max="15111" width="12.7109375" style="136" customWidth="1"/>
    <col min="15112" max="15112" width="12.42578125" style="136" customWidth="1"/>
    <col min="15113" max="15116" width="12.7109375" style="136" customWidth="1"/>
    <col min="15117" max="15117" width="11.42578125" style="136"/>
    <col min="15118" max="15118" width="16.28515625" style="136" bestFit="1" customWidth="1"/>
    <col min="15119" max="15119" width="19" style="136" bestFit="1" customWidth="1"/>
    <col min="15120" max="15121" width="16.28515625" style="136" bestFit="1" customWidth="1"/>
    <col min="15122" max="15122" width="11.85546875" style="136" bestFit="1" customWidth="1"/>
    <col min="15123" max="15125" width="15.5703125" style="136" bestFit="1" customWidth="1"/>
    <col min="15126" max="15355" width="11.42578125" style="136"/>
    <col min="15356" max="15356" width="2.5703125" style="136" customWidth="1"/>
    <col min="15357" max="15357" width="37.5703125" style="136" customWidth="1"/>
    <col min="15358" max="15360" width="14.140625" style="136" customWidth="1"/>
    <col min="15361" max="15361" width="19.42578125" style="136" customWidth="1"/>
    <col min="15362" max="15362" width="13.5703125" style="136" customWidth="1"/>
    <col min="15363" max="15363" width="14.140625" style="136" customWidth="1"/>
    <col min="15364" max="15367" width="12.7109375" style="136" customWidth="1"/>
    <col min="15368" max="15368" width="12.42578125" style="136" customWidth="1"/>
    <col min="15369" max="15372" width="12.7109375" style="136" customWidth="1"/>
    <col min="15373" max="15373" width="11.42578125" style="136"/>
    <col min="15374" max="15374" width="16.28515625" style="136" bestFit="1" customWidth="1"/>
    <col min="15375" max="15375" width="19" style="136" bestFit="1" customWidth="1"/>
    <col min="15376" max="15377" width="16.28515625" style="136" bestFit="1" customWidth="1"/>
    <col min="15378" max="15378" width="11.85546875" style="136" bestFit="1" customWidth="1"/>
    <col min="15379" max="15381" width="15.5703125" style="136" bestFit="1" customWidth="1"/>
    <col min="15382" max="15611" width="11.42578125" style="136"/>
    <col min="15612" max="15612" width="2.5703125" style="136" customWidth="1"/>
    <col min="15613" max="15613" width="37.5703125" style="136" customWidth="1"/>
    <col min="15614" max="15616" width="14.140625" style="136" customWidth="1"/>
    <col min="15617" max="15617" width="19.42578125" style="136" customWidth="1"/>
    <col min="15618" max="15618" width="13.5703125" style="136" customWidth="1"/>
    <col min="15619" max="15619" width="14.140625" style="136" customWidth="1"/>
    <col min="15620" max="15623" width="12.7109375" style="136" customWidth="1"/>
    <col min="15624" max="15624" width="12.42578125" style="136" customWidth="1"/>
    <col min="15625" max="15628" width="12.7109375" style="136" customWidth="1"/>
    <col min="15629" max="15629" width="11.42578125" style="136"/>
    <col min="15630" max="15630" width="16.28515625" style="136" bestFit="1" customWidth="1"/>
    <col min="15631" max="15631" width="19" style="136" bestFit="1" customWidth="1"/>
    <col min="15632" max="15633" width="16.28515625" style="136" bestFit="1" customWidth="1"/>
    <col min="15634" max="15634" width="11.85546875" style="136" bestFit="1" customWidth="1"/>
    <col min="15635" max="15637" width="15.5703125" style="136" bestFit="1" customWidth="1"/>
    <col min="15638" max="15867" width="11.42578125" style="136"/>
    <col min="15868" max="15868" width="2.5703125" style="136" customWidth="1"/>
    <col min="15869" max="15869" width="37.5703125" style="136" customWidth="1"/>
    <col min="15870" max="15872" width="14.140625" style="136" customWidth="1"/>
    <col min="15873" max="15873" width="19.42578125" style="136" customWidth="1"/>
    <col min="15874" max="15874" width="13.5703125" style="136" customWidth="1"/>
    <col min="15875" max="15875" width="14.140625" style="136" customWidth="1"/>
    <col min="15876" max="15879" width="12.7109375" style="136" customWidth="1"/>
    <col min="15880" max="15880" width="12.42578125" style="136" customWidth="1"/>
    <col min="15881" max="15884" width="12.7109375" style="136" customWidth="1"/>
    <col min="15885" max="15885" width="11.42578125" style="136"/>
    <col min="15886" max="15886" width="16.28515625" style="136" bestFit="1" customWidth="1"/>
    <col min="15887" max="15887" width="19" style="136" bestFit="1" customWidth="1"/>
    <col min="15888" max="15889" width="16.28515625" style="136" bestFit="1" customWidth="1"/>
    <col min="15890" max="15890" width="11.85546875" style="136" bestFit="1" customWidth="1"/>
    <col min="15891" max="15893" width="15.5703125" style="136" bestFit="1" customWidth="1"/>
    <col min="15894" max="16123" width="11.42578125" style="136"/>
    <col min="16124" max="16124" width="2.5703125" style="136" customWidth="1"/>
    <col min="16125" max="16125" width="37.5703125" style="136" customWidth="1"/>
    <col min="16126" max="16128" width="14.140625" style="136" customWidth="1"/>
    <col min="16129" max="16129" width="19.42578125" style="136" customWidth="1"/>
    <col min="16130" max="16130" width="13.5703125" style="136" customWidth="1"/>
    <col min="16131" max="16131" width="14.140625" style="136" customWidth="1"/>
    <col min="16132" max="16135" width="12.7109375" style="136" customWidth="1"/>
    <col min="16136" max="16136" width="12.42578125" style="136" customWidth="1"/>
    <col min="16137" max="16140" width="12.7109375" style="136" customWidth="1"/>
    <col min="16141" max="16141" width="11.42578125" style="136"/>
    <col min="16142" max="16142" width="16.28515625" style="136" bestFit="1" customWidth="1"/>
    <col min="16143" max="16143" width="19" style="136" bestFit="1" customWidth="1"/>
    <col min="16144" max="16145" width="16.28515625" style="136" bestFit="1" customWidth="1"/>
    <col min="16146" max="16146" width="11.85546875" style="136" bestFit="1" customWidth="1"/>
    <col min="16147" max="16149" width="15.5703125" style="136" bestFit="1" customWidth="1"/>
    <col min="16150" max="16384" width="11.42578125" style="136"/>
  </cols>
  <sheetData>
    <row r="1" spans="1:9" ht="7.5" customHeight="1"/>
    <row r="2" spans="1:9" ht="15" hidden="1">
      <c r="A2" s="135"/>
      <c r="B2" s="4" t="s">
        <v>1555</v>
      </c>
      <c r="C2" s="135"/>
      <c r="D2" s="135"/>
      <c r="E2" s="135"/>
      <c r="F2" s="135"/>
      <c r="G2" s="766"/>
      <c r="H2" s="135"/>
      <c r="I2" s="135"/>
    </row>
    <row r="3" spans="1:9" ht="20.25" hidden="1">
      <c r="A3" s="135"/>
      <c r="B3" s="1101" t="s">
        <v>1224</v>
      </c>
      <c r="C3" s="1102"/>
      <c r="D3" s="1102"/>
      <c r="E3" s="1102"/>
      <c r="F3" s="1102"/>
      <c r="G3" s="1103"/>
      <c r="H3" s="135"/>
      <c r="I3" s="135"/>
    </row>
    <row r="4" spans="1:9" ht="15.75" hidden="1" thickBot="1">
      <c r="A4" s="135"/>
      <c r="B4" s="182" t="s">
        <v>1225</v>
      </c>
      <c r="C4" s="183" t="s">
        <v>34</v>
      </c>
      <c r="D4" s="184" t="s">
        <v>1226</v>
      </c>
      <c r="E4" s="184" t="s">
        <v>1227</v>
      </c>
      <c r="F4" s="185" t="s">
        <v>1228</v>
      </c>
      <c r="G4" s="770" t="s">
        <v>1229</v>
      </c>
      <c r="H4" s="135"/>
      <c r="I4" s="135"/>
    </row>
    <row r="5" spans="1:9" ht="15" hidden="1">
      <c r="A5" s="135"/>
      <c r="B5" s="178" t="s">
        <v>1230</v>
      </c>
      <c r="C5" s="179" t="s">
        <v>1231</v>
      </c>
      <c r="D5" s="180">
        <v>25</v>
      </c>
      <c r="E5" s="181">
        <v>7975499</v>
      </c>
      <c r="F5" s="145">
        <v>372197</v>
      </c>
      <c r="G5" s="771">
        <v>186099</v>
      </c>
      <c r="H5" s="135"/>
      <c r="I5" s="135"/>
    </row>
    <row r="6" spans="1:9" ht="15" hidden="1">
      <c r="A6" s="135"/>
      <c r="B6" s="176" t="s">
        <v>1232</v>
      </c>
      <c r="C6" s="141" t="s">
        <v>1233</v>
      </c>
      <c r="D6" s="137">
        <v>23</v>
      </c>
      <c r="E6" s="138">
        <v>6854956</v>
      </c>
      <c r="F6" s="140">
        <v>372197</v>
      </c>
      <c r="G6" s="772">
        <f>+G5</f>
        <v>186099</v>
      </c>
      <c r="H6" s="135"/>
      <c r="I6" s="135"/>
    </row>
    <row r="7" spans="1:9" ht="15" hidden="1">
      <c r="A7" s="135"/>
      <c r="B7" s="176" t="s">
        <v>1234</v>
      </c>
      <c r="C7" s="1104" t="s">
        <v>1235</v>
      </c>
      <c r="D7" s="137">
        <v>23</v>
      </c>
      <c r="E7" s="138">
        <v>6854956</v>
      </c>
      <c r="F7" s="142">
        <v>372197</v>
      </c>
      <c r="G7" s="773">
        <f>+G6</f>
        <v>186099</v>
      </c>
      <c r="H7" s="135"/>
      <c r="I7" s="135"/>
    </row>
    <row r="8" spans="1:9" ht="15" hidden="1">
      <c r="A8" s="135"/>
      <c r="B8" s="176" t="s">
        <v>1234</v>
      </c>
      <c r="C8" s="1104"/>
      <c r="D8" s="137">
        <v>20</v>
      </c>
      <c r="E8" s="138">
        <v>5563985</v>
      </c>
      <c r="F8" s="143">
        <v>286306</v>
      </c>
      <c r="G8" s="774">
        <v>143153</v>
      </c>
      <c r="H8" s="135"/>
      <c r="I8" s="135"/>
    </row>
    <row r="9" spans="1:9" ht="15" hidden="1">
      <c r="A9" s="135"/>
      <c r="B9" s="176" t="s">
        <v>1234</v>
      </c>
      <c r="C9" s="1104"/>
      <c r="D9" s="137">
        <v>18</v>
      </c>
      <c r="E9" s="138">
        <v>4698740</v>
      </c>
      <c r="F9" s="144">
        <v>212236</v>
      </c>
      <c r="G9" s="775">
        <v>106118</v>
      </c>
      <c r="H9" s="135"/>
      <c r="I9" s="135"/>
    </row>
    <row r="10" spans="1:9" ht="15" hidden="1">
      <c r="A10" s="135"/>
      <c r="B10" s="176" t="s">
        <v>1236</v>
      </c>
      <c r="C10" s="141" t="s">
        <v>1237</v>
      </c>
      <c r="D10" s="137">
        <v>20</v>
      </c>
      <c r="E10" s="138">
        <v>5563985</v>
      </c>
      <c r="F10" s="139">
        <v>286306</v>
      </c>
      <c r="G10" s="776">
        <v>143153</v>
      </c>
      <c r="H10" s="135"/>
      <c r="I10" s="135"/>
    </row>
    <row r="11" spans="1:9" ht="15" hidden="1">
      <c r="A11" s="135"/>
      <c r="B11" s="176" t="s">
        <v>1238</v>
      </c>
      <c r="C11" s="1105">
        <v>1020</v>
      </c>
      <c r="D11" s="137">
        <v>16</v>
      </c>
      <c r="E11" s="138">
        <v>6196765</v>
      </c>
      <c r="F11" s="145">
        <v>286306</v>
      </c>
      <c r="G11" s="771">
        <f t="shared" ref="G11:G16" si="0">+G10</f>
        <v>143153</v>
      </c>
      <c r="H11" s="135"/>
      <c r="I11" s="135"/>
    </row>
    <row r="12" spans="1:9" ht="15" hidden="1">
      <c r="A12" s="135"/>
      <c r="B12" s="176" t="s">
        <v>1238</v>
      </c>
      <c r="C12" s="1105">
        <v>1020</v>
      </c>
      <c r="D12" s="137">
        <v>15</v>
      </c>
      <c r="E12" s="138">
        <v>5639460</v>
      </c>
      <c r="F12" s="145">
        <v>286306</v>
      </c>
      <c r="G12" s="771">
        <f t="shared" si="0"/>
        <v>143153</v>
      </c>
      <c r="H12" s="135"/>
      <c r="I12" s="135"/>
    </row>
    <row r="13" spans="1:9" ht="15" hidden="1">
      <c r="A13" s="135"/>
      <c r="B13" s="177" t="s">
        <v>1239</v>
      </c>
      <c r="C13" s="146">
        <v>137</v>
      </c>
      <c r="D13" s="137">
        <v>20</v>
      </c>
      <c r="E13" s="138">
        <v>5563985</v>
      </c>
      <c r="F13" s="145">
        <v>286306</v>
      </c>
      <c r="G13" s="771">
        <f t="shared" si="0"/>
        <v>143153</v>
      </c>
      <c r="H13" s="135"/>
      <c r="I13" s="135"/>
    </row>
    <row r="14" spans="1:9" ht="15" hidden="1">
      <c r="A14" s="135"/>
      <c r="B14" s="177" t="s">
        <v>1240</v>
      </c>
      <c r="C14" s="146">
        <v>137</v>
      </c>
      <c r="D14" s="137">
        <v>20</v>
      </c>
      <c r="E14" s="138">
        <v>5563985</v>
      </c>
      <c r="F14" s="145">
        <v>286306</v>
      </c>
      <c r="G14" s="771">
        <f t="shared" si="0"/>
        <v>143153</v>
      </c>
      <c r="H14" s="135"/>
      <c r="I14" s="135"/>
    </row>
    <row r="15" spans="1:9" ht="15" hidden="1">
      <c r="A15" s="135"/>
      <c r="B15" s="177" t="s">
        <v>1241</v>
      </c>
      <c r="C15" s="1105">
        <v>1045</v>
      </c>
      <c r="D15" s="137">
        <v>15</v>
      </c>
      <c r="E15" s="138">
        <v>5639640</v>
      </c>
      <c r="F15" s="145">
        <v>286306</v>
      </c>
      <c r="G15" s="771">
        <f t="shared" si="0"/>
        <v>143153</v>
      </c>
      <c r="H15" s="135"/>
      <c r="I15" s="135"/>
    </row>
    <row r="16" spans="1:9" ht="15" hidden="1">
      <c r="A16" s="135"/>
      <c r="B16" s="177" t="s">
        <v>1242</v>
      </c>
      <c r="C16" s="1105"/>
      <c r="D16" s="137">
        <v>13</v>
      </c>
      <c r="E16" s="138">
        <v>5234953</v>
      </c>
      <c r="F16" s="147">
        <v>286306</v>
      </c>
      <c r="G16" s="777">
        <f t="shared" si="0"/>
        <v>143153</v>
      </c>
      <c r="H16" s="135"/>
      <c r="I16" s="135"/>
    </row>
    <row r="17" spans="1:9" ht="15" hidden="1">
      <c r="A17" s="135"/>
      <c r="B17" s="1106" t="s">
        <v>1243</v>
      </c>
      <c r="C17" s="1105">
        <v>42</v>
      </c>
      <c r="D17" s="137">
        <v>19</v>
      </c>
      <c r="E17" s="138">
        <v>5059792</v>
      </c>
      <c r="F17" s="139">
        <v>212236</v>
      </c>
      <c r="G17" s="778">
        <v>106118</v>
      </c>
      <c r="H17" s="135"/>
      <c r="I17" s="135"/>
    </row>
    <row r="18" spans="1:9" ht="15" hidden="1">
      <c r="A18" s="135"/>
      <c r="B18" s="1106"/>
      <c r="C18" s="1105"/>
      <c r="D18" s="137">
        <v>18</v>
      </c>
      <c r="E18" s="149">
        <v>4698740</v>
      </c>
      <c r="F18" s="147">
        <v>212236</v>
      </c>
      <c r="G18" s="779">
        <f>+G17</f>
        <v>106118</v>
      </c>
      <c r="H18" s="135"/>
      <c r="I18" s="135"/>
    </row>
    <row r="19" spans="1:9" ht="15" hidden="1">
      <c r="A19" s="135"/>
      <c r="B19" s="176" t="s">
        <v>1243</v>
      </c>
      <c r="C19" s="146">
        <v>42</v>
      </c>
      <c r="D19" s="137">
        <v>9</v>
      </c>
      <c r="E19" s="138">
        <v>3212352</v>
      </c>
      <c r="F19" s="143">
        <v>174729</v>
      </c>
      <c r="G19" s="780">
        <v>87365</v>
      </c>
      <c r="H19" s="135"/>
      <c r="I19" s="135"/>
    </row>
    <row r="20" spans="1:9" ht="15" hidden="1">
      <c r="A20" s="135"/>
      <c r="B20" s="1076" t="s">
        <v>1244</v>
      </c>
      <c r="C20" s="1078">
        <v>2028</v>
      </c>
      <c r="D20" s="152">
        <v>22</v>
      </c>
      <c r="E20" s="153">
        <v>4556261</v>
      </c>
      <c r="F20" s="154">
        <v>212236</v>
      </c>
      <c r="G20" s="775">
        <v>106118</v>
      </c>
      <c r="H20" s="135"/>
      <c r="I20" s="135"/>
    </row>
    <row r="21" spans="1:9" ht="15" hidden="1">
      <c r="A21" s="135"/>
      <c r="B21" s="1077"/>
      <c r="C21" s="1078"/>
      <c r="D21" s="152">
        <v>19</v>
      </c>
      <c r="E21" s="153">
        <v>3692249</v>
      </c>
      <c r="F21" s="148">
        <v>174729</v>
      </c>
      <c r="G21" s="778">
        <v>87365</v>
      </c>
      <c r="H21" s="135"/>
      <c r="I21" s="135"/>
    </row>
    <row r="22" spans="1:9" ht="15" hidden="1">
      <c r="A22" s="135"/>
      <c r="B22" s="1077"/>
      <c r="C22" s="1078"/>
      <c r="D22" s="152">
        <v>17</v>
      </c>
      <c r="E22" s="153">
        <v>3187300</v>
      </c>
      <c r="F22" s="155">
        <v>174729</v>
      </c>
      <c r="G22" s="781">
        <f>+G21</f>
        <v>87365</v>
      </c>
      <c r="H22" s="135"/>
      <c r="I22" s="135"/>
    </row>
    <row r="23" spans="1:9" ht="15" hidden="1">
      <c r="A23" s="135"/>
      <c r="B23" s="1077"/>
      <c r="C23" s="1078"/>
      <c r="D23" s="152">
        <v>15</v>
      </c>
      <c r="E23" s="153">
        <v>2810639</v>
      </c>
      <c r="F23" s="155">
        <v>174729</v>
      </c>
      <c r="G23" s="781">
        <f>+G22</f>
        <v>87365</v>
      </c>
      <c r="H23" s="135"/>
      <c r="I23" s="135"/>
    </row>
    <row r="24" spans="1:9" ht="15" hidden="1">
      <c r="A24" s="135"/>
      <c r="B24" s="1077"/>
      <c r="C24" s="1078"/>
      <c r="D24" s="152">
        <v>14</v>
      </c>
      <c r="E24" s="153">
        <v>2542174</v>
      </c>
      <c r="F24" s="150">
        <v>174729</v>
      </c>
      <c r="G24" s="779">
        <f>+G23</f>
        <v>87365</v>
      </c>
      <c r="H24" s="135"/>
      <c r="I24" s="135"/>
    </row>
    <row r="25" spans="1:9" ht="15" hidden="1">
      <c r="A25" s="135"/>
      <c r="B25" s="1077"/>
      <c r="C25" s="1078"/>
      <c r="D25" s="152">
        <v>13</v>
      </c>
      <c r="E25" s="156">
        <v>2375553</v>
      </c>
      <c r="F25" s="148">
        <v>154805</v>
      </c>
      <c r="G25" s="776">
        <v>77403</v>
      </c>
      <c r="H25" s="135"/>
      <c r="I25" s="135"/>
    </row>
    <row r="26" spans="1:9" ht="15" hidden="1">
      <c r="A26" s="135"/>
      <c r="B26" s="1076" t="s">
        <v>1245</v>
      </c>
      <c r="C26" s="1078">
        <v>2044</v>
      </c>
      <c r="D26" s="157">
        <v>11</v>
      </c>
      <c r="E26" s="138">
        <v>2066612</v>
      </c>
      <c r="F26" s="150">
        <v>154805</v>
      </c>
      <c r="G26" s="777">
        <f>+G25</f>
        <v>77403</v>
      </c>
      <c r="H26" s="135"/>
      <c r="I26" s="135"/>
    </row>
    <row r="27" spans="1:9" ht="15" hidden="1">
      <c r="A27" s="135"/>
      <c r="B27" s="1076"/>
      <c r="C27" s="1078"/>
      <c r="D27" s="157">
        <v>9</v>
      </c>
      <c r="E27" s="138">
        <v>1917684</v>
      </c>
      <c r="F27" s="139">
        <v>134811</v>
      </c>
      <c r="G27" s="776">
        <v>67406</v>
      </c>
      <c r="H27" s="135"/>
      <c r="I27" s="135"/>
    </row>
    <row r="28" spans="1:9" ht="15" hidden="1">
      <c r="A28" s="135"/>
      <c r="B28" s="1076"/>
      <c r="C28" s="1078"/>
      <c r="D28" s="157">
        <v>7</v>
      </c>
      <c r="E28" s="138">
        <v>1751460</v>
      </c>
      <c r="F28" s="145">
        <v>134811</v>
      </c>
      <c r="G28" s="771">
        <f>+G27</f>
        <v>67406</v>
      </c>
      <c r="H28" s="135"/>
      <c r="I28" s="135"/>
    </row>
    <row r="29" spans="1:9" ht="15" hidden="1">
      <c r="A29" s="135"/>
      <c r="B29" s="1076"/>
      <c r="C29" s="1078"/>
      <c r="D29" s="157">
        <v>6</v>
      </c>
      <c r="E29" s="138">
        <v>1668843</v>
      </c>
      <c r="F29" s="147">
        <v>134811</v>
      </c>
      <c r="G29" s="777">
        <f>+G28</f>
        <v>67406</v>
      </c>
      <c r="H29" s="135"/>
      <c r="I29" s="135"/>
    </row>
    <row r="30" spans="1:9" ht="15" hidden="1">
      <c r="A30" s="135"/>
      <c r="B30" s="1076"/>
      <c r="C30" s="1078"/>
      <c r="D30" s="157">
        <v>5</v>
      </c>
      <c r="E30" s="149">
        <v>1612686</v>
      </c>
      <c r="F30" s="143">
        <v>115856</v>
      </c>
      <c r="G30" s="774">
        <v>57928</v>
      </c>
      <c r="H30" s="135"/>
      <c r="I30" s="135"/>
    </row>
    <row r="31" spans="1:9" ht="15" hidden="1">
      <c r="A31" s="135"/>
      <c r="B31" s="1106" t="s">
        <v>1246</v>
      </c>
      <c r="C31" s="1105">
        <v>2125</v>
      </c>
      <c r="D31" s="137">
        <v>17</v>
      </c>
      <c r="E31" s="153">
        <v>3187300</v>
      </c>
      <c r="F31" s="139">
        <v>174729</v>
      </c>
      <c r="G31" s="776">
        <v>87365</v>
      </c>
      <c r="H31" s="135"/>
      <c r="I31" s="135"/>
    </row>
    <row r="32" spans="1:9" ht="15" hidden="1">
      <c r="A32" s="135"/>
      <c r="B32" s="1077"/>
      <c r="C32" s="1105"/>
      <c r="D32" s="137">
        <v>15</v>
      </c>
      <c r="E32" s="153">
        <v>2810639</v>
      </c>
      <c r="F32" s="147">
        <v>174729</v>
      </c>
      <c r="G32" s="777">
        <f>+G31</f>
        <v>87365</v>
      </c>
      <c r="H32" s="135"/>
      <c r="I32" s="135"/>
    </row>
    <row r="33" spans="1:9" ht="15" hidden="1">
      <c r="A33" s="135"/>
      <c r="B33" s="1077"/>
      <c r="C33" s="1105"/>
      <c r="D33" s="137">
        <v>13</v>
      </c>
      <c r="E33" s="153">
        <v>2375553</v>
      </c>
      <c r="F33" s="143">
        <v>154805</v>
      </c>
      <c r="G33" s="774">
        <v>77403</v>
      </c>
      <c r="H33" s="135"/>
      <c r="I33" s="135"/>
    </row>
    <row r="34" spans="1:9" ht="15" hidden="1">
      <c r="A34" s="135"/>
      <c r="B34" s="1077"/>
      <c r="C34" s="1105"/>
      <c r="D34" s="137">
        <v>9</v>
      </c>
      <c r="E34" s="138">
        <v>1917684</v>
      </c>
      <c r="F34" s="139">
        <v>134811</v>
      </c>
      <c r="G34" s="776">
        <v>67406</v>
      </c>
      <c r="H34" s="135"/>
      <c r="I34" s="135"/>
    </row>
    <row r="35" spans="1:9" ht="15" hidden="1">
      <c r="A35" s="135"/>
      <c r="B35" s="177" t="s">
        <v>1247</v>
      </c>
      <c r="C35" s="1078">
        <v>3124</v>
      </c>
      <c r="D35" s="157">
        <v>18</v>
      </c>
      <c r="E35" s="138">
        <v>1824462</v>
      </c>
      <c r="F35" s="145">
        <v>134811</v>
      </c>
      <c r="G35" s="771">
        <f>+G34</f>
        <v>67406</v>
      </c>
      <c r="H35" s="135"/>
      <c r="I35" s="135"/>
    </row>
    <row r="36" spans="1:9" ht="15" hidden="1">
      <c r="A36" s="135"/>
      <c r="B36" s="177" t="s">
        <v>1247</v>
      </c>
      <c r="C36" s="1078"/>
      <c r="D36" s="157">
        <v>16</v>
      </c>
      <c r="E36" s="138">
        <v>1635868</v>
      </c>
      <c r="F36" s="147">
        <v>134811</v>
      </c>
      <c r="G36" s="777">
        <f>+G35</f>
        <v>67406</v>
      </c>
      <c r="H36" s="135"/>
      <c r="I36" s="135"/>
    </row>
    <row r="37" spans="1:9" ht="15" hidden="1">
      <c r="A37" s="135"/>
      <c r="B37" s="177" t="s">
        <v>1247</v>
      </c>
      <c r="C37" s="1078"/>
      <c r="D37" s="157">
        <v>15</v>
      </c>
      <c r="E37" s="138">
        <v>1447845</v>
      </c>
      <c r="F37" s="139">
        <v>115856</v>
      </c>
      <c r="G37" s="776">
        <v>57928</v>
      </c>
      <c r="H37" s="135"/>
      <c r="I37" s="135"/>
    </row>
    <row r="38" spans="1:9" ht="15" hidden="1">
      <c r="A38" s="135"/>
      <c r="B38" s="177" t="s">
        <v>1247</v>
      </c>
      <c r="C38" s="1078"/>
      <c r="D38" s="157">
        <v>12</v>
      </c>
      <c r="E38" s="138">
        <v>1253275</v>
      </c>
      <c r="F38" s="147">
        <v>115856</v>
      </c>
      <c r="G38" s="777">
        <f>+G37</f>
        <v>57928</v>
      </c>
      <c r="H38" s="135"/>
      <c r="I38" s="135"/>
    </row>
    <row r="39" spans="1:9" ht="15" hidden="1">
      <c r="A39" s="135"/>
      <c r="B39" s="177" t="s">
        <v>1247</v>
      </c>
      <c r="C39" s="1078"/>
      <c r="D39" s="157">
        <v>11</v>
      </c>
      <c r="E39" s="138">
        <v>1181877</v>
      </c>
      <c r="F39" s="148">
        <v>95484</v>
      </c>
      <c r="G39" s="778">
        <v>47742</v>
      </c>
      <c r="H39" s="135"/>
      <c r="I39" s="135"/>
    </row>
    <row r="40" spans="1:9" ht="15" hidden="1">
      <c r="A40" s="135"/>
      <c r="B40" s="177" t="s">
        <v>1247</v>
      </c>
      <c r="C40" s="1078"/>
      <c r="D40" s="157">
        <v>10</v>
      </c>
      <c r="E40" s="138">
        <v>1121085</v>
      </c>
      <c r="F40" s="155">
        <v>95484</v>
      </c>
      <c r="G40" s="781">
        <f>+G39</f>
        <v>47742</v>
      </c>
      <c r="H40" s="135"/>
      <c r="I40" s="135"/>
    </row>
    <row r="41" spans="1:9" ht="15" hidden="1">
      <c r="A41" s="135"/>
      <c r="B41" s="177" t="s">
        <v>1247</v>
      </c>
      <c r="C41" s="1078"/>
      <c r="D41" s="157">
        <v>9</v>
      </c>
      <c r="E41" s="138">
        <v>1071324</v>
      </c>
      <c r="F41" s="155">
        <v>95484</v>
      </c>
      <c r="G41" s="781">
        <f>+G40</f>
        <v>47742</v>
      </c>
      <c r="H41" s="135"/>
      <c r="I41" s="135"/>
    </row>
    <row r="42" spans="1:9" ht="15" hidden="1">
      <c r="A42" s="135"/>
      <c r="B42" s="177" t="s">
        <v>1247</v>
      </c>
      <c r="C42" s="1078"/>
      <c r="D42" s="157">
        <v>8</v>
      </c>
      <c r="E42" s="138">
        <v>973472</v>
      </c>
      <c r="F42" s="150">
        <v>95484</v>
      </c>
      <c r="G42" s="779">
        <f>+G41</f>
        <v>47742</v>
      </c>
      <c r="H42" s="135"/>
      <c r="I42" s="135"/>
    </row>
    <row r="43" spans="1:9" ht="15" hidden="1">
      <c r="A43" s="135"/>
      <c r="B43" s="1094" t="s">
        <v>1248</v>
      </c>
      <c r="C43" s="1078">
        <v>3132</v>
      </c>
      <c r="D43" s="157">
        <v>13</v>
      </c>
      <c r="E43" s="138">
        <v>1336517</v>
      </c>
      <c r="F43" s="143">
        <v>115856</v>
      </c>
      <c r="G43" s="774">
        <v>57928</v>
      </c>
      <c r="H43" s="135"/>
      <c r="I43" s="135"/>
    </row>
    <row r="44" spans="1:9" ht="15" hidden="1">
      <c r="A44" s="135"/>
      <c r="B44" s="1077"/>
      <c r="C44" s="1078"/>
      <c r="D44" s="157">
        <v>11</v>
      </c>
      <c r="E44" s="138">
        <v>1181177</v>
      </c>
      <c r="F44" s="151">
        <v>95484</v>
      </c>
      <c r="G44" s="780">
        <v>47742</v>
      </c>
      <c r="H44" s="135"/>
      <c r="I44" s="135"/>
    </row>
    <row r="45" spans="1:9" ht="15" hidden="1">
      <c r="A45" s="135"/>
      <c r="B45" s="1076" t="s">
        <v>1249</v>
      </c>
      <c r="C45" s="1078">
        <v>4210</v>
      </c>
      <c r="D45" s="157">
        <v>24</v>
      </c>
      <c r="E45" s="138">
        <v>1579181</v>
      </c>
      <c r="F45" s="139">
        <v>115856</v>
      </c>
      <c r="G45" s="776">
        <v>57928</v>
      </c>
      <c r="H45" s="135"/>
      <c r="I45" s="135"/>
    </row>
    <row r="46" spans="1:9" ht="15" hidden="1">
      <c r="A46" s="135"/>
      <c r="B46" s="1077"/>
      <c r="C46" s="1078"/>
      <c r="D46" s="157">
        <v>22</v>
      </c>
      <c r="E46" s="138">
        <v>1311239</v>
      </c>
      <c r="F46" s="147">
        <v>115856</v>
      </c>
      <c r="G46" s="777">
        <f>+G45</f>
        <v>57928</v>
      </c>
      <c r="H46" s="135"/>
      <c r="I46" s="135"/>
    </row>
    <row r="47" spans="1:9" ht="15" hidden="1">
      <c r="A47" s="135"/>
      <c r="B47" s="1077"/>
      <c r="C47" s="1078"/>
      <c r="D47" s="157">
        <v>20</v>
      </c>
      <c r="E47" s="138">
        <v>1185733</v>
      </c>
      <c r="F47" s="139">
        <v>95484</v>
      </c>
      <c r="G47" s="776">
        <v>47742</v>
      </c>
      <c r="H47" s="135"/>
      <c r="I47" s="135"/>
    </row>
    <row r="48" spans="1:9" ht="15" hidden="1">
      <c r="A48" s="135"/>
      <c r="B48" s="1077"/>
      <c r="C48" s="1078"/>
      <c r="D48" s="157">
        <v>18</v>
      </c>
      <c r="E48" s="138">
        <v>1121085</v>
      </c>
      <c r="F48" s="145">
        <v>95484</v>
      </c>
      <c r="G48" s="771">
        <f>+G47</f>
        <v>47742</v>
      </c>
      <c r="H48" s="135"/>
      <c r="I48" s="135"/>
    </row>
    <row r="49" spans="1:9" ht="15" hidden="1">
      <c r="A49" s="135"/>
      <c r="B49" s="1077"/>
      <c r="C49" s="1078"/>
      <c r="D49" s="157">
        <v>17</v>
      </c>
      <c r="E49" s="138">
        <v>1093949</v>
      </c>
      <c r="F49" s="145">
        <v>95484</v>
      </c>
      <c r="G49" s="771">
        <f>+G48</f>
        <v>47742</v>
      </c>
      <c r="H49" s="135"/>
      <c r="I49" s="135"/>
    </row>
    <row r="50" spans="1:9" ht="15" hidden="1">
      <c r="A50" s="135"/>
      <c r="B50" s="1077"/>
      <c r="C50" s="1078"/>
      <c r="D50" s="157">
        <v>15</v>
      </c>
      <c r="E50" s="138">
        <v>1025719</v>
      </c>
      <c r="F50" s="147">
        <v>95484</v>
      </c>
      <c r="G50" s="777">
        <f>+G49</f>
        <v>47742</v>
      </c>
      <c r="H50" s="135"/>
      <c r="I50" s="135"/>
    </row>
    <row r="51" spans="1:9" ht="15" hidden="1">
      <c r="A51" s="135"/>
      <c r="B51" s="1076" t="s">
        <v>1250</v>
      </c>
      <c r="C51" s="1078">
        <v>4044</v>
      </c>
      <c r="D51" s="157">
        <v>23</v>
      </c>
      <c r="E51" s="138">
        <v>1447845</v>
      </c>
      <c r="F51" s="144">
        <v>115856</v>
      </c>
      <c r="G51" s="775">
        <v>57928</v>
      </c>
      <c r="H51" s="135"/>
      <c r="I51" s="135"/>
    </row>
    <row r="52" spans="1:9" ht="15" hidden="1">
      <c r="A52" s="135"/>
      <c r="B52" s="1077"/>
      <c r="C52" s="1078"/>
      <c r="D52" s="157">
        <v>20</v>
      </c>
      <c r="E52" s="138">
        <v>1185733</v>
      </c>
      <c r="F52" s="139">
        <v>95484</v>
      </c>
      <c r="G52" s="776">
        <v>47742</v>
      </c>
      <c r="H52" s="135"/>
      <c r="I52" s="135"/>
    </row>
    <row r="53" spans="1:9" ht="15" hidden="1">
      <c r="A53" s="135"/>
      <c r="B53" s="1077"/>
      <c r="C53" s="1078"/>
      <c r="D53" s="157">
        <v>16</v>
      </c>
      <c r="E53" s="138">
        <v>1071324</v>
      </c>
      <c r="F53" s="158">
        <v>95484</v>
      </c>
      <c r="G53" s="782">
        <f t="shared" ref="G53:G63" si="1">+G52</f>
        <v>47742</v>
      </c>
      <c r="H53" s="135"/>
      <c r="I53" s="135"/>
    </row>
    <row r="54" spans="1:9" ht="15" hidden="1">
      <c r="A54" s="135"/>
      <c r="B54" s="1077"/>
      <c r="C54" s="1078"/>
      <c r="D54" s="157">
        <v>15</v>
      </c>
      <c r="E54" s="138">
        <v>1025719</v>
      </c>
      <c r="F54" s="158">
        <v>95484</v>
      </c>
      <c r="G54" s="782">
        <f t="shared" si="1"/>
        <v>47742</v>
      </c>
      <c r="H54" s="135"/>
      <c r="I54" s="135"/>
    </row>
    <row r="55" spans="1:9" ht="15" hidden="1">
      <c r="A55" s="135"/>
      <c r="B55" s="1077"/>
      <c r="C55" s="1078"/>
      <c r="D55" s="157">
        <v>14</v>
      </c>
      <c r="E55" s="138">
        <v>994797</v>
      </c>
      <c r="F55" s="158">
        <v>95484</v>
      </c>
      <c r="G55" s="782">
        <f t="shared" si="1"/>
        <v>47742</v>
      </c>
      <c r="H55" s="135"/>
      <c r="I55" s="135"/>
    </row>
    <row r="56" spans="1:9" ht="15" hidden="1">
      <c r="A56" s="135"/>
      <c r="B56" s="1077"/>
      <c r="C56" s="1078"/>
      <c r="D56" s="157">
        <v>13</v>
      </c>
      <c r="E56" s="138">
        <v>973472</v>
      </c>
      <c r="F56" s="158">
        <v>95484</v>
      </c>
      <c r="G56" s="782">
        <f t="shared" si="1"/>
        <v>47742</v>
      </c>
      <c r="H56" s="135"/>
      <c r="I56" s="135"/>
    </row>
    <row r="57" spans="1:9" ht="15" hidden="1">
      <c r="A57" s="135"/>
      <c r="B57" s="1077"/>
      <c r="C57" s="1078"/>
      <c r="D57" s="157">
        <v>12</v>
      </c>
      <c r="E57" s="138">
        <v>942989</v>
      </c>
      <c r="F57" s="158">
        <v>95484</v>
      </c>
      <c r="G57" s="782">
        <f t="shared" si="1"/>
        <v>47742</v>
      </c>
      <c r="H57" s="135"/>
      <c r="I57" s="135"/>
    </row>
    <row r="58" spans="1:9" ht="15" hidden="1">
      <c r="A58" s="135"/>
      <c r="B58" s="1077"/>
      <c r="C58" s="1078"/>
      <c r="D58" s="157">
        <v>11</v>
      </c>
      <c r="E58" s="138">
        <v>878230</v>
      </c>
      <c r="F58" s="158">
        <v>95484</v>
      </c>
      <c r="G58" s="782">
        <f t="shared" si="1"/>
        <v>47742</v>
      </c>
      <c r="H58" s="135"/>
      <c r="I58" s="135"/>
    </row>
    <row r="59" spans="1:9" ht="15" hidden="1">
      <c r="A59" s="135"/>
      <c r="B59" s="1077"/>
      <c r="C59" s="1078"/>
      <c r="D59" s="157">
        <v>9</v>
      </c>
      <c r="E59" s="138">
        <v>740268</v>
      </c>
      <c r="F59" s="158">
        <v>95484</v>
      </c>
      <c r="G59" s="782">
        <f t="shared" si="1"/>
        <v>47742</v>
      </c>
      <c r="H59" s="135"/>
      <c r="I59" s="135"/>
    </row>
    <row r="60" spans="1:9" ht="15" hidden="1">
      <c r="A60" s="135"/>
      <c r="B60" s="177" t="s">
        <v>1251</v>
      </c>
      <c r="C60" s="1078">
        <v>4178</v>
      </c>
      <c r="D60" s="157">
        <v>14</v>
      </c>
      <c r="E60" s="138">
        <v>994797</v>
      </c>
      <c r="F60" s="158">
        <v>95484</v>
      </c>
      <c r="G60" s="782">
        <f t="shared" si="1"/>
        <v>47742</v>
      </c>
      <c r="H60" s="135"/>
      <c r="I60" s="135"/>
    </row>
    <row r="61" spans="1:9" ht="15" hidden="1">
      <c r="A61" s="135"/>
      <c r="B61" s="177" t="s">
        <v>1252</v>
      </c>
      <c r="C61" s="1078"/>
      <c r="D61" s="157">
        <v>12</v>
      </c>
      <c r="E61" s="138">
        <v>942989</v>
      </c>
      <c r="F61" s="158">
        <v>95484</v>
      </c>
      <c r="G61" s="782">
        <f t="shared" si="1"/>
        <v>47742</v>
      </c>
      <c r="H61" s="135"/>
      <c r="I61" s="135"/>
    </row>
    <row r="62" spans="1:9" ht="15" hidden="1">
      <c r="A62" s="135"/>
      <c r="B62" s="177" t="s">
        <v>1252</v>
      </c>
      <c r="C62" s="1078"/>
      <c r="D62" s="157">
        <v>10</v>
      </c>
      <c r="E62" s="138">
        <v>813640</v>
      </c>
      <c r="F62" s="158">
        <v>95484</v>
      </c>
      <c r="G62" s="782">
        <f t="shared" si="1"/>
        <v>47742</v>
      </c>
      <c r="H62" s="135"/>
      <c r="I62" s="135"/>
    </row>
    <row r="63" spans="1:9" ht="15" hidden="1">
      <c r="A63" s="135"/>
      <c r="B63" s="1094" t="s">
        <v>1253</v>
      </c>
      <c r="C63" s="1078">
        <v>4169</v>
      </c>
      <c r="D63" s="157">
        <v>15</v>
      </c>
      <c r="E63" s="138">
        <v>1025719</v>
      </c>
      <c r="F63" s="159">
        <v>95484</v>
      </c>
      <c r="G63" s="783">
        <f t="shared" si="1"/>
        <v>47742</v>
      </c>
      <c r="H63" s="135"/>
      <c r="I63" s="135"/>
    </row>
    <row r="64" spans="1:9" ht="15" hidden="1">
      <c r="A64" s="135"/>
      <c r="B64" s="1077"/>
      <c r="C64" s="1078"/>
      <c r="D64" s="157">
        <v>9</v>
      </c>
      <c r="E64" s="138">
        <v>740268</v>
      </c>
      <c r="F64" s="139">
        <v>69864</v>
      </c>
      <c r="G64" s="776">
        <v>34932</v>
      </c>
      <c r="H64" s="135"/>
      <c r="I64" s="135"/>
    </row>
    <row r="65" spans="1:9" ht="15" hidden="1">
      <c r="A65" s="135"/>
      <c r="B65" s="1077"/>
      <c r="C65" s="1078"/>
      <c r="D65" s="157">
        <v>7</v>
      </c>
      <c r="E65" s="138">
        <v>656750</v>
      </c>
      <c r="F65" s="147">
        <v>69864</v>
      </c>
      <c r="G65" s="777">
        <f>+G64</f>
        <v>34932</v>
      </c>
      <c r="H65" s="135"/>
      <c r="I65" s="135"/>
    </row>
    <row r="66" spans="1:9" ht="15" hidden="1">
      <c r="A66" s="135"/>
      <c r="B66" s="177" t="s">
        <v>1254</v>
      </c>
      <c r="C66" s="1078">
        <v>4103</v>
      </c>
      <c r="D66" s="157">
        <v>15</v>
      </c>
      <c r="E66" s="138">
        <v>1025719</v>
      </c>
      <c r="F66" s="139">
        <v>95484</v>
      </c>
      <c r="G66" s="776">
        <v>47742</v>
      </c>
      <c r="H66" s="135"/>
      <c r="I66" s="135"/>
    </row>
    <row r="67" spans="1:9" ht="15" hidden="1">
      <c r="A67" s="135"/>
      <c r="B67" s="177" t="s">
        <v>1254</v>
      </c>
      <c r="C67" s="1078"/>
      <c r="D67" s="157">
        <v>13</v>
      </c>
      <c r="E67" s="138">
        <v>973472</v>
      </c>
      <c r="F67" s="145">
        <v>95484</v>
      </c>
      <c r="G67" s="771">
        <f>+G66</f>
        <v>47742</v>
      </c>
      <c r="H67" s="135"/>
      <c r="I67" s="135"/>
    </row>
    <row r="68" spans="1:9" ht="15" hidden="1">
      <c r="A68" s="135"/>
      <c r="B68" s="177" t="s">
        <v>1254</v>
      </c>
      <c r="C68" s="1078"/>
      <c r="D68" s="157">
        <v>11</v>
      </c>
      <c r="E68" s="138">
        <v>878230</v>
      </c>
      <c r="F68" s="147">
        <v>95484</v>
      </c>
      <c r="G68" s="777">
        <f>+G67</f>
        <v>47742</v>
      </c>
      <c r="H68" s="135"/>
      <c r="I68" s="135"/>
    </row>
    <row r="69" spans="1:9" ht="15" hidden="1">
      <c r="A69" s="135"/>
      <c r="B69" s="177" t="s">
        <v>1254</v>
      </c>
      <c r="C69" s="1078"/>
      <c r="D69" s="157">
        <v>9</v>
      </c>
      <c r="E69" s="138">
        <v>740268</v>
      </c>
      <c r="F69" s="143">
        <v>69864</v>
      </c>
      <c r="G69" s="774">
        <v>34932</v>
      </c>
      <c r="H69" s="135"/>
      <c r="I69" s="135"/>
    </row>
    <row r="70" spans="1:9" ht="15" hidden="1">
      <c r="A70" s="135"/>
      <c r="B70" s="177" t="s">
        <v>1255</v>
      </c>
      <c r="C70" s="1078">
        <v>4065</v>
      </c>
      <c r="D70" s="157">
        <v>15</v>
      </c>
      <c r="E70" s="138">
        <v>1025719</v>
      </c>
      <c r="F70" s="139">
        <v>95484</v>
      </c>
      <c r="G70" s="776">
        <v>47742</v>
      </c>
      <c r="H70" s="135"/>
      <c r="I70" s="135"/>
    </row>
    <row r="71" spans="1:9" ht="15" hidden="1">
      <c r="A71" s="135"/>
      <c r="B71" s="177" t="s">
        <v>1255</v>
      </c>
      <c r="C71" s="1078"/>
      <c r="D71" s="157">
        <v>11</v>
      </c>
      <c r="E71" s="138">
        <v>878230</v>
      </c>
      <c r="F71" s="147">
        <v>95484</v>
      </c>
      <c r="G71" s="777">
        <f>+G70</f>
        <v>47742</v>
      </c>
      <c r="H71" s="135"/>
      <c r="I71" s="135"/>
    </row>
    <row r="72" spans="1:9" ht="15" hidden="1">
      <c r="A72" s="135"/>
      <c r="B72" s="177" t="s">
        <v>1255</v>
      </c>
      <c r="C72" s="1078"/>
      <c r="D72" s="157">
        <v>9</v>
      </c>
      <c r="E72" s="138">
        <v>740268</v>
      </c>
      <c r="F72" s="139">
        <v>69864</v>
      </c>
      <c r="G72" s="776">
        <v>34932</v>
      </c>
      <c r="H72" s="135"/>
      <c r="I72" s="135"/>
    </row>
    <row r="73" spans="1:9" ht="15" hidden="1">
      <c r="A73" s="135"/>
      <c r="B73" s="177" t="s">
        <v>1255</v>
      </c>
      <c r="C73" s="1078"/>
      <c r="D73" s="157">
        <v>7</v>
      </c>
      <c r="E73" s="138">
        <v>656750</v>
      </c>
      <c r="F73" s="147">
        <v>69864</v>
      </c>
      <c r="G73" s="777">
        <f>+G72</f>
        <v>34932</v>
      </c>
      <c r="H73" s="135"/>
      <c r="I73" s="135"/>
    </row>
    <row r="74" spans="1:9" ht="15" hidden="1">
      <c r="A74" s="135"/>
      <c r="B74" s="1088" t="s">
        <v>1256</v>
      </c>
      <c r="C74" s="1089"/>
      <c r="D74" s="1089"/>
      <c r="E74" s="1089"/>
      <c r="F74" s="1089"/>
      <c r="G74" s="1090"/>
      <c r="H74" s="135"/>
      <c r="I74" s="135"/>
    </row>
    <row r="75" spans="1:9" ht="15" hidden="1">
      <c r="A75" s="135"/>
      <c r="B75" s="1077"/>
      <c r="C75" s="1089"/>
      <c r="D75" s="1089"/>
      <c r="E75" s="1089"/>
      <c r="F75" s="1089"/>
      <c r="G75" s="1090"/>
      <c r="H75" s="135"/>
      <c r="I75" s="135"/>
    </row>
    <row r="76" spans="1:9" ht="15" hidden="1">
      <c r="A76" s="135"/>
      <c r="B76" s="1077"/>
      <c r="C76" s="1089"/>
      <c r="D76" s="1089"/>
      <c r="E76" s="1089"/>
      <c r="F76" s="1089"/>
      <c r="G76" s="1090"/>
      <c r="H76" s="135"/>
      <c r="I76" s="135"/>
    </row>
    <row r="77" spans="1:9" ht="15" hidden="1">
      <c r="A77" s="135"/>
      <c r="B77" s="1077"/>
      <c r="C77" s="1089"/>
      <c r="D77" s="1089"/>
      <c r="E77" s="1089"/>
      <c r="F77" s="1089"/>
      <c r="G77" s="1090"/>
      <c r="H77" s="135"/>
      <c r="I77" s="135"/>
    </row>
    <row r="78" spans="1:9" ht="15.75" hidden="1" thickBot="1">
      <c r="A78" s="135"/>
      <c r="B78" s="1091"/>
      <c r="C78" s="1092"/>
      <c r="D78" s="1092"/>
      <c r="E78" s="1092"/>
      <c r="F78" s="1092"/>
      <c r="G78" s="1093"/>
      <c r="H78" s="135"/>
      <c r="I78" s="135"/>
    </row>
    <row r="79" spans="1:9" ht="15.75" thickBot="1">
      <c r="A79" s="135"/>
      <c r="B79" s="160"/>
      <c r="C79" s="135"/>
      <c r="D79" s="135"/>
      <c r="E79" s="135"/>
      <c r="F79" s="135"/>
      <c r="G79" s="766"/>
      <c r="H79" s="135"/>
      <c r="I79" s="135"/>
    </row>
    <row r="80" spans="1:9" ht="18.75" thickBot="1">
      <c r="A80" s="135"/>
      <c r="B80" s="1079" t="s">
        <v>1595</v>
      </c>
      <c r="C80" s="1080"/>
      <c r="D80" s="1080"/>
      <c r="E80" s="1080"/>
      <c r="F80" s="1080"/>
      <c r="G80" s="1081"/>
      <c r="H80" s="135"/>
      <c r="I80" s="135"/>
    </row>
    <row r="81" spans="1:14" ht="15.75" thickBot="1">
      <c r="A81" s="135"/>
      <c r="B81" s="766"/>
      <c r="C81" s="766"/>
      <c r="D81" s="766"/>
      <c r="E81" s="766"/>
      <c r="F81" s="766"/>
      <c r="G81" s="766"/>
      <c r="H81" s="135"/>
      <c r="I81" s="135"/>
    </row>
    <row r="82" spans="1:14" ht="15.75" customHeight="1">
      <c r="A82" s="135"/>
      <c r="B82" s="839"/>
      <c r="C82" s="1082" t="s">
        <v>1605</v>
      </c>
      <c r="D82" s="1083"/>
      <c r="E82" s="1083"/>
      <c r="F82" s="1084"/>
      <c r="G82" s="839"/>
      <c r="H82" s="135"/>
      <c r="I82" s="135"/>
    </row>
    <row r="83" spans="1:14" ht="15.75" customHeight="1" thickBot="1">
      <c r="A83" s="135"/>
      <c r="B83" s="840" t="s">
        <v>1257</v>
      </c>
      <c r="C83" s="1085"/>
      <c r="D83" s="1086"/>
      <c r="E83" s="1086"/>
      <c r="F83" s="1087"/>
      <c r="G83" s="840"/>
      <c r="H83" s="135"/>
      <c r="I83" s="135"/>
    </row>
    <row r="84" spans="1:14" ht="18.75">
      <c r="A84" s="135"/>
      <c r="B84" s="841" t="s">
        <v>1258</v>
      </c>
      <c r="C84" s="842" t="str">
        <f>+'Componentes T.H.'!B9</f>
        <v xml:space="preserve">Promotor de Derechos </v>
      </c>
      <c r="D84" s="843"/>
      <c r="E84" s="844"/>
      <c r="F84" s="845">
        <f>+VLOOKUP(C84,'Componentes T.H.'!$B$6:$V$21,'Componentes T.H.'!$Q$1,0)</f>
        <v>1060062.4566260003</v>
      </c>
      <c r="G84" s="841"/>
      <c r="H84" s="135"/>
      <c r="I84" s="135"/>
    </row>
    <row r="85" spans="1:14" ht="18.75">
      <c r="A85" s="135"/>
      <c r="B85" s="841"/>
      <c r="C85" s="846" t="str">
        <f>+'Componentes T.H.'!B8</f>
        <v>Coordinador Metodológico</v>
      </c>
      <c r="D85" s="847"/>
      <c r="E85" s="848"/>
      <c r="F85" s="849">
        <f>+VLOOKUP(C85,'Componentes T.H.'!$B$6:$V$21,'Componentes T.H.'!$Q$1,0)</f>
        <v>2058155.7920726666</v>
      </c>
      <c r="G85" s="841"/>
      <c r="H85" s="135"/>
      <c r="I85" s="135"/>
    </row>
    <row r="86" spans="1:14" ht="19.5" thickBot="1">
      <c r="A86" s="135"/>
      <c r="B86" s="850" t="s">
        <v>1555</v>
      </c>
      <c r="C86" s="851"/>
      <c r="D86" s="852"/>
      <c r="E86" s="853"/>
      <c r="F86" s="853"/>
      <c r="G86" s="850"/>
      <c r="H86" s="135"/>
      <c r="I86" s="135"/>
    </row>
    <row r="87" spans="1:14" ht="30.75" thickBot="1">
      <c r="A87" s="135"/>
      <c r="B87" s="189" t="s">
        <v>1259</v>
      </c>
      <c r="C87" s="190" t="s">
        <v>1260</v>
      </c>
      <c r="D87" s="190" t="s">
        <v>1261</v>
      </c>
      <c r="E87" s="189" t="s">
        <v>1348</v>
      </c>
      <c r="F87" s="191"/>
      <c r="H87" s="135"/>
      <c r="I87" s="135"/>
    </row>
    <row r="88" spans="1:14" ht="15">
      <c r="A88" s="135"/>
      <c r="B88" s="186" t="s">
        <v>1174</v>
      </c>
      <c r="C88" s="854">
        <f>+C125*'Parametros Generales'!$C$30</f>
        <v>375828.8246205874</v>
      </c>
      <c r="D88" s="856">
        <f>+D125*'Parametros Generales'!$C$30</f>
        <v>1127484.0972440119</v>
      </c>
      <c r="E88" s="854">
        <f t="shared" ref="E88:E120" si="2">+AVERAGE(C88:D88)</f>
        <v>751656.46093229973</v>
      </c>
      <c r="F88" s="854"/>
      <c r="H88" s="753"/>
      <c r="I88" s="753"/>
      <c r="J88" s="753"/>
      <c r="K88" s="751"/>
      <c r="L88" s="752"/>
      <c r="M88" s="752"/>
      <c r="N88" s="751"/>
    </row>
    <row r="89" spans="1:14" ht="15">
      <c r="A89" s="135"/>
      <c r="B89" s="187" t="s">
        <v>750</v>
      </c>
      <c r="C89" s="854">
        <f>+C126*'Parametros Generales'!$C$30</f>
        <v>22549.349218395142</v>
      </c>
      <c r="D89" s="856">
        <f>+D126*'Parametros Generales'!$C$30</f>
        <v>76900.220558559377</v>
      </c>
      <c r="E89" s="854">
        <f t="shared" si="2"/>
        <v>49724.784888477261</v>
      </c>
      <c r="F89" s="854"/>
      <c r="H89" s="753"/>
      <c r="I89" s="753"/>
      <c r="J89" s="753"/>
      <c r="K89" s="751"/>
      <c r="L89" s="752"/>
      <c r="M89" s="752"/>
      <c r="N89" s="751"/>
    </row>
    <row r="90" spans="1:14" ht="15">
      <c r="A90" s="135"/>
      <c r="B90" s="187" t="s">
        <v>1160</v>
      </c>
      <c r="C90" s="854">
        <f>+C127*'Parametros Generales'!$C$30</f>
        <v>375828.8246205874</v>
      </c>
      <c r="D90" s="856">
        <f>+D127*'Parametros Generales'!$C$30</f>
        <v>1127484.0972440119</v>
      </c>
      <c r="E90" s="854">
        <f t="shared" si="2"/>
        <v>751656.46093229973</v>
      </c>
      <c r="F90" s="854"/>
      <c r="H90" s="753"/>
      <c r="I90" s="753"/>
      <c r="J90" s="753"/>
      <c r="K90" s="751"/>
      <c r="L90" s="752"/>
      <c r="M90" s="752"/>
      <c r="N90" s="751"/>
    </row>
    <row r="91" spans="1:14" ht="15">
      <c r="A91" s="135"/>
      <c r="B91" s="187" t="s">
        <v>794</v>
      </c>
      <c r="C91" s="854">
        <f>+C128*'Parametros Generales'!$C$30</f>
        <v>30065.402854901738</v>
      </c>
      <c r="D91" s="856">
        <f>+D128*'Parametros Generales'!$C$30</f>
        <v>45098.698436790284</v>
      </c>
      <c r="E91" s="854">
        <f t="shared" si="2"/>
        <v>37582.050645846015</v>
      </c>
      <c r="F91" s="854"/>
      <c r="H91" s="753"/>
      <c r="I91" s="753"/>
      <c r="J91" s="753"/>
      <c r="K91" s="751"/>
      <c r="L91" s="752"/>
      <c r="M91" s="752"/>
      <c r="N91" s="751"/>
    </row>
    <row r="92" spans="1:14" ht="15">
      <c r="A92" s="135"/>
      <c r="B92" s="187" t="s">
        <v>1262</v>
      </c>
      <c r="C92" s="854">
        <f>+C129*'Parametros Generales'!$C$30</f>
        <v>22549.349218395142</v>
      </c>
      <c r="D92" s="856">
        <f>+D129*'Parametros Generales'!$C$30</f>
        <v>0</v>
      </c>
      <c r="E92" s="854">
        <f t="shared" si="2"/>
        <v>11274.674609197571</v>
      </c>
      <c r="F92" s="854"/>
      <c r="H92" s="753"/>
      <c r="I92" s="753"/>
      <c r="J92" s="753"/>
      <c r="K92" s="751"/>
      <c r="L92" s="752"/>
      <c r="M92" s="752"/>
      <c r="N92" s="751"/>
    </row>
    <row r="93" spans="1:14" ht="15">
      <c r="A93" s="135"/>
      <c r="B93" s="187" t="s">
        <v>654</v>
      </c>
      <c r="C93" s="854">
        <f>+C130*'Parametros Generales'!$C$30</f>
        <v>30065.402854901738</v>
      </c>
      <c r="D93" s="856">
        <f>+D130*'Parametros Generales'!$C$30</f>
        <v>45099.886745665623</v>
      </c>
      <c r="E93" s="854">
        <f t="shared" si="2"/>
        <v>37582.644800283684</v>
      </c>
      <c r="F93" s="854"/>
      <c r="H93" s="753"/>
      <c r="I93" s="753"/>
      <c r="J93" s="753"/>
      <c r="K93" s="751"/>
      <c r="L93" s="752"/>
      <c r="M93" s="752"/>
      <c r="N93" s="751"/>
    </row>
    <row r="94" spans="1:14" ht="15">
      <c r="A94" s="135"/>
      <c r="B94" s="187" t="s">
        <v>811</v>
      </c>
      <c r="C94" s="854">
        <f>+C131*'Parametros Generales'!$C$30</f>
        <v>60109.416150047422</v>
      </c>
      <c r="D94" s="856">
        <f>+D131*'Parametros Generales'!$C$30</f>
        <v>81594.040616140584</v>
      </c>
      <c r="E94" s="854">
        <f t="shared" si="2"/>
        <v>70851.728383094</v>
      </c>
      <c r="F94" s="854"/>
      <c r="H94" s="753"/>
      <c r="I94" s="753"/>
      <c r="J94" s="753"/>
      <c r="K94" s="751"/>
      <c r="L94" s="752"/>
      <c r="M94" s="752"/>
      <c r="N94" s="751"/>
    </row>
    <row r="95" spans="1:14" ht="15">
      <c r="A95" s="135"/>
      <c r="B95" s="187" t="s">
        <v>820</v>
      </c>
      <c r="C95" s="854">
        <f>+C132*'Parametros Generales'!$C$30</f>
        <v>20640.925164603897</v>
      </c>
      <c r="D95" s="856">
        <f>+D132*'Parametros Generales'!$C$30</f>
        <v>52171.512862796168</v>
      </c>
      <c r="E95" s="854">
        <f t="shared" si="2"/>
        <v>36406.219013700029</v>
      </c>
      <c r="F95" s="854"/>
      <c r="H95" s="753"/>
      <c r="I95" s="753"/>
      <c r="J95" s="753"/>
      <c r="K95" s="751"/>
      <c r="L95" s="752"/>
      <c r="M95" s="752"/>
      <c r="N95" s="751"/>
    </row>
    <row r="96" spans="1:14" ht="15">
      <c r="A96" s="135"/>
      <c r="B96" s="187" t="s">
        <v>901</v>
      </c>
      <c r="C96" s="854">
        <f>+C133*'Parametros Generales'!$C$30</f>
        <v>57441.662724915834</v>
      </c>
      <c r="D96" s="856">
        <f>+D133*'Parametros Generales'!$C$30</f>
        <v>168274.04321872359</v>
      </c>
      <c r="E96" s="854">
        <f t="shared" si="2"/>
        <v>112857.85297181971</v>
      </c>
      <c r="F96" s="854"/>
      <c r="H96" s="753"/>
      <c r="I96" s="753"/>
      <c r="J96" s="753"/>
      <c r="K96" s="751"/>
      <c r="L96" s="752"/>
      <c r="M96" s="752"/>
      <c r="N96" s="751"/>
    </row>
    <row r="97" spans="1:14" ht="15">
      <c r="A97" s="135"/>
      <c r="B97" s="187" t="s">
        <v>1163</v>
      </c>
      <c r="C97" s="854">
        <f>+C134*'Parametros Generales'!$C$30</f>
        <v>206842.98438553698</v>
      </c>
      <c r="D97" s="856">
        <f>+D134*'Parametros Generales'!$C$30</f>
        <v>526987.65510783216</v>
      </c>
      <c r="E97" s="854">
        <f t="shared" si="2"/>
        <v>366915.31974668457</v>
      </c>
      <c r="F97" s="854"/>
      <c r="H97" s="753"/>
      <c r="I97" s="753"/>
      <c r="J97" s="753"/>
      <c r="K97" s="751"/>
      <c r="L97" s="752"/>
      <c r="M97" s="752"/>
      <c r="N97" s="751"/>
    </row>
    <row r="98" spans="1:14" ht="15">
      <c r="A98" s="135"/>
      <c r="B98" s="187" t="s">
        <v>905</v>
      </c>
      <c r="C98" s="854">
        <f>+C135*'Parametros Generales'!$C$30</f>
        <v>121536.66684284358</v>
      </c>
      <c r="D98" s="856">
        <f>+D135*'Parametros Generales'!$C$30</f>
        <v>129112.13592311702</v>
      </c>
      <c r="E98" s="854">
        <f t="shared" si="2"/>
        <v>125324.4013829803</v>
      </c>
      <c r="F98" s="854"/>
      <c r="H98" s="135"/>
      <c r="I98" s="135"/>
    </row>
    <row r="99" spans="1:14" ht="15">
      <c r="A99" s="135"/>
      <c r="B99" s="187" t="s">
        <v>914</v>
      </c>
      <c r="C99" s="854">
        <f>+C136*'Parametros Generales'!$C$30</f>
        <v>30065.402854901738</v>
      </c>
      <c r="D99" s="856">
        <f>+D136*'Parametros Generales'!$C$30</f>
        <v>127352.25047874294</v>
      </c>
      <c r="E99" s="854">
        <f t="shared" si="2"/>
        <v>78708.826666822337</v>
      </c>
      <c r="F99" s="854"/>
      <c r="H99" s="135"/>
      <c r="I99" s="135"/>
    </row>
    <row r="100" spans="1:14" ht="15">
      <c r="A100" s="135"/>
      <c r="B100" s="187" t="s">
        <v>987</v>
      </c>
      <c r="C100" s="854">
        <f>+C137*'Parametros Generales'!$C$30</f>
        <v>233850.86850419658</v>
      </c>
      <c r="D100" s="856">
        <f>+D137*'Parametros Generales'!$C$30</f>
        <v>1095272.6085602513</v>
      </c>
      <c r="E100" s="854">
        <f t="shared" si="2"/>
        <v>664561.73853222397</v>
      </c>
      <c r="F100" s="854"/>
      <c r="H100" s="135"/>
      <c r="I100" s="135"/>
    </row>
    <row r="101" spans="1:14" ht="15">
      <c r="A101" s="135"/>
      <c r="B101" s="187" t="s">
        <v>555</v>
      </c>
      <c r="C101" s="854">
        <f>+C138*'Parametros Generales'!$C$30</f>
        <v>30065.402854901738</v>
      </c>
      <c r="D101" s="856">
        <f>+D138*'Parametros Generales'!$C$30</f>
        <v>45099.886745665623</v>
      </c>
      <c r="E101" s="854">
        <f t="shared" si="2"/>
        <v>37582.644800283684</v>
      </c>
      <c r="F101" s="854"/>
      <c r="H101" s="135"/>
      <c r="I101" s="135"/>
    </row>
    <row r="102" spans="1:14" ht="15">
      <c r="A102" s="135"/>
      <c r="B102" s="187" t="s">
        <v>917</v>
      </c>
      <c r="C102" s="854">
        <f>+C139*'Parametros Generales'!$C$30</f>
        <v>57638.921998221769</v>
      </c>
      <c r="D102" s="856">
        <f>+D139*'Parametros Generales'!$C$30</f>
        <v>106625.76707511477</v>
      </c>
      <c r="E102" s="854">
        <f t="shared" si="2"/>
        <v>82132.344536668272</v>
      </c>
      <c r="F102" s="854"/>
      <c r="H102" s="135"/>
      <c r="I102" s="135"/>
    </row>
    <row r="103" spans="1:14" ht="15">
      <c r="A103" s="135"/>
      <c r="B103" s="187" t="s">
        <v>1178</v>
      </c>
      <c r="C103" s="854">
        <f>+C140*'Parametros Generales'!$C$30</f>
        <v>375828.8246205874</v>
      </c>
      <c r="D103" s="856">
        <f>+D140*'Parametros Generales'!$C$30</f>
        <v>1127484.0972440119</v>
      </c>
      <c r="E103" s="854">
        <f t="shared" si="2"/>
        <v>751656.46093229973</v>
      </c>
      <c r="F103" s="854"/>
      <c r="H103" s="135"/>
      <c r="I103" s="135"/>
    </row>
    <row r="104" spans="1:14" ht="15">
      <c r="A104" s="135"/>
      <c r="B104" s="187" t="s">
        <v>1020</v>
      </c>
      <c r="C104" s="854">
        <f>+C141*'Parametros Generales'!$C$30</f>
        <v>54015.768237319222</v>
      </c>
      <c r="D104" s="856">
        <f>+D141*'Parametros Generales'!$C$30</f>
        <v>111985.04010288467</v>
      </c>
      <c r="E104" s="854">
        <f t="shared" si="2"/>
        <v>83000.404170101945</v>
      </c>
      <c r="F104" s="854"/>
      <c r="H104" s="135"/>
      <c r="I104" s="135"/>
    </row>
    <row r="105" spans="1:14" ht="15">
      <c r="A105" s="135"/>
      <c r="B105" s="187" t="s">
        <v>1186</v>
      </c>
      <c r="C105" s="854">
        <f>+C142*'Parametros Generales'!$C$30</f>
        <v>375828.8246205874</v>
      </c>
      <c r="D105" s="856">
        <f>+D142*'Parametros Generales'!$C$30</f>
        <v>1127484.0972440119</v>
      </c>
      <c r="E105" s="854">
        <f t="shared" si="2"/>
        <v>751656.46093229973</v>
      </c>
      <c r="F105" s="854"/>
      <c r="H105" s="135"/>
      <c r="I105" s="135"/>
    </row>
    <row r="106" spans="1:14" ht="15">
      <c r="A106" s="135"/>
      <c r="B106" s="187" t="s">
        <v>1003</v>
      </c>
      <c r="C106" s="854">
        <f>+C143*'Parametros Generales'!$C$30</f>
        <v>14228.810473285381</v>
      </c>
      <c r="D106" s="856">
        <f>+D143*'Parametros Generales'!$C$30</f>
        <v>21079.411139603257</v>
      </c>
      <c r="E106" s="854">
        <f t="shared" si="2"/>
        <v>17654.110806444318</v>
      </c>
      <c r="F106" s="854"/>
      <c r="H106" s="135"/>
      <c r="I106" s="135"/>
    </row>
    <row r="107" spans="1:14" ht="15">
      <c r="A107" s="135"/>
      <c r="B107" s="187" t="s">
        <v>1024</v>
      </c>
      <c r="C107" s="854">
        <f>+C144*'Parametros Generales'!$C$30</f>
        <v>30065.402854901738</v>
      </c>
      <c r="D107" s="856">
        <f>+D144*'Parametros Generales'!$C$30</f>
        <v>45099.886745665623</v>
      </c>
      <c r="E107" s="854">
        <f t="shared" si="2"/>
        <v>37582.644800283684</v>
      </c>
      <c r="F107" s="854"/>
      <c r="H107" s="135"/>
      <c r="I107" s="135"/>
    </row>
    <row r="108" spans="1:14" ht="15">
      <c r="A108" s="135"/>
      <c r="B108" s="187" t="s">
        <v>1027</v>
      </c>
      <c r="C108" s="854">
        <f>+C145*'Parametros Generales'!$C$30</f>
        <v>34868.547329013949</v>
      </c>
      <c r="D108" s="856">
        <f>+D145*'Parametros Generales'!$C$30</f>
        <v>96614.26480040043</v>
      </c>
      <c r="E108" s="854">
        <f t="shared" si="2"/>
        <v>65741.406064707189</v>
      </c>
      <c r="F108" s="854"/>
      <c r="H108" s="135"/>
      <c r="I108" s="135"/>
    </row>
    <row r="109" spans="1:14" ht="15">
      <c r="A109" s="135"/>
      <c r="B109" s="187" t="s">
        <v>1052</v>
      </c>
      <c r="C109" s="854">
        <f>+C146*'Parametros Generales'!$C$30</f>
        <v>38030.637246285733</v>
      </c>
      <c r="D109" s="856">
        <f>+D146*'Parametros Generales'!$C$30</f>
        <v>106626.95538399009</v>
      </c>
      <c r="E109" s="854">
        <f t="shared" si="2"/>
        <v>72328.796315137908</v>
      </c>
      <c r="F109" s="854"/>
      <c r="H109" s="135"/>
      <c r="I109" s="135"/>
    </row>
    <row r="110" spans="1:14" ht="15">
      <c r="A110" s="135"/>
      <c r="B110" s="187" t="s">
        <v>120</v>
      </c>
      <c r="C110" s="854">
        <f>+C147*'Parametros Generales'!$C$30</f>
        <v>73499.280557344871</v>
      </c>
      <c r="D110" s="856">
        <f>+D147*'Parametros Generales'!$C$30</f>
        <v>149940.81389002418</v>
      </c>
      <c r="E110" s="854">
        <f t="shared" si="2"/>
        <v>111720.04722368452</v>
      </c>
      <c r="F110" s="854"/>
      <c r="H110" s="135"/>
      <c r="I110" s="135"/>
    </row>
    <row r="111" spans="1:14" ht="15">
      <c r="A111" s="135"/>
      <c r="B111" s="187" t="s">
        <v>1172</v>
      </c>
      <c r="C111" s="854">
        <f>+C148*'Parametros Generales'!$C$30</f>
        <v>148215.38940303479</v>
      </c>
      <c r="D111" s="856">
        <f>+D148*'Parametros Generales'!$C$30</f>
        <v>155856.21547145184</v>
      </c>
      <c r="E111" s="854">
        <f t="shared" si="2"/>
        <v>152035.80243724331</v>
      </c>
      <c r="F111" s="854"/>
      <c r="H111" s="135"/>
      <c r="I111" s="135"/>
    </row>
    <row r="112" spans="1:14" ht="15">
      <c r="A112" s="135"/>
      <c r="B112" s="187" t="s">
        <v>1073</v>
      </c>
      <c r="C112" s="854">
        <f>+C149*'Parametros Generales'!$C$30</f>
        <v>30065.402854901738</v>
      </c>
      <c r="D112" s="856">
        <f>+D149*'Parametros Generales'!$C$30</f>
        <v>127352.25047874294</v>
      </c>
      <c r="E112" s="854">
        <f t="shared" si="2"/>
        <v>78708.826666822337</v>
      </c>
      <c r="F112" s="854"/>
      <c r="H112" s="135"/>
      <c r="I112" s="135"/>
    </row>
    <row r="113" spans="1:14" ht="15">
      <c r="A113" s="135"/>
      <c r="B113" s="187" t="s">
        <v>1074</v>
      </c>
      <c r="C113" s="854">
        <f>+C150*'Parametros Generales'!$C$30</f>
        <v>43344.754536792861</v>
      </c>
      <c r="D113" s="856">
        <f>+D150*'Parametros Generales'!$C$30</f>
        <v>52699.122003445802</v>
      </c>
      <c r="E113" s="854">
        <f t="shared" si="2"/>
        <v>48021.938270119332</v>
      </c>
      <c r="F113" s="854"/>
      <c r="H113" s="135"/>
      <c r="I113" s="135"/>
    </row>
    <row r="114" spans="1:14" ht="15">
      <c r="A114" s="135"/>
      <c r="B114" s="187" t="s">
        <v>1126</v>
      </c>
      <c r="C114" s="854">
        <f>+C151*'Parametros Generales'!$C$30</f>
        <v>342541.91640464705</v>
      </c>
      <c r="D114" s="856">
        <f>+D151*'Parametros Generales'!$C$30</f>
        <v>0</v>
      </c>
      <c r="E114" s="854">
        <f t="shared" si="2"/>
        <v>171270.95820232353</v>
      </c>
      <c r="F114" s="854"/>
      <c r="H114" s="135"/>
      <c r="I114" s="135"/>
    </row>
    <row r="115" spans="1:14" ht="15">
      <c r="A115" s="135"/>
      <c r="B115" s="187" t="s">
        <v>1080</v>
      </c>
      <c r="C115" s="854">
        <f>+C152*'Parametros Generales'!$C$30</f>
        <v>30065.402854901738</v>
      </c>
      <c r="D115" s="856">
        <f>+D152*'Parametros Generales'!$C$30</f>
        <v>45099.886745665623</v>
      </c>
      <c r="E115" s="854">
        <f t="shared" si="2"/>
        <v>37582.644800283684</v>
      </c>
      <c r="F115" s="854"/>
      <c r="H115" s="135"/>
      <c r="I115" s="135"/>
    </row>
    <row r="116" spans="1:14" ht="15">
      <c r="A116" s="135"/>
      <c r="B116" s="187" t="s">
        <v>913</v>
      </c>
      <c r="C116" s="854">
        <f>+C153*'Parametros Generales'!$C$30</f>
        <v>30065.402854901738</v>
      </c>
      <c r="D116" s="856">
        <f>+D153*'Parametros Generales'!$C$30</f>
        <v>127352.25047874294</v>
      </c>
      <c r="E116" s="854">
        <f t="shared" si="2"/>
        <v>78708.826666822337</v>
      </c>
      <c r="F116" s="854"/>
      <c r="H116" s="135"/>
      <c r="I116" s="135"/>
    </row>
    <row r="117" spans="1:14" ht="15">
      <c r="A117" s="135"/>
      <c r="B117" s="187" t="s">
        <v>1137</v>
      </c>
      <c r="C117" s="854">
        <f>+C154*'Parametros Generales'!$C$30</f>
        <v>44662.589079541598</v>
      </c>
      <c r="D117" s="856">
        <f>+D154*'Parametros Generales'!$C$30</f>
        <v>77994.653032744798</v>
      </c>
      <c r="E117" s="854">
        <f t="shared" si="2"/>
        <v>61328.621056143194</v>
      </c>
      <c r="F117" s="854"/>
      <c r="H117" s="135"/>
      <c r="I117" s="135"/>
    </row>
    <row r="118" spans="1:14" ht="15">
      <c r="A118" s="135"/>
      <c r="B118" s="187" t="s">
        <v>1263</v>
      </c>
      <c r="C118" s="854">
        <f>+C155*'Parametros Generales'!$C$30</f>
        <v>22549.349218395142</v>
      </c>
      <c r="D118" s="856">
        <f>+D155*'Parametros Generales'!$C$30</f>
        <v>30065.402854901738</v>
      </c>
      <c r="E118" s="854">
        <f t="shared" si="2"/>
        <v>26307.376036648442</v>
      </c>
      <c r="F118" s="854"/>
      <c r="H118" s="135"/>
      <c r="I118" s="135"/>
    </row>
    <row r="119" spans="1:14" ht="15">
      <c r="A119" s="135"/>
      <c r="B119" s="187" t="s">
        <v>1187</v>
      </c>
      <c r="C119" s="854">
        <f>+C156*'Parametros Generales'!$C$30</f>
        <v>632384.71080584836</v>
      </c>
      <c r="D119" s="856">
        <f>+D156*'Parametros Generales'!$C$30</f>
        <v>1260817.1062923258</v>
      </c>
      <c r="E119" s="854">
        <f t="shared" si="2"/>
        <v>946600.90854908712</v>
      </c>
      <c r="F119" s="854"/>
      <c r="H119" s="135"/>
      <c r="I119" s="135"/>
    </row>
    <row r="120" spans="1:14" ht="15.75" thickBot="1">
      <c r="A120" s="135"/>
      <c r="B120" s="188" t="s">
        <v>1193</v>
      </c>
      <c r="C120" s="854">
        <f>+C157*'Parametros Generales'!$C$30</f>
        <v>375828.8246205874</v>
      </c>
      <c r="D120" s="856">
        <f>+D157*'Parametros Generales'!$C$30</f>
        <v>1127484.0972440119</v>
      </c>
      <c r="E120" s="854">
        <f t="shared" si="2"/>
        <v>751656.46093229973</v>
      </c>
      <c r="F120" s="854"/>
      <c r="H120" s="753"/>
      <c r="I120" s="753"/>
      <c r="J120" s="753"/>
      <c r="K120" s="751"/>
      <c r="L120" s="752"/>
      <c r="M120" s="752"/>
      <c r="N120" s="751"/>
    </row>
    <row r="121" spans="1:14" ht="15.75" thickBot="1">
      <c r="A121" s="135"/>
      <c r="B121" s="135"/>
      <c r="C121" s="161"/>
      <c r="D121" s="161"/>
      <c r="E121" s="161"/>
      <c r="F121" s="161"/>
      <c r="G121" s="135"/>
      <c r="H121" s="135"/>
      <c r="I121" s="135"/>
    </row>
    <row r="122" spans="1:14" ht="15">
      <c r="A122" s="135"/>
      <c r="B122" s="1095" t="s">
        <v>1265</v>
      </c>
      <c r="C122" s="1096"/>
      <c r="D122" s="1097"/>
      <c r="E122" s="857"/>
      <c r="F122" s="857"/>
      <c r="G122" s="162"/>
      <c r="H122" s="135"/>
      <c r="I122" s="135"/>
    </row>
    <row r="123" spans="1:14" ht="14.25" customHeight="1" thickBot="1">
      <c r="A123" s="135"/>
      <c r="B123" s="1098"/>
      <c r="C123" s="1099"/>
      <c r="D123" s="1100"/>
      <c r="E123" s="857"/>
      <c r="F123" s="857"/>
      <c r="G123" s="163"/>
      <c r="H123" s="135"/>
      <c r="I123" s="135"/>
    </row>
    <row r="124" spans="1:14" ht="30.75" thickBot="1">
      <c r="A124" s="135"/>
      <c r="B124" s="192" t="s">
        <v>1259</v>
      </c>
      <c r="C124" s="190" t="s">
        <v>1260</v>
      </c>
      <c r="D124" s="191" t="s">
        <v>1261</v>
      </c>
      <c r="E124" s="858"/>
      <c r="F124" s="859"/>
      <c r="H124" s="135"/>
      <c r="I124" s="135"/>
    </row>
    <row r="125" spans="1:14" ht="15">
      <c r="A125" s="135"/>
      <c r="B125" s="166" t="s">
        <v>1174</v>
      </c>
      <c r="C125" s="855">
        <f>+'[11]Transporte y Viaticos'!D88</f>
        <v>364882.35400057031</v>
      </c>
      <c r="D125" s="860">
        <f>+'[11]Transporte y Viaticos'!E88</f>
        <v>1094644.7546058367</v>
      </c>
      <c r="E125" s="858"/>
      <c r="F125" s="165"/>
      <c r="H125" s="766"/>
      <c r="I125" s="135"/>
    </row>
    <row r="126" spans="1:14" ht="15">
      <c r="A126" s="135"/>
      <c r="B126" s="167" t="s">
        <v>750</v>
      </c>
      <c r="C126" s="855">
        <f>+'[11]Transporte y Viaticos'!D89</f>
        <v>21892.572056694313</v>
      </c>
      <c r="D126" s="860">
        <f>+'[11]Transporte y Viaticos'!E89</f>
        <v>74660.408309280945</v>
      </c>
      <c r="E126" s="858"/>
      <c r="F126" s="165"/>
      <c r="H126" s="766"/>
      <c r="I126" s="135"/>
    </row>
    <row r="127" spans="1:14" ht="15">
      <c r="A127" s="135"/>
      <c r="B127" s="167" t="s">
        <v>1160</v>
      </c>
      <c r="C127" s="855">
        <f>+'[11]Transporte y Viaticos'!D90</f>
        <v>364882.35400057031</v>
      </c>
      <c r="D127" s="860">
        <f>+'[11]Transporte y Viaticos'!E90</f>
        <v>1094644.7546058367</v>
      </c>
      <c r="E127" s="858"/>
      <c r="F127" s="165"/>
      <c r="H127" s="766"/>
      <c r="I127" s="135"/>
    </row>
    <row r="128" spans="1:14" ht="15">
      <c r="A128" s="135"/>
      <c r="B128" s="167" t="s">
        <v>794</v>
      </c>
      <c r="C128" s="855">
        <f>+'[11]Transporte y Viaticos'!D91</f>
        <v>29189.711509613338</v>
      </c>
      <c r="D128" s="860">
        <f>+'[11]Transporte y Viaticos'!E91</f>
        <v>43785.144113388626</v>
      </c>
      <c r="E128" s="858"/>
      <c r="F128" s="165"/>
      <c r="H128" s="766"/>
      <c r="I128" s="135"/>
    </row>
    <row r="129" spans="1:9" ht="15">
      <c r="A129" s="135"/>
      <c r="B129" s="167" t="s">
        <v>1262</v>
      </c>
      <c r="C129" s="855">
        <f>+'[11]Transporte y Viaticos'!D92</f>
        <v>21892.572056694313</v>
      </c>
      <c r="D129" s="860">
        <f>+'[11]Transporte y Viaticos'!E92</f>
        <v>0</v>
      </c>
      <c r="E129" s="858"/>
      <c r="F129" s="165"/>
      <c r="H129" s="767"/>
      <c r="I129" s="135"/>
    </row>
    <row r="130" spans="1:9" ht="15">
      <c r="A130" s="135"/>
      <c r="B130" s="167" t="s">
        <v>654</v>
      </c>
      <c r="C130" s="855">
        <f>+'[11]Transporte y Viaticos'!D93</f>
        <v>29189.711509613338</v>
      </c>
      <c r="D130" s="860">
        <f>+'[11]Transporte y Viaticos'!E93</f>
        <v>43786.297811325843</v>
      </c>
      <c r="E130" s="858"/>
      <c r="F130" s="165"/>
      <c r="H130" s="766"/>
      <c r="I130" s="135"/>
    </row>
    <row r="131" spans="1:9" ht="15">
      <c r="A131" s="135"/>
      <c r="B131" s="167" t="s">
        <v>811</v>
      </c>
      <c r="C131" s="855">
        <f>+'[11]Transporte y Viaticos'!D94</f>
        <v>58358.656456356715</v>
      </c>
      <c r="D131" s="860">
        <f>+'[11]Transporte y Viaticos'!E94</f>
        <v>79217.515161301533</v>
      </c>
      <c r="E131" s="858"/>
      <c r="F131" s="165"/>
      <c r="H131" s="766"/>
      <c r="I131" s="135"/>
    </row>
    <row r="132" spans="1:9" ht="15">
      <c r="A132" s="135"/>
      <c r="B132" s="167" t="s">
        <v>820</v>
      </c>
      <c r="C132" s="855">
        <f>+'[11]Transporte y Viaticos'!D95</f>
        <v>20039.733169518346</v>
      </c>
      <c r="D132" s="860">
        <f>+'[11]Transporte y Viaticos'!E95</f>
        <v>50651.954235724435</v>
      </c>
      <c r="E132" s="858"/>
      <c r="F132" s="165"/>
      <c r="H132" s="766"/>
      <c r="I132" s="135"/>
    </row>
    <row r="133" spans="1:9" ht="15">
      <c r="A133" s="135"/>
      <c r="B133" s="167" t="s">
        <v>901</v>
      </c>
      <c r="C133" s="855">
        <f>+'[11]Transporte y Viaticos'!D96</f>
        <v>55768.604587296926</v>
      </c>
      <c r="D133" s="860">
        <f>+'[11]Transporte y Viaticos'!E96</f>
        <v>163372.8574939064</v>
      </c>
      <c r="E133" s="858"/>
      <c r="F133" s="165"/>
      <c r="H133" s="766"/>
      <c r="I133" s="135"/>
    </row>
    <row r="134" spans="1:9" ht="15">
      <c r="A134" s="135"/>
      <c r="B134" s="167" t="s">
        <v>1163</v>
      </c>
      <c r="C134" s="855">
        <f>+'[11]Transporte y Viaticos'!D97</f>
        <v>200818.43144226892</v>
      </c>
      <c r="D134" s="860">
        <f>+'[11]Transporte y Viaticos'!E97</f>
        <v>511638.50010469137</v>
      </c>
      <c r="E134" s="858"/>
      <c r="F134" s="165"/>
      <c r="H134" s="766"/>
      <c r="I134" s="135"/>
    </row>
    <row r="135" spans="1:9" ht="15">
      <c r="A135" s="135"/>
      <c r="B135" s="167" t="s">
        <v>905</v>
      </c>
      <c r="C135" s="855">
        <f>+'[11]Transporte y Viaticos'!D98</f>
        <v>117996.76392509085</v>
      </c>
      <c r="D135" s="860">
        <f>+'[11]Transporte y Viaticos'!E98</f>
        <v>125351.5882748709</v>
      </c>
      <c r="E135" s="858"/>
      <c r="F135" s="165"/>
      <c r="H135" s="766"/>
      <c r="I135" s="135"/>
    </row>
    <row r="136" spans="1:9" ht="15">
      <c r="A136" s="135"/>
      <c r="B136" s="167" t="s">
        <v>914</v>
      </c>
      <c r="C136" s="855">
        <f>+'[11]Transporte y Viaticos'!D99</f>
        <v>29189.711509613338</v>
      </c>
      <c r="D136" s="860">
        <f>+'[11]Transporte y Viaticos'!E99</f>
        <v>123642.9616298475</v>
      </c>
      <c r="E136" s="858"/>
      <c r="F136" s="165"/>
      <c r="H136" s="766"/>
      <c r="I136" s="135"/>
    </row>
    <row r="137" spans="1:9" ht="15">
      <c r="A137" s="135"/>
      <c r="B137" s="167" t="s">
        <v>987</v>
      </c>
      <c r="C137" s="855">
        <f>+'[11]Transporte y Viaticos'!D100</f>
        <v>227039.67815941415</v>
      </c>
      <c r="D137" s="860">
        <f>+'[11]Transporte y Viaticos'!E100</f>
        <v>1063371.4646216033</v>
      </c>
      <c r="E137" s="858"/>
      <c r="F137" s="165"/>
      <c r="H137" s="766"/>
      <c r="I137" s="135"/>
    </row>
    <row r="138" spans="1:9" ht="15">
      <c r="A138" s="135"/>
      <c r="B138" s="167" t="s">
        <v>555</v>
      </c>
      <c r="C138" s="855">
        <f>+'[11]Transporte y Viaticos'!D101</f>
        <v>29189.711509613338</v>
      </c>
      <c r="D138" s="860">
        <f>+'[11]Transporte y Viaticos'!E101</f>
        <v>43786.297811325843</v>
      </c>
      <c r="E138" s="858"/>
      <c r="F138" s="165"/>
      <c r="H138" s="766"/>
      <c r="I138" s="135"/>
    </row>
    <row r="139" spans="1:9" ht="15">
      <c r="A139" s="135"/>
      <c r="B139" s="167" t="s">
        <v>917</v>
      </c>
      <c r="C139" s="855">
        <f>+'[11]Transporte y Viaticos'!D102</f>
        <v>55960.118444875501</v>
      </c>
      <c r="D139" s="860">
        <f>+'[11]Transporte y Viaticos'!E102</f>
        <v>103520.16220884929</v>
      </c>
      <c r="E139" s="858"/>
      <c r="F139" s="165"/>
      <c r="H139" s="766"/>
      <c r="I139" s="135"/>
    </row>
    <row r="140" spans="1:9" ht="15">
      <c r="A140" s="135"/>
      <c r="B140" s="167" t="s">
        <v>1178</v>
      </c>
      <c r="C140" s="855">
        <f>+'[11]Transporte y Viaticos'!D103</f>
        <v>364882.35400057031</v>
      </c>
      <c r="D140" s="860">
        <f>+'[11]Transporte y Viaticos'!E103</f>
        <v>1094644.7546058367</v>
      </c>
      <c r="E140" s="858"/>
      <c r="F140" s="165"/>
      <c r="H140" s="766"/>
      <c r="I140" s="135"/>
    </row>
    <row r="141" spans="1:9" ht="15">
      <c r="A141" s="135"/>
      <c r="B141" s="167" t="s">
        <v>1020</v>
      </c>
      <c r="C141" s="855">
        <f>+'[11]Transporte y Viaticos'!D104</f>
        <v>52442.493434290504</v>
      </c>
      <c r="D141" s="860">
        <f>+'[11]Transporte y Viaticos'!E104</f>
        <v>108723.33990571326</v>
      </c>
      <c r="E141" s="858"/>
      <c r="F141" s="165"/>
      <c r="H141" s="766"/>
      <c r="I141" s="135"/>
    </row>
    <row r="142" spans="1:9" ht="15">
      <c r="A142" s="135"/>
      <c r="B142" s="167" t="s">
        <v>1186</v>
      </c>
      <c r="C142" s="855">
        <f>+'[11]Transporte y Viaticos'!D105</f>
        <v>364882.35400057031</v>
      </c>
      <c r="D142" s="860">
        <f>+'[11]Transporte y Viaticos'!E105</f>
        <v>1094644.7546058367</v>
      </c>
      <c r="E142" s="858"/>
      <c r="F142" s="165"/>
      <c r="H142" s="766"/>
      <c r="I142" s="135"/>
    </row>
    <row r="143" spans="1:9" ht="15">
      <c r="A143" s="135"/>
      <c r="B143" s="167" t="s">
        <v>1003</v>
      </c>
      <c r="C143" s="855">
        <f>+'[11]Transporte y Viaticos'!D106</f>
        <v>13814.379100277069</v>
      </c>
      <c r="D143" s="860">
        <f>+'[11]Transporte y Viaticos'!E106</f>
        <v>20465.447708352676</v>
      </c>
      <c r="E143" s="858"/>
      <c r="F143" s="165"/>
      <c r="H143" s="766"/>
      <c r="I143" s="135"/>
    </row>
    <row r="144" spans="1:9" ht="15">
      <c r="A144" s="135"/>
      <c r="B144" s="167" t="s">
        <v>1024</v>
      </c>
      <c r="C144" s="855">
        <f>+'[11]Transporte y Viaticos'!D107</f>
        <v>29189.711509613338</v>
      </c>
      <c r="D144" s="860">
        <f>+'[11]Transporte y Viaticos'!E107</f>
        <v>43786.297811325843</v>
      </c>
      <c r="E144" s="858"/>
      <c r="F144" s="165"/>
      <c r="H144" s="766"/>
      <c r="I144" s="135"/>
    </row>
    <row r="145" spans="1:9" ht="15">
      <c r="A145" s="135"/>
      <c r="B145" s="167" t="s">
        <v>1027</v>
      </c>
      <c r="C145" s="855">
        <f>+'[11]Transporte y Viaticos'!D108</f>
        <v>33852.958571858202</v>
      </c>
      <c r="D145" s="860">
        <f>+'[11]Transporte y Viaticos'!E108</f>
        <v>93800.257087767401</v>
      </c>
      <c r="E145" s="858"/>
      <c r="F145" s="165"/>
      <c r="H145" s="766"/>
      <c r="I145" s="135"/>
    </row>
    <row r="146" spans="1:9" ht="15">
      <c r="A146" s="135"/>
      <c r="B146" s="167" t="s">
        <v>1052</v>
      </c>
      <c r="C146" s="855">
        <f>+'[11]Transporte y Viaticos'!D109</f>
        <v>36922.948782801679</v>
      </c>
      <c r="D146" s="860">
        <f>+'[11]Transporte y Viaticos'!E109</f>
        <v>103521.31590678649</v>
      </c>
      <c r="E146" s="858"/>
      <c r="F146" s="165"/>
      <c r="H146" s="766"/>
      <c r="I146" s="135"/>
    </row>
    <row r="147" spans="1:9" ht="15">
      <c r="A147" s="135"/>
      <c r="B147" s="167" t="s">
        <v>120</v>
      </c>
      <c r="C147" s="855">
        <f>+'[11]Transporte y Viaticos'!D110</f>
        <v>71358.524812956181</v>
      </c>
      <c r="D147" s="860">
        <f>+'[11]Transporte y Viaticos'!E110</f>
        <v>145573.60571847006</v>
      </c>
      <c r="E147" s="858"/>
      <c r="F147" s="165"/>
      <c r="H147" s="766"/>
      <c r="I147" s="135"/>
    </row>
    <row r="148" spans="1:9" ht="15">
      <c r="A148" s="135"/>
      <c r="B148" s="167" t="s">
        <v>1172</v>
      </c>
      <c r="C148" s="855">
        <f>+'[11]Transporte y Viaticos'!D111</f>
        <v>143898.43631362601</v>
      </c>
      <c r="D148" s="860">
        <f>+'[11]Transporte y Viaticos'!E111</f>
        <v>151316.71404995324</v>
      </c>
      <c r="E148" s="858"/>
      <c r="F148" s="165"/>
      <c r="H148" s="766"/>
      <c r="I148" s="135"/>
    </row>
    <row r="149" spans="1:9" ht="15">
      <c r="A149" s="135"/>
      <c r="B149" s="167" t="s">
        <v>1073</v>
      </c>
      <c r="C149" s="855">
        <f>+'[11]Transporte y Viaticos'!D112</f>
        <v>29189.711509613338</v>
      </c>
      <c r="D149" s="860">
        <f>+'[11]Transporte y Viaticos'!E112</f>
        <v>123642.9616298475</v>
      </c>
      <c r="E149" s="858"/>
      <c r="F149" s="165"/>
      <c r="H149" s="766"/>
      <c r="I149" s="135"/>
    </row>
    <row r="150" spans="1:9" ht="15">
      <c r="A150" s="135"/>
      <c r="B150" s="167" t="s">
        <v>1074</v>
      </c>
      <c r="C150" s="855">
        <f>+'[11]Transporte y Viaticos'!D113</f>
        <v>42082.285958051318</v>
      </c>
      <c r="D150" s="860">
        <f>+'[11]Transporte y Viaticos'!E113</f>
        <v>51164.19611985029</v>
      </c>
      <c r="E150" s="858"/>
      <c r="F150" s="165"/>
      <c r="H150" s="766"/>
      <c r="I150" s="135"/>
    </row>
    <row r="151" spans="1:9" ht="15">
      <c r="A151" s="135"/>
      <c r="B151" s="167" t="s">
        <v>1126</v>
      </c>
      <c r="C151" s="855">
        <f>+'[11]Transporte y Viaticos'!D114</f>
        <v>332564.96738315246</v>
      </c>
      <c r="D151" s="860">
        <f>+'[11]Transporte y Viaticos'!E114</f>
        <v>0</v>
      </c>
      <c r="E151" s="858"/>
      <c r="F151" s="165"/>
      <c r="H151" s="766"/>
      <c r="I151" s="135"/>
    </row>
    <row r="152" spans="1:9" ht="15">
      <c r="A152" s="135"/>
      <c r="B152" s="167" t="s">
        <v>1080</v>
      </c>
      <c r="C152" s="855">
        <f>+'[11]Transporte y Viaticos'!D115</f>
        <v>29189.711509613338</v>
      </c>
      <c r="D152" s="860">
        <f>+'[11]Transporte y Viaticos'!E115</f>
        <v>43786.297811325843</v>
      </c>
      <c r="E152" s="858"/>
      <c r="F152" s="165"/>
      <c r="H152" s="766"/>
      <c r="I152" s="135"/>
    </row>
    <row r="153" spans="1:9" ht="15">
      <c r="A153" s="135"/>
      <c r="B153" s="167" t="s">
        <v>913</v>
      </c>
      <c r="C153" s="855">
        <f>+'[11]Transporte y Viaticos'!D116</f>
        <v>29189.711509613338</v>
      </c>
      <c r="D153" s="860">
        <f>+'[11]Transporte y Viaticos'!E116</f>
        <v>123642.9616298475</v>
      </c>
      <c r="E153" s="858"/>
      <c r="F153" s="165"/>
      <c r="H153" s="766"/>
      <c r="I153" s="135"/>
    </row>
    <row r="154" spans="1:9" ht="15">
      <c r="A154" s="135"/>
      <c r="B154" s="167" t="s">
        <v>1137</v>
      </c>
      <c r="C154" s="855">
        <f>+'[11]Transporte y Viaticos'!D117</f>
        <v>43361.736970428734</v>
      </c>
      <c r="D154" s="860">
        <f>+'[11]Transporte y Viaticos'!E117</f>
        <v>75722.964109460969</v>
      </c>
      <c r="E154" s="858"/>
      <c r="F154" s="165"/>
      <c r="H154" s="766"/>
    </row>
    <row r="155" spans="1:9" ht="15">
      <c r="A155" s="135"/>
      <c r="B155" s="167" t="s">
        <v>1264</v>
      </c>
      <c r="C155" s="855">
        <f>+'[11]Transporte y Viaticos'!D118</f>
        <v>21892.572056694313</v>
      </c>
      <c r="D155" s="860">
        <f>+'[11]Transporte y Viaticos'!E118</f>
        <v>29189.711509613338</v>
      </c>
      <c r="E155" s="858"/>
      <c r="F155" s="165"/>
      <c r="H155" s="766"/>
    </row>
    <row r="156" spans="1:9" ht="15">
      <c r="A156" s="135"/>
      <c r="B156" s="167" t="s">
        <v>1187</v>
      </c>
      <c r="C156" s="855">
        <f>+'[11]Transporte y Viaticos'!D119</f>
        <v>613965.73864645464</v>
      </c>
      <c r="D156" s="860">
        <f>+'[11]Transporte y Viaticos'!E119</f>
        <v>1224094.2779537144</v>
      </c>
      <c r="E156" s="858"/>
      <c r="F156" s="165"/>
      <c r="H156" s="766"/>
      <c r="I156" s="135"/>
    </row>
    <row r="157" spans="1:9" ht="15.75" thickBot="1">
      <c r="A157" s="135"/>
      <c r="B157" s="168" t="s">
        <v>1193</v>
      </c>
      <c r="C157" s="861">
        <f>+'[11]Transporte y Viaticos'!D120</f>
        <v>364882.35400057031</v>
      </c>
      <c r="D157" s="862">
        <f>+'[11]Transporte y Viaticos'!E120</f>
        <v>1094644.7546058367</v>
      </c>
      <c r="E157" s="858"/>
      <c r="F157" s="165"/>
      <c r="H157" s="766"/>
      <c r="I157" s="135"/>
    </row>
    <row r="158" spans="1:9" ht="15">
      <c r="A158" s="135"/>
      <c r="B158" s="164"/>
      <c r="C158" s="165"/>
      <c r="D158" s="165"/>
      <c r="E158" s="165"/>
      <c r="F158" s="165"/>
      <c r="G158" s="768"/>
      <c r="H158" s="766"/>
    </row>
    <row r="159" spans="1:9" ht="15">
      <c r="B159"/>
    </row>
    <row r="160" spans="1:9" ht="15">
      <c r="B160"/>
    </row>
    <row r="161" spans="2:2" ht="15">
      <c r="B161"/>
    </row>
    <row r="162" spans="2:2" ht="15">
      <c r="B162"/>
    </row>
    <row r="163" spans="2:2" ht="15">
      <c r="B163"/>
    </row>
    <row r="164" spans="2:2" ht="15">
      <c r="B164"/>
    </row>
    <row r="165" spans="2:2" ht="15">
      <c r="B165"/>
    </row>
    <row r="166" spans="2:2" ht="15">
      <c r="B166"/>
    </row>
    <row r="167" spans="2:2" ht="15">
      <c r="B167"/>
    </row>
    <row r="168" spans="2:2" ht="15">
      <c r="B168"/>
    </row>
    <row r="169" spans="2:2" ht="15">
      <c r="B169"/>
    </row>
    <row r="170" spans="2:2" ht="15">
      <c r="B170"/>
    </row>
    <row r="171" spans="2:2" ht="15">
      <c r="B171"/>
    </row>
    <row r="172" spans="2:2" ht="15">
      <c r="B172"/>
    </row>
    <row r="173" spans="2:2" ht="15">
      <c r="B173"/>
    </row>
    <row r="174" spans="2:2" ht="15">
      <c r="B174"/>
    </row>
    <row r="175" spans="2:2" ht="15">
      <c r="B175"/>
    </row>
    <row r="176" spans="2:2" ht="15">
      <c r="B176"/>
    </row>
    <row r="177" spans="2:2" ht="15">
      <c r="B177"/>
    </row>
    <row r="178" spans="2:2" ht="15">
      <c r="B178"/>
    </row>
    <row r="179" spans="2:2" ht="15">
      <c r="B179"/>
    </row>
    <row r="180" spans="2:2" ht="15">
      <c r="B180"/>
    </row>
    <row r="181" spans="2:2" ht="15">
      <c r="B181"/>
    </row>
    <row r="182" spans="2:2" ht="15">
      <c r="B182"/>
    </row>
    <row r="183" spans="2:2" ht="15">
      <c r="B183"/>
    </row>
    <row r="184" spans="2:2" ht="15">
      <c r="B184"/>
    </row>
    <row r="185" spans="2:2" ht="15">
      <c r="B185"/>
    </row>
    <row r="186" spans="2:2" ht="15">
      <c r="B186"/>
    </row>
    <row r="187" spans="2:2" ht="15">
      <c r="B187"/>
    </row>
    <row r="188" spans="2:2" ht="15">
      <c r="B188"/>
    </row>
    <row r="189" spans="2:2" ht="15">
      <c r="B189"/>
    </row>
    <row r="190" spans="2:2" ht="15">
      <c r="B190"/>
    </row>
    <row r="191" spans="2:2" ht="15">
      <c r="B191"/>
    </row>
    <row r="192" spans="2:2" ht="15">
      <c r="B192"/>
    </row>
    <row r="193" spans="2:2" ht="15">
      <c r="B193"/>
    </row>
    <row r="194" spans="2:2" ht="15">
      <c r="B194"/>
    </row>
    <row r="195" spans="2:2" ht="15">
      <c r="B195"/>
    </row>
    <row r="196" spans="2:2" ht="15">
      <c r="B196"/>
    </row>
    <row r="197" spans="2:2" ht="15">
      <c r="B197"/>
    </row>
    <row r="198" spans="2:2" ht="15">
      <c r="B198"/>
    </row>
    <row r="199" spans="2:2" ht="15">
      <c r="B199"/>
    </row>
    <row r="200" spans="2:2" ht="15">
      <c r="B200"/>
    </row>
    <row r="201" spans="2:2" ht="15">
      <c r="B201"/>
    </row>
    <row r="202" spans="2:2" ht="15">
      <c r="B202"/>
    </row>
    <row r="203" spans="2:2" ht="15">
      <c r="B203"/>
    </row>
    <row r="204" spans="2:2" ht="15">
      <c r="B204"/>
    </row>
    <row r="205" spans="2:2" ht="15">
      <c r="B205"/>
    </row>
    <row r="206" spans="2:2" ht="15">
      <c r="B206"/>
    </row>
    <row r="207" spans="2:2" ht="15">
      <c r="B207"/>
    </row>
    <row r="208" spans="2:2" ht="15">
      <c r="B208"/>
    </row>
    <row r="209" spans="2:2" ht="15">
      <c r="B209"/>
    </row>
    <row r="210" spans="2:2" ht="15">
      <c r="B210"/>
    </row>
    <row r="211" spans="2:2" ht="15">
      <c r="B211"/>
    </row>
    <row r="212" spans="2:2" ht="15">
      <c r="B212"/>
    </row>
    <row r="213" spans="2:2" ht="15">
      <c r="B213"/>
    </row>
    <row r="214" spans="2:2" ht="15">
      <c r="B214"/>
    </row>
    <row r="215" spans="2:2" ht="15">
      <c r="B215"/>
    </row>
    <row r="216" spans="2:2" ht="15">
      <c r="B216"/>
    </row>
    <row r="217" spans="2:2" ht="15">
      <c r="B217"/>
    </row>
    <row r="218" spans="2:2" ht="15">
      <c r="B218"/>
    </row>
    <row r="219" spans="2:2" ht="15">
      <c r="B219"/>
    </row>
    <row r="220" spans="2:2" ht="15">
      <c r="B220"/>
    </row>
    <row r="221" spans="2:2" ht="15">
      <c r="B221"/>
    </row>
    <row r="222" spans="2:2" ht="15">
      <c r="B222"/>
    </row>
    <row r="223" spans="2:2" ht="15">
      <c r="B223"/>
    </row>
    <row r="224" spans="2:2" ht="15">
      <c r="B224"/>
    </row>
    <row r="225" spans="2:2" ht="15">
      <c r="B225"/>
    </row>
    <row r="226" spans="2:2" ht="15">
      <c r="B226"/>
    </row>
    <row r="227" spans="2:2" ht="15">
      <c r="B227"/>
    </row>
    <row r="228" spans="2:2" ht="15">
      <c r="B228"/>
    </row>
    <row r="229" spans="2:2" ht="15">
      <c r="B229"/>
    </row>
    <row r="230" spans="2:2" ht="15">
      <c r="B230"/>
    </row>
    <row r="231" spans="2:2" ht="15">
      <c r="B231"/>
    </row>
    <row r="232" spans="2:2" ht="15">
      <c r="B232"/>
    </row>
    <row r="233" spans="2:2" ht="15">
      <c r="B233"/>
    </row>
    <row r="234" spans="2:2" ht="15">
      <c r="B234"/>
    </row>
    <row r="235" spans="2:2" ht="15">
      <c r="B235"/>
    </row>
    <row r="236" spans="2:2" ht="15">
      <c r="B236"/>
    </row>
    <row r="237" spans="2:2" ht="15">
      <c r="B237"/>
    </row>
    <row r="238" spans="2:2" ht="15">
      <c r="B238"/>
    </row>
    <row r="239" spans="2:2" ht="15">
      <c r="B239"/>
    </row>
    <row r="240" spans="2:2" ht="15">
      <c r="B240"/>
    </row>
    <row r="241" spans="2:2" ht="15">
      <c r="B241"/>
    </row>
    <row r="242" spans="2:2" ht="15">
      <c r="B242"/>
    </row>
    <row r="243" spans="2:2" ht="15">
      <c r="B243"/>
    </row>
    <row r="244" spans="2:2" ht="15">
      <c r="B244"/>
    </row>
    <row r="245" spans="2:2" ht="15">
      <c r="B245"/>
    </row>
    <row r="246" spans="2:2" ht="15">
      <c r="B246"/>
    </row>
    <row r="247" spans="2:2" ht="15">
      <c r="B247"/>
    </row>
    <row r="248" spans="2:2" ht="15">
      <c r="B248"/>
    </row>
    <row r="249" spans="2:2" ht="15">
      <c r="B249"/>
    </row>
    <row r="250" spans="2:2" ht="15">
      <c r="B250"/>
    </row>
    <row r="251" spans="2:2" ht="15">
      <c r="B251"/>
    </row>
    <row r="252" spans="2:2" ht="15">
      <c r="B252"/>
    </row>
    <row r="253" spans="2:2" ht="15">
      <c r="B253"/>
    </row>
    <row r="254" spans="2:2" ht="15">
      <c r="B254"/>
    </row>
    <row r="255" spans="2:2" ht="15">
      <c r="B255"/>
    </row>
    <row r="256" spans="2:2" ht="15">
      <c r="B256"/>
    </row>
    <row r="257" spans="2:2" ht="15">
      <c r="B257"/>
    </row>
    <row r="258" spans="2:2" ht="15">
      <c r="B258"/>
    </row>
    <row r="259" spans="2:2" ht="15">
      <c r="B259"/>
    </row>
    <row r="260" spans="2:2" ht="15">
      <c r="B260"/>
    </row>
    <row r="261" spans="2:2" ht="15">
      <c r="B261"/>
    </row>
    <row r="262" spans="2:2" ht="15">
      <c r="B262"/>
    </row>
    <row r="263" spans="2:2" ht="15">
      <c r="B263"/>
    </row>
    <row r="264" spans="2:2" ht="15">
      <c r="B264"/>
    </row>
    <row r="265" spans="2:2" ht="15">
      <c r="B265"/>
    </row>
    <row r="266" spans="2:2" ht="15">
      <c r="B266"/>
    </row>
    <row r="267" spans="2:2" ht="15">
      <c r="B267"/>
    </row>
    <row r="268" spans="2:2" ht="15">
      <c r="B268"/>
    </row>
    <row r="269" spans="2:2" ht="15">
      <c r="B269"/>
    </row>
    <row r="270" spans="2:2" ht="15">
      <c r="B270"/>
    </row>
    <row r="271" spans="2:2" ht="15">
      <c r="B271"/>
    </row>
    <row r="272" spans="2:2" ht="15">
      <c r="B272"/>
    </row>
    <row r="273" spans="2:2" ht="15">
      <c r="B273"/>
    </row>
    <row r="274" spans="2:2" ht="15">
      <c r="B274"/>
    </row>
    <row r="275" spans="2:2" ht="15">
      <c r="B275"/>
    </row>
    <row r="276" spans="2:2" ht="15">
      <c r="B276"/>
    </row>
    <row r="277" spans="2:2" ht="15">
      <c r="B277"/>
    </row>
    <row r="278" spans="2:2" ht="15">
      <c r="B278"/>
    </row>
    <row r="279" spans="2:2" ht="15">
      <c r="B279"/>
    </row>
    <row r="280" spans="2:2" ht="15">
      <c r="B280"/>
    </row>
    <row r="281" spans="2:2" ht="15">
      <c r="B281"/>
    </row>
    <row r="282" spans="2:2" ht="15">
      <c r="B282"/>
    </row>
    <row r="283" spans="2:2" ht="15">
      <c r="B283"/>
    </row>
    <row r="284" spans="2:2" ht="15">
      <c r="B284"/>
    </row>
    <row r="285" spans="2:2" ht="15">
      <c r="B285"/>
    </row>
    <row r="286" spans="2:2" ht="15">
      <c r="B286"/>
    </row>
    <row r="287" spans="2:2" ht="15">
      <c r="B287"/>
    </row>
    <row r="288" spans="2:2" ht="15">
      <c r="B288"/>
    </row>
    <row r="289" spans="2:2" ht="15">
      <c r="B289"/>
    </row>
    <row r="290" spans="2:2" ht="15">
      <c r="B290"/>
    </row>
    <row r="291" spans="2:2" ht="15">
      <c r="B291"/>
    </row>
    <row r="292" spans="2:2" ht="15">
      <c r="B292"/>
    </row>
    <row r="293" spans="2:2" ht="15">
      <c r="B293"/>
    </row>
    <row r="294" spans="2:2" ht="15">
      <c r="B294"/>
    </row>
    <row r="295" spans="2:2" ht="15">
      <c r="B295"/>
    </row>
    <row r="296" spans="2:2" ht="15">
      <c r="B296"/>
    </row>
    <row r="297" spans="2:2" ht="15">
      <c r="B297"/>
    </row>
    <row r="298" spans="2:2" ht="15">
      <c r="B298"/>
    </row>
    <row r="299" spans="2:2" ht="15">
      <c r="B299"/>
    </row>
    <row r="300" spans="2:2" ht="15">
      <c r="B300"/>
    </row>
    <row r="301" spans="2:2" ht="15">
      <c r="B301"/>
    </row>
    <row r="302" spans="2:2" ht="15">
      <c r="B302"/>
    </row>
    <row r="303" spans="2:2" ht="15">
      <c r="B303"/>
    </row>
    <row r="304" spans="2:2" ht="15">
      <c r="B304"/>
    </row>
    <row r="305" spans="2:2" ht="15">
      <c r="B305"/>
    </row>
    <row r="306" spans="2:2" ht="15">
      <c r="B306"/>
    </row>
    <row r="307" spans="2:2" ht="15">
      <c r="B307"/>
    </row>
    <row r="308" spans="2:2" ht="15">
      <c r="B308"/>
    </row>
    <row r="309" spans="2:2" ht="15">
      <c r="B309"/>
    </row>
    <row r="310" spans="2:2" ht="15">
      <c r="B310"/>
    </row>
    <row r="311" spans="2:2" ht="15">
      <c r="B311"/>
    </row>
    <row r="312" spans="2:2" ht="15">
      <c r="B312"/>
    </row>
    <row r="313" spans="2:2" ht="15">
      <c r="B313"/>
    </row>
    <row r="314" spans="2:2" ht="15">
      <c r="B314"/>
    </row>
    <row r="315" spans="2:2" ht="15">
      <c r="B315"/>
    </row>
    <row r="316" spans="2:2" ht="15">
      <c r="B316"/>
    </row>
    <row r="317" spans="2:2" ht="15">
      <c r="B317"/>
    </row>
    <row r="318" spans="2:2" ht="15">
      <c r="B318"/>
    </row>
    <row r="319" spans="2:2" ht="15">
      <c r="B319"/>
    </row>
    <row r="320" spans="2:2" ht="15">
      <c r="B320"/>
    </row>
    <row r="321" spans="2:2" ht="15">
      <c r="B321"/>
    </row>
    <row r="322" spans="2:2" ht="15">
      <c r="B322"/>
    </row>
    <row r="323" spans="2:2" ht="15">
      <c r="B323"/>
    </row>
    <row r="324" spans="2:2" ht="15">
      <c r="B324"/>
    </row>
    <row r="325" spans="2:2" ht="15">
      <c r="B325"/>
    </row>
    <row r="326" spans="2:2" ht="15">
      <c r="B326"/>
    </row>
    <row r="327" spans="2:2" ht="15">
      <c r="B327"/>
    </row>
    <row r="328" spans="2:2" ht="15">
      <c r="B328"/>
    </row>
    <row r="329" spans="2:2" ht="15">
      <c r="B329"/>
    </row>
    <row r="330" spans="2:2" ht="15">
      <c r="B330"/>
    </row>
    <row r="331" spans="2:2" ht="15">
      <c r="B331"/>
    </row>
    <row r="332" spans="2:2" ht="15">
      <c r="B332"/>
    </row>
    <row r="333" spans="2:2" ht="15">
      <c r="B333"/>
    </row>
    <row r="334" spans="2:2" ht="15">
      <c r="B334"/>
    </row>
    <row r="335" spans="2:2" ht="15">
      <c r="B335"/>
    </row>
    <row r="336" spans="2:2" ht="15">
      <c r="B336"/>
    </row>
    <row r="337" spans="2:2" ht="15">
      <c r="B337"/>
    </row>
    <row r="338" spans="2:2" ht="15">
      <c r="B338"/>
    </row>
    <row r="339" spans="2:2" ht="15">
      <c r="B339"/>
    </row>
    <row r="340" spans="2:2" ht="15">
      <c r="B340"/>
    </row>
    <row r="341" spans="2:2" ht="15">
      <c r="B341"/>
    </row>
    <row r="342" spans="2:2" ht="15">
      <c r="B342"/>
    </row>
    <row r="343" spans="2:2" ht="15">
      <c r="B343"/>
    </row>
    <row r="344" spans="2:2" ht="15">
      <c r="B344"/>
    </row>
    <row r="345" spans="2:2" ht="15">
      <c r="B345"/>
    </row>
    <row r="346" spans="2:2" ht="15">
      <c r="B346"/>
    </row>
    <row r="347" spans="2:2" ht="15">
      <c r="B347"/>
    </row>
    <row r="348" spans="2:2" ht="15">
      <c r="B348"/>
    </row>
    <row r="349" spans="2:2" ht="15">
      <c r="B349"/>
    </row>
    <row r="350" spans="2:2" ht="15">
      <c r="B350"/>
    </row>
    <row r="351" spans="2:2" ht="15">
      <c r="B351"/>
    </row>
    <row r="352" spans="2:2" ht="15">
      <c r="B352"/>
    </row>
    <row r="353" spans="2:2" ht="15">
      <c r="B353"/>
    </row>
    <row r="354" spans="2:2" ht="15">
      <c r="B354"/>
    </row>
    <row r="355" spans="2:2" ht="15">
      <c r="B355"/>
    </row>
    <row r="356" spans="2:2" ht="15">
      <c r="B356"/>
    </row>
    <row r="357" spans="2:2" ht="15">
      <c r="B357"/>
    </row>
    <row r="358" spans="2:2" ht="15">
      <c r="B358"/>
    </row>
    <row r="359" spans="2:2" ht="15">
      <c r="B359"/>
    </row>
    <row r="360" spans="2:2" ht="15">
      <c r="B360"/>
    </row>
    <row r="361" spans="2:2" ht="15">
      <c r="B361"/>
    </row>
    <row r="362" spans="2:2" ht="15">
      <c r="B362"/>
    </row>
    <row r="363" spans="2:2" ht="15">
      <c r="B363"/>
    </row>
    <row r="364" spans="2:2" ht="15">
      <c r="B364"/>
    </row>
    <row r="365" spans="2:2" ht="15">
      <c r="B365"/>
    </row>
    <row r="366" spans="2:2" ht="15">
      <c r="B366"/>
    </row>
    <row r="367" spans="2:2" ht="15">
      <c r="B367"/>
    </row>
    <row r="368" spans="2:2" ht="15">
      <c r="B368"/>
    </row>
    <row r="369" spans="2:2" ht="15">
      <c r="B369"/>
    </row>
    <row r="370" spans="2:2" ht="15">
      <c r="B370"/>
    </row>
    <row r="371" spans="2:2" ht="15">
      <c r="B371"/>
    </row>
    <row r="372" spans="2:2" ht="15">
      <c r="B372"/>
    </row>
    <row r="373" spans="2:2" ht="15">
      <c r="B373"/>
    </row>
    <row r="374" spans="2:2" ht="15">
      <c r="B374"/>
    </row>
    <row r="375" spans="2:2" ht="15">
      <c r="B375"/>
    </row>
    <row r="376" spans="2:2" ht="15">
      <c r="B376"/>
    </row>
    <row r="377" spans="2:2" ht="15">
      <c r="B377"/>
    </row>
    <row r="378" spans="2:2" ht="15">
      <c r="B378"/>
    </row>
    <row r="379" spans="2:2" ht="15">
      <c r="B379"/>
    </row>
    <row r="380" spans="2:2" ht="15">
      <c r="B380"/>
    </row>
    <row r="381" spans="2:2" ht="15">
      <c r="B381"/>
    </row>
    <row r="382" spans="2:2" ht="15">
      <c r="B382"/>
    </row>
    <row r="383" spans="2:2" ht="15">
      <c r="B383"/>
    </row>
    <row r="384" spans="2:2" ht="15">
      <c r="B384"/>
    </row>
    <row r="385" spans="2:2" ht="15">
      <c r="B385"/>
    </row>
    <row r="386" spans="2:2" ht="15">
      <c r="B386"/>
    </row>
    <row r="387" spans="2:2" ht="15">
      <c r="B387"/>
    </row>
    <row r="388" spans="2:2" ht="15">
      <c r="B388"/>
    </row>
    <row r="389" spans="2:2" ht="15">
      <c r="B389"/>
    </row>
    <row r="390" spans="2:2" ht="15">
      <c r="B390"/>
    </row>
    <row r="391" spans="2:2" ht="15">
      <c r="B391"/>
    </row>
    <row r="392" spans="2:2" ht="15">
      <c r="B392"/>
    </row>
    <row r="393" spans="2:2" ht="15">
      <c r="B393"/>
    </row>
    <row r="394" spans="2:2" ht="15">
      <c r="B394"/>
    </row>
    <row r="395" spans="2:2" ht="15">
      <c r="B395"/>
    </row>
    <row r="396" spans="2:2" ht="15">
      <c r="B396"/>
    </row>
    <row r="397" spans="2:2" ht="15">
      <c r="B397"/>
    </row>
    <row r="398" spans="2:2" ht="15">
      <c r="B398"/>
    </row>
    <row r="399" spans="2:2" ht="15">
      <c r="B399"/>
    </row>
    <row r="400" spans="2:2" ht="15">
      <c r="B400"/>
    </row>
    <row r="401" spans="2:2" ht="15">
      <c r="B401"/>
    </row>
    <row r="402" spans="2:2" ht="15">
      <c r="B402"/>
    </row>
    <row r="403" spans="2:2" ht="15">
      <c r="B403"/>
    </row>
    <row r="404" spans="2:2" ht="15">
      <c r="B404"/>
    </row>
    <row r="405" spans="2:2" ht="15">
      <c r="B405"/>
    </row>
    <row r="406" spans="2:2" ht="15">
      <c r="B406"/>
    </row>
    <row r="407" spans="2:2" ht="15">
      <c r="B407"/>
    </row>
    <row r="408" spans="2:2" ht="15">
      <c r="B408"/>
    </row>
    <row r="409" spans="2:2" ht="15">
      <c r="B409"/>
    </row>
    <row r="410" spans="2:2" ht="15">
      <c r="B410"/>
    </row>
    <row r="411" spans="2:2" ht="15">
      <c r="B411"/>
    </row>
    <row r="412" spans="2:2" ht="15">
      <c r="B412"/>
    </row>
    <row r="413" spans="2:2" ht="15">
      <c r="B413"/>
    </row>
    <row r="414" spans="2:2" ht="15">
      <c r="B414"/>
    </row>
    <row r="415" spans="2:2" ht="15">
      <c r="B415"/>
    </row>
    <row r="416" spans="2:2" ht="15">
      <c r="B416"/>
    </row>
    <row r="417" spans="2:2" ht="15">
      <c r="B417"/>
    </row>
    <row r="418" spans="2:2" ht="15">
      <c r="B418"/>
    </row>
    <row r="419" spans="2:2" ht="15">
      <c r="B419"/>
    </row>
    <row r="420" spans="2:2" ht="15">
      <c r="B420"/>
    </row>
    <row r="421" spans="2:2" ht="15">
      <c r="B421"/>
    </row>
    <row r="422" spans="2:2" ht="15">
      <c r="B422"/>
    </row>
    <row r="423" spans="2:2" ht="15">
      <c r="B423"/>
    </row>
    <row r="424" spans="2:2" ht="15">
      <c r="B424"/>
    </row>
    <row r="425" spans="2:2" ht="15">
      <c r="B425"/>
    </row>
    <row r="426" spans="2:2" ht="15">
      <c r="B426"/>
    </row>
    <row r="427" spans="2:2" ht="15">
      <c r="B427"/>
    </row>
    <row r="428" spans="2:2" ht="15">
      <c r="B428"/>
    </row>
    <row r="429" spans="2:2" ht="15">
      <c r="B429"/>
    </row>
    <row r="430" spans="2:2" ht="15">
      <c r="B430"/>
    </row>
    <row r="431" spans="2:2" ht="15">
      <c r="B431"/>
    </row>
    <row r="432" spans="2:2" ht="15">
      <c r="B432"/>
    </row>
    <row r="433" spans="2:2" ht="15">
      <c r="B433"/>
    </row>
    <row r="434" spans="2:2" ht="15">
      <c r="B434"/>
    </row>
    <row r="435" spans="2:2" ht="15">
      <c r="B435"/>
    </row>
    <row r="436" spans="2:2" ht="15">
      <c r="B436"/>
    </row>
    <row r="437" spans="2:2" ht="15">
      <c r="B437"/>
    </row>
    <row r="438" spans="2:2" ht="15">
      <c r="B438"/>
    </row>
    <row r="439" spans="2:2" ht="15">
      <c r="B439"/>
    </row>
    <row r="440" spans="2:2" ht="15">
      <c r="B440"/>
    </row>
    <row r="441" spans="2:2" ht="15">
      <c r="B441"/>
    </row>
    <row r="442" spans="2:2" ht="15">
      <c r="B442"/>
    </row>
    <row r="443" spans="2:2" ht="15">
      <c r="B443"/>
    </row>
    <row r="444" spans="2:2" ht="15">
      <c r="B444"/>
    </row>
    <row r="445" spans="2:2" ht="15">
      <c r="B445"/>
    </row>
    <row r="446" spans="2:2" ht="15">
      <c r="B446"/>
    </row>
    <row r="447" spans="2:2" ht="15">
      <c r="B447"/>
    </row>
    <row r="448" spans="2:2" ht="15">
      <c r="B448"/>
    </row>
    <row r="449" spans="2:2" ht="15">
      <c r="B449"/>
    </row>
    <row r="450" spans="2:2" ht="15">
      <c r="B450"/>
    </row>
    <row r="451" spans="2:2" ht="15">
      <c r="B451"/>
    </row>
    <row r="452" spans="2:2" ht="15">
      <c r="B452"/>
    </row>
    <row r="453" spans="2:2" ht="15">
      <c r="B453"/>
    </row>
    <row r="454" spans="2:2" ht="15">
      <c r="B454"/>
    </row>
    <row r="455" spans="2:2" ht="15">
      <c r="B455"/>
    </row>
    <row r="456" spans="2:2" ht="15">
      <c r="B456"/>
    </row>
    <row r="457" spans="2:2" ht="15">
      <c r="B457"/>
    </row>
    <row r="458" spans="2:2" ht="15">
      <c r="B458"/>
    </row>
    <row r="459" spans="2:2" ht="15">
      <c r="B459"/>
    </row>
    <row r="460" spans="2:2" ht="15">
      <c r="B460"/>
    </row>
    <row r="461" spans="2:2" ht="15">
      <c r="B461"/>
    </row>
    <row r="462" spans="2:2" ht="15">
      <c r="B462"/>
    </row>
    <row r="463" spans="2:2" ht="15">
      <c r="B463"/>
    </row>
    <row r="464" spans="2:2" ht="15">
      <c r="B464"/>
    </row>
    <row r="465" spans="2:2" ht="15">
      <c r="B465"/>
    </row>
    <row r="466" spans="2:2" ht="15">
      <c r="B466"/>
    </row>
    <row r="467" spans="2:2" ht="15">
      <c r="B467"/>
    </row>
    <row r="468" spans="2:2" ht="15">
      <c r="B468"/>
    </row>
    <row r="469" spans="2:2" ht="15">
      <c r="B469"/>
    </row>
    <row r="470" spans="2:2" ht="15">
      <c r="B470"/>
    </row>
    <row r="471" spans="2:2" ht="15">
      <c r="B471"/>
    </row>
    <row r="472" spans="2:2" ht="15">
      <c r="B472"/>
    </row>
    <row r="473" spans="2:2" ht="15">
      <c r="B473"/>
    </row>
    <row r="474" spans="2:2" ht="15">
      <c r="B474"/>
    </row>
    <row r="475" spans="2:2" ht="15">
      <c r="B475"/>
    </row>
    <row r="476" spans="2:2" ht="15">
      <c r="B476"/>
    </row>
    <row r="477" spans="2:2" ht="15">
      <c r="B477"/>
    </row>
    <row r="478" spans="2:2" ht="15">
      <c r="B478"/>
    </row>
    <row r="479" spans="2:2" ht="15">
      <c r="B479"/>
    </row>
    <row r="480" spans="2:2" ht="15">
      <c r="B480"/>
    </row>
    <row r="481" spans="2:2" ht="15">
      <c r="B481"/>
    </row>
    <row r="482" spans="2:2" ht="15">
      <c r="B482"/>
    </row>
    <row r="483" spans="2:2" ht="15">
      <c r="B483"/>
    </row>
    <row r="484" spans="2:2" ht="15">
      <c r="B484"/>
    </row>
    <row r="485" spans="2:2" ht="15">
      <c r="B485"/>
    </row>
    <row r="486" spans="2:2" ht="15">
      <c r="B486"/>
    </row>
    <row r="487" spans="2:2" ht="15">
      <c r="B487"/>
    </row>
    <row r="488" spans="2:2" ht="15">
      <c r="B488"/>
    </row>
    <row r="489" spans="2:2" ht="15">
      <c r="B489"/>
    </row>
    <row r="490" spans="2:2" ht="15">
      <c r="B490"/>
    </row>
    <row r="491" spans="2:2" ht="15">
      <c r="B491"/>
    </row>
    <row r="492" spans="2:2" ht="15">
      <c r="B492"/>
    </row>
    <row r="493" spans="2:2" ht="15">
      <c r="B493"/>
    </row>
    <row r="494" spans="2:2" ht="15">
      <c r="B494"/>
    </row>
    <row r="495" spans="2:2" ht="15">
      <c r="B495"/>
    </row>
    <row r="496" spans="2:2" ht="15">
      <c r="B496"/>
    </row>
    <row r="497" spans="2:2" ht="15">
      <c r="B497"/>
    </row>
    <row r="498" spans="2:2" ht="15">
      <c r="B498"/>
    </row>
    <row r="499" spans="2:2" ht="15">
      <c r="B499"/>
    </row>
    <row r="500" spans="2:2" ht="15">
      <c r="B500"/>
    </row>
    <row r="501" spans="2:2" ht="15">
      <c r="B501"/>
    </row>
    <row r="502" spans="2:2" ht="15">
      <c r="B502"/>
    </row>
    <row r="503" spans="2:2" ht="15">
      <c r="B503"/>
    </row>
    <row r="504" spans="2:2" ht="15">
      <c r="B504"/>
    </row>
    <row r="505" spans="2:2" ht="15">
      <c r="B505"/>
    </row>
    <row r="506" spans="2:2" ht="15">
      <c r="B506"/>
    </row>
    <row r="507" spans="2:2" ht="15">
      <c r="B507"/>
    </row>
    <row r="508" spans="2:2" ht="15">
      <c r="B508"/>
    </row>
    <row r="509" spans="2:2" ht="15">
      <c r="B509"/>
    </row>
    <row r="510" spans="2:2" ht="15">
      <c r="B510"/>
    </row>
    <row r="511" spans="2:2" ht="15">
      <c r="B511"/>
    </row>
    <row r="512" spans="2:2" ht="15">
      <c r="B512"/>
    </row>
    <row r="513" spans="2:2" ht="15">
      <c r="B513"/>
    </row>
    <row r="514" spans="2:2" ht="15">
      <c r="B514"/>
    </row>
    <row r="515" spans="2:2" ht="15">
      <c r="B515"/>
    </row>
    <row r="516" spans="2:2" ht="15">
      <c r="B516"/>
    </row>
    <row r="517" spans="2:2" ht="15">
      <c r="B517"/>
    </row>
    <row r="518" spans="2:2" ht="15">
      <c r="B518"/>
    </row>
    <row r="519" spans="2:2" ht="15">
      <c r="B519"/>
    </row>
    <row r="520" spans="2:2" ht="15">
      <c r="B520"/>
    </row>
    <row r="521" spans="2:2" ht="15">
      <c r="B521"/>
    </row>
    <row r="522" spans="2:2" ht="15">
      <c r="B522"/>
    </row>
    <row r="523" spans="2:2" ht="15">
      <c r="B523"/>
    </row>
    <row r="524" spans="2:2" ht="15">
      <c r="B524"/>
    </row>
    <row r="525" spans="2:2" ht="15">
      <c r="B525"/>
    </row>
    <row r="526" spans="2:2" ht="15">
      <c r="B526"/>
    </row>
    <row r="527" spans="2:2" ht="15">
      <c r="B527"/>
    </row>
    <row r="528" spans="2:2" ht="15">
      <c r="B528"/>
    </row>
    <row r="529" spans="2:2" ht="15">
      <c r="B529"/>
    </row>
    <row r="530" spans="2:2" ht="15">
      <c r="B530"/>
    </row>
    <row r="531" spans="2:2" ht="15">
      <c r="B531"/>
    </row>
    <row r="532" spans="2:2" ht="15">
      <c r="B532"/>
    </row>
    <row r="533" spans="2:2" ht="15">
      <c r="B533"/>
    </row>
    <row r="534" spans="2:2" ht="15">
      <c r="B534"/>
    </row>
    <row r="535" spans="2:2" ht="15">
      <c r="B535"/>
    </row>
    <row r="536" spans="2:2" ht="15">
      <c r="B536"/>
    </row>
    <row r="537" spans="2:2" ht="15">
      <c r="B537"/>
    </row>
    <row r="538" spans="2:2" ht="15">
      <c r="B538"/>
    </row>
    <row r="539" spans="2:2" ht="15">
      <c r="B539"/>
    </row>
    <row r="540" spans="2:2" ht="15">
      <c r="B540"/>
    </row>
    <row r="541" spans="2:2" ht="15">
      <c r="B541"/>
    </row>
    <row r="542" spans="2:2" ht="15">
      <c r="B542"/>
    </row>
    <row r="543" spans="2:2" ht="15">
      <c r="B543"/>
    </row>
    <row r="544" spans="2:2" ht="15">
      <c r="B544"/>
    </row>
    <row r="545" spans="2:2" ht="15">
      <c r="B545"/>
    </row>
    <row r="546" spans="2:2" ht="15">
      <c r="B546"/>
    </row>
    <row r="547" spans="2:2" ht="15">
      <c r="B547"/>
    </row>
    <row r="548" spans="2:2" ht="15">
      <c r="B548"/>
    </row>
    <row r="549" spans="2:2" ht="15">
      <c r="B549"/>
    </row>
    <row r="550" spans="2:2" ht="15">
      <c r="B550"/>
    </row>
    <row r="551" spans="2:2" ht="15">
      <c r="B551"/>
    </row>
    <row r="552" spans="2:2" ht="15">
      <c r="B552"/>
    </row>
    <row r="553" spans="2:2" ht="15">
      <c r="B553"/>
    </row>
    <row r="554" spans="2:2" ht="15">
      <c r="B554"/>
    </row>
    <row r="555" spans="2:2" ht="15">
      <c r="B555"/>
    </row>
    <row r="556" spans="2:2" ht="15">
      <c r="B556"/>
    </row>
    <row r="557" spans="2:2" ht="15">
      <c r="B557"/>
    </row>
    <row r="558" spans="2:2" ht="15">
      <c r="B558"/>
    </row>
    <row r="559" spans="2:2" ht="15">
      <c r="B559"/>
    </row>
    <row r="560" spans="2:2" ht="15">
      <c r="B560"/>
    </row>
    <row r="561" spans="2:2" ht="15">
      <c r="B561"/>
    </row>
    <row r="562" spans="2:2" ht="15">
      <c r="B562"/>
    </row>
    <row r="563" spans="2:2" ht="15">
      <c r="B563"/>
    </row>
    <row r="564" spans="2:2" ht="15">
      <c r="B564"/>
    </row>
    <row r="565" spans="2:2" ht="15">
      <c r="B565"/>
    </row>
    <row r="566" spans="2:2" ht="15">
      <c r="B566"/>
    </row>
    <row r="567" spans="2:2" ht="15">
      <c r="B567"/>
    </row>
    <row r="568" spans="2:2" ht="15">
      <c r="B568"/>
    </row>
    <row r="569" spans="2:2" ht="15">
      <c r="B569"/>
    </row>
    <row r="570" spans="2:2" ht="15">
      <c r="B570"/>
    </row>
    <row r="571" spans="2:2" ht="15">
      <c r="B571"/>
    </row>
    <row r="572" spans="2:2" ht="15">
      <c r="B572"/>
    </row>
    <row r="573" spans="2:2" ht="15">
      <c r="B573"/>
    </row>
    <row r="574" spans="2:2" ht="15">
      <c r="B574"/>
    </row>
    <row r="575" spans="2:2" ht="15">
      <c r="B575"/>
    </row>
    <row r="576" spans="2:2" ht="15">
      <c r="B576"/>
    </row>
    <row r="577" spans="2:2" ht="15">
      <c r="B577"/>
    </row>
    <row r="578" spans="2:2" ht="15">
      <c r="B578"/>
    </row>
    <row r="579" spans="2:2" ht="15">
      <c r="B579"/>
    </row>
    <row r="580" spans="2:2" ht="15">
      <c r="B580"/>
    </row>
    <row r="581" spans="2:2" ht="15">
      <c r="B581"/>
    </row>
    <row r="582" spans="2:2" ht="15">
      <c r="B582"/>
    </row>
    <row r="583" spans="2:2" ht="15">
      <c r="B583"/>
    </row>
    <row r="584" spans="2:2" ht="15">
      <c r="B584"/>
    </row>
    <row r="585" spans="2:2" ht="15">
      <c r="B585"/>
    </row>
    <row r="586" spans="2:2" ht="15">
      <c r="B586"/>
    </row>
    <row r="587" spans="2:2" ht="15">
      <c r="B587"/>
    </row>
    <row r="588" spans="2:2" ht="15">
      <c r="B588"/>
    </row>
    <row r="589" spans="2:2" ht="15">
      <c r="B589"/>
    </row>
    <row r="590" spans="2:2" ht="15">
      <c r="B590"/>
    </row>
    <row r="591" spans="2:2" ht="15">
      <c r="B591"/>
    </row>
    <row r="592" spans="2:2" ht="15">
      <c r="B592"/>
    </row>
    <row r="593" spans="2:2" ht="15">
      <c r="B593"/>
    </row>
    <row r="594" spans="2:2" ht="15">
      <c r="B594"/>
    </row>
    <row r="595" spans="2:2" ht="15">
      <c r="B595"/>
    </row>
    <row r="596" spans="2:2" ht="15">
      <c r="B596"/>
    </row>
    <row r="597" spans="2:2" ht="15">
      <c r="B597"/>
    </row>
    <row r="598" spans="2:2" ht="15">
      <c r="B598"/>
    </row>
    <row r="599" spans="2:2" ht="15">
      <c r="B599"/>
    </row>
    <row r="600" spans="2:2" ht="15">
      <c r="B600"/>
    </row>
    <row r="601" spans="2:2" ht="15">
      <c r="B601"/>
    </row>
    <row r="602" spans="2:2" ht="15">
      <c r="B602"/>
    </row>
    <row r="603" spans="2:2" ht="15">
      <c r="B603"/>
    </row>
    <row r="604" spans="2:2" ht="15">
      <c r="B604"/>
    </row>
    <row r="605" spans="2:2" ht="15">
      <c r="B605"/>
    </row>
    <row r="606" spans="2:2" ht="15">
      <c r="B606"/>
    </row>
    <row r="607" spans="2:2" ht="15">
      <c r="B607"/>
    </row>
    <row r="608" spans="2:2" ht="15">
      <c r="B608"/>
    </row>
    <row r="609" spans="2:2" ht="15">
      <c r="B609"/>
    </row>
    <row r="610" spans="2:2" ht="15">
      <c r="B610"/>
    </row>
    <row r="611" spans="2:2" ht="15">
      <c r="B611"/>
    </row>
    <row r="612" spans="2:2" ht="15">
      <c r="B612"/>
    </row>
    <row r="613" spans="2:2" ht="15">
      <c r="B613"/>
    </row>
    <row r="614" spans="2:2" ht="15">
      <c r="B614"/>
    </row>
    <row r="615" spans="2:2" ht="15">
      <c r="B615"/>
    </row>
    <row r="616" spans="2:2" ht="15">
      <c r="B616"/>
    </row>
    <row r="617" spans="2:2" ht="15">
      <c r="B617"/>
    </row>
    <row r="618" spans="2:2" ht="15">
      <c r="B618"/>
    </row>
    <row r="619" spans="2:2" ht="15">
      <c r="B619"/>
    </row>
    <row r="620" spans="2:2" ht="15">
      <c r="B620"/>
    </row>
    <row r="621" spans="2:2" ht="15">
      <c r="B621"/>
    </row>
    <row r="622" spans="2:2" ht="15">
      <c r="B622"/>
    </row>
    <row r="623" spans="2:2" ht="15">
      <c r="B623"/>
    </row>
    <row r="624" spans="2:2" ht="15">
      <c r="B624"/>
    </row>
    <row r="625" spans="2:2" ht="15">
      <c r="B625"/>
    </row>
    <row r="626" spans="2:2" ht="15">
      <c r="B626"/>
    </row>
    <row r="627" spans="2:2" ht="15">
      <c r="B627"/>
    </row>
    <row r="628" spans="2:2" ht="15">
      <c r="B628"/>
    </row>
    <row r="629" spans="2:2" ht="15">
      <c r="B629"/>
    </row>
    <row r="630" spans="2:2" ht="15">
      <c r="B630"/>
    </row>
    <row r="631" spans="2:2" ht="15">
      <c r="B631"/>
    </row>
    <row r="632" spans="2:2" ht="15">
      <c r="B632"/>
    </row>
    <row r="633" spans="2:2" ht="15">
      <c r="B633"/>
    </row>
    <row r="634" spans="2:2" ht="15">
      <c r="B634"/>
    </row>
    <row r="635" spans="2:2" ht="15">
      <c r="B635"/>
    </row>
    <row r="636" spans="2:2" ht="15">
      <c r="B636"/>
    </row>
    <row r="637" spans="2:2" ht="15">
      <c r="B637"/>
    </row>
    <row r="638" spans="2:2" ht="15">
      <c r="B638"/>
    </row>
    <row r="639" spans="2:2" ht="15">
      <c r="B639"/>
    </row>
    <row r="640" spans="2:2" ht="15">
      <c r="B640"/>
    </row>
    <row r="641" spans="2:2" ht="15">
      <c r="B641"/>
    </row>
    <row r="642" spans="2:2" ht="15">
      <c r="B642"/>
    </row>
    <row r="643" spans="2:2" ht="15">
      <c r="B643"/>
    </row>
    <row r="644" spans="2:2" ht="15">
      <c r="B644"/>
    </row>
    <row r="645" spans="2:2" ht="15">
      <c r="B645"/>
    </row>
    <row r="646" spans="2:2" ht="15">
      <c r="B646"/>
    </row>
    <row r="647" spans="2:2" ht="15">
      <c r="B647"/>
    </row>
    <row r="648" spans="2:2" ht="15">
      <c r="B648"/>
    </row>
    <row r="649" spans="2:2" ht="15">
      <c r="B649"/>
    </row>
    <row r="650" spans="2:2" ht="15">
      <c r="B650"/>
    </row>
    <row r="651" spans="2:2" ht="15">
      <c r="B651"/>
    </row>
    <row r="652" spans="2:2" ht="15">
      <c r="B652"/>
    </row>
    <row r="653" spans="2:2" ht="15">
      <c r="B653"/>
    </row>
    <row r="654" spans="2:2" ht="15">
      <c r="B654"/>
    </row>
    <row r="655" spans="2:2" ht="15">
      <c r="B655"/>
    </row>
    <row r="656" spans="2:2" ht="15">
      <c r="B656"/>
    </row>
    <row r="657" spans="2:2" ht="15">
      <c r="B657"/>
    </row>
    <row r="658" spans="2:2" ht="15">
      <c r="B658"/>
    </row>
    <row r="659" spans="2:2" ht="15">
      <c r="B659"/>
    </row>
    <row r="660" spans="2:2" ht="15">
      <c r="B660"/>
    </row>
    <row r="661" spans="2:2" ht="15">
      <c r="B661"/>
    </row>
    <row r="662" spans="2:2" ht="15">
      <c r="B662"/>
    </row>
    <row r="663" spans="2:2" ht="15">
      <c r="B663"/>
    </row>
    <row r="664" spans="2:2" ht="15">
      <c r="B664"/>
    </row>
    <row r="665" spans="2:2" ht="15">
      <c r="B665"/>
    </row>
    <row r="666" spans="2:2" ht="15">
      <c r="B666"/>
    </row>
    <row r="667" spans="2:2" ht="15">
      <c r="B667"/>
    </row>
    <row r="668" spans="2:2" ht="15">
      <c r="B668"/>
    </row>
    <row r="669" spans="2:2" ht="15">
      <c r="B669"/>
    </row>
    <row r="670" spans="2:2" ht="15">
      <c r="B670"/>
    </row>
    <row r="671" spans="2:2" ht="15">
      <c r="B671"/>
    </row>
    <row r="672" spans="2:2" ht="15">
      <c r="B672"/>
    </row>
    <row r="673" spans="2:2" ht="15">
      <c r="B673"/>
    </row>
    <row r="674" spans="2:2" ht="15">
      <c r="B674"/>
    </row>
    <row r="675" spans="2:2" ht="15">
      <c r="B675"/>
    </row>
    <row r="676" spans="2:2" ht="15">
      <c r="B676"/>
    </row>
    <row r="677" spans="2:2" ht="15">
      <c r="B677"/>
    </row>
    <row r="678" spans="2:2" ht="15">
      <c r="B678"/>
    </row>
    <row r="679" spans="2:2" ht="15">
      <c r="B679"/>
    </row>
    <row r="680" spans="2:2" ht="15">
      <c r="B680"/>
    </row>
    <row r="681" spans="2:2" ht="15">
      <c r="B681"/>
    </row>
    <row r="682" spans="2:2" ht="15">
      <c r="B682"/>
    </row>
    <row r="683" spans="2:2" ht="15">
      <c r="B683"/>
    </row>
    <row r="684" spans="2:2" ht="15">
      <c r="B684"/>
    </row>
    <row r="685" spans="2:2" ht="15">
      <c r="B685"/>
    </row>
    <row r="686" spans="2:2" ht="15">
      <c r="B686"/>
    </row>
    <row r="687" spans="2:2" ht="15">
      <c r="B687"/>
    </row>
    <row r="688" spans="2:2" ht="15">
      <c r="B688"/>
    </row>
    <row r="689" spans="2:2" ht="15">
      <c r="B689"/>
    </row>
    <row r="690" spans="2:2" ht="15">
      <c r="B690"/>
    </row>
    <row r="691" spans="2:2" ht="15">
      <c r="B691"/>
    </row>
    <row r="692" spans="2:2" ht="15">
      <c r="B692"/>
    </row>
    <row r="693" spans="2:2" ht="15">
      <c r="B693"/>
    </row>
    <row r="694" spans="2:2" ht="15">
      <c r="B694"/>
    </row>
    <row r="695" spans="2:2" ht="15">
      <c r="B695"/>
    </row>
    <row r="696" spans="2:2" ht="15">
      <c r="B696"/>
    </row>
    <row r="697" spans="2:2" ht="15">
      <c r="B697"/>
    </row>
    <row r="698" spans="2:2" ht="15">
      <c r="B698"/>
    </row>
    <row r="699" spans="2:2" ht="15">
      <c r="B699"/>
    </row>
    <row r="700" spans="2:2" ht="15">
      <c r="B700"/>
    </row>
    <row r="701" spans="2:2" ht="15">
      <c r="B701"/>
    </row>
    <row r="702" spans="2:2" ht="15">
      <c r="B702"/>
    </row>
    <row r="703" spans="2:2" ht="15">
      <c r="B703"/>
    </row>
    <row r="704" spans="2:2" ht="15">
      <c r="B704"/>
    </row>
    <row r="705" spans="2:2" ht="15">
      <c r="B705"/>
    </row>
    <row r="706" spans="2:2" ht="15">
      <c r="B706"/>
    </row>
    <row r="707" spans="2:2" ht="15">
      <c r="B707"/>
    </row>
    <row r="708" spans="2:2" ht="15">
      <c r="B708"/>
    </row>
    <row r="709" spans="2:2" ht="15">
      <c r="B709"/>
    </row>
    <row r="710" spans="2:2" ht="15">
      <c r="B710"/>
    </row>
    <row r="711" spans="2:2" ht="15">
      <c r="B711"/>
    </row>
    <row r="712" spans="2:2" ht="15">
      <c r="B712"/>
    </row>
    <row r="713" spans="2:2" ht="15">
      <c r="B713"/>
    </row>
    <row r="714" spans="2:2" ht="15">
      <c r="B714"/>
    </row>
    <row r="715" spans="2:2" ht="15">
      <c r="B715"/>
    </row>
    <row r="716" spans="2:2" ht="15">
      <c r="B716"/>
    </row>
    <row r="717" spans="2:2" ht="15">
      <c r="B717"/>
    </row>
    <row r="718" spans="2:2" ht="15">
      <c r="B718"/>
    </row>
    <row r="719" spans="2:2" ht="15">
      <c r="B719"/>
    </row>
    <row r="720" spans="2:2" ht="15">
      <c r="B720"/>
    </row>
    <row r="721" spans="2:2" ht="15">
      <c r="B721"/>
    </row>
    <row r="722" spans="2:2" ht="15">
      <c r="B722"/>
    </row>
    <row r="723" spans="2:2" ht="15">
      <c r="B723"/>
    </row>
    <row r="724" spans="2:2" ht="15">
      <c r="B724"/>
    </row>
    <row r="725" spans="2:2" ht="15">
      <c r="B725"/>
    </row>
    <row r="726" spans="2:2" ht="15">
      <c r="B726"/>
    </row>
    <row r="727" spans="2:2" ht="15">
      <c r="B727"/>
    </row>
    <row r="728" spans="2:2" ht="15">
      <c r="B728"/>
    </row>
    <row r="729" spans="2:2" ht="15">
      <c r="B729"/>
    </row>
    <row r="730" spans="2:2" ht="15">
      <c r="B730"/>
    </row>
    <row r="731" spans="2:2" ht="15">
      <c r="B731"/>
    </row>
    <row r="732" spans="2:2" ht="15">
      <c r="B732"/>
    </row>
    <row r="733" spans="2:2" ht="15">
      <c r="B733"/>
    </row>
    <row r="734" spans="2:2" ht="15">
      <c r="B734"/>
    </row>
    <row r="735" spans="2:2" ht="15">
      <c r="B735"/>
    </row>
    <row r="736" spans="2:2" ht="15">
      <c r="B736"/>
    </row>
    <row r="737" spans="2:2" ht="15">
      <c r="B737"/>
    </row>
    <row r="738" spans="2:2" ht="15">
      <c r="B738"/>
    </row>
    <row r="739" spans="2:2" ht="15">
      <c r="B739"/>
    </row>
    <row r="740" spans="2:2" ht="15">
      <c r="B740"/>
    </row>
    <row r="741" spans="2:2" ht="15">
      <c r="B741"/>
    </row>
    <row r="742" spans="2:2" ht="15">
      <c r="B742"/>
    </row>
    <row r="743" spans="2:2" ht="15">
      <c r="B743"/>
    </row>
    <row r="744" spans="2:2" ht="15">
      <c r="B744"/>
    </row>
    <row r="745" spans="2:2" ht="15">
      <c r="B745"/>
    </row>
    <row r="746" spans="2:2" ht="15">
      <c r="B746"/>
    </row>
    <row r="747" spans="2:2" ht="15">
      <c r="B747"/>
    </row>
    <row r="748" spans="2:2" ht="15">
      <c r="B748"/>
    </row>
    <row r="749" spans="2:2" ht="15">
      <c r="B749"/>
    </row>
    <row r="750" spans="2:2" ht="15">
      <c r="B750"/>
    </row>
    <row r="751" spans="2:2" ht="15">
      <c r="B751"/>
    </row>
    <row r="752" spans="2:2" ht="15">
      <c r="B752"/>
    </row>
    <row r="753" spans="2:2" ht="15">
      <c r="B753"/>
    </row>
    <row r="754" spans="2:2" ht="15">
      <c r="B754"/>
    </row>
    <row r="755" spans="2:2" ht="15">
      <c r="B755"/>
    </row>
    <row r="756" spans="2:2" ht="15">
      <c r="B756"/>
    </row>
    <row r="757" spans="2:2" ht="15">
      <c r="B757"/>
    </row>
    <row r="758" spans="2:2" ht="15">
      <c r="B758"/>
    </row>
    <row r="759" spans="2:2" ht="15">
      <c r="B759"/>
    </row>
    <row r="760" spans="2:2" ht="15">
      <c r="B760"/>
    </row>
    <row r="761" spans="2:2" ht="15">
      <c r="B761"/>
    </row>
    <row r="762" spans="2:2" ht="15">
      <c r="B762"/>
    </row>
    <row r="763" spans="2:2" ht="15">
      <c r="B763"/>
    </row>
    <row r="764" spans="2:2" ht="15">
      <c r="B764"/>
    </row>
    <row r="765" spans="2:2" ht="15">
      <c r="B765"/>
    </row>
    <row r="766" spans="2:2" ht="15">
      <c r="B766"/>
    </row>
    <row r="767" spans="2:2" ht="15">
      <c r="B767"/>
    </row>
    <row r="768" spans="2:2" ht="15">
      <c r="B768"/>
    </row>
    <row r="769" spans="2:2" ht="15">
      <c r="B769"/>
    </row>
    <row r="770" spans="2:2" ht="15">
      <c r="B770"/>
    </row>
    <row r="771" spans="2:2" ht="15">
      <c r="B771"/>
    </row>
    <row r="772" spans="2:2" ht="15">
      <c r="B772"/>
    </row>
    <row r="773" spans="2:2" ht="15">
      <c r="B773"/>
    </row>
    <row r="774" spans="2:2" ht="15">
      <c r="B774"/>
    </row>
    <row r="775" spans="2:2" ht="15">
      <c r="B775"/>
    </row>
    <row r="776" spans="2:2" ht="15">
      <c r="B776"/>
    </row>
    <row r="777" spans="2:2" ht="15">
      <c r="B777"/>
    </row>
    <row r="778" spans="2:2" ht="15">
      <c r="B778"/>
    </row>
    <row r="779" spans="2:2" ht="15">
      <c r="B779"/>
    </row>
    <row r="780" spans="2:2" ht="15">
      <c r="B780"/>
    </row>
    <row r="781" spans="2:2" ht="15">
      <c r="B781"/>
    </row>
    <row r="782" spans="2:2" ht="15">
      <c r="B782"/>
    </row>
    <row r="783" spans="2:2" ht="15">
      <c r="B783"/>
    </row>
    <row r="784" spans="2:2" ht="15">
      <c r="B784"/>
    </row>
    <row r="785" spans="2:2" ht="15">
      <c r="B785"/>
    </row>
    <row r="786" spans="2:2" ht="15">
      <c r="B786"/>
    </row>
    <row r="787" spans="2:2" ht="15">
      <c r="B787"/>
    </row>
    <row r="788" spans="2:2" ht="15">
      <c r="B788"/>
    </row>
    <row r="789" spans="2:2" ht="15">
      <c r="B789"/>
    </row>
    <row r="790" spans="2:2" ht="15">
      <c r="B790"/>
    </row>
    <row r="791" spans="2:2" ht="15">
      <c r="B791"/>
    </row>
    <row r="792" spans="2:2" ht="15">
      <c r="B792"/>
    </row>
    <row r="793" spans="2:2" ht="15">
      <c r="B793"/>
    </row>
    <row r="794" spans="2:2" ht="15">
      <c r="B794"/>
    </row>
    <row r="795" spans="2:2" ht="15">
      <c r="B795"/>
    </row>
    <row r="796" spans="2:2" ht="15">
      <c r="B796"/>
    </row>
    <row r="797" spans="2:2" ht="15">
      <c r="B797"/>
    </row>
    <row r="798" spans="2:2" ht="15">
      <c r="B798"/>
    </row>
    <row r="799" spans="2:2" ht="15">
      <c r="B799"/>
    </row>
    <row r="800" spans="2:2" ht="15">
      <c r="B800"/>
    </row>
    <row r="801" spans="2:2" ht="15">
      <c r="B801"/>
    </row>
    <row r="802" spans="2:2" ht="15">
      <c r="B802"/>
    </row>
    <row r="803" spans="2:2" ht="15">
      <c r="B803"/>
    </row>
    <row r="804" spans="2:2" ht="15">
      <c r="B804"/>
    </row>
    <row r="805" spans="2:2" ht="15">
      <c r="B805"/>
    </row>
    <row r="806" spans="2:2" ht="15">
      <c r="B806"/>
    </row>
    <row r="807" spans="2:2" ht="15">
      <c r="B807"/>
    </row>
    <row r="808" spans="2:2" ht="15">
      <c r="B808"/>
    </row>
    <row r="809" spans="2:2" ht="15">
      <c r="B809"/>
    </row>
    <row r="810" spans="2:2" ht="15">
      <c r="B810"/>
    </row>
    <row r="811" spans="2:2" ht="15">
      <c r="B811"/>
    </row>
    <row r="812" spans="2:2" ht="15">
      <c r="B812"/>
    </row>
    <row r="813" spans="2:2" ht="15">
      <c r="B813"/>
    </row>
    <row r="814" spans="2:2" ht="15">
      <c r="B814"/>
    </row>
    <row r="815" spans="2:2" ht="15">
      <c r="B815"/>
    </row>
    <row r="816" spans="2:2" ht="15">
      <c r="B816"/>
    </row>
    <row r="817" spans="2:2" ht="15">
      <c r="B817"/>
    </row>
    <row r="818" spans="2:2" ht="15">
      <c r="B818"/>
    </row>
    <row r="819" spans="2:2" ht="15">
      <c r="B819"/>
    </row>
    <row r="820" spans="2:2" ht="15">
      <c r="B820"/>
    </row>
    <row r="821" spans="2:2" ht="15">
      <c r="B821"/>
    </row>
    <row r="822" spans="2:2" ht="15">
      <c r="B822"/>
    </row>
    <row r="823" spans="2:2" ht="15">
      <c r="B823"/>
    </row>
    <row r="824" spans="2:2" ht="15">
      <c r="B824"/>
    </row>
    <row r="825" spans="2:2" ht="15">
      <c r="B825"/>
    </row>
    <row r="826" spans="2:2" ht="15">
      <c r="B826"/>
    </row>
    <row r="827" spans="2:2" ht="15">
      <c r="B827"/>
    </row>
    <row r="828" spans="2:2" ht="15">
      <c r="B828"/>
    </row>
    <row r="829" spans="2:2" ht="15">
      <c r="B829"/>
    </row>
    <row r="830" spans="2:2" ht="15">
      <c r="B830"/>
    </row>
    <row r="831" spans="2:2" ht="15">
      <c r="B831"/>
    </row>
    <row r="832" spans="2:2" ht="15">
      <c r="B832"/>
    </row>
    <row r="833" spans="2:2" ht="15">
      <c r="B833"/>
    </row>
    <row r="834" spans="2:2" ht="15">
      <c r="B834"/>
    </row>
    <row r="835" spans="2:2" ht="15">
      <c r="B835"/>
    </row>
    <row r="836" spans="2:2" ht="15">
      <c r="B836"/>
    </row>
    <row r="837" spans="2:2" ht="15">
      <c r="B837"/>
    </row>
    <row r="838" spans="2:2" ht="15">
      <c r="B838"/>
    </row>
    <row r="839" spans="2:2" ht="15">
      <c r="B839"/>
    </row>
    <row r="840" spans="2:2" ht="15">
      <c r="B840"/>
    </row>
    <row r="841" spans="2:2" ht="15">
      <c r="B841"/>
    </row>
    <row r="842" spans="2:2" ht="15">
      <c r="B842"/>
    </row>
    <row r="843" spans="2:2" ht="15">
      <c r="B843"/>
    </row>
    <row r="844" spans="2:2" ht="15">
      <c r="B844"/>
    </row>
    <row r="845" spans="2:2" ht="15">
      <c r="B845"/>
    </row>
  </sheetData>
  <mergeCells count="28">
    <mergeCell ref="B122:D123"/>
    <mergeCell ref="C35:C42"/>
    <mergeCell ref="B43:B44"/>
    <mergeCell ref="C43:C44"/>
    <mergeCell ref="B3:G3"/>
    <mergeCell ref="C7:C9"/>
    <mergeCell ref="C11:C12"/>
    <mergeCell ref="C15:C16"/>
    <mergeCell ref="B17:B18"/>
    <mergeCell ref="C17:C18"/>
    <mergeCell ref="B20:B25"/>
    <mergeCell ref="C20:C25"/>
    <mergeCell ref="B26:B30"/>
    <mergeCell ref="C26:C30"/>
    <mergeCell ref="B31:B34"/>
    <mergeCell ref="C31:C34"/>
    <mergeCell ref="B45:B50"/>
    <mergeCell ref="C45:C50"/>
    <mergeCell ref="B80:G80"/>
    <mergeCell ref="C82:F83"/>
    <mergeCell ref="B74:G78"/>
    <mergeCell ref="C66:C69"/>
    <mergeCell ref="C70:C73"/>
    <mergeCell ref="B51:B59"/>
    <mergeCell ref="C51:C59"/>
    <mergeCell ref="C60:C62"/>
    <mergeCell ref="B63:B65"/>
    <mergeCell ref="C63:C65"/>
  </mergeCells>
  <hyperlinks>
    <hyperlink ref="B2" location="'Hoja índice'!A1" display="Indice"/>
    <hyperlink ref="B86" location="'Hoja índice'!A1" display="Indice"/>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4"/>
  </sheetPr>
  <dimension ref="A1:E1124"/>
  <sheetViews>
    <sheetView showGridLines="0" workbookViewId="0">
      <selection activeCell="A158" sqref="A158"/>
    </sheetView>
  </sheetViews>
  <sheetFormatPr baseColWidth="10" defaultRowHeight="15"/>
  <cols>
    <col min="1" max="1" width="24" bestFit="1" customWidth="1"/>
    <col min="4" max="4" width="16.140625" bestFit="1" customWidth="1"/>
  </cols>
  <sheetData>
    <row r="1" spans="1:5" ht="15.75" thickBot="1">
      <c r="A1" s="213" t="s">
        <v>748</v>
      </c>
      <c r="B1" s="214" t="s">
        <v>749</v>
      </c>
      <c r="C1" s="215" t="s">
        <v>746</v>
      </c>
      <c r="D1" s="216" t="s">
        <v>747</v>
      </c>
      <c r="E1" s="4" t="s">
        <v>1555</v>
      </c>
    </row>
    <row r="2" spans="1:5">
      <c r="A2" s="209" t="s">
        <v>45</v>
      </c>
      <c r="B2" s="210">
        <v>5001</v>
      </c>
      <c r="C2" s="211">
        <v>5</v>
      </c>
      <c r="D2" s="212" t="s">
        <v>750</v>
      </c>
    </row>
    <row r="3" spans="1:5">
      <c r="A3" s="202" t="s">
        <v>110</v>
      </c>
      <c r="B3" s="201">
        <v>5002</v>
      </c>
      <c r="C3" s="200">
        <v>5</v>
      </c>
      <c r="D3" s="203" t="s">
        <v>750</v>
      </c>
    </row>
    <row r="4" spans="1:5">
      <c r="A4" s="202" t="s">
        <v>751</v>
      </c>
      <c r="B4" s="201">
        <v>5004</v>
      </c>
      <c r="C4" s="200">
        <v>5</v>
      </c>
      <c r="D4" s="203" t="s">
        <v>750</v>
      </c>
    </row>
    <row r="5" spans="1:5">
      <c r="A5" s="202" t="s">
        <v>752</v>
      </c>
      <c r="B5" s="201">
        <v>5021</v>
      </c>
      <c r="C5" s="200">
        <v>5</v>
      </c>
      <c r="D5" s="203" t="s">
        <v>750</v>
      </c>
    </row>
    <row r="6" spans="1:5">
      <c r="A6" s="202" t="s">
        <v>46</v>
      </c>
      <c r="B6" s="201">
        <v>5030</v>
      </c>
      <c r="C6" s="200">
        <v>5</v>
      </c>
      <c r="D6" s="203" t="s">
        <v>750</v>
      </c>
    </row>
    <row r="7" spans="1:5">
      <c r="A7" s="202" t="s">
        <v>47</v>
      </c>
      <c r="B7" s="201">
        <v>5031</v>
      </c>
      <c r="C7" s="200">
        <v>5</v>
      </c>
      <c r="D7" s="203" t="s">
        <v>750</v>
      </c>
    </row>
    <row r="8" spans="1:5">
      <c r="A8" s="202" t="s">
        <v>48</v>
      </c>
      <c r="B8" s="201">
        <v>5034</v>
      </c>
      <c r="C8" s="200">
        <v>5</v>
      </c>
      <c r="D8" s="203" t="s">
        <v>750</v>
      </c>
    </row>
    <row r="9" spans="1:5">
      <c r="A9" s="202" t="s">
        <v>753</v>
      </c>
      <c r="B9" s="201">
        <v>5036</v>
      </c>
      <c r="C9" s="200">
        <v>5</v>
      </c>
      <c r="D9" s="203" t="s">
        <v>750</v>
      </c>
    </row>
    <row r="10" spans="1:5">
      <c r="A10" s="202" t="s">
        <v>754</v>
      </c>
      <c r="B10" s="201">
        <v>5038</v>
      </c>
      <c r="C10" s="200">
        <v>5</v>
      </c>
      <c r="D10" s="203" t="s">
        <v>750</v>
      </c>
    </row>
    <row r="11" spans="1:5">
      <c r="A11" s="202" t="s">
        <v>49</v>
      </c>
      <c r="B11" s="201">
        <v>5040</v>
      </c>
      <c r="C11" s="200">
        <v>5</v>
      </c>
      <c r="D11" s="203" t="s">
        <v>750</v>
      </c>
    </row>
    <row r="12" spans="1:5">
      <c r="A12" s="202" t="s">
        <v>95</v>
      </c>
      <c r="B12" s="201">
        <v>5042</v>
      </c>
      <c r="C12" s="200">
        <v>5</v>
      </c>
      <c r="D12" s="203" t="s">
        <v>750</v>
      </c>
    </row>
    <row r="13" spans="1:5">
      <c r="A13" s="202" t="s">
        <v>755</v>
      </c>
      <c r="B13" s="201">
        <v>5044</v>
      </c>
      <c r="C13" s="200">
        <v>5</v>
      </c>
      <c r="D13" s="203" t="s">
        <v>750</v>
      </c>
    </row>
    <row r="14" spans="1:5">
      <c r="A14" s="202" t="s">
        <v>50</v>
      </c>
      <c r="B14" s="201">
        <v>5045</v>
      </c>
      <c r="C14" s="200">
        <v>5</v>
      </c>
      <c r="D14" s="203" t="s">
        <v>750</v>
      </c>
    </row>
    <row r="15" spans="1:5">
      <c r="A15" s="202" t="s">
        <v>51</v>
      </c>
      <c r="B15" s="201">
        <v>5051</v>
      </c>
      <c r="C15" s="200">
        <v>5</v>
      </c>
      <c r="D15" s="203" t="s">
        <v>750</v>
      </c>
    </row>
    <row r="16" spans="1:5">
      <c r="A16" s="202" t="s">
        <v>111</v>
      </c>
      <c r="B16" s="201">
        <v>5055</v>
      </c>
      <c r="C16" s="200">
        <v>5</v>
      </c>
      <c r="D16" s="203" t="s">
        <v>750</v>
      </c>
    </row>
    <row r="17" spans="1:4">
      <c r="A17" s="202" t="s">
        <v>756</v>
      </c>
      <c r="B17" s="201">
        <v>5059</v>
      </c>
      <c r="C17" s="200">
        <v>5</v>
      </c>
      <c r="D17" s="203" t="s">
        <v>750</v>
      </c>
    </row>
    <row r="18" spans="1:4">
      <c r="A18" s="202" t="s">
        <v>52</v>
      </c>
      <c r="B18" s="201">
        <v>5079</v>
      </c>
      <c r="C18" s="200">
        <v>5</v>
      </c>
      <c r="D18" s="203" t="s">
        <v>750</v>
      </c>
    </row>
    <row r="19" spans="1:4">
      <c r="A19" s="202" t="s">
        <v>757</v>
      </c>
      <c r="B19" s="201">
        <v>5086</v>
      </c>
      <c r="C19" s="200">
        <v>5</v>
      </c>
      <c r="D19" s="203" t="s">
        <v>750</v>
      </c>
    </row>
    <row r="20" spans="1:4">
      <c r="A20" s="202" t="s">
        <v>53</v>
      </c>
      <c r="B20" s="201">
        <v>5088</v>
      </c>
      <c r="C20" s="200">
        <v>5</v>
      </c>
      <c r="D20" s="203" t="s">
        <v>750</v>
      </c>
    </row>
    <row r="21" spans="1:4">
      <c r="A21" s="202" t="s">
        <v>758</v>
      </c>
      <c r="B21" s="201">
        <v>5091</v>
      </c>
      <c r="C21" s="200">
        <v>5</v>
      </c>
      <c r="D21" s="203" t="s">
        <v>750</v>
      </c>
    </row>
    <row r="22" spans="1:4">
      <c r="A22" s="202" t="s">
        <v>54</v>
      </c>
      <c r="B22" s="201">
        <v>5093</v>
      </c>
      <c r="C22" s="200">
        <v>5</v>
      </c>
      <c r="D22" s="203" t="s">
        <v>750</v>
      </c>
    </row>
    <row r="23" spans="1:4">
      <c r="A23" s="202" t="s">
        <v>759</v>
      </c>
      <c r="B23" s="201">
        <v>5101</v>
      </c>
      <c r="C23" s="200">
        <v>5</v>
      </c>
      <c r="D23" s="203" t="s">
        <v>750</v>
      </c>
    </row>
    <row r="24" spans="1:4">
      <c r="A24" s="202" t="s">
        <v>55</v>
      </c>
      <c r="B24" s="201">
        <v>5107</v>
      </c>
      <c r="C24" s="200">
        <v>5</v>
      </c>
      <c r="D24" s="203" t="s">
        <v>750</v>
      </c>
    </row>
    <row r="25" spans="1:4">
      <c r="A25" s="202" t="s">
        <v>56</v>
      </c>
      <c r="B25" s="201">
        <v>5113</v>
      </c>
      <c r="C25" s="200">
        <v>5</v>
      </c>
      <c r="D25" s="203" t="s">
        <v>750</v>
      </c>
    </row>
    <row r="26" spans="1:4">
      <c r="A26" s="202" t="s">
        <v>57</v>
      </c>
      <c r="B26" s="201">
        <v>5120</v>
      </c>
      <c r="C26" s="200">
        <v>5</v>
      </c>
      <c r="D26" s="203" t="s">
        <v>750</v>
      </c>
    </row>
    <row r="27" spans="1:4">
      <c r="A27" s="202" t="s">
        <v>58</v>
      </c>
      <c r="B27" s="201">
        <v>5125</v>
      </c>
      <c r="C27" s="200">
        <v>5</v>
      </c>
      <c r="D27" s="203" t="s">
        <v>750</v>
      </c>
    </row>
    <row r="28" spans="1:4">
      <c r="A28" s="202" t="s">
        <v>59</v>
      </c>
      <c r="B28" s="201">
        <v>5129</v>
      </c>
      <c r="C28" s="200">
        <v>5</v>
      </c>
      <c r="D28" s="203" t="s">
        <v>750</v>
      </c>
    </row>
    <row r="29" spans="1:4">
      <c r="A29" s="202" t="s">
        <v>760</v>
      </c>
      <c r="B29" s="201">
        <v>5134</v>
      </c>
      <c r="C29" s="200">
        <v>5</v>
      </c>
      <c r="D29" s="203" t="s">
        <v>750</v>
      </c>
    </row>
    <row r="30" spans="1:4">
      <c r="A30" s="202" t="s">
        <v>60</v>
      </c>
      <c r="B30" s="201">
        <v>5138</v>
      </c>
      <c r="C30" s="200">
        <v>5</v>
      </c>
      <c r="D30" s="203" t="s">
        <v>750</v>
      </c>
    </row>
    <row r="31" spans="1:4">
      <c r="A31" s="202" t="s">
        <v>761</v>
      </c>
      <c r="B31" s="201">
        <v>5142</v>
      </c>
      <c r="C31" s="200">
        <v>5</v>
      </c>
      <c r="D31" s="203" t="s">
        <v>750</v>
      </c>
    </row>
    <row r="32" spans="1:4">
      <c r="A32" s="202" t="s">
        <v>762</v>
      </c>
      <c r="B32" s="201">
        <v>5145</v>
      </c>
      <c r="C32" s="200">
        <v>5</v>
      </c>
      <c r="D32" s="203" t="s">
        <v>750</v>
      </c>
    </row>
    <row r="33" spans="1:4">
      <c r="A33" s="202" t="s">
        <v>61</v>
      </c>
      <c r="B33" s="201">
        <v>5147</v>
      </c>
      <c r="C33" s="200">
        <v>5</v>
      </c>
      <c r="D33" s="203" t="s">
        <v>750</v>
      </c>
    </row>
    <row r="34" spans="1:4">
      <c r="A34" s="202" t="s">
        <v>113</v>
      </c>
      <c r="B34" s="201">
        <v>5148</v>
      </c>
      <c r="C34" s="200">
        <v>5</v>
      </c>
      <c r="D34" s="203" t="s">
        <v>750</v>
      </c>
    </row>
    <row r="35" spans="1:4">
      <c r="A35" s="202" t="s">
        <v>62</v>
      </c>
      <c r="B35" s="201">
        <v>5150</v>
      </c>
      <c r="C35" s="200">
        <v>5</v>
      </c>
      <c r="D35" s="203" t="s">
        <v>750</v>
      </c>
    </row>
    <row r="36" spans="1:4">
      <c r="A36" s="202" t="s">
        <v>63</v>
      </c>
      <c r="B36" s="201">
        <v>5154</v>
      </c>
      <c r="C36" s="200">
        <v>5</v>
      </c>
      <c r="D36" s="203" t="s">
        <v>750</v>
      </c>
    </row>
    <row r="37" spans="1:4">
      <c r="A37" s="202" t="s">
        <v>64</v>
      </c>
      <c r="B37" s="201">
        <v>5172</v>
      </c>
      <c r="C37" s="200">
        <v>5</v>
      </c>
      <c r="D37" s="203" t="s">
        <v>750</v>
      </c>
    </row>
    <row r="38" spans="1:4">
      <c r="A38" s="202" t="s">
        <v>65</v>
      </c>
      <c r="B38" s="201">
        <v>5190</v>
      </c>
      <c r="C38" s="200">
        <v>5</v>
      </c>
      <c r="D38" s="203" t="s">
        <v>750</v>
      </c>
    </row>
    <row r="39" spans="1:4">
      <c r="A39" s="202" t="s">
        <v>112</v>
      </c>
      <c r="B39" s="201">
        <v>5197</v>
      </c>
      <c r="C39" s="200">
        <v>5</v>
      </c>
      <c r="D39" s="203" t="s">
        <v>750</v>
      </c>
    </row>
    <row r="40" spans="1:4">
      <c r="A40" s="202" t="s">
        <v>763</v>
      </c>
      <c r="B40" s="201">
        <v>5206</v>
      </c>
      <c r="C40" s="200">
        <v>5</v>
      </c>
      <c r="D40" s="203" t="s">
        <v>750</v>
      </c>
    </row>
    <row r="41" spans="1:4">
      <c r="A41" s="202" t="s">
        <v>66</v>
      </c>
      <c r="B41" s="201">
        <v>5209</v>
      </c>
      <c r="C41" s="200">
        <v>5</v>
      </c>
      <c r="D41" s="203" t="s">
        <v>750</v>
      </c>
    </row>
    <row r="42" spans="1:4">
      <c r="A42" s="202" t="s">
        <v>67</v>
      </c>
      <c r="B42" s="201">
        <v>5212</v>
      </c>
      <c r="C42" s="200">
        <v>5</v>
      </c>
      <c r="D42" s="203" t="s">
        <v>750</v>
      </c>
    </row>
    <row r="43" spans="1:4">
      <c r="A43" s="202" t="s">
        <v>68</v>
      </c>
      <c r="B43" s="201">
        <v>5234</v>
      </c>
      <c r="C43" s="200">
        <v>5</v>
      </c>
      <c r="D43" s="203" t="s">
        <v>750</v>
      </c>
    </row>
    <row r="44" spans="1:4">
      <c r="A44" s="202" t="s">
        <v>764</v>
      </c>
      <c r="B44" s="201">
        <v>5237</v>
      </c>
      <c r="C44" s="200">
        <v>5</v>
      </c>
      <c r="D44" s="203" t="s">
        <v>750</v>
      </c>
    </row>
    <row r="45" spans="1:4">
      <c r="A45" s="202" t="s">
        <v>765</v>
      </c>
      <c r="B45" s="201">
        <v>5240</v>
      </c>
      <c r="C45" s="200">
        <v>5</v>
      </c>
      <c r="D45" s="203" t="s">
        <v>750</v>
      </c>
    </row>
    <row r="46" spans="1:4">
      <c r="A46" s="202" t="s">
        <v>69</v>
      </c>
      <c r="B46" s="201">
        <v>5250</v>
      </c>
      <c r="C46" s="200">
        <v>5</v>
      </c>
      <c r="D46" s="203" t="s">
        <v>750</v>
      </c>
    </row>
    <row r="47" spans="1:4">
      <c r="A47" s="202" t="s">
        <v>70</v>
      </c>
      <c r="B47" s="201">
        <v>5264</v>
      </c>
      <c r="C47" s="200">
        <v>5</v>
      </c>
      <c r="D47" s="203" t="s">
        <v>750</v>
      </c>
    </row>
    <row r="48" spans="1:4">
      <c r="A48" s="202" t="s">
        <v>71</v>
      </c>
      <c r="B48" s="201">
        <v>5266</v>
      </c>
      <c r="C48" s="200">
        <v>5</v>
      </c>
      <c r="D48" s="203" t="s">
        <v>750</v>
      </c>
    </row>
    <row r="49" spans="1:4">
      <c r="A49" s="202" t="s">
        <v>72</v>
      </c>
      <c r="B49" s="201">
        <v>5282</v>
      </c>
      <c r="C49" s="200">
        <v>5</v>
      </c>
      <c r="D49" s="203" t="s">
        <v>750</v>
      </c>
    </row>
    <row r="50" spans="1:4">
      <c r="A50" s="202" t="s">
        <v>73</v>
      </c>
      <c r="B50" s="201">
        <v>5284</v>
      </c>
      <c r="C50" s="200">
        <v>5</v>
      </c>
      <c r="D50" s="203" t="s">
        <v>750</v>
      </c>
    </row>
    <row r="51" spans="1:4">
      <c r="A51" s="202" t="s">
        <v>74</v>
      </c>
      <c r="B51" s="201">
        <v>5306</v>
      </c>
      <c r="C51" s="200">
        <v>5</v>
      </c>
      <c r="D51" s="203" t="s">
        <v>750</v>
      </c>
    </row>
    <row r="52" spans="1:4">
      <c r="A52" s="202" t="s">
        <v>75</v>
      </c>
      <c r="B52" s="201">
        <v>5308</v>
      </c>
      <c r="C52" s="200">
        <v>5</v>
      </c>
      <c r="D52" s="203" t="s">
        <v>750</v>
      </c>
    </row>
    <row r="53" spans="1:4">
      <c r="A53" s="202" t="s">
        <v>766</v>
      </c>
      <c r="B53" s="201">
        <v>5310</v>
      </c>
      <c r="C53" s="200">
        <v>5</v>
      </c>
      <c r="D53" s="203" t="s">
        <v>750</v>
      </c>
    </row>
    <row r="54" spans="1:4">
      <c r="A54" s="202" t="s">
        <v>115</v>
      </c>
      <c r="B54" s="201">
        <v>5313</v>
      </c>
      <c r="C54" s="200">
        <v>5</v>
      </c>
      <c r="D54" s="203" t="s">
        <v>750</v>
      </c>
    </row>
    <row r="55" spans="1:4">
      <c r="A55" s="202" t="s">
        <v>767</v>
      </c>
      <c r="B55" s="201">
        <v>5315</v>
      </c>
      <c r="C55" s="200">
        <v>5</v>
      </c>
      <c r="D55" s="203" t="s">
        <v>750</v>
      </c>
    </row>
    <row r="56" spans="1:4">
      <c r="A56" s="202" t="s">
        <v>116</v>
      </c>
      <c r="B56" s="201">
        <v>5318</v>
      </c>
      <c r="C56" s="200">
        <v>5</v>
      </c>
      <c r="D56" s="203" t="s">
        <v>750</v>
      </c>
    </row>
    <row r="57" spans="1:4">
      <c r="A57" s="202" t="s">
        <v>768</v>
      </c>
      <c r="B57" s="201">
        <v>5321</v>
      </c>
      <c r="C57" s="200">
        <v>5</v>
      </c>
      <c r="D57" s="203" t="s">
        <v>750</v>
      </c>
    </row>
    <row r="58" spans="1:4">
      <c r="A58" s="202" t="s">
        <v>769</v>
      </c>
      <c r="B58" s="201">
        <v>5347</v>
      </c>
      <c r="C58" s="200">
        <v>5</v>
      </c>
      <c r="D58" s="203" t="s">
        <v>750</v>
      </c>
    </row>
    <row r="59" spans="1:4">
      <c r="A59" s="202" t="s">
        <v>770</v>
      </c>
      <c r="B59" s="201">
        <v>5353</v>
      </c>
      <c r="C59" s="200">
        <v>5</v>
      </c>
      <c r="D59" s="203" t="s">
        <v>750</v>
      </c>
    </row>
    <row r="60" spans="1:4">
      <c r="A60" s="202" t="s">
        <v>76</v>
      </c>
      <c r="B60" s="201">
        <v>5360</v>
      </c>
      <c r="C60" s="200">
        <v>5</v>
      </c>
      <c r="D60" s="203" t="s">
        <v>750</v>
      </c>
    </row>
    <row r="61" spans="1:4">
      <c r="A61" s="202" t="s">
        <v>77</v>
      </c>
      <c r="B61" s="201">
        <v>5361</v>
      </c>
      <c r="C61" s="200">
        <v>5</v>
      </c>
      <c r="D61" s="203" t="s">
        <v>750</v>
      </c>
    </row>
    <row r="62" spans="1:4">
      <c r="A62" s="202" t="s">
        <v>78</v>
      </c>
      <c r="B62" s="201">
        <v>5364</v>
      </c>
      <c r="C62" s="200">
        <v>5</v>
      </c>
      <c r="D62" s="203" t="s">
        <v>750</v>
      </c>
    </row>
    <row r="63" spans="1:4">
      <c r="A63" s="202" t="s">
        <v>771</v>
      </c>
      <c r="B63" s="201">
        <v>5368</v>
      </c>
      <c r="C63" s="200">
        <v>5</v>
      </c>
      <c r="D63" s="203" t="s">
        <v>750</v>
      </c>
    </row>
    <row r="64" spans="1:4">
      <c r="A64" s="202" t="s">
        <v>117</v>
      </c>
      <c r="B64" s="201">
        <v>5376</v>
      </c>
      <c r="C64" s="200">
        <v>5</v>
      </c>
      <c r="D64" s="203" t="s">
        <v>750</v>
      </c>
    </row>
    <row r="65" spans="1:4">
      <c r="A65" s="202" t="s">
        <v>79</v>
      </c>
      <c r="B65" s="201">
        <v>5380</v>
      </c>
      <c r="C65" s="200">
        <v>5</v>
      </c>
      <c r="D65" s="203" t="s">
        <v>750</v>
      </c>
    </row>
    <row r="66" spans="1:4">
      <c r="A66" s="202" t="s">
        <v>772</v>
      </c>
      <c r="B66" s="201">
        <v>5390</v>
      </c>
      <c r="C66" s="200">
        <v>5</v>
      </c>
      <c r="D66" s="203" t="s">
        <v>750</v>
      </c>
    </row>
    <row r="67" spans="1:4">
      <c r="A67" s="202" t="s">
        <v>118</v>
      </c>
      <c r="B67" s="201">
        <v>5400</v>
      </c>
      <c r="C67" s="200">
        <v>5</v>
      </c>
      <c r="D67" s="203" t="s">
        <v>750</v>
      </c>
    </row>
    <row r="68" spans="1:4">
      <c r="A68" s="202" t="s">
        <v>773</v>
      </c>
      <c r="B68" s="201">
        <v>5411</v>
      </c>
      <c r="C68" s="200">
        <v>5</v>
      </c>
      <c r="D68" s="203" t="s">
        <v>750</v>
      </c>
    </row>
    <row r="69" spans="1:4">
      <c r="A69" s="202" t="s">
        <v>80</v>
      </c>
      <c r="B69" s="201">
        <v>5425</v>
      </c>
      <c r="C69" s="200">
        <v>5</v>
      </c>
      <c r="D69" s="203" t="s">
        <v>750</v>
      </c>
    </row>
    <row r="70" spans="1:4">
      <c r="A70" s="202" t="s">
        <v>119</v>
      </c>
      <c r="B70" s="201">
        <v>5440</v>
      </c>
      <c r="C70" s="200">
        <v>5</v>
      </c>
      <c r="D70" s="203" t="s">
        <v>750</v>
      </c>
    </row>
    <row r="71" spans="1:4">
      <c r="A71" s="202" t="s">
        <v>774</v>
      </c>
      <c r="B71" s="201">
        <v>5467</v>
      </c>
      <c r="C71" s="200">
        <v>5</v>
      </c>
      <c r="D71" s="203" t="s">
        <v>750</v>
      </c>
    </row>
    <row r="72" spans="1:4">
      <c r="A72" s="202" t="s">
        <v>81</v>
      </c>
      <c r="B72" s="201">
        <v>5475</v>
      </c>
      <c r="C72" s="200">
        <v>5</v>
      </c>
      <c r="D72" s="203" t="s">
        <v>750</v>
      </c>
    </row>
    <row r="73" spans="1:4">
      <c r="A73" s="202" t="s">
        <v>82</v>
      </c>
      <c r="B73" s="201">
        <v>5480</v>
      </c>
      <c r="C73" s="200">
        <v>5</v>
      </c>
      <c r="D73" s="203" t="s">
        <v>750</v>
      </c>
    </row>
    <row r="74" spans="1:4">
      <c r="A74" s="202" t="s">
        <v>120</v>
      </c>
      <c r="B74" s="201">
        <v>5483</v>
      </c>
      <c r="C74" s="200">
        <v>5</v>
      </c>
      <c r="D74" s="203" t="s">
        <v>750</v>
      </c>
    </row>
    <row r="75" spans="1:4">
      <c r="A75" s="202" t="s">
        <v>84</v>
      </c>
      <c r="B75" s="201">
        <v>5490</v>
      </c>
      <c r="C75" s="200">
        <v>5</v>
      </c>
      <c r="D75" s="203" t="s">
        <v>750</v>
      </c>
    </row>
    <row r="76" spans="1:4">
      <c r="A76" s="202" t="s">
        <v>83</v>
      </c>
      <c r="B76" s="201">
        <v>5495</v>
      </c>
      <c r="C76" s="200">
        <v>5</v>
      </c>
      <c r="D76" s="203" t="s">
        <v>750</v>
      </c>
    </row>
    <row r="77" spans="1:4">
      <c r="A77" s="202" t="s">
        <v>85</v>
      </c>
      <c r="B77" s="201">
        <v>5501</v>
      </c>
      <c r="C77" s="200">
        <v>5</v>
      </c>
      <c r="D77" s="203" t="s">
        <v>750</v>
      </c>
    </row>
    <row r="78" spans="1:4">
      <c r="A78" s="202" t="s">
        <v>775</v>
      </c>
      <c r="B78" s="201">
        <v>5541</v>
      </c>
      <c r="C78" s="200">
        <v>5</v>
      </c>
      <c r="D78" s="203" t="s">
        <v>750</v>
      </c>
    </row>
    <row r="79" spans="1:4">
      <c r="A79" s="202" t="s">
        <v>86</v>
      </c>
      <c r="B79" s="201">
        <v>5543</v>
      </c>
      <c r="C79" s="200">
        <v>5</v>
      </c>
      <c r="D79" s="203" t="s">
        <v>750</v>
      </c>
    </row>
    <row r="80" spans="1:4">
      <c r="A80" s="202" t="s">
        <v>776</v>
      </c>
      <c r="B80" s="201">
        <v>5576</v>
      </c>
      <c r="C80" s="200">
        <v>5</v>
      </c>
      <c r="D80" s="203" t="s">
        <v>750</v>
      </c>
    </row>
    <row r="81" spans="1:4">
      <c r="A81" s="202" t="s">
        <v>87</v>
      </c>
      <c r="B81" s="201">
        <v>5579</v>
      </c>
      <c r="C81" s="200">
        <v>5</v>
      </c>
      <c r="D81" s="203" t="s">
        <v>750</v>
      </c>
    </row>
    <row r="82" spans="1:4">
      <c r="A82" s="202" t="s">
        <v>777</v>
      </c>
      <c r="B82" s="201">
        <v>5585</v>
      </c>
      <c r="C82" s="200">
        <v>5</v>
      </c>
      <c r="D82" s="203" t="s">
        <v>750</v>
      </c>
    </row>
    <row r="83" spans="1:4">
      <c r="A83" s="202" t="s">
        <v>88</v>
      </c>
      <c r="B83" s="201">
        <v>5591</v>
      </c>
      <c r="C83" s="200">
        <v>5</v>
      </c>
      <c r="D83" s="203" t="s">
        <v>750</v>
      </c>
    </row>
    <row r="84" spans="1:4">
      <c r="A84" s="202" t="s">
        <v>89</v>
      </c>
      <c r="B84" s="201">
        <v>5604</v>
      </c>
      <c r="C84" s="200">
        <v>5</v>
      </c>
      <c r="D84" s="203" t="s">
        <v>750</v>
      </c>
    </row>
    <row r="85" spans="1:4">
      <c r="A85" s="202" t="s">
        <v>121</v>
      </c>
      <c r="B85" s="201">
        <v>5607</v>
      </c>
      <c r="C85" s="200">
        <v>5</v>
      </c>
      <c r="D85" s="203" t="s">
        <v>750</v>
      </c>
    </row>
    <row r="86" spans="1:4">
      <c r="A86" s="202" t="s">
        <v>122</v>
      </c>
      <c r="B86" s="201">
        <v>5615</v>
      </c>
      <c r="C86" s="200">
        <v>5</v>
      </c>
      <c r="D86" s="203" t="s">
        <v>750</v>
      </c>
    </row>
    <row r="87" spans="1:4">
      <c r="A87" s="202" t="s">
        <v>778</v>
      </c>
      <c r="B87" s="201">
        <v>5628</v>
      </c>
      <c r="C87" s="200">
        <v>5</v>
      </c>
      <c r="D87" s="203" t="s">
        <v>750</v>
      </c>
    </row>
    <row r="88" spans="1:4">
      <c r="A88" s="202" t="s">
        <v>90</v>
      </c>
      <c r="B88" s="201">
        <v>5631</v>
      </c>
      <c r="C88" s="200">
        <v>5</v>
      </c>
      <c r="D88" s="203" t="s">
        <v>750</v>
      </c>
    </row>
    <row r="89" spans="1:4">
      <c r="A89" s="202" t="s">
        <v>91</v>
      </c>
      <c r="B89" s="201">
        <v>5642</v>
      </c>
      <c r="C89" s="200">
        <v>5</v>
      </c>
      <c r="D89" s="203" t="s">
        <v>750</v>
      </c>
    </row>
    <row r="90" spans="1:4">
      <c r="A90" s="202" t="s">
        <v>779</v>
      </c>
      <c r="B90" s="201">
        <v>5647</v>
      </c>
      <c r="C90" s="200">
        <v>5</v>
      </c>
      <c r="D90" s="203" t="s">
        <v>750</v>
      </c>
    </row>
    <row r="91" spans="1:4">
      <c r="A91" s="202" t="s">
        <v>123</v>
      </c>
      <c r="B91" s="201">
        <v>5649</v>
      </c>
      <c r="C91" s="200">
        <v>5</v>
      </c>
      <c r="D91" s="203" t="s">
        <v>750</v>
      </c>
    </row>
    <row r="92" spans="1:4">
      <c r="A92" s="202" t="s">
        <v>780</v>
      </c>
      <c r="B92" s="201">
        <v>5652</v>
      </c>
      <c r="C92" s="200">
        <v>5</v>
      </c>
      <c r="D92" s="203" t="s">
        <v>750</v>
      </c>
    </row>
    <row r="93" spans="1:4">
      <c r="A93" s="202" t="s">
        <v>781</v>
      </c>
      <c r="B93" s="201">
        <v>5656</v>
      </c>
      <c r="C93" s="200">
        <v>5</v>
      </c>
      <c r="D93" s="203" t="s">
        <v>750</v>
      </c>
    </row>
    <row r="94" spans="1:4">
      <c r="A94" s="202" t="s">
        <v>782</v>
      </c>
      <c r="B94" s="201">
        <v>5658</v>
      </c>
      <c r="C94" s="200">
        <v>5</v>
      </c>
      <c r="D94" s="203" t="s">
        <v>750</v>
      </c>
    </row>
    <row r="95" spans="1:4">
      <c r="A95" s="202" t="s">
        <v>92</v>
      </c>
      <c r="B95" s="201">
        <v>5659</v>
      </c>
      <c r="C95" s="200">
        <v>5</v>
      </c>
      <c r="D95" s="203" t="s">
        <v>750</v>
      </c>
    </row>
    <row r="96" spans="1:4">
      <c r="A96" s="202" t="s">
        <v>124</v>
      </c>
      <c r="B96" s="201">
        <v>5660</v>
      </c>
      <c r="C96" s="200">
        <v>5</v>
      </c>
      <c r="D96" s="203" t="s">
        <v>750</v>
      </c>
    </row>
    <row r="97" spans="1:4">
      <c r="A97" s="202" t="s">
        <v>783</v>
      </c>
      <c r="B97" s="201">
        <v>5664</v>
      </c>
      <c r="C97" s="200">
        <v>5</v>
      </c>
      <c r="D97" s="203" t="s">
        <v>750</v>
      </c>
    </row>
    <row r="98" spans="1:4">
      <c r="A98" s="202" t="s">
        <v>93</v>
      </c>
      <c r="B98" s="201">
        <v>5665</v>
      </c>
      <c r="C98" s="200">
        <v>5</v>
      </c>
      <c r="D98" s="203" t="s">
        <v>750</v>
      </c>
    </row>
    <row r="99" spans="1:4">
      <c r="A99" s="202" t="s">
        <v>125</v>
      </c>
      <c r="B99" s="201">
        <v>5667</v>
      </c>
      <c r="C99" s="200">
        <v>5</v>
      </c>
      <c r="D99" s="203" t="s">
        <v>750</v>
      </c>
    </row>
    <row r="100" spans="1:4">
      <c r="A100" s="202" t="s">
        <v>94</v>
      </c>
      <c r="B100" s="201">
        <v>5670</v>
      </c>
      <c r="C100" s="200">
        <v>5</v>
      </c>
      <c r="D100" s="203" t="s">
        <v>750</v>
      </c>
    </row>
    <row r="101" spans="1:4">
      <c r="A101" s="202" t="s">
        <v>126</v>
      </c>
      <c r="B101" s="201">
        <v>5674</v>
      </c>
      <c r="C101" s="200">
        <v>5</v>
      </c>
      <c r="D101" s="203" t="s">
        <v>750</v>
      </c>
    </row>
    <row r="102" spans="1:4">
      <c r="A102" s="202" t="s">
        <v>784</v>
      </c>
      <c r="B102" s="201">
        <v>5679</v>
      </c>
      <c r="C102" s="200">
        <v>5</v>
      </c>
      <c r="D102" s="203" t="s">
        <v>750</v>
      </c>
    </row>
    <row r="103" spans="1:4">
      <c r="A103" s="202" t="s">
        <v>785</v>
      </c>
      <c r="B103" s="201">
        <v>5686</v>
      </c>
      <c r="C103" s="200">
        <v>5</v>
      </c>
      <c r="D103" s="203" t="s">
        <v>750</v>
      </c>
    </row>
    <row r="104" spans="1:4">
      <c r="A104" s="202" t="s">
        <v>96</v>
      </c>
      <c r="B104" s="201">
        <v>5690</v>
      </c>
      <c r="C104" s="200">
        <v>5</v>
      </c>
      <c r="D104" s="203" t="s">
        <v>750</v>
      </c>
    </row>
    <row r="105" spans="1:4">
      <c r="A105" s="202" t="s">
        <v>114</v>
      </c>
      <c r="B105" s="201">
        <v>5697</v>
      </c>
      <c r="C105" s="200">
        <v>5</v>
      </c>
      <c r="D105" s="203" t="s">
        <v>750</v>
      </c>
    </row>
    <row r="106" spans="1:4">
      <c r="A106" s="202" t="s">
        <v>97</v>
      </c>
      <c r="B106" s="201">
        <v>5736</v>
      </c>
      <c r="C106" s="200">
        <v>5</v>
      </c>
      <c r="D106" s="203" t="s">
        <v>750</v>
      </c>
    </row>
    <row r="107" spans="1:4">
      <c r="A107" s="202" t="s">
        <v>127</v>
      </c>
      <c r="B107" s="201">
        <v>5756</v>
      </c>
      <c r="C107" s="200">
        <v>5</v>
      </c>
      <c r="D107" s="203" t="s">
        <v>750</v>
      </c>
    </row>
    <row r="108" spans="1:4">
      <c r="A108" s="202" t="s">
        <v>786</v>
      </c>
      <c r="B108" s="201">
        <v>5761</v>
      </c>
      <c r="C108" s="200">
        <v>5</v>
      </c>
      <c r="D108" s="203" t="s">
        <v>750</v>
      </c>
    </row>
    <row r="109" spans="1:4">
      <c r="A109" s="202" t="s">
        <v>98</v>
      </c>
      <c r="B109" s="201">
        <v>5789</v>
      </c>
      <c r="C109" s="200">
        <v>5</v>
      </c>
      <c r="D109" s="203" t="s">
        <v>750</v>
      </c>
    </row>
    <row r="110" spans="1:4">
      <c r="A110" s="202" t="s">
        <v>99</v>
      </c>
      <c r="B110" s="201">
        <v>5790</v>
      </c>
      <c r="C110" s="200">
        <v>5</v>
      </c>
      <c r="D110" s="203" t="s">
        <v>750</v>
      </c>
    </row>
    <row r="111" spans="1:4">
      <c r="A111" s="202" t="s">
        <v>787</v>
      </c>
      <c r="B111" s="201">
        <v>5792</v>
      </c>
      <c r="C111" s="200">
        <v>5</v>
      </c>
      <c r="D111" s="203" t="s">
        <v>750</v>
      </c>
    </row>
    <row r="112" spans="1:4">
      <c r="A112" s="202" t="s">
        <v>788</v>
      </c>
      <c r="B112" s="201">
        <v>5809</v>
      </c>
      <c r="C112" s="200">
        <v>5</v>
      </c>
      <c r="D112" s="203" t="s">
        <v>750</v>
      </c>
    </row>
    <row r="113" spans="1:4">
      <c r="A113" s="202" t="s">
        <v>789</v>
      </c>
      <c r="B113" s="201">
        <v>5819</v>
      </c>
      <c r="C113" s="200">
        <v>5</v>
      </c>
      <c r="D113" s="203" t="s">
        <v>750</v>
      </c>
    </row>
    <row r="114" spans="1:4">
      <c r="A114" s="202" t="s">
        <v>100</v>
      </c>
      <c r="B114" s="201">
        <v>5837</v>
      </c>
      <c r="C114" s="200">
        <v>5</v>
      </c>
      <c r="D114" s="203" t="s">
        <v>750</v>
      </c>
    </row>
    <row r="115" spans="1:4">
      <c r="A115" s="202" t="s">
        <v>790</v>
      </c>
      <c r="B115" s="201">
        <v>5842</v>
      </c>
      <c r="C115" s="200">
        <v>5</v>
      </c>
      <c r="D115" s="203" t="s">
        <v>750</v>
      </c>
    </row>
    <row r="116" spans="1:4">
      <c r="A116" s="202" t="s">
        <v>101</v>
      </c>
      <c r="B116" s="201">
        <v>5847</v>
      </c>
      <c r="C116" s="200">
        <v>5</v>
      </c>
      <c r="D116" s="203" t="s">
        <v>750</v>
      </c>
    </row>
    <row r="117" spans="1:4">
      <c r="A117" s="202" t="s">
        <v>102</v>
      </c>
      <c r="B117" s="201">
        <v>5854</v>
      </c>
      <c r="C117" s="200">
        <v>5</v>
      </c>
      <c r="D117" s="203" t="s">
        <v>750</v>
      </c>
    </row>
    <row r="118" spans="1:4">
      <c r="A118" s="202" t="s">
        <v>791</v>
      </c>
      <c r="B118" s="201">
        <v>5856</v>
      </c>
      <c r="C118" s="200">
        <v>5</v>
      </c>
      <c r="D118" s="203" t="s">
        <v>750</v>
      </c>
    </row>
    <row r="119" spans="1:4">
      <c r="A119" s="202" t="s">
        <v>792</v>
      </c>
      <c r="B119" s="201">
        <v>5858</v>
      </c>
      <c r="C119" s="200">
        <v>5</v>
      </c>
      <c r="D119" s="203" t="s">
        <v>750</v>
      </c>
    </row>
    <row r="120" spans="1:4">
      <c r="A120" s="202" t="s">
        <v>103</v>
      </c>
      <c r="B120" s="201">
        <v>5861</v>
      </c>
      <c r="C120" s="200">
        <v>5</v>
      </c>
      <c r="D120" s="203" t="s">
        <v>750</v>
      </c>
    </row>
    <row r="121" spans="1:4">
      <c r="A121" s="202" t="s">
        <v>104</v>
      </c>
      <c r="B121" s="201">
        <v>5873</v>
      </c>
      <c r="C121" s="200">
        <v>5</v>
      </c>
      <c r="D121" s="203" t="s">
        <v>750</v>
      </c>
    </row>
    <row r="122" spans="1:4">
      <c r="A122" s="202" t="s">
        <v>105</v>
      </c>
      <c r="B122" s="201">
        <v>5885</v>
      </c>
      <c r="C122" s="200">
        <v>5</v>
      </c>
      <c r="D122" s="203" t="s">
        <v>750</v>
      </c>
    </row>
    <row r="123" spans="1:4">
      <c r="A123" s="202" t="s">
        <v>106</v>
      </c>
      <c r="B123" s="201">
        <v>5887</v>
      </c>
      <c r="C123" s="200">
        <v>5</v>
      </c>
      <c r="D123" s="203" t="s">
        <v>750</v>
      </c>
    </row>
    <row r="124" spans="1:4">
      <c r="A124" s="202" t="s">
        <v>793</v>
      </c>
      <c r="B124" s="201">
        <v>5890</v>
      </c>
      <c r="C124" s="200">
        <v>5</v>
      </c>
      <c r="D124" s="203" t="s">
        <v>750</v>
      </c>
    </row>
    <row r="125" spans="1:4">
      <c r="A125" s="202" t="s">
        <v>107</v>
      </c>
      <c r="B125" s="201">
        <v>5893</v>
      </c>
      <c r="C125" s="200">
        <v>5</v>
      </c>
      <c r="D125" s="203" t="s">
        <v>750</v>
      </c>
    </row>
    <row r="126" spans="1:4">
      <c r="A126" s="202" t="s">
        <v>108</v>
      </c>
      <c r="B126" s="201">
        <v>5895</v>
      </c>
      <c r="C126" s="200">
        <v>5</v>
      </c>
      <c r="D126" s="203" t="s">
        <v>750</v>
      </c>
    </row>
    <row r="127" spans="1:4">
      <c r="A127" s="202" t="s">
        <v>128</v>
      </c>
      <c r="B127" s="201">
        <v>8001</v>
      </c>
      <c r="C127" s="200">
        <v>8</v>
      </c>
      <c r="D127" s="203" t="s">
        <v>794</v>
      </c>
    </row>
    <row r="128" spans="1:4">
      <c r="A128" s="202" t="s">
        <v>129</v>
      </c>
      <c r="B128" s="201">
        <v>8078</v>
      </c>
      <c r="C128" s="200">
        <v>8</v>
      </c>
      <c r="D128" s="203" t="s">
        <v>794</v>
      </c>
    </row>
    <row r="129" spans="1:4">
      <c r="A129" s="202" t="s">
        <v>130</v>
      </c>
      <c r="B129" s="201">
        <v>8137</v>
      </c>
      <c r="C129" s="200">
        <v>8</v>
      </c>
      <c r="D129" s="203" t="s">
        <v>794</v>
      </c>
    </row>
    <row r="130" spans="1:4">
      <c r="A130" s="202" t="s">
        <v>131</v>
      </c>
      <c r="B130" s="201">
        <v>8141</v>
      </c>
      <c r="C130" s="200">
        <v>8</v>
      </c>
      <c r="D130" s="203" t="s">
        <v>794</v>
      </c>
    </row>
    <row r="131" spans="1:4">
      <c r="A131" s="202" t="s">
        <v>132</v>
      </c>
      <c r="B131" s="201">
        <v>8296</v>
      </c>
      <c r="C131" s="200">
        <v>8</v>
      </c>
      <c r="D131" s="203" t="s">
        <v>794</v>
      </c>
    </row>
    <row r="132" spans="1:4">
      <c r="A132" s="202" t="s">
        <v>133</v>
      </c>
      <c r="B132" s="201">
        <v>8372</v>
      </c>
      <c r="C132" s="200">
        <v>8</v>
      </c>
      <c r="D132" s="203" t="s">
        <v>794</v>
      </c>
    </row>
    <row r="133" spans="1:4">
      <c r="A133" s="202" t="s">
        <v>134</v>
      </c>
      <c r="B133" s="201">
        <v>8421</v>
      </c>
      <c r="C133" s="200">
        <v>8</v>
      </c>
      <c r="D133" s="203" t="s">
        <v>794</v>
      </c>
    </row>
    <row r="134" spans="1:4">
      <c r="A134" s="202" t="s">
        <v>135</v>
      </c>
      <c r="B134" s="201">
        <v>8433</v>
      </c>
      <c r="C134" s="200">
        <v>8</v>
      </c>
      <c r="D134" s="203" t="s">
        <v>794</v>
      </c>
    </row>
    <row r="135" spans="1:4">
      <c r="A135" s="202" t="s">
        <v>136</v>
      </c>
      <c r="B135" s="201">
        <v>8436</v>
      </c>
      <c r="C135" s="200">
        <v>8</v>
      </c>
      <c r="D135" s="203" t="s">
        <v>794</v>
      </c>
    </row>
    <row r="136" spans="1:4">
      <c r="A136" s="202" t="s">
        <v>137</v>
      </c>
      <c r="B136" s="201">
        <v>8520</v>
      </c>
      <c r="C136" s="200">
        <v>8</v>
      </c>
      <c r="D136" s="203" t="s">
        <v>794</v>
      </c>
    </row>
    <row r="137" spans="1:4">
      <c r="A137" s="202" t="s">
        <v>138</v>
      </c>
      <c r="B137" s="201">
        <v>8549</v>
      </c>
      <c r="C137" s="200">
        <v>8</v>
      </c>
      <c r="D137" s="203" t="s">
        <v>794</v>
      </c>
    </row>
    <row r="138" spans="1:4">
      <c r="A138" s="202" t="s">
        <v>139</v>
      </c>
      <c r="B138" s="201">
        <v>8558</v>
      </c>
      <c r="C138" s="200">
        <v>8</v>
      </c>
      <c r="D138" s="203" t="s">
        <v>794</v>
      </c>
    </row>
    <row r="139" spans="1:4">
      <c r="A139" s="202" t="s">
        <v>140</v>
      </c>
      <c r="B139" s="201">
        <v>8560</v>
      </c>
      <c r="C139" s="200">
        <v>8</v>
      </c>
      <c r="D139" s="203" t="s">
        <v>794</v>
      </c>
    </row>
    <row r="140" spans="1:4">
      <c r="A140" s="202" t="s">
        <v>141</v>
      </c>
      <c r="B140" s="201">
        <v>8573</v>
      </c>
      <c r="C140" s="200">
        <v>8</v>
      </c>
      <c r="D140" s="203" t="s">
        <v>794</v>
      </c>
    </row>
    <row r="141" spans="1:4">
      <c r="A141" s="202" t="s">
        <v>142</v>
      </c>
      <c r="B141" s="201">
        <v>8606</v>
      </c>
      <c r="C141" s="200">
        <v>8</v>
      </c>
      <c r="D141" s="203" t="s">
        <v>794</v>
      </c>
    </row>
    <row r="142" spans="1:4">
      <c r="A142" s="202" t="s">
        <v>143</v>
      </c>
      <c r="B142" s="201">
        <v>8634</v>
      </c>
      <c r="C142" s="200">
        <v>8</v>
      </c>
      <c r="D142" s="203" t="s">
        <v>794</v>
      </c>
    </row>
    <row r="143" spans="1:4">
      <c r="A143" s="202" t="s">
        <v>144</v>
      </c>
      <c r="B143" s="201">
        <v>8638</v>
      </c>
      <c r="C143" s="200">
        <v>8</v>
      </c>
      <c r="D143" s="203" t="s">
        <v>794</v>
      </c>
    </row>
    <row r="144" spans="1:4">
      <c r="A144" s="202" t="s">
        <v>145</v>
      </c>
      <c r="B144" s="201">
        <v>8675</v>
      </c>
      <c r="C144" s="200">
        <v>8</v>
      </c>
      <c r="D144" s="203" t="s">
        <v>794</v>
      </c>
    </row>
    <row r="145" spans="1:4">
      <c r="A145" s="202" t="s">
        <v>146</v>
      </c>
      <c r="B145" s="201">
        <v>8685</v>
      </c>
      <c r="C145" s="200">
        <v>8</v>
      </c>
      <c r="D145" s="203" t="s">
        <v>794</v>
      </c>
    </row>
    <row r="146" spans="1:4">
      <c r="A146" s="202" t="s">
        <v>147</v>
      </c>
      <c r="B146" s="201">
        <v>8758</v>
      </c>
      <c r="C146" s="200">
        <v>8</v>
      </c>
      <c r="D146" s="203" t="s">
        <v>794</v>
      </c>
    </row>
    <row r="147" spans="1:4">
      <c r="A147" s="202" t="s">
        <v>148</v>
      </c>
      <c r="B147" s="201">
        <v>8770</v>
      </c>
      <c r="C147" s="200">
        <v>8</v>
      </c>
      <c r="D147" s="203" t="s">
        <v>794</v>
      </c>
    </row>
    <row r="148" spans="1:4">
      <c r="A148" s="202" t="s">
        <v>149</v>
      </c>
      <c r="B148" s="201">
        <v>8832</v>
      </c>
      <c r="C148" s="200">
        <v>8</v>
      </c>
      <c r="D148" s="203" t="s">
        <v>794</v>
      </c>
    </row>
    <row r="149" spans="1:4">
      <c r="A149" s="202" t="s">
        <v>150</v>
      </c>
      <c r="B149" s="201">
        <v>8849</v>
      </c>
      <c r="C149" s="200">
        <v>8</v>
      </c>
      <c r="D149" s="203" t="s">
        <v>794</v>
      </c>
    </row>
    <row r="150" spans="1:4">
      <c r="A150" s="202" t="s">
        <v>744</v>
      </c>
      <c r="B150" s="201">
        <v>11001</v>
      </c>
      <c r="C150" s="200">
        <v>11</v>
      </c>
      <c r="D150" s="203" t="s">
        <v>744</v>
      </c>
    </row>
    <row r="151" spans="1:4">
      <c r="A151" s="202" t="s">
        <v>151</v>
      </c>
      <c r="B151" s="201">
        <v>13001</v>
      </c>
      <c r="C151" s="200">
        <v>13</v>
      </c>
      <c r="D151" s="203" t="s">
        <v>654</v>
      </c>
    </row>
    <row r="152" spans="1:4">
      <c r="A152" s="202" t="s">
        <v>152</v>
      </c>
      <c r="B152" s="201">
        <v>13006</v>
      </c>
      <c r="C152" s="200">
        <v>13</v>
      </c>
      <c r="D152" s="203" t="s">
        <v>654</v>
      </c>
    </row>
    <row r="153" spans="1:4">
      <c r="A153" s="202" t="s">
        <v>153</v>
      </c>
      <c r="B153" s="201">
        <v>13030</v>
      </c>
      <c r="C153" s="200">
        <v>13</v>
      </c>
      <c r="D153" s="203" t="s">
        <v>654</v>
      </c>
    </row>
    <row r="154" spans="1:4">
      <c r="A154" s="202" t="s">
        <v>795</v>
      </c>
      <c r="B154" s="201">
        <v>13042</v>
      </c>
      <c r="C154" s="200">
        <v>13</v>
      </c>
      <c r="D154" s="203" t="s">
        <v>654</v>
      </c>
    </row>
    <row r="155" spans="1:4">
      <c r="A155" s="202" t="s">
        <v>154</v>
      </c>
      <c r="B155" s="201">
        <v>13052</v>
      </c>
      <c r="C155" s="200">
        <v>13</v>
      </c>
      <c r="D155" s="203" t="s">
        <v>654</v>
      </c>
    </row>
    <row r="156" spans="1:4">
      <c r="A156" s="202" t="s">
        <v>155</v>
      </c>
      <c r="B156" s="201">
        <v>13062</v>
      </c>
      <c r="C156" s="200">
        <v>13</v>
      </c>
      <c r="D156" s="203" t="s">
        <v>654</v>
      </c>
    </row>
    <row r="157" spans="1:4">
      <c r="A157" s="202" t="s">
        <v>156</v>
      </c>
      <c r="B157" s="201">
        <v>13074</v>
      </c>
      <c r="C157" s="200">
        <v>13</v>
      </c>
      <c r="D157" s="203" t="s">
        <v>654</v>
      </c>
    </row>
    <row r="158" spans="1:4">
      <c r="A158" s="202" t="s">
        <v>157</v>
      </c>
      <c r="B158" s="201">
        <v>13140</v>
      </c>
      <c r="C158" s="200">
        <v>13</v>
      </c>
      <c r="D158" s="203" t="s">
        <v>654</v>
      </c>
    </row>
    <row r="159" spans="1:4">
      <c r="A159" s="202" t="s">
        <v>158</v>
      </c>
      <c r="B159" s="201">
        <v>13160</v>
      </c>
      <c r="C159" s="200">
        <v>13</v>
      </c>
      <c r="D159" s="203" t="s">
        <v>654</v>
      </c>
    </row>
    <row r="160" spans="1:4">
      <c r="A160" s="202" t="s">
        <v>796</v>
      </c>
      <c r="B160" s="201">
        <v>13188</v>
      </c>
      <c r="C160" s="200">
        <v>13</v>
      </c>
      <c r="D160" s="203" t="s">
        <v>654</v>
      </c>
    </row>
    <row r="161" spans="1:4">
      <c r="A161" s="202" t="s">
        <v>555</v>
      </c>
      <c r="B161" s="201">
        <v>13212</v>
      </c>
      <c r="C161" s="200">
        <v>13</v>
      </c>
      <c r="D161" s="203" t="s">
        <v>654</v>
      </c>
    </row>
    <row r="162" spans="1:4">
      <c r="A162" s="202" t="s">
        <v>159</v>
      </c>
      <c r="B162" s="201">
        <v>13222</v>
      </c>
      <c r="C162" s="200">
        <v>13</v>
      </c>
      <c r="D162" s="203" t="s">
        <v>654</v>
      </c>
    </row>
    <row r="163" spans="1:4">
      <c r="A163" s="202" t="s">
        <v>160</v>
      </c>
      <c r="B163" s="201">
        <v>13244</v>
      </c>
      <c r="C163" s="200">
        <v>13</v>
      </c>
      <c r="D163" s="203" t="s">
        <v>654</v>
      </c>
    </row>
    <row r="164" spans="1:4">
      <c r="A164" s="202" t="s">
        <v>797</v>
      </c>
      <c r="B164" s="201">
        <v>13248</v>
      </c>
      <c r="C164" s="200">
        <v>13</v>
      </c>
      <c r="D164" s="203" t="s">
        <v>654</v>
      </c>
    </row>
    <row r="165" spans="1:4">
      <c r="A165" s="202" t="s">
        <v>798</v>
      </c>
      <c r="B165" s="201">
        <v>13268</v>
      </c>
      <c r="C165" s="200">
        <v>13</v>
      </c>
      <c r="D165" s="203" t="s">
        <v>654</v>
      </c>
    </row>
    <row r="166" spans="1:4">
      <c r="A166" s="202" t="s">
        <v>799</v>
      </c>
      <c r="B166" s="201">
        <v>13300</v>
      </c>
      <c r="C166" s="200">
        <v>13</v>
      </c>
      <c r="D166" s="203" t="s">
        <v>654</v>
      </c>
    </row>
    <row r="167" spans="1:4">
      <c r="A167" s="202" t="s">
        <v>161</v>
      </c>
      <c r="B167" s="201">
        <v>13430</v>
      </c>
      <c r="C167" s="200">
        <v>13</v>
      </c>
      <c r="D167" s="203" t="s">
        <v>654</v>
      </c>
    </row>
    <row r="168" spans="1:4">
      <c r="A168" s="202" t="s">
        <v>162</v>
      </c>
      <c r="B168" s="201">
        <v>13433</v>
      </c>
      <c r="C168" s="200">
        <v>13</v>
      </c>
      <c r="D168" s="203" t="s">
        <v>654</v>
      </c>
    </row>
    <row r="169" spans="1:4">
      <c r="A169" s="202" t="s">
        <v>800</v>
      </c>
      <c r="B169" s="201">
        <v>13440</v>
      </c>
      <c r="C169" s="200">
        <v>13</v>
      </c>
      <c r="D169" s="203" t="s">
        <v>654</v>
      </c>
    </row>
    <row r="170" spans="1:4">
      <c r="A170" s="202" t="s">
        <v>163</v>
      </c>
      <c r="B170" s="201">
        <v>13442</v>
      </c>
      <c r="C170" s="200">
        <v>13</v>
      </c>
      <c r="D170" s="203" t="s">
        <v>654</v>
      </c>
    </row>
    <row r="171" spans="1:4">
      <c r="A171" s="202" t="s">
        <v>165</v>
      </c>
      <c r="B171" s="201">
        <v>13458</v>
      </c>
      <c r="C171" s="200">
        <v>13</v>
      </c>
      <c r="D171" s="203" t="s">
        <v>654</v>
      </c>
    </row>
    <row r="172" spans="1:4">
      <c r="A172" s="202" t="s">
        <v>164</v>
      </c>
      <c r="B172" s="201">
        <v>13468</v>
      </c>
      <c r="C172" s="200">
        <v>13</v>
      </c>
      <c r="D172" s="203" t="s">
        <v>654</v>
      </c>
    </row>
    <row r="173" spans="1:4">
      <c r="A173" s="202" t="s">
        <v>166</v>
      </c>
      <c r="B173" s="201">
        <v>13473</v>
      </c>
      <c r="C173" s="200">
        <v>13</v>
      </c>
      <c r="D173" s="203" t="s">
        <v>654</v>
      </c>
    </row>
    <row r="174" spans="1:4">
      <c r="A174" s="202" t="s">
        <v>801</v>
      </c>
      <c r="B174" s="201">
        <v>13490</v>
      </c>
      <c r="C174" s="200">
        <v>13</v>
      </c>
      <c r="D174" s="203" t="s">
        <v>654</v>
      </c>
    </row>
    <row r="175" spans="1:4">
      <c r="A175" s="202" t="s">
        <v>802</v>
      </c>
      <c r="B175" s="201">
        <v>13549</v>
      </c>
      <c r="C175" s="200">
        <v>13</v>
      </c>
      <c r="D175" s="203" t="s">
        <v>654</v>
      </c>
    </row>
    <row r="176" spans="1:4">
      <c r="A176" s="202" t="s">
        <v>803</v>
      </c>
      <c r="B176" s="201">
        <v>13580</v>
      </c>
      <c r="C176" s="200">
        <v>13</v>
      </c>
      <c r="D176" s="203" t="s">
        <v>654</v>
      </c>
    </row>
    <row r="177" spans="1:4">
      <c r="A177" s="202" t="s">
        <v>804</v>
      </c>
      <c r="B177" s="201">
        <v>13600</v>
      </c>
      <c r="C177" s="200">
        <v>13</v>
      </c>
      <c r="D177" s="203" t="s">
        <v>654</v>
      </c>
    </row>
    <row r="178" spans="1:4">
      <c r="A178" s="202" t="s">
        <v>167</v>
      </c>
      <c r="B178" s="201">
        <v>13620</v>
      </c>
      <c r="C178" s="200">
        <v>13</v>
      </c>
      <c r="D178" s="203" t="s">
        <v>654</v>
      </c>
    </row>
    <row r="179" spans="1:4">
      <c r="A179" s="202" t="s">
        <v>805</v>
      </c>
      <c r="B179" s="201">
        <v>13647</v>
      </c>
      <c r="C179" s="200">
        <v>13</v>
      </c>
      <c r="D179" s="203" t="s">
        <v>654</v>
      </c>
    </row>
    <row r="180" spans="1:4">
      <c r="A180" s="202" t="s">
        <v>806</v>
      </c>
      <c r="B180" s="201">
        <v>13650</v>
      </c>
      <c r="C180" s="200">
        <v>13</v>
      </c>
      <c r="D180" s="203" t="s">
        <v>654</v>
      </c>
    </row>
    <row r="181" spans="1:4">
      <c r="A181" s="202" t="s">
        <v>168</v>
      </c>
      <c r="B181" s="201">
        <v>13654</v>
      </c>
      <c r="C181" s="200">
        <v>13</v>
      </c>
      <c r="D181" s="203" t="s">
        <v>654</v>
      </c>
    </row>
    <row r="182" spans="1:4">
      <c r="A182" s="202" t="s">
        <v>807</v>
      </c>
      <c r="B182" s="201">
        <v>13655</v>
      </c>
      <c r="C182" s="200">
        <v>13</v>
      </c>
      <c r="D182" s="203" t="s">
        <v>654</v>
      </c>
    </row>
    <row r="183" spans="1:4">
      <c r="A183" s="202" t="s">
        <v>169</v>
      </c>
      <c r="B183" s="201">
        <v>13657</v>
      </c>
      <c r="C183" s="200">
        <v>13</v>
      </c>
      <c r="D183" s="203" t="s">
        <v>654</v>
      </c>
    </row>
    <row r="184" spans="1:4">
      <c r="A184" s="202" t="s">
        <v>808</v>
      </c>
      <c r="B184" s="201">
        <v>13667</v>
      </c>
      <c r="C184" s="200">
        <v>13</v>
      </c>
      <c r="D184" s="203" t="s">
        <v>654</v>
      </c>
    </row>
    <row r="185" spans="1:4">
      <c r="A185" s="202" t="s">
        <v>170</v>
      </c>
      <c r="B185" s="201">
        <v>13670</v>
      </c>
      <c r="C185" s="200">
        <v>13</v>
      </c>
      <c r="D185" s="203" t="s">
        <v>654</v>
      </c>
    </row>
    <row r="186" spans="1:4">
      <c r="A186" s="202" t="s">
        <v>171</v>
      </c>
      <c r="B186" s="201">
        <v>13673</v>
      </c>
      <c r="C186" s="200">
        <v>13</v>
      </c>
      <c r="D186" s="203" t="s">
        <v>654</v>
      </c>
    </row>
    <row r="187" spans="1:4">
      <c r="A187" s="202" t="s">
        <v>172</v>
      </c>
      <c r="B187" s="201">
        <v>13683</v>
      </c>
      <c r="C187" s="200">
        <v>13</v>
      </c>
      <c r="D187" s="203" t="s">
        <v>654</v>
      </c>
    </row>
    <row r="188" spans="1:4">
      <c r="A188" s="202" t="s">
        <v>173</v>
      </c>
      <c r="B188" s="201">
        <v>13688</v>
      </c>
      <c r="C188" s="200">
        <v>13</v>
      </c>
      <c r="D188" s="203" t="s">
        <v>654</v>
      </c>
    </row>
    <row r="189" spans="1:4">
      <c r="A189" s="202" t="s">
        <v>174</v>
      </c>
      <c r="B189" s="201">
        <v>13744</v>
      </c>
      <c r="C189" s="200">
        <v>13</v>
      </c>
      <c r="D189" s="203" t="s">
        <v>654</v>
      </c>
    </row>
    <row r="190" spans="1:4">
      <c r="A190" s="202" t="s">
        <v>175</v>
      </c>
      <c r="B190" s="201">
        <v>13760</v>
      </c>
      <c r="C190" s="200">
        <v>13</v>
      </c>
      <c r="D190" s="203" t="s">
        <v>654</v>
      </c>
    </row>
    <row r="191" spans="1:4">
      <c r="A191" s="202" t="s">
        <v>176</v>
      </c>
      <c r="B191" s="201">
        <v>13780</v>
      </c>
      <c r="C191" s="200">
        <v>13</v>
      </c>
      <c r="D191" s="203" t="s">
        <v>654</v>
      </c>
    </row>
    <row r="192" spans="1:4">
      <c r="A192" s="202" t="s">
        <v>177</v>
      </c>
      <c r="B192" s="201">
        <v>13810</v>
      </c>
      <c r="C192" s="200">
        <v>13</v>
      </c>
      <c r="D192" s="203" t="s">
        <v>654</v>
      </c>
    </row>
    <row r="193" spans="1:4">
      <c r="A193" s="202" t="s">
        <v>178</v>
      </c>
      <c r="B193" s="201">
        <v>13836</v>
      </c>
      <c r="C193" s="200">
        <v>13</v>
      </c>
      <c r="D193" s="203" t="s">
        <v>654</v>
      </c>
    </row>
    <row r="194" spans="1:4">
      <c r="A194" s="202" t="s">
        <v>809</v>
      </c>
      <c r="B194" s="201">
        <v>13838</v>
      </c>
      <c r="C194" s="200">
        <v>13</v>
      </c>
      <c r="D194" s="203" t="s">
        <v>654</v>
      </c>
    </row>
    <row r="195" spans="1:4">
      <c r="A195" s="202" t="s">
        <v>179</v>
      </c>
      <c r="B195" s="201">
        <v>13873</v>
      </c>
      <c r="C195" s="200">
        <v>13</v>
      </c>
      <c r="D195" s="203" t="s">
        <v>654</v>
      </c>
    </row>
    <row r="196" spans="1:4">
      <c r="A196" s="202" t="s">
        <v>810</v>
      </c>
      <c r="B196" s="201">
        <v>13894</v>
      </c>
      <c r="C196" s="200">
        <v>13</v>
      </c>
      <c r="D196" s="203" t="s">
        <v>654</v>
      </c>
    </row>
    <row r="197" spans="1:4">
      <c r="A197" s="202" t="s">
        <v>181</v>
      </c>
      <c r="B197" s="201">
        <v>15001</v>
      </c>
      <c r="C197" s="200">
        <v>15</v>
      </c>
      <c r="D197" s="203" t="s">
        <v>811</v>
      </c>
    </row>
    <row r="198" spans="1:4">
      <c r="A198" s="202" t="s">
        <v>812</v>
      </c>
      <c r="B198" s="201">
        <v>15022</v>
      </c>
      <c r="C198" s="200">
        <v>15</v>
      </c>
      <c r="D198" s="203" t="s">
        <v>811</v>
      </c>
    </row>
    <row r="199" spans="1:4">
      <c r="A199" s="202" t="s">
        <v>182</v>
      </c>
      <c r="B199" s="201">
        <v>15047</v>
      </c>
      <c r="C199" s="200">
        <v>15</v>
      </c>
      <c r="D199" s="203" t="s">
        <v>811</v>
      </c>
    </row>
    <row r="200" spans="1:4">
      <c r="A200" s="202" t="s">
        <v>813</v>
      </c>
      <c r="B200" s="201">
        <v>15051</v>
      </c>
      <c r="C200" s="200">
        <v>15</v>
      </c>
      <c r="D200" s="203" t="s">
        <v>811</v>
      </c>
    </row>
    <row r="201" spans="1:4">
      <c r="A201" s="202" t="s">
        <v>814</v>
      </c>
      <c r="B201" s="201">
        <v>15087</v>
      </c>
      <c r="C201" s="200">
        <v>15</v>
      </c>
      <c r="D201" s="203" t="s">
        <v>811</v>
      </c>
    </row>
    <row r="202" spans="1:4">
      <c r="A202" s="202" t="s">
        <v>815</v>
      </c>
      <c r="B202" s="201">
        <v>15090</v>
      </c>
      <c r="C202" s="200">
        <v>15</v>
      </c>
      <c r="D202" s="203" t="s">
        <v>811</v>
      </c>
    </row>
    <row r="203" spans="1:4">
      <c r="A203" s="202" t="s">
        <v>816</v>
      </c>
      <c r="B203" s="201">
        <v>15092</v>
      </c>
      <c r="C203" s="200">
        <v>15</v>
      </c>
      <c r="D203" s="203" t="s">
        <v>811</v>
      </c>
    </row>
    <row r="204" spans="1:4">
      <c r="A204" s="202" t="s">
        <v>817</v>
      </c>
      <c r="B204" s="201">
        <v>15097</v>
      </c>
      <c r="C204" s="200">
        <v>15</v>
      </c>
      <c r="D204" s="203" t="s">
        <v>811</v>
      </c>
    </row>
    <row r="205" spans="1:4">
      <c r="A205" s="202" t="s">
        <v>811</v>
      </c>
      <c r="B205" s="201">
        <v>15104</v>
      </c>
      <c r="C205" s="200">
        <v>15</v>
      </c>
      <c r="D205" s="203" t="s">
        <v>811</v>
      </c>
    </row>
    <row r="206" spans="1:4">
      <c r="A206" s="202" t="s">
        <v>55</v>
      </c>
      <c r="B206" s="201">
        <v>15106</v>
      </c>
      <c r="C206" s="200">
        <v>15</v>
      </c>
      <c r="D206" s="203" t="s">
        <v>811</v>
      </c>
    </row>
    <row r="207" spans="1:4">
      <c r="A207" s="202" t="s">
        <v>818</v>
      </c>
      <c r="B207" s="201">
        <v>15109</v>
      </c>
      <c r="C207" s="200">
        <v>15</v>
      </c>
      <c r="D207" s="203" t="s">
        <v>811</v>
      </c>
    </row>
    <row r="208" spans="1:4">
      <c r="A208" s="202" t="s">
        <v>819</v>
      </c>
      <c r="B208" s="201">
        <v>15114</v>
      </c>
      <c r="C208" s="200">
        <v>15</v>
      </c>
      <c r="D208" s="203" t="s">
        <v>811</v>
      </c>
    </row>
    <row r="209" spans="1:4">
      <c r="A209" s="202" t="s">
        <v>820</v>
      </c>
      <c r="B209" s="201">
        <v>15131</v>
      </c>
      <c r="C209" s="200">
        <v>15</v>
      </c>
      <c r="D209" s="203" t="s">
        <v>811</v>
      </c>
    </row>
    <row r="210" spans="1:4">
      <c r="A210" s="202" t="s">
        <v>821</v>
      </c>
      <c r="B210" s="201">
        <v>15135</v>
      </c>
      <c r="C210" s="200">
        <v>15</v>
      </c>
      <c r="D210" s="203" t="s">
        <v>811</v>
      </c>
    </row>
    <row r="211" spans="1:4">
      <c r="A211" s="202" t="s">
        <v>822</v>
      </c>
      <c r="B211" s="201">
        <v>15162</v>
      </c>
      <c r="C211" s="200">
        <v>15</v>
      </c>
      <c r="D211" s="203" t="s">
        <v>811</v>
      </c>
    </row>
    <row r="212" spans="1:4">
      <c r="A212" s="202" t="s">
        <v>823</v>
      </c>
      <c r="B212" s="201">
        <v>15172</v>
      </c>
      <c r="C212" s="200">
        <v>15</v>
      </c>
      <c r="D212" s="203" t="s">
        <v>811</v>
      </c>
    </row>
    <row r="213" spans="1:4">
      <c r="A213" s="202" t="s">
        <v>183</v>
      </c>
      <c r="B213" s="201">
        <v>15176</v>
      </c>
      <c r="C213" s="200">
        <v>15</v>
      </c>
      <c r="D213" s="203" t="s">
        <v>811</v>
      </c>
    </row>
    <row r="214" spans="1:4">
      <c r="A214" s="202" t="s">
        <v>824</v>
      </c>
      <c r="B214" s="201">
        <v>15180</v>
      </c>
      <c r="C214" s="200">
        <v>15</v>
      </c>
      <c r="D214" s="203" t="s">
        <v>811</v>
      </c>
    </row>
    <row r="215" spans="1:4">
      <c r="A215" s="202" t="s">
        <v>825</v>
      </c>
      <c r="B215" s="201">
        <v>15183</v>
      </c>
      <c r="C215" s="200">
        <v>15</v>
      </c>
      <c r="D215" s="203" t="s">
        <v>811</v>
      </c>
    </row>
    <row r="216" spans="1:4">
      <c r="A216" s="202" t="s">
        <v>826</v>
      </c>
      <c r="B216" s="201">
        <v>15185</v>
      </c>
      <c r="C216" s="200">
        <v>15</v>
      </c>
      <c r="D216" s="203" t="s">
        <v>811</v>
      </c>
    </row>
    <row r="217" spans="1:4">
      <c r="A217" s="202" t="s">
        <v>827</v>
      </c>
      <c r="B217" s="201">
        <v>15187</v>
      </c>
      <c r="C217" s="200">
        <v>15</v>
      </c>
      <c r="D217" s="203" t="s">
        <v>811</v>
      </c>
    </row>
    <row r="218" spans="1:4">
      <c r="A218" s="202" t="s">
        <v>828</v>
      </c>
      <c r="B218" s="201">
        <v>15189</v>
      </c>
      <c r="C218" s="200">
        <v>15</v>
      </c>
      <c r="D218" s="203" t="s">
        <v>811</v>
      </c>
    </row>
    <row r="219" spans="1:4">
      <c r="A219" s="202" t="s">
        <v>184</v>
      </c>
      <c r="B219" s="201">
        <v>15204</v>
      </c>
      <c r="C219" s="200">
        <v>15</v>
      </c>
      <c r="D219" s="203" t="s">
        <v>811</v>
      </c>
    </row>
    <row r="220" spans="1:4">
      <c r="A220" s="202" t="s">
        <v>829</v>
      </c>
      <c r="B220" s="201">
        <v>15212</v>
      </c>
      <c r="C220" s="200">
        <v>15</v>
      </c>
      <c r="D220" s="203" t="s">
        <v>811</v>
      </c>
    </row>
    <row r="221" spans="1:4">
      <c r="A221" s="202" t="s">
        <v>185</v>
      </c>
      <c r="B221" s="201">
        <v>15215</v>
      </c>
      <c r="C221" s="200">
        <v>15</v>
      </c>
      <c r="D221" s="203" t="s">
        <v>811</v>
      </c>
    </row>
    <row r="222" spans="1:4">
      <c r="A222" s="202" t="s">
        <v>186</v>
      </c>
      <c r="B222" s="201">
        <v>15218</v>
      </c>
      <c r="C222" s="200">
        <v>15</v>
      </c>
      <c r="D222" s="203" t="s">
        <v>811</v>
      </c>
    </row>
    <row r="223" spans="1:4">
      <c r="A223" s="202" t="s">
        <v>830</v>
      </c>
      <c r="B223" s="201">
        <v>15223</v>
      </c>
      <c r="C223" s="200">
        <v>15</v>
      </c>
      <c r="D223" s="203" t="s">
        <v>811</v>
      </c>
    </row>
    <row r="224" spans="1:4">
      <c r="A224" s="202" t="s">
        <v>187</v>
      </c>
      <c r="B224" s="201">
        <v>15224</v>
      </c>
      <c r="C224" s="200">
        <v>15</v>
      </c>
      <c r="D224" s="203" t="s">
        <v>811</v>
      </c>
    </row>
    <row r="225" spans="1:4">
      <c r="A225" s="202" t="s">
        <v>188</v>
      </c>
      <c r="B225" s="201">
        <v>15226</v>
      </c>
      <c r="C225" s="200">
        <v>15</v>
      </c>
      <c r="D225" s="203" t="s">
        <v>811</v>
      </c>
    </row>
    <row r="226" spans="1:4">
      <c r="A226" s="202" t="s">
        <v>831</v>
      </c>
      <c r="B226" s="201">
        <v>15232</v>
      </c>
      <c r="C226" s="200">
        <v>15</v>
      </c>
      <c r="D226" s="203" t="s">
        <v>811</v>
      </c>
    </row>
    <row r="227" spans="1:4">
      <c r="A227" s="202" t="s">
        <v>832</v>
      </c>
      <c r="B227" s="201">
        <v>15236</v>
      </c>
      <c r="C227" s="200">
        <v>15</v>
      </c>
      <c r="D227" s="203" t="s">
        <v>811</v>
      </c>
    </row>
    <row r="228" spans="1:4">
      <c r="A228" s="202" t="s">
        <v>189</v>
      </c>
      <c r="B228" s="201">
        <v>15238</v>
      </c>
      <c r="C228" s="200">
        <v>15</v>
      </c>
      <c r="D228" s="203" t="s">
        <v>811</v>
      </c>
    </row>
    <row r="229" spans="1:4">
      <c r="A229" s="202" t="s">
        <v>190</v>
      </c>
      <c r="B229" s="201">
        <v>15244</v>
      </c>
      <c r="C229" s="200">
        <v>15</v>
      </c>
      <c r="D229" s="203" t="s">
        <v>811</v>
      </c>
    </row>
    <row r="230" spans="1:4">
      <c r="A230" s="202" t="s">
        <v>191</v>
      </c>
      <c r="B230" s="201">
        <v>15248</v>
      </c>
      <c r="C230" s="200">
        <v>15</v>
      </c>
      <c r="D230" s="203" t="s">
        <v>811</v>
      </c>
    </row>
    <row r="231" spans="1:4">
      <c r="A231" s="202" t="s">
        <v>192</v>
      </c>
      <c r="B231" s="201">
        <v>15272</v>
      </c>
      <c r="C231" s="200">
        <v>15</v>
      </c>
      <c r="D231" s="203" t="s">
        <v>811</v>
      </c>
    </row>
    <row r="232" spans="1:4">
      <c r="A232" s="202" t="s">
        <v>193</v>
      </c>
      <c r="B232" s="201">
        <v>15276</v>
      </c>
      <c r="C232" s="200">
        <v>15</v>
      </c>
      <c r="D232" s="203" t="s">
        <v>811</v>
      </c>
    </row>
    <row r="233" spans="1:4">
      <c r="A233" s="202" t="s">
        <v>194</v>
      </c>
      <c r="B233" s="201">
        <v>15293</v>
      </c>
      <c r="C233" s="200">
        <v>15</v>
      </c>
      <c r="D233" s="203" t="s">
        <v>811</v>
      </c>
    </row>
    <row r="234" spans="1:4">
      <c r="A234" s="202" t="s">
        <v>195</v>
      </c>
      <c r="B234" s="201">
        <v>15296</v>
      </c>
      <c r="C234" s="200">
        <v>15</v>
      </c>
      <c r="D234" s="203" t="s">
        <v>811</v>
      </c>
    </row>
    <row r="235" spans="1:4">
      <c r="A235" s="202" t="s">
        <v>196</v>
      </c>
      <c r="B235" s="201">
        <v>15299</v>
      </c>
      <c r="C235" s="200">
        <v>15</v>
      </c>
      <c r="D235" s="203" t="s">
        <v>811</v>
      </c>
    </row>
    <row r="236" spans="1:4">
      <c r="A236" s="202" t="s">
        <v>833</v>
      </c>
      <c r="B236" s="201">
        <v>15317</v>
      </c>
      <c r="C236" s="200">
        <v>15</v>
      </c>
      <c r="D236" s="203" t="s">
        <v>811</v>
      </c>
    </row>
    <row r="237" spans="1:4">
      <c r="A237" s="202" t="s">
        <v>197</v>
      </c>
      <c r="B237" s="201">
        <v>15322</v>
      </c>
      <c r="C237" s="200">
        <v>15</v>
      </c>
      <c r="D237" s="203" t="s">
        <v>811</v>
      </c>
    </row>
    <row r="238" spans="1:4">
      <c r="A238" s="202" t="s">
        <v>834</v>
      </c>
      <c r="B238" s="201">
        <v>15325</v>
      </c>
      <c r="C238" s="200">
        <v>15</v>
      </c>
      <c r="D238" s="203" t="s">
        <v>811</v>
      </c>
    </row>
    <row r="239" spans="1:4">
      <c r="A239" s="202" t="s">
        <v>835</v>
      </c>
      <c r="B239" s="201">
        <v>15332</v>
      </c>
      <c r="C239" s="200">
        <v>15</v>
      </c>
      <c r="D239" s="203" t="s">
        <v>811</v>
      </c>
    </row>
    <row r="240" spans="1:4">
      <c r="A240" s="202" t="s">
        <v>836</v>
      </c>
      <c r="B240" s="201">
        <v>15362</v>
      </c>
      <c r="C240" s="200">
        <v>15</v>
      </c>
      <c r="D240" s="203" t="s">
        <v>811</v>
      </c>
    </row>
    <row r="241" spans="1:4">
      <c r="A241" s="202" t="s">
        <v>837</v>
      </c>
      <c r="B241" s="201">
        <v>15367</v>
      </c>
      <c r="C241" s="200">
        <v>15</v>
      </c>
      <c r="D241" s="203" t="s">
        <v>811</v>
      </c>
    </row>
    <row r="242" spans="1:4">
      <c r="A242" s="202" t="s">
        <v>1298</v>
      </c>
      <c r="B242" s="201">
        <v>15368</v>
      </c>
      <c r="C242" s="200">
        <v>15</v>
      </c>
      <c r="D242" s="203" t="s">
        <v>811</v>
      </c>
    </row>
    <row r="243" spans="1:4">
      <c r="A243" s="202" t="s">
        <v>838</v>
      </c>
      <c r="B243" s="201">
        <v>15377</v>
      </c>
      <c r="C243" s="200">
        <v>15</v>
      </c>
      <c r="D243" s="203" t="s">
        <v>811</v>
      </c>
    </row>
    <row r="244" spans="1:4">
      <c r="A244" s="202" t="s">
        <v>839</v>
      </c>
      <c r="B244" s="201">
        <v>15380</v>
      </c>
      <c r="C244" s="200">
        <v>15</v>
      </c>
      <c r="D244" s="203" t="s">
        <v>811</v>
      </c>
    </row>
    <row r="245" spans="1:4">
      <c r="A245" s="202" t="s">
        <v>840</v>
      </c>
      <c r="B245" s="201">
        <v>15401</v>
      </c>
      <c r="C245" s="200">
        <v>15</v>
      </c>
      <c r="D245" s="203" t="s">
        <v>811</v>
      </c>
    </row>
    <row r="246" spans="1:4">
      <c r="A246" s="202" t="s">
        <v>841</v>
      </c>
      <c r="B246" s="201">
        <v>15403</v>
      </c>
      <c r="C246" s="200">
        <v>15</v>
      </c>
      <c r="D246" s="203" t="s">
        <v>811</v>
      </c>
    </row>
    <row r="247" spans="1:4">
      <c r="A247" s="202" t="s">
        <v>211</v>
      </c>
      <c r="B247" s="201">
        <v>15407</v>
      </c>
      <c r="C247" s="200">
        <v>15</v>
      </c>
      <c r="D247" s="203" t="s">
        <v>811</v>
      </c>
    </row>
    <row r="248" spans="1:4">
      <c r="A248" s="202" t="s">
        <v>842</v>
      </c>
      <c r="B248" s="201">
        <v>15425</v>
      </c>
      <c r="C248" s="200">
        <v>15</v>
      </c>
      <c r="D248" s="203" t="s">
        <v>811</v>
      </c>
    </row>
    <row r="249" spans="1:4">
      <c r="A249" s="202" t="s">
        <v>843</v>
      </c>
      <c r="B249" s="201">
        <v>15442</v>
      </c>
      <c r="C249" s="200">
        <v>15</v>
      </c>
      <c r="D249" s="203" t="s">
        <v>811</v>
      </c>
    </row>
    <row r="250" spans="1:4">
      <c r="A250" s="202" t="s">
        <v>844</v>
      </c>
      <c r="B250" s="201">
        <v>15455</v>
      </c>
      <c r="C250" s="200">
        <v>15</v>
      </c>
      <c r="D250" s="203" t="s">
        <v>811</v>
      </c>
    </row>
    <row r="251" spans="1:4">
      <c r="A251" s="202" t="s">
        <v>845</v>
      </c>
      <c r="B251" s="201">
        <v>15464</v>
      </c>
      <c r="C251" s="200">
        <v>15</v>
      </c>
      <c r="D251" s="203" t="s">
        <v>811</v>
      </c>
    </row>
    <row r="252" spans="1:4">
      <c r="A252" s="202" t="s">
        <v>846</v>
      </c>
      <c r="B252" s="201">
        <v>15466</v>
      </c>
      <c r="C252" s="200">
        <v>15</v>
      </c>
      <c r="D252" s="203" t="s">
        <v>811</v>
      </c>
    </row>
    <row r="253" spans="1:4">
      <c r="A253" s="202" t="s">
        <v>198</v>
      </c>
      <c r="B253" s="201">
        <v>15469</v>
      </c>
      <c r="C253" s="200">
        <v>15</v>
      </c>
      <c r="D253" s="203" t="s">
        <v>811</v>
      </c>
    </row>
    <row r="254" spans="1:4">
      <c r="A254" s="202" t="s">
        <v>847</v>
      </c>
      <c r="B254" s="201">
        <v>15476</v>
      </c>
      <c r="C254" s="200">
        <v>15</v>
      </c>
      <c r="D254" s="203" t="s">
        <v>811</v>
      </c>
    </row>
    <row r="255" spans="1:4">
      <c r="A255" s="202" t="s">
        <v>199</v>
      </c>
      <c r="B255" s="201">
        <v>15480</v>
      </c>
      <c r="C255" s="200">
        <v>15</v>
      </c>
      <c r="D255" s="203" t="s">
        <v>811</v>
      </c>
    </row>
    <row r="256" spans="1:4">
      <c r="A256" s="202" t="s">
        <v>848</v>
      </c>
      <c r="B256" s="201">
        <v>15491</v>
      </c>
      <c r="C256" s="200">
        <v>15</v>
      </c>
      <c r="D256" s="203" t="s">
        <v>811</v>
      </c>
    </row>
    <row r="257" spans="1:4">
      <c r="A257" s="202" t="s">
        <v>849</v>
      </c>
      <c r="B257" s="201">
        <v>15494</v>
      </c>
      <c r="C257" s="200">
        <v>15</v>
      </c>
      <c r="D257" s="203" t="s">
        <v>811</v>
      </c>
    </row>
    <row r="258" spans="1:4">
      <c r="A258" s="202" t="s">
        <v>850</v>
      </c>
      <c r="B258" s="201">
        <v>15500</v>
      </c>
      <c r="C258" s="200">
        <v>15</v>
      </c>
      <c r="D258" s="203" t="s">
        <v>811</v>
      </c>
    </row>
    <row r="259" spans="1:4">
      <c r="A259" s="202" t="s">
        <v>851</v>
      </c>
      <c r="B259" s="201">
        <v>15507</v>
      </c>
      <c r="C259" s="200">
        <v>15</v>
      </c>
      <c r="D259" s="203" t="s">
        <v>811</v>
      </c>
    </row>
    <row r="260" spans="1:4">
      <c r="A260" s="202" t="s">
        <v>852</v>
      </c>
      <c r="B260" s="201">
        <v>15511</v>
      </c>
      <c r="C260" s="200">
        <v>15</v>
      </c>
      <c r="D260" s="203" t="s">
        <v>811</v>
      </c>
    </row>
    <row r="261" spans="1:4">
      <c r="A261" s="202" t="s">
        <v>853</v>
      </c>
      <c r="B261" s="201">
        <v>15514</v>
      </c>
      <c r="C261" s="200">
        <v>15</v>
      </c>
      <c r="D261" s="203" t="s">
        <v>811</v>
      </c>
    </row>
    <row r="262" spans="1:4">
      <c r="A262" s="202" t="s">
        <v>200</v>
      </c>
      <c r="B262" s="201">
        <v>15516</v>
      </c>
      <c r="C262" s="200">
        <v>15</v>
      </c>
      <c r="D262" s="203" t="s">
        <v>811</v>
      </c>
    </row>
    <row r="263" spans="1:4">
      <c r="A263" s="202" t="s">
        <v>854</v>
      </c>
      <c r="B263" s="201">
        <v>15518</v>
      </c>
      <c r="C263" s="200">
        <v>15</v>
      </c>
      <c r="D263" s="203" t="s">
        <v>811</v>
      </c>
    </row>
    <row r="264" spans="1:4">
      <c r="A264" s="202" t="s">
        <v>855</v>
      </c>
      <c r="B264" s="201">
        <v>15522</v>
      </c>
      <c r="C264" s="200">
        <v>15</v>
      </c>
      <c r="D264" s="203" t="s">
        <v>811</v>
      </c>
    </row>
    <row r="265" spans="1:4">
      <c r="A265" s="202" t="s">
        <v>856</v>
      </c>
      <c r="B265" s="201">
        <v>15531</v>
      </c>
      <c r="C265" s="200">
        <v>15</v>
      </c>
      <c r="D265" s="203" t="s">
        <v>811</v>
      </c>
    </row>
    <row r="266" spans="1:4">
      <c r="A266" s="202" t="s">
        <v>857</v>
      </c>
      <c r="B266" s="201">
        <v>15533</v>
      </c>
      <c r="C266" s="200">
        <v>15</v>
      </c>
      <c r="D266" s="203" t="s">
        <v>811</v>
      </c>
    </row>
    <row r="267" spans="1:4">
      <c r="A267" s="202" t="s">
        <v>201</v>
      </c>
      <c r="B267" s="201">
        <v>15537</v>
      </c>
      <c r="C267" s="200">
        <v>15</v>
      </c>
      <c r="D267" s="203" t="s">
        <v>811</v>
      </c>
    </row>
    <row r="268" spans="1:4">
      <c r="A268" s="202" t="s">
        <v>202</v>
      </c>
      <c r="B268" s="201">
        <v>15542</v>
      </c>
      <c r="C268" s="200">
        <v>15</v>
      </c>
      <c r="D268" s="203" t="s">
        <v>811</v>
      </c>
    </row>
    <row r="269" spans="1:4">
      <c r="A269" s="202" t="s">
        <v>858</v>
      </c>
      <c r="B269" s="201">
        <v>15550</v>
      </c>
      <c r="C269" s="200">
        <v>15</v>
      </c>
      <c r="D269" s="203" t="s">
        <v>811</v>
      </c>
    </row>
    <row r="270" spans="1:4">
      <c r="A270" s="202" t="s">
        <v>203</v>
      </c>
      <c r="B270" s="201">
        <v>15572</v>
      </c>
      <c r="C270" s="200">
        <v>15</v>
      </c>
      <c r="D270" s="203" t="s">
        <v>811</v>
      </c>
    </row>
    <row r="271" spans="1:4">
      <c r="A271" s="202" t="s">
        <v>859</v>
      </c>
      <c r="B271" s="201">
        <v>15580</v>
      </c>
      <c r="C271" s="200">
        <v>15</v>
      </c>
      <c r="D271" s="203" t="s">
        <v>811</v>
      </c>
    </row>
    <row r="272" spans="1:4">
      <c r="A272" s="202" t="s">
        <v>860</v>
      </c>
      <c r="B272" s="201">
        <v>15599</v>
      </c>
      <c r="C272" s="200">
        <v>15</v>
      </c>
      <c r="D272" s="203" t="s">
        <v>811</v>
      </c>
    </row>
    <row r="273" spans="1:4">
      <c r="A273" s="202" t="s">
        <v>861</v>
      </c>
      <c r="B273" s="201">
        <v>15600</v>
      </c>
      <c r="C273" s="200">
        <v>15</v>
      </c>
      <c r="D273" s="203" t="s">
        <v>811</v>
      </c>
    </row>
    <row r="274" spans="1:4">
      <c r="A274" s="202" t="s">
        <v>862</v>
      </c>
      <c r="B274" s="201">
        <v>15621</v>
      </c>
      <c r="C274" s="200">
        <v>15</v>
      </c>
      <c r="D274" s="203" t="s">
        <v>811</v>
      </c>
    </row>
    <row r="275" spans="1:4">
      <c r="A275" s="202" t="s">
        <v>863</v>
      </c>
      <c r="B275" s="201">
        <v>15632</v>
      </c>
      <c r="C275" s="200">
        <v>15</v>
      </c>
      <c r="D275" s="203" t="s">
        <v>811</v>
      </c>
    </row>
    <row r="276" spans="1:4">
      <c r="A276" s="202" t="s">
        <v>864</v>
      </c>
      <c r="B276" s="201">
        <v>15638</v>
      </c>
      <c r="C276" s="200">
        <v>15</v>
      </c>
      <c r="D276" s="203" t="s">
        <v>811</v>
      </c>
    </row>
    <row r="277" spans="1:4">
      <c r="A277" s="202" t="s">
        <v>204</v>
      </c>
      <c r="B277" s="201">
        <v>15646</v>
      </c>
      <c r="C277" s="200">
        <v>15</v>
      </c>
      <c r="D277" s="203" t="s">
        <v>811</v>
      </c>
    </row>
    <row r="278" spans="1:4">
      <c r="A278" s="202" t="s">
        <v>865</v>
      </c>
      <c r="B278" s="201">
        <v>15660</v>
      </c>
      <c r="C278" s="200">
        <v>15</v>
      </c>
      <c r="D278" s="203" t="s">
        <v>811</v>
      </c>
    </row>
    <row r="279" spans="1:4">
      <c r="A279" s="202" t="s">
        <v>866</v>
      </c>
      <c r="B279" s="201">
        <v>15664</v>
      </c>
      <c r="C279" s="200">
        <v>15</v>
      </c>
      <c r="D279" s="203" t="s">
        <v>811</v>
      </c>
    </row>
    <row r="280" spans="1:4">
      <c r="A280" s="202" t="s">
        <v>867</v>
      </c>
      <c r="B280" s="201">
        <v>15667</v>
      </c>
      <c r="C280" s="200">
        <v>15</v>
      </c>
      <c r="D280" s="203" t="s">
        <v>811</v>
      </c>
    </row>
    <row r="281" spans="1:4">
      <c r="A281" s="202" t="s">
        <v>868</v>
      </c>
      <c r="B281" s="201">
        <v>15673</v>
      </c>
      <c r="C281" s="200">
        <v>15</v>
      </c>
      <c r="D281" s="203" t="s">
        <v>811</v>
      </c>
    </row>
    <row r="282" spans="1:4">
      <c r="A282" s="202" t="s">
        <v>869</v>
      </c>
      <c r="B282" s="201">
        <v>15676</v>
      </c>
      <c r="C282" s="200">
        <v>15</v>
      </c>
      <c r="D282" s="203" t="s">
        <v>811</v>
      </c>
    </row>
    <row r="283" spans="1:4">
      <c r="A283" s="202" t="s">
        <v>870</v>
      </c>
      <c r="B283" s="201">
        <v>15681</v>
      </c>
      <c r="C283" s="200">
        <v>15</v>
      </c>
      <c r="D283" s="203" t="s">
        <v>811</v>
      </c>
    </row>
    <row r="284" spans="1:4">
      <c r="A284" s="202" t="s">
        <v>206</v>
      </c>
      <c r="B284" s="201">
        <v>15686</v>
      </c>
      <c r="C284" s="200">
        <v>15</v>
      </c>
      <c r="D284" s="203" t="s">
        <v>811</v>
      </c>
    </row>
    <row r="285" spans="1:4">
      <c r="A285" s="202" t="s">
        <v>871</v>
      </c>
      <c r="B285" s="201">
        <v>15690</v>
      </c>
      <c r="C285" s="200">
        <v>15</v>
      </c>
      <c r="D285" s="203" t="s">
        <v>811</v>
      </c>
    </row>
    <row r="286" spans="1:4">
      <c r="A286" s="202" t="s">
        <v>205</v>
      </c>
      <c r="B286" s="201">
        <v>15693</v>
      </c>
      <c r="C286" s="200">
        <v>15</v>
      </c>
      <c r="D286" s="203" t="s">
        <v>811</v>
      </c>
    </row>
    <row r="287" spans="1:4">
      <c r="A287" s="202" t="s">
        <v>872</v>
      </c>
      <c r="B287" s="201">
        <v>15696</v>
      </c>
      <c r="C287" s="200">
        <v>15</v>
      </c>
      <c r="D287" s="203" t="s">
        <v>811</v>
      </c>
    </row>
    <row r="288" spans="1:4">
      <c r="A288" s="202" t="s">
        <v>873</v>
      </c>
      <c r="B288" s="201">
        <v>15720</v>
      </c>
      <c r="C288" s="200">
        <v>15</v>
      </c>
      <c r="D288" s="203" t="s">
        <v>811</v>
      </c>
    </row>
    <row r="289" spans="1:4">
      <c r="A289" s="202" t="s">
        <v>874</v>
      </c>
      <c r="B289" s="201">
        <v>15723</v>
      </c>
      <c r="C289" s="200">
        <v>15</v>
      </c>
      <c r="D289" s="203" t="s">
        <v>811</v>
      </c>
    </row>
    <row r="290" spans="1:4">
      <c r="A290" s="202" t="s">
        <v>875</v>
      </c>
      <c r="B290" s="201">
        <v>15740</v>
      </c>
      <c r="C290" s="200">
        <v>15</v>
      </c>
      <c r="D290" s="203" t="s">
        <v>811</v>
      </c>
    </row>
    <row r="291" spans="1:4">
      <c r="A291" s="202" t="s">
        <v>876</v>
      </c>
      <c r="B291" s="201">
        <v>15753</v>
      </c>
      <c r="C291" s="200">
        <v>15</v>
      </c>
      <c r="D291" s="203" t="s">
        <v>811</v>
      </c>
    </row>
    <row r="292" spans="1:4">
      <c r="A292" s="202" t="s">
        <v>207</v>
      </c>
      <c r="B292" s="201">
        <v>15755</v>
      </c>
      <c r="C292" s="200">
        <v>15</v>
      </c>
      <c r="D292" s="203" t="s">
        <v>811</v>
      </c>
    </row>
    <row r="293" spans="1:4">
      <c r="A293" s="202" t="s">
        <v>877</v>
      </c>
      <c r="B293" s="201">
        <v>15757</v>
      </c>
      <c r="C293" s="200">
        <v>15</v>
      </c>
      <c r="D293" s="203" t="s">
        <v>811</v>
      </c>
    </row>
    <row r="294" spans="1:4">
      <c r="A294" s="202" t="s">
        <v>208</v>
      </c>
      <c r="B294" s="201">
        <v>15759</v>
      </c>
      <c r="C294" s="200">
        <v>15</v>
      </c>
      <c r="D294" s="203" t="s">
        <v>811</v>
      </c>
    </row>
    <row r="295" spans="1:4">
      <c r="A295" s="202" t="s">
        <v>878</v>
      </c>
      <c r="B295" s="201">
        <v>15761</v>
      </c>
      <c r="C295" s="200">
        <v>15</v>
      </c>
      <c r="D295" s="203" t="s">
        <v>811</v>
      </c>
    </row>
    <row r="296" spans="1:4">
      <c r="A296" s="202" t="s">
        <v>879</v>
      </c>
      <c r="B296" s="201">
        <v>15762</v>
      </c>
      <c r="C296" s="200">
        <v>15</v>
      </c>
      <c r="D296" s="203" t="s">
        <v>811</v>
      </c>
    </row>
    <row r="297" spans="1:4">
      <c r="A297" s="202" t="s">
        <v>880</v>
      </c>
      <c r="B297" s="201">
        <v>15763</v>
      </c>
      <c r="C297" s="200">
        <v>15</v>
      </c>
      <c r="D297" s="203" t="s">
        <v>811</v>
      </c>
    </row>
    <row r="298" spans="1:4">
      <c r="A298" s="202" t="s">
        <v>881</v>
      </c>
      <c r="B298" s="201">
        <v>15764</v>
      </c>
      <c r="C298" s="200">
        <v>15</v>
      </c>
      <c r="D298" s="203" t="s">
        <v>811</v>
      </c>
    </row>
    <row r="299" spans="1:4">
      <c r="A299" s="202" t="s">
        <v>882</v>
      </c>
      <c r="B299" s="201">
        <v>15774</v>
      </c>
      <c r="C299" s="200">
        <v>15</v>
      </c>
      <c r="D299" s="203" t="s">
        <v>811</v>
      </c>
    </row>
    <row r="300" spans="1:4">
      <c r="A300" s="202" t="s">
        <v>883</v>
      </c>
      <c r="B300" s="201">
        <v>15776</v>
      </c>
      <c r="C300" s="200">
        <v>15</v>
      </c>
      <c r="D300" s="203" t="s">
        <v>811</v>
      </c>
    </row>
    <row r="301" spans="1:4">
      <c r="A301" s="202" t="s">
        <v>884</v>
      </c>
      <c r="B301" s="201">
        <v>15778</v>
      </c>
      <c r="C301" s="200">
        <v>15</v>
      </c>
      <c r="D301" s="203" t="s">
        <v>811</v>
      </c>
    </row>
    <row r="302" spans="1:4">
      <c r="A302" s="202" t="s">
        <v>885</v>
      </c>
      <c r="B302" s="201">
        <v>15790</v>
      </c>
      <c r="C302" s="200">
        <v>15</v>
      </c>
      <c r="D302" s="203" t="s">
        <v>811</v>
      </c>
    </row>
    <row r="303" spans="1:4">
      <c r="A303" s="202" t="s">
        <v>886</v>
      </c>
      <c r="B303" s="201">
        <v>15798</v>
      </c>
      <c r="C303" s="200">
        <v>15</v>
      </c>
      <c r="D303" s="203" t="s">
        <v>811</v>
      </c>
    </row>
    <row r="304" spans="1:4">
      <c r="A304" s="202" t="s">
        <v>887</v>
      </c>
      <c r="B304" s="201">
        <v>15804</v>
      </c>
      <c r="C304" s="200">
        <v>15</v>
      </c>
      <c r="D304" s="203" t="s">
        <v>811</v>
      </c>
    </row>
    <row r="305" spans="1:4">
      <c r="A305" s="202" t="s">
        <v>888</v>
      </c>
      <c r="B305" s="201">
        <v>15806</v>
      </c>
      <c r="C305" s="200">
        <v>15</v>
      </c>
      <c r="D305" s="203" t="s">
        <v>811</v>
      </c>
    </row>
    <row r="306" spans="1:4">
      <c r="A306" s="202" t="s">
        <v>889</v>
      </c>
      <c r="B306" s="201">
        <v>15808</v>
      </c>
      <c r="C306" s="200">
        <v>15</v>
      </c>
      <c r="D306" s="203" t="s">
        <v>811</v>
      </c>
    </row>
    <row r="307" spans="1:4">
      <c r="A307" s="202" t="s">
        <v>209</v>
      </c>
      <c r="B307" s="201">
        <v>15810</v>
      </c>
      <c r="C307" s="200">
        <v>15</v>
      </c>
      <c r="D307" s="203" t="s">
        <v>811</v>
      </c>
    </row>
    <row r="308" spans="1:4">
      <c r="A308" s="202" t="s">
        <v>210</v>
      </c>
      <c r="B308" s="201">
        <v>15814</v>
      </c>
      <c r="C308" s="200">
        <v>15</v>
      </c>
      <c r="D308" s="203" t="s">
        <v>811</v>
      </c>
    </row>
    <row r="309" spans="1:4">
      <c r="A309" s="202" t="s">
        <v>890</v>
      </c>
      <c r="B309" s="201">
        <v>15816</v>
      </c>
      <c r="C309" s="200">
        <v>15</v>
      </c>
      <c r="D309" s="203" t="s">
        <v>811</v>
      </c>
    </row>
    <row r="310" spans="1:4">
      <c r="A310" s="202" t="s">
        <v>891</v>
      </c>
      <c r="B310" s="201">
        <v>15820</v>
      </c>
      <c r="C310" s="200">
        <v>15</v>
      </c>
      <c r="D310" s="203" t="s">
        <v>811</v>
      </c>
    </row>
    <row r="311" spans="1:4">
      <c r="A311" s="202" t="s">
        <v>892</v>
      </c>
      <c r="B311" s="201">
        <v>15822</v>
      </c>
      <c r="C311" s="200">
        <v>15</v>
      </c>
      <c r="D311" s="203" t="s">
        <v>811</v>
      </c>
    </row>
    <row r="312" spans="1:4">
      <c r="A312" s="202" t="s">
        <v>893</v>
      </c>
      <c r="B312" s="201">
        <v>15832</v>
      </c>
      <c r="C312" s="200">
        <v>15</v>
      </c>
      <c r="D312" s="203" t="s">
        <v>811</v>
      </c>
    </row>
    <row r="313" spans="1:4">
      <c r="A313" s="202" t="s">
        <v>894</v>
      </c>
      <c r="B313" s="201">
        <v>15835</v>
      </c>
      <c r="C313" s="200">
        <v>15</v>
      </c>
      <c r="D313" s="203" t="s">
        <v>811</v>
      </c>
    </row>
    <row r="314" spans="1:4">
      <c r="A314" s="202" t="s">
        <v>895</v>
      </c>
      <c r="B314" s="201">
        <v>15837</v>
      </c>
      <c r="C314" s="200">
        <v>15</v>
      </c>
      <c r="D314" s="203" t="s">
        <v>811</v>
      </c>
    </row>
    <row r="315" spans="1:4">
      <c r="A315" s="202" t="s">
        <v>896</v>
      </c>
      <c r="B315" s="201">
        <v>15839</v>
      </c>
      <c r="C315" s="200">
        <v>15</v>
      </c>
      <c r="D315" s="203" t="s">
        <v>811</v>
      </c>
    </row>
    <row r="316" spans="1:4">
      <c r="A316" s="202" t="s">
        <v>897</v>
      </c>
      <c r="B316" s="201">
        <v>15842</v>
      </c>
      <c r="C316" s="200">
        <v>15</v>
      </c>
      <c r="D316" s="203" t="s">
        <v>811</v>
      </c>
    </row>
    <row r="317" spans="1:4">
      <c r="A317" s="202" t="s">
        <v>898</v>
      </c>
      <c r="B317" s="201">
        <v>15861</v>
      </c>
      <c r="C317" s="200">
        <v>15</v>
      </c>
      <c r="D317" s="203" t="s">
        <v>811</v>
      </c>
    </row>
    <row r="318" spans="1:4">
      <c r="A318" s="202" t="s">
        <v>899</v>
      </c>
      <c r="B318" s="201">
        <v>15879</v>
      </c>
      <c r="C318" s="200">
        <v>15</v>
      </c>
      <c r="D318" s="203" t="s">
        <v>811</v>
      </c>
    </row>
    <row r="319" spans="1:4">
      <c r="A319" s="202" t="s">
        <v>900</v>
      </c>
      <c r="B319" s="201">
        <v>15897</v>
      </c>
      <c r="C319" s="200">
        <v>15</v>
      </c>
      <c r="D319" s="203" t="s">
        <v>811</v>
      </c>
    </row>
    <row r="320" spans="1:4">
      <c r="A320" s="202" t="s">
        <v>213</v>
      </c>
      <c r="B320" s="201">
        <v>17001</v>
      </c>
      <c r="C320" s="200">
        <v>17</v>
      </c>
      <c r="D320" s="203" t="s">
        <v>820</v>
      </c>
    </row>
    <row r="321" spans="1:4">
      <c r="A321" s="202" t="s">
        <v>214</v>
      </c>
      <c r="B321" s="201">
        <v>17013</v>
      </c>
      <c r="C321" s="200">
        <v>17</v>
      </c>
      <c r="D321" s="203" t="s">
        <v>820</v>
      </c>
    </row>
    <row r="322" spans="1:4">
      <c r="A322" s="202" t="s">
        <v>215</v>
      </c>
      <c r="B322" s="201">
        <v>17042</v>
      </c>
      <c r="C322" s="200">
        <v>17</v>
      </c>
      <c r="D322" s="203" t="s">
        <v>820</v>
      </c>
    </row>
    <row r="323" spans="1:4">
      <c r="A323" s="202" t="s">
        <v>216</v>
      </c>
      <c r="B323" s="201">
        <v>17050</v>
      </c>
      <c r="C323" s="200">
        <v>17</v>
      </c>
      <c r="D323" s="203" t="s">
        <v>820</v>
      </c>
    </row>
    <row r="324" spans="1:4">
      <c r="A324" s="202" t="s">
        <v>217</v>
      </c>
      <c r="B324" s="201">
        <v>17088</v>
      </c>
      <c r="C324" s="200">
        <v>17</v>
      </c>
      <c r="D324" s="203" t="s">
        <v>820</v>
      </c>
    </row>
    <row r="325" spans="1:4">
      <c r="A325" s="202" t="s">
        <v>218</v>
      </c>
      <c r="B325" s="201">
        <v>17174</v>
      </c>
      <c r="C325" s="200">
        <v>17</v>
      </c>
      <c r="D325" s="203" t="s">
        <v>820</v>
      </c>
    </row>
    <row r="326" spans="1:4">
      <c r="A326" s="202" t="s">
        <v>219</v>
      </c>
      <c r="B326" s="201">
        <v>17272</v>
      </c>
      <c r="C326" s="200">
        <v>17</v>
      </c>
      <c r="D326" s="203" t="s">
        <v>820</v>
      </c>
    </row>
    <row r="327" spans="1:4">
      <c r="A327" s="202" t="s">
        <v>220</v>
      </c>
      <c r="B327" s="201">
        <v>17380</v>
      </c>
      <c r="C327" s="200">
        <v>17</v>
      </c>
      <c r="D327" s="203" t="s">
        <v>820</v>
      </c>
    </row>
    <row r="328" spans="1:4">
      <c r="A328" s="202" t="s">
        <v>221</v>
      </c>
      <c r="B328" s="201">
        <v>17388</v>
      </c>
      <c r="C328" s="200">
        <v>17</v>
      </c>
      <c r="D328" s="203" t="s">
        <v>820</v>
      </c>
    </row>
    <row r="329" spans="1:4">
      <c r="A329" s="202" t="s">
        <v>222</v>
      </c>
      <c r="B329" s="201">
        <v>17433</v>
      </c>
      <c r="C329" s="200">
        <v>17</v>
      </c>
      <c r="D329" s="203" t="s">
        <v>820</v>
      </c>
    </row>
    <row r="330" spans="1:4">
      <c r="A330" s="202" t="s">
        <v>223</v>
      </c>
      <c r="B330" s="201">
        <v>17442</v>
      </c>
      <c r="C330" s="200">
        <v>17</v>
      </c>
      <c r="D330" s="203" t="s">
        <v>820</v>
      </c>
    </row>
    <row r="331" spans="1:4">
      <c r="A331" s="202" t="s">
        <v>224</v>
      </c>
      <c r="B331" s="201">
        <v>17444</v>
      </c>
      <c r="C331" s="200">
        <v>17</v>
      </c>
      <c r="D331" s="203" t="s">
        <v>820</v>
      </c>
    </row>
    <row r="332" spans="1:4">
      <c r="A332" s="202" t="s">
        <v>225</v>
      </c>
      <c r="B332" s="201">
        <v>17446</v>
      </c>
      <c r="C332" s="200">
        <v>17</v>
      </c>
      <c r="D332" s="203" t="s">
        <v>820</v>
      </c>
    </row>
    <row r="333" spans="1:4">
      <c r="A333" s="202" t="s">
        <v>226</v>
      </c>
      <c r="B333" s="201">
        <v>17486</v>
      </c>
      <c r="C333" s="200">
        <v>17</v>
      </c>
      <c r="D333" s="203" t="s">
        <v>820</v>
      </c>
    </row>
    <row r="334" spans="1:4">
      <c r="A334" s="202" t="s">
        <v>227</v>
      </c>
      <c r="B334" s="201">
        <v>17495</v>
      </c>
      <c r="C334" s="200">
        <v>17</v>
      </c>
      <c r="D334" s="203" t="s">
        <v>820</v>
      </c>
    </row>
    <row r="335" spans="1:4">
      <c r="A335" s="202" t="s">
        <v>228</v>
      </c>
      <c r="B335" s="201">
        <v>17513</v>
      </c>
      <c r="C335" s="200">
        <v>17</v>
      </c>
      <c r="D335" s="203" t="s">
        <v>820</v>
      </c>
    </row>
    <row r="336" spans="1:4">
      <c r="A336" s="202" t="s">
        <v>229</v>
      </c>
      <c r="B336" s="201">
        <v>17524</v>
      </c>
      <c r="C336" s="200">
        <v>17</v>
      </c>
      <c r="D336" s="203" t="s">
        <v>820</v>
      </c>
    </row>
    <row r="337" spans="1:4">
      <c r="A337" s="202" t="s">
        <v>230</v>
      </c>
      <c r="B337" s="201">
        <v>17541</v>
      </c>
      <c r="C337" s="200">
        <v>17</v>
      </c>
      <c r="D337" s="203" t="s">
        <v>820</v>
      </c>
    </row>
    <row r="338" spans="1:4">
      <c r="A338" s="202" t="s">
        <v>231</v>
      </c>
      <c r="B338" s="201">
        <v>17614</v>
      </c>
      <c r="C338" s="200">
        <v>17</v>
      </c>
      <c r="D338" s="203" t="s">
        <v>820</v>
      </c>
    </row>
    <row r="339" spans="1:4">
      <c r="A339" s="202" t="s">
        <v>232</v>
      </c>
      <c r="B339" s="201">
        <v>17616</v>
      </c>
      <c r="C339" s="200">
        <v>17</v>
      </c>
      <c r="D339" s="203" t="s">
        <v>820</v>
      </c>
    </row>
    <row r="340" spans="1:4">
      <c r="A340" s="202" t="s">
        <v>233</v>
      </c>
      <c r="B340" s="201">
        <v>17653</v>
      </c>
      <c r="C340" s="200">
        <v>17</v>
      </c>
      <c r="D340" s="203" t="s">
        <v>820</v>
      </c>
    </row>
    <row r="341" spans="1:4">
      <c r="A341" s="202" t="s">
        <v>234</v>
      </c>
      <c r="B341" s="201">
        <v>17662</v>
      </c>
      <c r="C341" s="200">
        <v>17</v>
      </c>
      <c r="D341" s="203" t="s">
        <v>820</v>
      </c>
    </row>
    <row r="342" spans="1:4">
      <c r="A342" s="202" t="s">
        <v>235</v>
      </c>
      <c r="B342" s="201">
        <v>17665</v>
      </c>
      <c r="C342" s="200">
        <v>17</v>
      </c>
      <c r="D342" s="203" t="s">
        <v>820</v>
      </c>
    </row>
    <row r="343" spans="1:4">
      <c r="A343" s="202" t="s">
        <v>236</v>
      </c>
      <c r="B343" s="201">
        <v>17777</v>
      </c>
      <c r="C343" s="200">
        <v>17</v>
      </c>
      <c r="D343" s="203" t="s">
        <v>820</v>
      </c>
    </row>
    <row r="344" spans="1:4">
      <c r="A344" s="202" t="s">
        <v>237</v>
      </c>
      <c r="B344" s="201">
        <v>17867</v>
      </c>
      <c r="C344" s="200">
        <v>17</v>
      </c>
      <c r="D344" s="203" t="s">
        <v>820</v>
      </c>
    </row>
    <row r="345" spans="1:4">
      <c r="A345" s="202" t="s">
        <v>238</v>
      </c>
      <c r="B345" s="201">
        <v>17873</v>
      </c>
      <c r="C345" s="200">
        <v>17</v>
      </c>
      <c r="D345" s="203" t="s">
        <v>820</v>
      </c>
    </row>
    <row r="346" spans="1:4">
      <c r="A346" s="202" t="s">
        <v>239</v>
      </c>
      <c r="B346" s="201">
        <v>17877</v>
      </c>
      <c r="C346" s="200">
        <v>17</v>
      </c>
      <c r="D346" s="203" t="s">
        <v>820</v>
      </c>
    </row>
    <row r="347" spans="1:4">
      <c r="A347" s="202" t="s">
        <v>240</v>
      </c>
      <c r="B347" s="201">
        <v>18001</v>
      </c>
      <c r="C347" s="200">
        <v>18</v>
      </c>
      <c r="D347" s="203" t="s">
        <v>901</v>
      </c>
    </row>
    <row r="348" spans="1:4">
      <c r="A348" s="202" t="s">
        <v>902</v>
      </c>
      <c r="B348" s="201">
        <v>18029</v>
      </c>
      <c r="C348" s="200">
        <v>18</v>
      </c>
      <c r="D348" s="203" t="s">
        <v>901</v>
      </c>
    </row>
    <row r="349" spans="1:4">
      <c r="A349" s="202" t="s">
        <v>241</v>
      </c>
      <c r="B349" s="201">
        <v>18094</v>
      </c>
      <c r="C349" s="200">
        <v>18</v>
      </c>
      <c r="D349" s="203" t="s">
        <v>901</v>
      </c>
    </row>
    <row r="350" spans="1:4">
      <c r="A350" s="202" t="s">
        <v>242</v>
      </c>
      <c r="B350" s="201">
        <v>18150</v>
      </c>
      <c r="C350" s="200">
        <v>18</v>
      </c>
      <c r="D350" s="203" t="s">
        <v>901</v>
      </c>
    </row>
    <row r="351" spans="1:4">
      <c r="A351" s="202" t="s">
        <v>903</v>
      </c>
      <c r="B351" s="201">
        <v>18205</v>
      </c>
      <c r="C351" s="200">
        <v>18</v>
      </c>
      <c r="D351" s="203" t="s">
        <v>901</v>
      </c>
    </row>
    <row r="352" spans="1:4">
      <c r="A352" s="202" t="s">
        <v>243</v>
      </c>
      <c r="B352" s="201">
        <v>18247</v>
      </c>
      <c r="C352" s="200">
        <v>18</v>
      </c>
      <c r="D352" s="203" t="s">
        <v>901</v>
      </c>
    </row>
    <row r="353" spans="1:4">
      <c r="A353" s="202" t="s">
        <v>244</v>
      </c>
      <c r="B353" s="201">
        <v>18256</v>
      </c>
      <c r="C353" s="200">
        <v>18</v>
      </c>
      <c r="D353" s="203" t="s">
        <v>901</v>
      </c>
    </row>
    <row r="354" spans="1:4">
      <c r="A354" s="202" t="s">
        <v>245</v>
      </c>
      <c r="B354" s="201">
        <v>18410</v>
      </c>
      <c r="C354" s="200">
        <v>18</v>
      </c>
      <c r="D354" s="203" t="s">
        <v>901</v>
      </c>
    </row>
    <row r="355" spans="1:4">
      <c r="A355" s="202" t="s">
        <v>246</v>
      </c>
      <c r="B355" s="201">
        <v>18460</v>
      </c>
      <c r="C355" s="200">
        <v>18</v>
      </c>
      <c r="D355" s="203" t="s">
        <v>901</v>
      </c>
    </row>
    <row r="356" spans="1:4">
      <c r="A356" s="202" t="s">
        <v>904</v>
      </c>
      <c r="B356" s="201">
        <v>18479</v>
      </c>
      <c r="C356" s="200">
        <v>18</v>
      </c>
      <c r="D356" s="203" t="s">
        <v>901</v>
      </c>
    </row>
    <row r="357" spans="1:4">
      <c r="A357" s="202" t="s">
        <v>247</v>
      </c>
      <c r="B357" s="201">
        <v>18592</v>
      </c>
      <c r="C357" s="200">
        <v>18</v>
      </c>
      <c r="D357" s="203" t="s">
        <v>901</v>
      </c>
    </row>
    <row r="358" spans="1:4">
      <c r="A358" s="202" t="s">
        <v>248</v>
      </c>
      <c r="B358" s="201">
        <v>18610</v>
      </c>
      <c r="C358" s="200">
        <v>18</v>
      </c>
      <c r="D358" s="203" t="s">
        <v>901</v>
      </c>
    </row>
    <row r="359" spans="1:4">
      <c r="A359" s="202" t="s">
        <v>249</v>
      </c>
      <c r="B359" s="201">
        <v>18753</v>
      </c>
      <c r="C359" s="200">
        <v>18</v>
      </c>
      <c r="D359" s="203" t="s">
        <v>901</v>
      </c>
    </row>
    <row r="360" spans="1:4">
      <c r="A360" s="202" t="s">
        <v>250</v>
      </c>
      <c r="B360" s="201">
        <v>18756</v>
      </c>
      <c r="C360" s="200">
        <v>18</v>
      </c>
      <c r="D360" s="203" t="s">
        <v>901</v>
      </c>
    </row>
    <row r="361" spans="1:4">
      <c r="A361" s="202" t="s">
        <v>251</v>
      </c>
      <c r="B361" s="201">
        <v>18785</v>
      </c>
      <c r="C361" s="200">
        <v>18</v>
      </c>
      <c r="D361" s="203" t="s">
        <v>901</v>
      </c>
    </row>
    <row r="362" spans="1:4">
      <c r="A362" s="202" t="s">
        <v>252</v>
      </c>
      <c r="B362" s="201">
        <v>18860</v>
      </c>
      <c r="C362" s="200">
        <v>18</v>
      </c>
      <c r="D362" s="203" t="s">
        <v>901</v>
      </c>
    </row>
    <row r="363" spans="1:4">
      <c r="A363" s="202" t="s">
        <v>254</v>
      </c>
      <c r="B363" s="201">
        <v>19001</v>
      </c>
      <c r="C363" s="200">
        <v>19</v>
      </c>
      <c r="D363" s="203" t="s">
        <v>905</v>
      </c>
    </row>
    <row r="364" spans="1:4">
      <c r="A364" s="202" t="s">
        <v>255</v>
      </c>
      <c r="B364" s="201">
        <v>19022</v>
      </c>
      <c r="C364" s="200">
        <v>19</v>
      </c>
      <c r="D364" s="203" t="s">
        <v>905</v>
      </c>
    </row>
    <row r="365" spans="1:4">
      <c r="A365" s="202" t="s">
        <v>256</v>
      </c>
      <c r="B365" s="201">
        <v>19050</v>
      </c>
      <c r="C365" s="200">
        <v>19</v>
      </c>
      <c r="D365" s="203" t="s">
        <v>905</v>
      </c>
    </row>
    <row r="366" spans="1:4">
      <c r="A366" s="202" t="s">
        <v>257</v>
      </c>
      <c r="B366" s="201">
        <v>19075</v>
      </c>
      <c r="C366" s="200">
        <v>19</v>
      </c>
      <c r="D366" s="203" t="s">
        <v>905</v>
      </c>
    </row>
    <row r="367" spans="1:4">
      <c r="A367" s="202" t="s">
        <v>258</v>
      </c>
      <c r="B367" s="201">
        <v>19100</v>
      </c>
      <c r="C367" s="200">
        <v>19</v>
      </c>
      <c r="D367" s="203" t="s">
        <v>905</v>
      </c>
    </row>
    <row r="368" spans="1:4">
      <c r="A368" s="202" t="s">
        <v>259</v>
      </c>
      <c r="B368" s="201">
        <v>19110</v>
      </c>
      <c r="C368" s="200">
        <v>19</v>
      </c>
      <c r="D368" s="203" t="s">
        <v>905</v>
      </c>
    </row>
    <row r="369" spans="1:4">
      <c r="A369" s="202" t="s">
        <v>260</v>
      </c>
      <c r="B369" s="201">
        <v>19130</v>
      </c>
      <c r="C369" s="200">
        <v>19</v>
      </c>
      <c r="D369" s="203" t="s">
        <v>905</v>
      </c>
    </row>
    <row r="370" spans="1:4">
      <c r="A370" s="202" t="s">
        <v>261</v>
      </c>
      <c r="B370" s="201">
        <v>19137</v>
      </c>
      <c r="C370" s="200">
        <v>19</v>
      </c>
      <c r="D370" s="203" t="s">
        <v>905</v>
      </c>
    </row>
    <row r="371" spans="1:4">
      <c r="A371" s="202" t="s">
        <v>262</v>
      </c>
      <c r="B371" s="201">
        <v>19142</v>
      </c>
      <c r="C371" s="200">
        <v>19</v>
      </c>
      <c r="D371" s="203" t="s">
        <v>905</v>
      </c>
    </row>
    <row r="372" spans="1:4">
      <c r="A372" s="202" t="s">
        <v>263</v>
      </c>
      <c r="B372" s="201">
        <v>19212</v>
      </c>
      <c r="C372" s="200">
        <v>19</v>
      </c>
      <c r="D372" s="203" t="s">
        <v>905</v>
      </c>
    </row>
    <row r="373" spans="1:4">
      <c r="A373" s="202" t="s">
        <v>264</v>
      </c>
      <c r="B373" s="201">
        <v>19256</v>
      </c>
      <c r="C373" s="200">
        <v>19</v>
      </c>
      <c r="D373" s="203" t="s">
        <v>905</v>
      </c>
    </row>
    <row r="374" spans="1:4">
      <c r="A374" s="202" t="s">
        <v>240</v>
      </c>
      <c r="B374" s="201">
        <v>19290</v>
      </c>
      <c r="C374" s="200">
        <v>19</v>
      </c>
      <c r="D374" s="203" t="s">
        <v>905</v>
      </c>
    </row>
    <row r="375" spans="1:4">
      <c r="A375" s="202" t="s">
        <v>265</v>
      </c>
      <c r="B375" s="201">
        <v>19300</v>
      </c>
      <c r="C375" s="200">
        <v>19</v>
      </c>
      <c r="D375" s="203" t="s">
        <v>905</v>
      </c>
    </row>
    <row r="376" spans="1:4">
      <c r="A376" s="202" t="s">
        <v>266</v>
      </c>
      <c r="B376" s="201">
        <v>19318</v>
      </c>
      <c r="C376" s="200">
        <v>19</v>
      </c>
      <c r="D376" s="203" t="s">
        <v>905</v>
      </c>
    </row>
    <row r="377" spans="1:4">
      <c r="A377" s="202" t="s">
        <v>267</v>
      </c>
      <c r="B377" s="201">
        <v>19355</v>
      </c>
      <c r="C377" s="200">
        <v>19</v>
      </c>
      <c r="D377" s="203" t="s">
        <v>905</v>
      </c>
    </row>
    <row r="378" spans="1:4">
      <c r="A378" s="202" t="s">
        <v>906</v>
      </c>
      <c r="B378" s="201">
        <v>19364</v>
      </c>
      <c r="C378" s="200">
        <v>19</v>
      </c>
      <c r="D378" s="203" t="s">
        <v>905</v>
      </c>
    </row>
    <row r="379" spans="1:4">
      <c r="A379" s="202" t="s">
        <v>907</v>
      </c>
      <c r="B379" s="201">
        <v>19392</v>
      </c>
      <c r="C379" s="200">
        <v>19</v>
      </c>
      <c r="D379" s="203" t="s">
        <v>905</v>
      </c>
    </row>
    <row r="380" spans="1:4">
      <c r="A380" s="202" t="s">
        <v>268</v>
      </c>
      <c r="B380" s="201">
        <v>19397</v>
      </c>
      <c r="C380" s="200">
        <v>19</v>
      </c>
      <c r="D380" s="203" t="s">
        <v>905</v>
      </c>
    </row>
    <row r="381" spans="1:4">
      <c r="A381" s="202" t="s">
        <v>269</v>
      </c>
      <c r="B381" s="201">
        <v>19418</v>
      </c>
      <c r="C381" s="200">
        <v>19</v>
      </c>
      <c r="D381" s="203" t="s">
        <v>905</v>
      </c>
    </row>
    <row r="382" spans="1:4">
      <c r="A382" s="202" t="s">
        <v>270</v>
      </c>
      <c r="B382" s="201">
        <v>19450</v>
      </c>
      <c r="C382" s="200">
        <v>19</v>
      </c>
      <c r="D382" s="203" t="s">
        <v>905</v>
      </c>
    </row>
    <row r="383" spans="1:4">
      <c r="A383" s="202" t="s">
        <v>271</v>
      </c>
      <c r="B383" s="201">
        <v>19455</v>
      </c>
      <c r="C383" s="200">
        <v>19</v>
      </c>
      <c r="D383" s="203" t="s">
        <v>905</v>
      </c>
    </row>
    <row r="384" spans="1:4">
      <c r="A384" s="202" t="s">
        <v>272</v>
      </c>
      <c r="B384" s="201">
        <v>19473</v>
      </c>
      <c r="C384" s="200">
        <v>19</v>
      </c>
      <c r="D384" s="203" t="s">
        <v>905</v>
      </c>
    </row>
    <row r="385" spans="1:4">
      <c r="A385" s="202" t="s">
        <v>908</v>
      </c>
      <c r="B385" s="201">
        <v>19513</v>
      </c>
      <c r="C385" s="200">
        <v>19</v>
      </c>
      <c r="D385" s="203" t="s">
        <v>905</v>
      </c>
    </row>
    <row r="386" spans="1:4">
      <c r="A386" s="202" t="s">
        <v>273</v>
      </c>
      <c r="B386" s="201">
        <v>19517</v>
      </c>
      <c r="C386" s="200">
        <v>19</v>
      </c>
      <c r="D386" s="203" t="s">
        <v>905</v>
      </c>
    </row>
    <row r="387" spans="1:4">
      <c r="A387" s="202" t="s">
        <v>274</v>
      </c>
      <c r="B387" s="201">
        <v>19532</v>
      </c>
      <c r="C387" s="200">
        <v>19</v>
      </c>
      <c r="D387" s="203" t="s">
        <v>905</v>
      </c>
    </row>
    <row r="388" spans="1:4">
      <c r="A388" s="202" t="s">
        <v>275</v>
      </c>
      <c r="B388" s="201">
        <v>19533</v>
      </c>
      <c r="C388" s="200">
        <v>19</v>
      </c>
      <c r="D388" s="203" t="s">
        <v>905</v>
      </c>
    </row>
    <row r="389" spans="1:4">
      <c r="A389" s="202" t="s">
        <v>276</v>
      </c>
      <c r="B389" s="201">
        <v>19548</v>
      </c>
      <c r="C389" s="200">
        <v>19</v>
      </c>
      <c r="D389" s="203" t="s">
        <v>905</v>
      </c>
    </row>
    <row r="390" spans="1:4">
      <c r="A390" s="202" t="s">
        <v>277</v>
      </c>
      <c r="B390" s="201">
        <v>19573</v>
      </c>
      <c r="C390" s="200">
        <v>19</v>
      </c>
      <c r="D390" s="203" t="s">
        <v>905</v>
      </c>
    </row>
    <row r="391" spans="1:4">
      <c r="A391" s="202" t="s">
        <v>909</v>
      </c>
      <c r="B391" s="201">
        <v>19585</v>
      </c>
      <c r="C391" s="200">
        <v>19</v>
      </c>
      <c r="D391" s="203" t="s">
        <v>905</v>
      </c>
    </row>
    <row r="392" spans="1:4">
      <c r="A392" s="202" t="s">
        <v>910</v>
      </c>
      <c r="B392" s="201">
        <v>19622</v>
      </c>
      <c r="C392" s="200">
        <v>19</v>
      </c>
      <c r="D392" s="203" t="s">
        <v>905</v>
      </c>
    </row>
    <row r="393" spans="1:4">
      <c r="A393" s="202" t="s">
        <v>911</v>
      </c>
      <c r="B393" s="201">
        <v>19693</v>
      </c>
      <c r="C393" s="200">
        <v>19</v>
      </c>
      <c r="D393" s="203" t="s">
        <v>905</v>
      </c>
    </row>
    <row r="394" spans="1:4">
      <c r="A394" s="202" t="s">
        <v>278</v>
      </c>
      <c r="B394" s="201">
        <v>19698</v>
      </c>
      <c r="C394" s="200">
        <v>19</v>
      </c>
      <c r="D394" s="203" t="s">
        <v>905</v>
      </c>
    </row>
    <row r="395" spans="1:4">
      <c r="A395" s="202" t="s">
        <v>912</v>
      </c>
      <c r="B395" s="201">
        <v>19701</v>
      </c>
      <c r="C395" s="200">
        <v>19</v>
      </c>
      <c r="D395" s="203" t="s">
        <v>905</v>
      </c>
    </row>
    <row r="396" spans="1:4">
      <c r="A396" s="202" t="s">
        <v>279</v>
      </c>
      <c r="B396" s="201">
        <v>19743</v>
      </c>
      <c r="C396" s="200">
        <v>19</v>
      </c>
      <c r="D396" s="203" t="s">
        <v>905</v>
      </c>
    </row>
    <row r="397" spans="1:4">
      <c r="A397" s="202" t="s">
        <v>280</v>
      </c>
      <c r="B397" s="201">
        <v>19760</v>
      </c>
      <c r="C397" s="200">
        <v>19</v>
      </c>
      <c r="D397" s="203" t="s">
        <v>905</v>
      </c>
    </row>
    <row r="398" spans="1:4">
      <c r="A398" s="202" t="s">
        <v>281</v>
      </c>
      <c r="B398" s="201">
        <v>19780</v>
      </c>
      <c r="C398" s="200">
        <v>19</v>
      </c>
      <c r="D398" s="203" t="s">
        <v>905</v>
      </c>
    </row>
    <row r="399" spans="1:4">
      <c r="A399" s="202" t="s">
        <v>913</v>
      </c>
      <c r="B399" s="201">
        <v>19785</v>
      </c>
      <c r="C399" s="200">
        <v>19</v>
      </c>
      <c r="D399" s="203" t="s">
        <v>905</v>
      </c>
    </row>
    <row r="400" spans="1:4">
      <c r="A400" s="202" t="s">
        <v>282</v>
      </c>
      <c r="B400" s="201">
        <v>19807</v>
      </c>
      <c r="C400" s="200">
        <v>19</v>
      </c>
      <c r="D400" s="203" t="s">
        <v>905</v>
      </c>
    </row>
    <row r="401" spans="1:4">
      <c r="A401" s="202" t="s">
        <v>283</v>
      </c>
      <c r="B401" s="201">
        <v>19809</v>
      </c>
      <c r="C401" s="200">
        <v>19</v>
      </c>
      <c r="D401" s="203" t="s">
        <v>905</v>
      </c>
    </row>
    <row r="402" spans="1:4">
      <c r="A402" s="202" t="s">
        <v>284</v>
      </c>
      <c r="B402" s="201">
        <v>19821</v>
      </c>
      <c r="C402" s="200">
        <v>19</v>
      </c>
      <c r="D402" s="203" t="s">
        <v>905</v>
      </c>
    </row>
    <row r="403" spans="1:4">
      <c r="A403" s="202" t="s">
        <v>285</v>
      </c>
      <c r="B403" s="201">
        <v>19824</v>
      </c>
      <c r="C403" s="200">
        <v>19</v>
      </c>
      <c r="D403" s="203" t="s">
        <v>905</v>
      </c>
    </row>
    <row r="404" spans="1:4">
      <c r="A404" s="202" t="s">
        <v>286</v>
      </c>
      <c r="B404" s="201">
        <v>19845</v>
      </c>
      <c r="C404" s="200">
        <v>19</v>
      </c>
      <c r="D404" s="203" t="s">
        <v>905</v>
      </c>
    </row>
    <row r="405" spans="1:4">
      <c r="A405" s="202" t="s">
        <v>288</v>
      </c>
      <c r="B405" s="201">
        <v>20001</v>
      </c>
      <c r="C405" s="200">
        <v>20</v>
      </c>
      <c r="D405" s="203" t="s">
        <v>914</v>
      </c>
    </row>
    <row r="406" spans="1:4">
      <c r="A406" s="202" t="s">
        <v>289</v>
      </c>
      <c r="B406" s="201">
        <v>20011</v>
      </c>
      <c r="C406" s="200">
        <v>20</v>
      </c>
      <c r="D406" s="203" t="s">
        <v>914</v>
      </c>
    </row>
    <row r="407" spans="1:4">
      <c r="A407" s="202" t="s">
        <v>290</v>
      </c>
      <c r="B407" s="201">
        <v>20013</v>
      </c>
      <c r="C407" s="200">
        <v>20</v>
      </c>
      <c r="D407" s="203" t="s">
        <v>914</v>
      </c>
    </row>
    <row r="408" spans="1:4">
      <c r="A408" s="202" t="s">
        <v>291</v>
      </c>
      <c r="B408" s="201">
        <v>20032</v>
      </c>
      <c r="C408" s="200">
        <v>20</v>
      </c>
      <c r="D408" s="203" t="s">
        <v>914</v>
      </c>
    </row>
    <row r="409" spans="1:4">
      <c r="A409" s="202" t="s">
        <v>292</v>
      </c>
      <c r="B409" s="201">
        <v>20045</v>
      </c>
      <c r="C409" s="200">
        <v>20</v>
      </c>
      <c r="D409" s="203" t="s">
        <v>914</v>
      </c>
    </row>
    <row r="410" spans="1:4">
      <c r="A410" s="202" t="s">
        <v>293</v>
      </c>
      <c r="B410" s="201">
        <v>20060</v>
      </c>
      <c r="C410" s="200">
        <v>20</v>
      </c>
      <c r="D410" s="203" t="s">
        <v>914</v>
      </c>
    </row>
    <row r="411" spans="1:4">
      <c r="A411" s="202" t="s">
        <v>294</v>
      </c>
      <c r="B411" s="201">
        <v>20175</v>
      </c>
      <c r="C411" s="200">
        <v>20</v>
      </c>
      <c r="D411" s="203" t="s">
        <v>914</v>
      </c>
    </row>
    <row r="412" spans="1:4">
      <c r="A412" s="202" t="s">
        <v>295</v>
      </c>
      <c r="B412" s="201">
        <v>20178</v>
      </c>
      <c r="C412" s="200">
        <v>20</v>
      </c>
      <c r="D412" s="203" t="s">
        <v>914</v>
      </c>
    </row>
    <row r="413" spans="1:4">
      <c r="A413" s="202" t="s">
        <v>296</v>
      </c>
      <c r="B413" s="201">
        <v>20228</v>
      </c>
      <c r="C413" s="200">
        <v>20</v>
      </c>
      <c r="D413" s="203" t="s">
        <v>914</v>
      </c>
    </row>
    <row r="414" spans="1:4">
      <c r="A414" s="202" t="s">
        <v>297</v>
      </c>
      <c r="B414" s="201">
        <v>20238</v>
      </c>
      <c r="C414" s="200">
        <v>20</v>
      </c>
      <c r="D414" s="203" t="s">
        <v>914</v>
      </c>
    </row>
    <row r="415" spans="1:4">
      <c r="A415" s="202" t="s">
        <v>298</v>
      </c>
      <c r="B415" s="201">
        <v>20250</v>
      </c>
      <c r="C415" s="200">
        <v>20</v>
      </c>
      <c r="D415" s="203" t="s">
        <v>914</v>
      </c>
    </row>
    <row r="416" spans="1:4">
      <c r="A416" s="202" t="s">
        <v>299</v>
      </c>
      <c r="B416" s="201">
        <v>20295</v>
      </c>
      <c r="C416" s="200">
        <v>20</v>
      </c>
      <c r="D416" s="203" t="s">
        <v>914</v>
      </c>
    </row>
    <row r="417" spans="1:4">
      <c r="A417" s="202" t="s">
        <v>915</v>
      </c>
      <c r="B417" s="201">
        <v>20310</v>
      </c>
      <c r="C417" s="200">
        <v>20</v>
      </c>
      <c r="D417" s="203" t="s">
        <v>914</v>
      </c>
    </row>
    <row r="418" spans="1:4">
      <c r="A418" s="202" t="s">
        <v>916</v>
      </c>
      <c r="B418" s="201">
        <v>20383</v>
      </c>
      <c r="C418" s="200">
        <v>20</v>
      </c>
      <c r="D418" s="203" t="s">
        <v>914</v>
      </c>
    </row>
    <row r="419" spans="1:4">
      <c r="A419" s="202" t="s">
        <v>300</v>
      </c>
      <c r="B419" s="201">
        <v>20400</v>
      </c>
      <c r="C419" s="200">
        <v>20</v>
      </c>
      <c r="D419" s="203" t="s">
        <v>914</v>
      </c>
    </row>
    <row r="420" spans="1:4">
      <c r="A420" s="202" t="s">
        <v>302</v>
      </c>
      <c r="B420" s="201">
        <v>20443</v>
      </c>
      <c r="C420" s="200">
        <v>20</v>
      </c>
      <c r="D420" s="203" t="s">
        <v>914</v>
      </c>
    </row>
    <row r="421" spans="1:4">
      <c r="A421" s="202" t="s">
        <v>303</v>
      </c>
      <c r="B421" s="201">
        <v>20517</v>
      </c>
      <c r="C421" s="200">
        <v>20</v>
      </c>
      <c r="D421" s="203" t="s">
        <v>914</v>
      </c>
    </row>
    <row r="422" spans="1:4">
      <c r="A422" s="202" t="s">
        <v>304</v>
      </c>
      <c r="B422" s="201">
        <v>20550</v>
      </c>
      <c r="C422" s="200">
        <v>20</v>
      </c>
      <c r="D422" s="203" t="s">
        <v>914</v>
      </c>
    </row>
    <row r="423" spans="1:4">
      <c r="A423" s="202" t="s">
        <v>305</v>
      </c>
      <c r="B423" s="201">
        <v>20570</v>
      </c>
      <c r="C423" s="200">
        <v>20</v>
      </c>
      <c r="D423" s="203" t="s">
        <v>914</v>
      </c>
    </row>
    <row r="424" spans="1:4">
      <c r="A424" s="202" t="s">
        <v>306</v>
      </c>
      <c r="B424" s="201">
        <v>20614</v>
      </c>
      <c r="C424" s="200">
        <v>20</v>
      </c>
      <c r="D424" s="203" t="s">
        <v>914</v>
      </c>
    </row>
    <row r="425" spans="1:4">
      <c r="A425" s="202" t="s">
        <v>301</v>
      </c>
      <c r="B425" s="201">
        <v>20621</v>
      </c>
      <c r="C425" s="200">
        <v>20</v>
      </c>
      <c r="D425" s="203" t="s">
        <v>914</v>
      </c>
    </row>
    <row r="426" spans="1:4">
      <c r="A426" s="202" t="s">
        <v>307</v>
      </c>
      <c r="B426" s="201">
        <v>20710</v>
      </c>
      <c r="C426" s="200">
        <v>20</v>
      </c>
      <c r="D426" s="203" t="s">
        <v>914</v>
      </c>
    </row>
    <row r="427" spans="1:4">
      <c r="A427" s="202" t="s">
        <v>308</v>
      </c>
      <c r="B427" s="201">
        <v>20750</v>
      </c>
      <c r="C427" s="200">
        <v>20</v>
      </c>
      <c r="D427" s="203" t="s">
        <v>914</v>
      </c>
    </row>
    <row r="428" spans="1:4">
      <c r="A428" s="202" t="s">
        <v>309</v>
      </c>
      <c r="B428" s="201">
        <v>20770</v>
      </c>
      <c r="C428" s="200">
        <v>20</v>
      </c>
      <c r="D428" s="203" t="s">
        <v>914</v>
      </c>
    </row>
    <row r="429" spans="1:4">
      <c r="A429" s="202" t="s">
        <v>310</v>
      </c>
      <c r="B429" s="201">
        <v>20787</v>
      </c>
      <c r="C429" s="200">
        <v>20</v>
      </c>
      <c r="D429" s="203" t="s">
        <v>914</v>
      </c>
    </row>
    <row r="430" spans="1:4">
      <c r="A430" s="202" t="s">
        <v>311</v>
      </c>
      <c r="B430" s="201">
        <v>23001</v>
      </c>
      <c r="C430" s="200">
        <v>23</v>
      </c>
      <c r="D430" s="203" t="s">
        <v>555</v>
      </c>
    </row>
    <row r="431" spans="1:4">
      <c r="A431" s="202" t="s">
        <v>312</v>
      </c>
      <c r="B431" s="201">
        <v>23068</v>
      </c>
      <c r="C431" s="200">
        <v>23</v>
      </c>
      <c r="D431" s="203" t="s">
        <v>555</v>
      </c>
    </row>
    <row r="432" spans="1:4">
      <c r="A432" s="202" t="s">
        <v>313</v>
      </c>
      <c r="B432" s="201">
        <v>23079</v>
      </c>
      <c r="C432" s="200">
        <v>23</v>
      </c>
      <c r="D432" s="203" t="s">
        <v>555</v>
      </c>
    </row>
    <row r="433" spans="1:4">
      <c r="A433" s="202" t="s">
        <v>314</v>
      </c>
      <c r="B433" s="201">
        <v>23090</v>
      </c>
      <c r="C433" s="200">
        <v>23</v>
      </c>
      <c r="D433" s="203" t="s">
        <v>555</v>
      </c>
    </row>
    <row r="434" spans="1:4">
      <c r="A434" s="202" t="s">
        <v>315</v>
      </c>
      <c r="B434" s="201">
        <v>23162</v>
      </c>
      <c r="C434" s="200">
        <v>23</v>
      </c>
      <c r="D434" s="203" t="s">
        <v>555</v>
      </c>
    </row>
    <row r="435" spans="1:4">
      <c r="A435" s="202" t="s">
        <v>316</v>
      </c>
      <c r="B435" s="201">
        <v>23168</v>
      </c>
      <c r="C435" s="200">
        <v>23</v>
      </c>
      <c r="D435" s="203" t="s">
        <v>555</v>
      </c>
    </row>
    <row r="436" spans="1:4">
      <c r="A436" s="202" t="s">
        <v>317</v>
      </c>
      <c r="B436" s="201">
        <v>23182</v>
      </c>
      <c r="C436" s="200">
        <v>23</v>
      </c>
      <c r="D436" s="203" t="s">
        <v>555</v>
      </c>
    </row>
    <row r="437" spans="1:4">
      <c r="A437" s="202" t="s">
        <v>318</v>
      </c>
      <c r="B437" s="201">
        <v>23189</v>
      </c>
      <c r="C437" s="200">
        <v>23</v>
      </c>
      <c r="D437" s="203" t="s">
        <v>555</v>
      </c>
    </row>
    <row r="438" spans="1:4">
      <c r="A438" s="202" t="s">
        <v>319</v>
      </c>
      <c r="B438" s="201">
        <v>23300</v>
      </c>
      <c r="C438" s="200">
        <v>23</v>
      </c>
      <c r="D438" s="203" t="s">
        <v>555</v>
      </c>
    </row>
    <row r="439" spans="1:4">
      <c r="A439" s="202" t="s">
        <v>320</v>
      </c>
      <c r="B439" s="201">
        <v>23350</v>
      </c>
      <c r="C439" s="200">
        <v>23</v>
      </c>
      <c r="D439" s="203" t="s">
        <v>555</v>
      </c>
    </row>
    <row r="440" spans="1:4">
      <c r="A440" s="202" t="s">
        <v>321</v>
      </c>
      <c r="B440" s="201">
        <v>23417</v>
      </c>
      <c r="C440" s="200">
        <v>23</v>
      </c>
      <c r="D440" s="203" t="s">
        <v>555</v>
      </c>
    </row>
    <row r="441" spans="1:4">
      <c r="A441" s="202" t="s">
        <v>322</v>
      </c>
      <c r="B441" s="201">
        <v>23419</v>
      </c>
      <c r="C441" s="200">
        <v>23</v>
      </c>
      <c r="D441" s="203" t="s">
        <v>555</v>
      </c>
    </row>
    <row r="442" spans="1:4">
      <c r="A442" s="202" t="s">
        <v>323</v>
      </c>
      <c r="B442" s="201">
        <v>23464</v>
      </c>
      <c r="C442" s="200">
        <v>23</v>
      </c>
      <c r="D442" s="203" t="s">
        <v>555</v>
      </c>
    </row>
    <row r="443" spans="1:4">
      <c r="A443" s="202" t="s">
        <v>324</v>
      </c>
      <c r="B443" s="201">
        <v>23466</v>
      </c>
      <c r="C443" s="200">
        <v>23</v>
      </c>
      <c r="D443" s="203" t="s">
        <v>555</v>
      </c>
    </row>
    <row r="444" spans="1:4">
      <c r="A444" s="202" t="s">
        <v>325</v>
      </c>
      <c r="B444" s="201">
        <v>23500</v>
      </c>
      <c r="C444" s="200">
        <v>23</v>
      </c>
      <c r="D444" s="203" t="s">
        <v>555</v>
      </c>
    </row>
    <row r="445" spans="1:4">
      <c r="A445" s="202" t="s">
        <v>326</v>
      </c>
      <c r="B445" s="201">
        <v>23555</v>
      </c>
      <c r="C445" s="200">
        <v>23</v>
      </c>
      <c r="D445" s="203" t="s">
        <v>555</v>
      </c>
    </row>
    <row r="446" spans="1:4">
      <c r="A446" s="202" t="s">
        <v>327</v>
      </c>
      <c r="B446" s="201">
        <v>23570</v>
      </c>
      <c r="C446" s="200">
        <v>23</v>
      </c>
      <c r="D446" s="203" t="s">
        <v>555</v>
      </c>
    </row>
    <row r="447" spans="1:4">
      <c r="A447" s="202" t="s">
        <v>328</v>
      </c>
      <c r="B447" s="201">
        <v>23574</v>
      </c>
      <c r="C447" s="200">
        <v>23</v>
      </c>
      <c r="D447" s="203" t="s">
        <v>555</v>
      </c>
    </row>
    <row r="448" spans="1:4">
      <c r="A448" s="202" t="s">
        <v>329</v>
      </c>
      <c r="B448" s="201">
        <v>23580</v>
      </c>
      <c r="C448" s="200">
        <v>23</v>
      </c>
      <c r="D448" s="203" t="s">
        <v>555</v>
      </c>
    </row>
    <row r="449" spans="1:4">
      <c r="A449" s="202" t="s">
        <v>330</v>
      </c>
      <c r="B449" s="201">
        <v>23586</v>
      </c>
      <c r="C449" s="200">
        <v>23</v>
      </c>
      <c r="D449" s="203" t="s">
        <v>555</v>
      </c>
    </row>
    <row r="450" spans="1:4">
      <c r="A450" s="202" t="s">
        <v>331</v>
      </c>
      <c r="B450" s="201">
        <v>23660</v>
      </c>
      <c r="C450" s="200">
        <v>23</v>
      </c>
      <c r="D450" s="203" t="s">
        <v>555</v>
      </c>
    </row>
    <row r="451" spans="1:4">
      <c r="A451" s="202" t="s">
        <v>332</v>
      </c>
      <c r="B451" s="201">
        <v>23670</v>
      </c>
      <c r="C451" s="200">
        <v>23</v>
      </c>
      <c r="D451" s="203" t="s">
        <v>555</v>
      </c>
    </row>
    <row r="452" spans="1:4">
      <c r="A452" s="202" t="s">
        <v>333</v>
      </c>
      <c r="B452" s="201">
        <v>23672</v>
      </c>
      <c r="C452" s="200">
        <v>23</v>
      </c>
      <c r="D452" s="203" t="s">
        <v>555</v>
      </c>
    </row>
    <row r="453" spans="1:4">
      <c r="A453" s="202" t="s">
        <v>334</v>
      </c>
      <c r="B453" s="201">
        <v>23675</v>
      </c>
      <c r="C453" s="200">
        <v>23</v>
      </c>
      <c r="D453" s="203" t="s">
        <v>555</v>
      </c>
    </row>
    <row r="454" spans="1:4">
      <c r="A454" s="202" t="s">
        <v>335</v>
      </c>
      <c r="B454" s="201">
        <v>23678</v>
      </c>
      <c r="C454" s="200">
        <v>23</v>
      </c>
      <c r="D454" s="203" t="s">
        <v>555</v>
      </c>
    </row>
    <row r="455" spans="1:4">
      <c r="A455" s="202" t="s">
        <v>336</v>
      </c>
      <c r="B455" s="201">
        <v>23682</v>
      </c>
      <c r="C455" s="200">
        <v>23</v>
      </c>
      <c r="D455" s="203" t="s">
        <v>555</v>
      </c>
    </row>
    <row r="456" spans="1:4">
      <c r="A456" s="202" t="s">
        <v>337</v>
      </c>
      <c r="B456" s="201">
        <v>23686</v>
      </c>
      <c r="C456" s="200">
        <v>23</v>
      </c>
      <c r="D456" s="203" t="s">
        <v>555</v>
      </c>
    </row>
    <row r="457" spans="1:4">
      <c r="A457" s="202" t="s">
        <v>338</v>
      </c>
      <c r="B457" s="201">
        <v>23807</v>
      </c>
      <c r="C457" s="200">
        <v>23</v>
      </c>
      <c r="D457" s="203" t="s">
        <v>555</v>
      </c>
    </row>
    <row r="458" spans="1:4">
      <c r="A458" s="202" t="s">
        <v>339</v>
      </c>
      <c r="B458" s="201">
        <v>23815</v>
      </c>
      <c r="C458" s="200">
        <v>23</v>
      </c>
      <c r="D458" s="203" t="s">
        <v>555</v>
      </c>
    </row>
    <row r="459" spans="1:4">
      <c r="A459" s="202" t="s">
        <v>340</v>
      </c>
      <c r="B459" s="201">
        <v>23855</v>
      </c>
      <c r="C459" s="200">
        <v>23</v>
      </c>
      <c r="D459" s="203" t="s">
        <v>555</v>
      </c>
    </row>
    <row r="460" spans="1:4">
      <c r="A460" s="202" t="s">
        <v>342</v>
      </c>
      <c r="B460" s="201">
        <v>25001</v>
      </c>
      <c r="C460" s="200">
        <v>25</v>
      </c>
      <c r="D460" s="203" t="s">
        <v>917</v>
      </c>
    </row>
    <row r="461" spans="1:4">
      <c r="A461" s="202" t="s">
        <v>918</v>
      </c>
      <c r="B461" s="201">
        <v>25019</v>
      </c>
      <c r="C461" s="200">
        <v>25</v>
      </c>
      <c r="D461" s="203" t="s">
        <v>917</v>
      </c>
    </row>
    <row r="462" spans="1:4">
      <c r="A462" s="202" t="s">
        <v>919</v>
      </c>
      <c r="B462" s="201">
        <v>25035</v>
      </c>
      <c r="C462" s="200">
        <v>25</v>
      </c>
      <c r="D462" s="203" t="s">
        <v>917</v>
      </c>
    </row>
    <row r="463" spans="1:4">
      <c r="A463" s="202" t="s">
        <v>920</v>
      </c>
      <c r="B463" s="201">
        <v>25040</v>
      </c>
      <c r="C463" s="200">
        <v>25</v>
      </c>
      <c r="D463" s="203" t="s">
        <v>917</v>
      </c>
    </row>
    <row r="464" spans="1:4">
      <c r="A464" s="202" t="s">
        <v>921</v>
      </c>
      <c r="B464" s="201">
        <v>25053</v>
      </c>
      <c r="C464" s="200">
        <v>25</v>
      </c>
      <c r="D464" s="203" t="s">
        <v>917</v>
      </c>
    </row>
    <row r="465" spans="1:4">
      <c r="A465" s="202" t="s">
        <v>922</v>
      </c>
      <c r="B465" s="201">
        <v>25086</v>
      </c>
      <c r="C465" s="200">
        <v>25</v>
      </c>
      <c r="D465" s="203" t="s">
        <v>917</v>
      </c>
    </row>
    <row r="466" spans="1:4">
      <c r="A466" s="202" t="s">
        <v>923</v>
      </c>
      <c r="B466" s="201">
        <v>25095</v>
      </c>
      <c r="C466" s="200">
        <v>25</v>
      </c>
      <c r="D466" s="203" t="s">
        <v>917</v>
      </c>
    </row>
    <row r="467" spans="1:4">
      <c r="A467" s="202" t="s">
        <v>924</v>
      </c>
      <c r="B467" s="201">
        <v>25099</v>
      </c>
      <c r="C467" s="200">
        <v>25</v>
      </c>
      <c r="D467" s="203" t="s">
        <v>917</v>
      </c>
    </row>
    <row r="468" spans="1:4">
      <c r="A468" s="202" t="s">
        <v>344</v>
      </c>
      <c r="B468" s="201">
        <v>25120</v>
      </c>
      <c r="C468" s="200">
        <v>25</v>
      </c>
      <c r="D468" s="203" t="s">
        <v>917</v>
      </c>
    </row>
    <row r="469" spans="1:4">
      <c r="A469" s="202" t="s">
        <v>925</v>
      </c>
      <c r="B469" s="201">
        <v>25123</v>
      </c>
      <c r="C469" s="200">
        <v>25</v>
      </c>
      <c r="D469" s="203" t="s">
        <v>917</v>
      </c>
    </row>
    <row r="470" spans="1:4">
      <c r="A470" s="202" t="s">
        <v>345</v>
      </c>
      <c r="B470" s="201">
        <v>25126</v>
      </c>
      <c r="C470" s="200">
        <v>25</v>
      </c>
      <c r="D470" s="203" t="s">
        <v>917</v>
      </c>
    </row>
    <row r="471" spans="1:4">
      <c r="A471" s="202" t="s">
        <v>926</v>
      </c>
      <c r="B471" s="201">
        <v>25148</v>
      </c>
      <c r="C471" s="200">
        <v>25</v>
      </c>
      <c r="D471" s="203" t="s">
        <v>917</v>
      </c>
    </row>
    <row r="472" spans="1:4">
      <c r="A472" s="202" t="s">
        <v>346</v>
      </c>
      <c r="B472" s="201">
        <v>25151</v>
      </c>
      <c r="C472" s="200">
        <v>25</v>
      </c>
      <c r="D472" s="203" t="s">
        <v>917</v>
      </c>
    </row>
    <row r="473" spans="1:4">
      <c r="A473" s="202" t="s">
        <v>927</v>
      </c>
      <c r="B473" s="201">
        <v>25154</v>
      </c>
      <c r="C473" s="200">
        <v>25</v>
      </c>
      <c r="D473" s="203" t="s">
        <v>917</v>
      </c>
    </row>
    <row r="474" spans="1:4">
      <c r="A474" s="202" t="s">
        <v>928</v>
      </c>
      <c r="B474" s="201">
        <v>25168</v>
      </c>
      <c r="C474" s="200">
        <v>25</v>
      </c>
      <c r="D474" s="203" t="s">
        <v>917</v>
      </c>
    </row>
    <row r="475" spans="1:4">
      <c r="A475" s="202" t="s">
        <v>347</v>
      </c>
      <c r="B475" s="201">
        <v>25175</v>
      </c>
      <c r="C475" s="200">
        <v>25</v>
      </c>
      <c r="D475" s="203" t="s">
        <v>917</v>
      </c>
    </row>
    <row r="476" spans="1:4">
      <c r="A476" s="202" t="s">
        <v>929</v>
      </c>
      <c r="B476" s="201">
        <v>25178</v>
      </c>
      <c r="C476" s="200">
        <v>25</v>
      </c>
      <c r="D476" s="203" t="s">
        <v>917</v>
      </c>
    </row>
    <row r="477" spans="1:4">
      <c r="A477" s="202" t="s">
        <v>930</v>
      </c>
      <c r="B477" s="201">
        <v>25181</v>
      </c>
      <c r="C477" s="200">
        <v>25</v>
      </c>
      <c r="D477" s="203" t="s">
        <v>917</v>
      </c>
    </row>
    <row r="478" spans="1:4">
      <c r="A478" s="202" t="s">
        <v>348</v>
      </c>
      <c r="B478" s="201">
        <v>25183</v>
      </c>
      <c r="C478" s="200">
        <v>25</v>
      </c>
      <c r="D478" s="203" t="s">
        <v>917</v>
      </c>
    </row>
    <row r="479" spans="1:4">
      <c r="A479" s="202" t="s">
        <v>349</v>
      </c>
      <c r="B479" s="201">
        <v>25200</v>
      </c>
      <c r="C479" s="200">
        <v>25</v>
      </c>
      <c r="D479" s="203" t="s">
        <v>917</v>
      </c>
    </row>
    <row r="480" spans="1:4">
      <c r="A480" s="202" t="s">
        <v>931</v>
      </c>
      <c r="B480" s="201">
        <v>25214</v>
      </c>
      <c r="C480" s="200">
        <v>25</v>
      </c>
      <c r="D480" s="203" t="s">
        <v>917</v>
      </c>
    </row>
    <row r="481" spans="1:4">
      <c r="A481" s="202" t="s">
        <v>350</v>
      </c>
      <c r="B481" s="201">
        <v>25224</v>
      </c>
      <c r="C481" s="200">
        <v>25</v>
      </c>
      <c r="D481" s="203" t="s">
        <v>917</v>
      </c>
    </row>
    <row r="482" spans="1:4">
      <c r="A482" s="202" t="s">
        <v>351</v>
      </c>
      <c r="B482" s="201">
        <v>25245</v>
      </c>
      <c r="C482" s="200">
        <v>25</v>
      </c>
      <c r="D482" s="203" t="s">
        <v>917</v>
      </c>
    </row>
    <row r="483" spans="1:4">
      <c r="A483" s="202" t="s">
        <v>798</v>
      </c>
      <c r="B483" s="201">
        <v>25258</v>
      </c>
      <c r="C483" s="200">
        <v>25</v>
      </c>
      <c r="D483" s="203" t="s">
        <v>917</v>
      </c>
    </row>
    <row r="484" spans="1:4">
      <c r="A484" s="202" t="s">
        <v>352</v>
      </c>
      <c r="B484" s="201">
        <v>25260</v>
      </c>
      <c r="C484" s="200">
        <v>25</v>
      </c>
      <c r="D484" s="203" t="s">
        <v>917</v>
      </c>
    </row>
    <row r="485" spans="1:4">
      <c r="A485" s="202" t="s">
        <v>353</v>
      </c>
      <c r="B485" s="201">
        <v>25269</v>
      </c>
      <c r="C485" s="200">
        <v>25</v>
      </c>
      <c r="D485" s="203" t="s">
        <v>917</v>
      </c>
    </row>
    <row r="486" spans="1:4">
      <c r="A486" s="202" t="s">
        <v>932</v>
      </c>
      <c r="B486" s="201">
        <v>25279</v>
      </c>
      <c r="C486" s="200">
        <v>25</v>
      </c>
      <c r="D486" s="203" t="s">
        <v>917</v>
      </c>
    </row>
    <row r="487" spans="1:4">
      <c r="A487" s="202" t="s">
        <v>933</v>
      </c>
      <c r="B487" s="201">
        <v>25281</v>
      </c>
      <c r="C487" s="200">
        <v>25</v>
      </c>
      <c r="D487" s="203" t="s">
        <v>917</v>
      </c>
    </row>
    <row r="488" spans="1:4">
      <c r="A488" s="202" t="s">
        <v>354</v>
      </c>
      <c r="B488" s="201">
        <v>25286</v>
      </c>
      <c r="C488" s="200">
        <v>25</v>
      </c>
      <c r="D488" s="203" t="s">
        <v>917</v>
      </c>
    </row>
    <row r="489" spans="1:4">
      <c r="A489" s="202" t="s">
        <v>934</v>
      </c>
      <c r="B489" s="201">
        <v>25288</v>
      </c>
      <c r="C489" s="200">
        <v>25</v>
      </c>
      <c r="D489" s="203" t="s">
        <v>917</v>
      </c>
    </row>
    <row r="490" spans="1:4">
      <c r="A490" s="202" t="s">
        <v>355</v>
      </c>
      <c r="B490" s="201">
        <v>25290</v>
      </c>
      <c r="C490" s="200">
        <v>25</v>
      </c>
      <c r="D490" s="203" t="s">
        <v>917</v>
      </c>
    </row>
    <row r="491" spans="1:4">
      <c r="A491" s="202" t="s">
        <v>935</v>
      </c>
      <c r="B491" s="201">
        <v>25293</v>
      </c>
      <c r="C491" s="200">
        <v>25</v>
      </c>
      <c r="D491" s="203" t="s">
        <v>917</v>
      </c>
    </row>
    <row r="492" spans="1:4">
      <c r="A492" s="202" t="s">
        <v>936</v>
      </c>
      <c r="B492" s="201">
        <v>25295</v>
      </c>
      <c r="C492" s="200">
        <v>25</v>
      </c>
      <c r="D492" s="203" t="s">
        <v>917</v>
      </c>
    </row>
    <row r="493" spans="1:4">
      <c r="A493" s="202" t="s">
        <v>937</v>
      </c>
      <c r="B493" s="201">
        <v>25297</v>
      </c>
      <c r="C493" s="200">
        <v>25</v>
      </c>
      <c r="D493" s="203" t="s">
        <v>917</v>
      </c>
    </row>
    <row r="494" spans="1:4">
      <c r="A494" s="202" t="s">
        <v>356</v>
      </c>
      <c r="B494" s="201">
        <v>25299</v>
      </c>
      <c r="C494" s="200">
        <v>25</v>
      </c>
      <c r="D494" s="203" t="s">
        <v>917</v>
      </c>
    </row>
    <row r="495" spans="1:4">
      <c r="A495" s="202" t="s">
        <v>357</v>
      </c>
      <c r="B495" s="201">
        <v>25307</v>
      </c>
      <c r="C495" s="200">
        <v>25</v>
      </c>
      <c r="D495" s="203" t="s">
        <v>917</v>
      </c>
    </row>
    <row r="496" spans="1:4">
      <c r="A496" s="202" t="s">
        <v>115</v>
      </c>
      <c r="B496" s="201">
        <v>25312</v>
      </c>
      <c r="C496" s="200">
        <v>25</v>
      </c>
      <c r="D496" s="203" t="s">
        <v>917</v>
      </c>
    </row>
    <row r="497" spans="1:4">
      <c r="A497" s="202" t="s">
        <v>938</v>
      </c>
      <c r="B497" s="201">
        <v>25317</v>
      </c>
      <c r="C497" s="200">
        <v>25</v>
      </c>
      <c r="D497" s="203" t="s">
        <v>917</v>
      </c>
    </row>
    <row r="498" spans="1:4">
      <c r="A498" s="202" t="s">
        <v>358</v>
      </c>
      <c r="B498" s="201">
        <v>25320</v>
      </c>
      <c r="C498" s="200">
        <v>25</v>
      </c>
      <c r="D498" s="203" t="s">
        <v>917</v>
      </c>
    </row>
    <row r="499" spans="1:4">
      <c r="A499" s="202" t="s">
        <v>939</v>
      </c>
      <c r="B499" s="201">
        <v>25322</v>
      </c>
      <c r="C499" s="200">
        <v>25</v>
      </c>
      <c r="D499" s="203" t="s">
        <v>917</v>
      </c>
    </row>
    <row r="500" spans="1:4">
      <c r="A500" s="202" t="s">
        <v>940</v>
      </c>
      <c r="B500" s="201">
        <v>25324</v>
      </c>
      <c r="C500" s="200">
        <v>25</v>
      </c>
      <c r="D500" s="203" t="s">
        <v>917</v>
      </c>
    </row>
    <row r="501" spans="1:4">
      <c r="A501" s="202" t="s">
        <v>359</v>
      </c>
      <c r="B501" s="201">
        <v>25326</v>
      </c>
      <c r="C501" s="200">
        <v>25</v>
      </c>
      <c r="D501" s="203" t="s">
        <v>917</v>
      </c>
    </row>
    <row r="502" spans="1:4">
      <c r="A502" s="202" t="s">
        <v>941</v>
      </c>
      <c r="B502" s="201">
        <v>25328</v>
      </c>
      <c r="C502" s="200">
        <v>25</v>
      </c>
      <c r="D502" s="203" t="s">
        <v>917</v>
      </c>
    </row>
    <row r="503" spans="1:4">
      <c r="A503" s="202" t="s">
        <v>942</v>
      </c>
      <c r="B503" s="201">
        <v>25335</v>
      </c>
      <c r="C503" s="200">
        <v>25</v>
      </c>
      <c r="D503" s="203" t="s">
        <v>917</v>
      </c>
    </row>
    <row r="504" spans="1:4">
      <c r="A504" s="202" t="s">
        <v>943</v>
      </c>
      <c r="B504" s="201">
        <v>25339</v>
      </c>
      <c r="C504" s="200">
        <v>25</v>
      </c>
      <c r="D504" s="203" t="s">
        <v>917</v>
      </c>
    </row>
    <row r="505" spans="1:4">
      <c r="A505" s="202" t="s">
        <v>944</v>
      </c>
      <c r="B505" s="201">
        <v>25368</v>
      </c>
      <c r="C505" s="200">
        <v>25</v>
      </c>
      <c r="D505" s="203" t="s">
        <v>917</v>
      </c>
    </row>
    <row r="506" spans="1:4">
      <c r="A506" s="202" t="s">
        <v>945</v>
      </c>
      <c r="B506" s="201">
        <v>25372</v>
      </c>
      <c r="C506" s="200">
        <v>25</v>
      </c>
      <c r="D506" s="203" t="s">
        <v>917</v>
      </c>
    </row>
    <row r="507" spans="1:4">
      <c r="A507" s="202" t="s">
        <v>360</v>
      </c>
      <c r="B507" s="201">
        <v>25377</v>
      </c>
      <c r="C507" s="200">
        <v>25</v>
      </c>
      <c r="D507" s="203" t="s">
        <v>917</v>
      </c>
    </row>
    <row r="508" spans="1:4">
      <c r="A508" s="202" t="s">
        <v>361</v>
      </c>
      <c r="B508" s="201">
        <v>25386</v>
      </c>
      <c r="C508" s="200">
        <v>25</v>
      </c>
      <c r="D508" s="203" t="s">
        <v>917</v>
      </c>
    </row>
    <row r="509" spans="1:4">
      <c r="A509" s="202" t="s">
        <v>362</v>
      </c>
      <c r="B509" s="201">
        <v>25394</v>
      </c>
      <c r="C509" s="200">
        <v>25</v>
      </c>
      <c r="D509" s="203" t="s">
        <v>917</v>
      </c>
    </row>
    <row r="510" spans="1:4">
      <c r="A510" s="202" t="s">
        <v>946</v>
      </c>
      <c r="B510" s="201">
        <v>25398</v>
      </c>
      <c r="C510" s="200">
        <v>25</v>
      </c>
      <c r="D510" s="203" t="s">
        <v>917</v>
      </c>
    </row>
    <row r="511" spans="1:4">
      <c r="A511" s="202" t="s">
        <v>268</v>
      </c>
      <c r="B511" s="201">
        <v>25402</v>
      </c>
      <c r="C511" s="200">
        <v>25</v>
      </c>
      <c r="D511" s="203" t="s">
        <v>917</v>
      </c>
    </row>
    <row r="512" spans="1:4">
      <c r="A512" s="202" t="s">
        <v>947</v>
      </c>
      <c r="B512" s="201">
        <v>25407</v>
      </c>
      <c r="C512" s="200">
        <v>25</v>
      </c>
      <c r="D512" s="203" t="s">
        <v>917</v>
      </c>
    </row>
    <row r="513" spans="1:4">
      <c r="A513" s="202" t="s">
        <v>948</v>
      </c>
      <c r="B513" s="201">
        <v>25426</v>
      </c>
      <c r="C513" s="200">
        <v>25</v>
      </c>
      <c r="D513" s="203" t="s">
        <v>917</v>
      </c>
    </row>
    <row r="514" spans="1:4">
      <c r="A514" s="202" t="s">
        <v>363</v>
      </c>
      <c r="B514" s="201">
        <v>25430</v>
      </c>
      <c r="C514" s="200">
        <v>25</v>
      </c>
      <c r="D514" s="203" t="s">
        <v>917</v>
      </c>
    </row>
    <row r="515" spans="1:4">
      <c r="A515" s="202" t="s">
        <v>949</v>
      </c>
      <c r="B515" s="201">
        <v>25436</v>
      </c>
      <c r="C515" s="200">
        <v>25</v>
      </c>
      <c r="D515" s="203" t="s">
        <v>917</v>
      </c>
    </row>
    <row r="516" spans="1:4">
      <c r="A516" s="202" t="s">
        <v>950</v>
      </c>
      <c r="B516" s="201">
        <v>25438</v>
      </c>
      <c r="C516" s="200">
        <v>25</v>
      </c>
      <c r="D516" s="203" t="s">
        <v>917</v>
      </c>
    </row>
    <row r="517" spans="1:4">
      <c r="A517" s="202" t="s">
        <v>364</v>
      </c>
      <c r="B517" s="201">
        <v>25473</v>
      </c>
      <c r="C517" s="200">
        <v>25</v>
      </c>
      <c r="D517" s="203" t="s">
        <v>917</v>
      </c>
    </row>
    <row r="518" spans="1:4">
      <c r="A518" s="202" t="s">
        <v>120</v>
      </c>
      <c r="B518" s="201">
        <v>25483</v>
      </c>
      <c r="C518" s="200">
        <v>25</v>
      </c>
      <c r="D518" s="203" t="s">
        <v>917</v>
      </c>
    </row>
    <row r="519" spans="1:4">
      <c r="A519" s="202" t="s">
        <v>951</v>
      </c>
      <c r="B519" s="201">
        <v>25486</v>
      </c>
      <c r="C519" s="200">
        <v>25</v>
      </c>
      <c r="D519" s="203" t="s">
        <v>917</v>
      </c>
    </row>
    <row r="520" spans="1:4">
      <c r="A520" s="202" t="s">
        <v>952</v>
      </c>
      <c r="B520" s="201">
        <v>25488</v>
      </c>
      <c r="C520" s="200">
        <v>25</v>
      </c>
      <c r="D520" s="203" t="s">
        <v>917</v>
      </c>
    </row>
    <row r="521" spans="1:4">
      <c r="A521" s="202" t="s">
        <v>953</v>
      </c>
      <c r="B521" s="201">
        <v>25489</v>
      </c>
      <c r="C521" s="200">
        <v>25</v>
      </c>
      <c r="D521" s="203" t="s">
        <v>917</v>
      </c>
    </row>
    <row r="522" spans="1:4">
      <c r="A522" s="202" t="s">
        <v>954</v>
      </c>
      <c r="B522" s="201">
        <v>25491</v>
      </c>
      <c r="C522" s="200">
        <v>25</v>
      </c>
      <c r="D522" s="203" t="s">
        <v>917</v>
      </c>
    </row>
    <row r="523" spans="1:4">
      <c r="A523" s="202" t="s">
        <v>103</v>
      </c>
      <c r="B523" s="201">
        <v>25506</v>
      </c>
      <c r="C523" s="200">
        <v>25</v>
      </c>
      <c r="D523" s="203" t="s">
        <v>917</v>
      </c>
    </row>
    <row r="524" spans="1:4">
      <c r="A524" s="202" t="s">
        <v>365</v>
      </c>
      <c r="B524" s="201">
        <v>25513</v>
      </c>
      <c r="C524" s="200">
        <v>25</v>
      </c>
      <c r="D524" s="203" t="s">
        <v>917</v>
      </c>
    </row>
    <row r="525" spans="1:4">
      <c r="A525" s="202" t="s">
        <v>955</v>
      </c>
      <c r="B525" s="201">
        <v>25518</v>
      </c>
      <c r="C525" s="200">
        <v>25</v>
      </c>
      <c r="D525" s="203" t="s">
        <v>917</v>
      </c>
    </row>
    <row r="526" spans="1:4">
      <c r="A526" s="202" t="s">
        <v>956</v>
      </c>
      <c r="B526" s="201">
        <v>25524</v>
      </c>
      <c r="C526" s="200">
        <v>25</v>
      </c>
      <c r="D526" s="203" t="s">
        <v>917</v>
      </c>
    </row>
    <row r="527" spans="1:4">
      <c r="A527" s="202" t="s">
        <v>957</v>
      </c>
      <c r="B527" s="201">
        <v>25530</v>
      </c>
      <c r="C527" s="200">
        <v>25</v>
      </c>
      <c r="D527" s="203" t="s">
        <v>917</v>
      </c>
    </row>
    <row r="528" spans="1:4">
      <c r="A528" s="202" t="s">
        <v>366</v>
      </c>
      <c r="B528" s="201">
        <v>25535</v>
      </c>
      <c r="C528" s="200">
        <v>25</v>
      </c>
      <c r="D528" s="203" t="s">
        <v>917</v>
      </c>
    </row>
    <row r="529" spans="1:4">
      <c r="A529" s="202" t="s">
        <v>367</v>
      </c>
      <c r="B529" s="201">
        <v>25572</v>
      </c>
      <c r="C529" s="200">
        <v>25</v>
      </c>
      <c r="D529" s="203" t="s">
        <v>917</v>
      </c>
    </row>
    <row r="530" spans="1:4">
      <c r="A530" s="202" t="s">
        <v>958</v>
      </c>
      <c r="B530" s="201">
        <v>25580</v>
      </c>
      <c r="C530" s="200">
        <v>25</v>
      </c>
      <c r="D530" s="203" t="s">
        <v>917</v>
      </c>
    </row>
    <row r="531" spans="1:4">
      <c r="A531" s="202" t="s">
        <v>959</v>
      </c>
      <c r="B531" s="201">
        <v>25592</v>
      </c>
      <c r="C531" s="200">
        <v>25</v>
      </c>
      <c r="D531" s="203" t="s">
        <v>917</v>
      </c>
    </row>
    <row r="532" spans="1:4">
      <c r="A532" s="202" t="s">
        <v>960</v>
      </c>
      <c r="B532" s="201">
        <v>25594</v>
      </c>
      <c r="C532" s="200">
        <v>25</v>
      </c>
      <c r="D532" s="203" t="s">
        <v>917</v>
      </c>
    </row>
    <row r="533" spans="1:4">
      <c r="A533" s="202" t="s">
        <v>961</v>
      </c>
      <c r="B533" s="201">
        <v>25596</v>
      </c>
      <c r="C533" s="200">
        <v>25</v>
      </c>
      <c r="D533" s="203" t="s">
        <v>917</v>
      </c>
    </row>
    <row r="534" spans="1:4">
      <c r="A534" s="202" t="s">
        <v>343</v>
      </c>
      <c r="B534" s="201">
        <v>25599</v>
      </c>
      <c r="C534" s="200">
        <v>25</v>
      </c>
      <c r="D534" s="203" t="s">
        <v>917</v>
      </c>
    </row>
    <row r="535" spans="1:4">
      <c r="A535" s="202" t="s">
        <v>962</v>
      </c>
      <c r="B535" s="201">
        <v>25612</v>
      </c>
      <c r="C535" s="200">
        <v>25</v>
      </c>
      <c r="D535" s="203" t="s">
        <v>917</v>
      </c>
    </row>
    <row r="536" spans="1:4">
      <c r="A536" s="202" t="s">
        <v>963</v>
      </c>
      <c r="B536" s="201">
        <v>25645</v>
      </c>
      <c r="C536" s="200">
        <v>25</v>
      </c>
      <c r="D536" s="203" t="s">
        <v>917</v>
      </c>
    </row>
    <row r="537" spans="1:4">
      <c r="A537" s="202" t="s">
        <v>964</v>
      </c>
      <c r="B537" s="201">
        <v>25649</v>
      </c>
      <c r="C537" s="200">
        <v>25</v>
      </c>
      <c r="D537" s="203" t="s">
        <v>917</v>
      </c>
    </row>
    <row r="538" spans="1:4">
      <c r="A538" s="202" t="s">
        <v>965</v>
      </c>
      <c r="B538" s="201">
        <v>25653</v>
      </c>
      <c r="C538" s="200">
        <v>25</v>
      </c>
      <c r="D538" s="203" t="s">
        <v>917</v>
      </c>
    </row>
    <row r="539" spans="1:4">
      <c r="A539" s="202" t="s">
        <v>368</v>
      </c>
      <c r="B539" s="201">
        <v>25658</v>
      </c>
      <c r="C539" s="200">
        <v>25</v>
      </c>
      <c r="D539" s="203" t="s">
        <v>917</v>
      </c>
    </row>
    <row r="540" spans="1:4">
      <c r="A540" s="202" t="s">
        <v>369</v>
      </c>
      <c r="B540" s="201">
        <v>25662</v>
      </c>
      <c r="C540" s="200">
        <v>25</v>
      </c>
      <c r="D540" s="203" t="s">
        <v>917</v>
      </c>
    </row>
    <row r="541" spans="1:4">
      <c r="A541" s="202" t="s">
        <v>966</v>
      </c>
      <c r="B541" s="201">
        <v>25718</v>
      </c>
      <c r="C541" s="200">
        <v>25</v>
      </c>
      <c r="D541" s="203" t="s">
        <v>917</v>
      </c>
    </row>
    <row r="542" spans="1:4">
      <c r="A542" s="202" t="s">
        <v>967</v>
      </c>
      <c r="B542" s="201">
        <v>25736</v>
      </c>
      <c r="C542" s="200">
        <v>25</v>
      </c>
      <c r="D542" s="203" t="s">
        <v>917</v>
      </c>
    </row>
    <row r="543" spans="1:4">
      <c r="A543" s="202" t="s">
        <v>370</v>
      </c>
      <c r="B543" s="201">
        <v>25740</v>
      </c>
      <c r="C543" s="200">
        <v>25</v>
      </c>
      <c r="D543" s="203" t="s">
        <v>917</v>
      </c>
    </row>
    <row r="544" spans="1:4">
      <c r="A544" s="202" t="s">
        <v>968</v>
      </c>
      <c r="B544" s="201">
        <v>25743</v>
      </c>
      <c r="C544" s="200">
        <v>25</v>
      </c>
      <c r="D544" s="203" t="s">
        <v>917</v>
      </c>
    </row>
    <row r="545" spans="1:4">
      <c r="A545" s="202" t="s">
        <v>371</v>
      </c>
      <c r="B545" s="201">
        <v>25745</v>
      </c>
      <c r="C545" s="200">
        <v>25</v>
      </c>
      <c r="D545" s="203" t="s">
        <v>917</v>
      </c>
    </row>
    <row r="546" spans="1:4">
      <c r="A546" s="202" t="s">
        <v>372</v>
      </c>
      <c r="B546" s="201">
        <v>25754</v>
      </c>
      <c r="C546" s="200">
        <v>25</v>
      </c>
      <c r="D546" s="203" t="s">
        <v>917</v>
      </c>
    </row>
    <row r="547" spans="1:4">
      <c r="A547" s="202" t="s">
        <v>373</v>
      </c>
      <c r="B547" s="201">
        <v>25758</v>
      </c>
      <c r="C547" s="200">
        <v>25</v>
      </c>
      <c r="D547" s="203" t="s">
        <v>917</v>
      </c>
    </row>
    <row r="548" spans="1:4">
      <c r="A548" s="202" t="s">
        <v>969</v>
      </c>
      <c r="B548" s="201">
        <v>25769</v>
      </c>
      <c r="C548" s="200">
        <v>25</v>
      </c>
      <c r="D548" s="203" t="s">
        <v>917</v>
      </c>
    </row>
    <row r="549" spans="1:4">
      <c r="A549" s="202" t="s">
        <v>970</v>
      </c>
      <c r="B549" s="201">
        <v>25772</v>
      </c>
      <c r="C549" s="200">
        <v>25</v>
      </c>
      <c r="D549" s="203" t="s">
        <v>917</v>
      </c>
    </row>
    <row r="550" spans="1:4">
      <c r="A550" s="202" t="s">
        <v>971</v>
      </c>
      <c r="B550" s="201">
        <v>25777</v>
      </c>
      <c r="C550" s="200">
        <v>25</v>
      </c>
      <c r="D550" s="203" t="s">
        <v>917</v>
      </c>
    </row>
    <row r="551" spans="1:4">
      <c r="A551" s="202" t="s">
        <v>972</v>
      </c>
      <c r="B551" s="201">
        <v>25779</v>
      </c>
      <c r="C551" s="200">
        <v>25</v>
      </c>
      <c r="D551" s="203" t="s">
        <v>917</v>
      </c>
    </row>
    <row r="552" spans="1:4">
      <c r="A552" s="202" t="s">
        <v>374</v>
      </c>
      <c r="B552" s="201">
        <v>25781</v>
      </c>
      <c r="C552" s="200">
        <v>25</v>
      </c>
      <c r="D552" s="203" t="s">
        <v>917</v>
      </c>
    </row>
    <row r="553" spans="1:4">
      <c r="A553" s="202" t="s">
        <v>973</v>
      </c>
      <c r="B553" s="201">
        <v>25785</v>
      </c>
      <c r="C553" s="200">
        <v>25</v>
      </c>
      <c r="D553" s="203" t="s">
        <v>917</v>
      </c>
    </row>
    <row r="554" spans="1:4">
      <c r="A554" s="202" t="s">
        <v>974</v>
      </c>
      <c r="B554" s="201">
        <v>25793</v>
      </c>
      <c r="C554" s="200">
        <v>25</v>
      </c>
      <c r="D554" s="203" t="s">
        <v>917</v>
      </c>
    </row>
    <row r="555" spans="1:4">
      <c r="A555" s="202" t="s">
        <v>975</v>
      </c>
      <c r="B555" s="201">
        <v>25797</v>
      </c>
      <c r="C555" s="200">
        <v>25</v>
      </c>
      <c r="D555" s="203" t="s">
        <v>917</v>
      </c>
    </row>
    <row r="556" spans="1:4">
      <c r="A556" s="202" t="s">
        <v>375</v>
      </c>
      <c r="B556" s="201">
        <v>25799</v>
      </c>
      <c r="C556" s="200">
        <v>25</v>
      </c>
      <c r="D556" s="203" t="s">
        <v>917</v>
      </c>
    </row>
    <row r="557" spans="1:4">
      <c r="A557" s="202" t="s">
        <v>976</v>
      </c>
      <c r="B557" s="201">
        <v>25805</v>
      </c>
      <c r="C557" s="200">
        <v>25</v>
      </c>
      <c r="D557" s="203" t="s">
        <v>917</v>
      </c>
    </row>
    <row r="558" spans="1:4">
      <c r="A558" s="202" t="s">
        <v>977</v>
      </c>
      <c r="B558" s="201">
        <v>25807</v>
      </c>
      <c r="C558" s="200">
        <v>25</v>
      </c>
      <c r="D558" s="203" t="s">
        <v>917</v>
      </c>
    </row>
    <row r="559" spans="1:4">
      <c r="A559" s="202" t="s">
        <v>376</v>
      </c>
      <c r="B559" s="201">
        <v>25815</v>
      </c>
      <c r="C559" s="200">
        <v>25</v>
      </c>
      <c r="D559" s="203" t="s">
        <v>917</v>
      </c>
    </row>
    <row r="560" spans="1:4">
      <c r="A560" s="202" t="s">
        <v>377</v>
      </c>
      <c r="B560" s="201">
        <v>25817</v>
      </c>
      <c r="C560" s="200">
        <v>25</v>
      </c>
      <c r="D560" s="203" t="s">
        <v>917</v>
      </c>
    </row>
    <row r="561" spans="1:4">
      <c r="A561" s="202" t="s">
        <v>978</v>
      </c>
      <c r="B561" s="201">
        <v>25823</v>
      </c>
      <c r="C561" s="200">
        <v>25</v>
      </c>
      <c r="D561" s="203" t="s">
        <v>917</v>
      </c>
    </row>
    <row r="562" spans="1:4">
      <c r="A562" s="202" t="s">
        <v>979</v>
      </c>
      <c r="B562" s="201">
        <v>25839</v>
      </c>
      <c r="C562" s="200">
        <v>25</v>
      </c>
      <c r="D562" s="203" t="s">
        <v>917</v>
      </c>
    </row>
    <row r="563" spans="1:4">
      <c r="A563" s="202" t="s">
        <v>980</v>
      </c>
      <c r="B563" s="201">
        <v>25841</v>
      </c>
      <c r="C563" s="200">
        <v>25</v>
      </c>
      <c r="D563" s="203" t="s">
        <v>917</v>
      </c>
    </row>
    <row r="564" spans="1:4">
      <c r="A564" s="202" t="s">
        <v>379</v>
      </c>
      <c r="B564" s="201">
        <v>25843</v>
      </c>
      <c r="C564" s="200">
        <v>25</v>
      </c>
      <c r="D564" s="203" t="s">
        <v>917</v>
      </c>
    </row>
    <row r="565" spans="1:4">
      <c r="A565" s="202" t="s">
        <v>981</v>
      </c>
      <c r="B565" s="201">
        <v>25845</v>
      </c>
      <c r="C565" s="200">
        <v>25</v>
      </c>
      <c r="D565" s="203" t="s">
        <v>917</v>
      </c>
    </row>
    <row r="566" spans="1:4">
      <c r="A566" s="202" t="s">
        <v>378</v>
      </c>
      <c r="B566" s="201">
        <v>25851</v>
      </c>
      <c r="C566" s="200">
        <v>25</v>
      </c>
      <c r="D566" s="203" t="s">
        <v>917</v>
      </c>
    </row>
    <row r="567" spans="1:4">
      <c r="A567" s="202" t="s">
        <v>982</v>
      </c>
      <c r="B567" s="201">
        <v>25862</v>
      </c>
      <c r="C567" s="200">
        <v>25</v>
      </c>
      <c r="D567" s="203" t="s">
        <v>917</v>
      </c>
    </row>
    <row r="568" spans="1:4">
      <c r="A568" s="202" t="s">
        <v>983</v>
      </c>
      <c r="B568" s="201">
        <v>25867</v>
      </c>
      <c r="C568" s="200">
        <v>25</v>
      </c>
      <c r="D568" s="203" t="s">
        <v>917</v>
      </c>
    </row>
    <row r="569" spans="1:4">
      <c r="A569" s="202" t="s">
        <v>984</v>
      </c>
      <c r="B569" s="201">
        <v>25871</v>
      </c>
      <c r="C569" s="200">
        <v>25</v>
      </c>
      <c r="D569" s="203" t="s">
        <v>917</v>
      </c>
    </row>
    <row r="570" spans="1:4">
      <c r="A570" s="202" t="s">
        <v>985</v>
      </c>
      <c r="B570" s="201">
        <v>25873</v>
      </c>
      <c r="C570" s="200">
        <v>25</v>
      </c>
      <c r="D570" s="203" t="s">
        <v>917</v>
      </c>
    </row>
    <row r="571" spans="1:4">
      <c r="A571" s="202" t="s">
        <v>380</v>
      </c>
      <c r="B571" s="201">
        <v>25875</v>
      </c>
      <c r="C571" s="200">
        <v>25</v>
      </c>
      <c r="D571" s="203" t="s">
        <v>917</v>
      </c>
    </row>
    <row r="572" spans="1:4">
      <c r="A572" s="202" t="s">
        <v>381</v>
      </c>
      <c r="B572" s="201">
        <v>25878</v>
      </c>
      <c r="C572" s="200">
        <v>25</v>
      </c>
      <c r="D572" s="203" t="s">
        <v>917</v>
      </c>
    </row>
    <row r="573" spans="1:4">
      <c r="A573" s="202" t="s">
        <v>382</v>
      </c>
      <c r="B573" s="201">
        <v>25885</v>
      </c>
      <c r="C573" s="200">
        <v>25</v>
      </c>
      <c r="D573" s="203" t="s">
        <v>917</v>
      </c>
    </row>
    <row r="574" spans="1:4">
      <c r="A574" s="202" t="s">
        <v>986</v>
      </c>
      <c r="B574" s="201">
        <v>25898</v>
      </c>
      <c r="C574" s="200">
        <v>25</v>
      </c>
      <c r="D574" s="203" t="s">
        <v>917</v>
      </c>
    </row>
    <row r="575" spans="1:4">
      <c r="A575" s="202" t="s">
        <v>383</v>
      </c>
      <c r="B575" s="201">
        <v>25899</v>
      </c>
      <c r="C575" s="200">
        <v>25</v>
      </c>
      <c r="D575" s="203" t="s">
        <v>917</v>
      </c>
    </row>
    <row r="576" spans="1:4">
      <c r="A576" s="202" t="s">
        <v>384</v>
      </c>
      <c r="B576" s="201">
        <v>27001</v>
      </c>
      <c r="C576" s="200">
        <v>27</v>
      </c>
      <c r="D576" s="203" t="s">
        <v>987</v>
      </c>
    </row>
    <row r="577" spans="1:4">
      <c r="A577" s="202" t="s">
        <v>385</v>
      </c>
      <c r="B577" s="201">
        <v>27006</v>
      </c>
      <c r="C577" s="200">
        <v>27</v>
      </c>
      <c r="D577" s="203" t="s">
        <v>987</v>
      </c>
    </row>
    <row r="578" spans="1:4">
      <c r="A578" s="202" t="s">
        <v>386</v>
      </c>
      <c r="B578" s="201">
        <v>27025</v>
      </c>
      <c r="C578" s="200">
        <v>27</v>
      </c>
      <c r="D578" s="203" t="s">
        <v>987</v>
      </c>
    </row>
    <row r="579" spans="1:4">
      <c r="A579" s="202" t="s">
        <v>988</v>
      </c>
      <c r="B579" s="201">
        <v>27050</v>
      </c>
      <c r="C579" s="200">
        <v>27</v>
      </c>
      <c r="D579" s="203" t="s">
        <v>987</v>
      </c>
    </row>
    <row r="580" spans="1:4">
      <c r="A580" s="202" t="s">
        <v>989</v>
      </c>
      <c r="B580" s="201">
        <v>27073</v>
      </c>
      <c r="C580" s="200">
        <v>27</v>
      </c>
      <c r="D580" s="203" t="s">
        <v>987</v>
      </c>
    </row>
    <row r="581" spans="1:4">
      <c r="A581" s="202" t="s">
        <v>387</v>
      </c>
      <c r="B581" s="201">
        <v>27075</v>
      </c>
      <c r="C581" s="200">
        <v>27</v>
      </c>
      <c r="D581" s="203" t="s">
        <v>987</v>
      </c>
    </row>
    <row r="582" spans="1:4">
      <c r="A582" s="202" t="s">
        <v>388</v>
      </c>
      <c r="B582" s="201">
        <v>27077</v>
      </c>
      <c r="C582" s="200">
        <v>27</v>
      </c>
      <c r="D582" s="203" t="s">
        <v>987</v>
      </c>
    </row>
    <row r="583" spans="1:4">
      <c r="A583" s="202" t="s">
        <v>389</v>
      </c>
      <c r="B583" s="201">
        <v>27099</v>
      </c>
      <c r="C583" s="200">
        <v>27</v>
      </c>
      <c r="D583" s="203" t="s">
        <v>987</v>
      </c>
    </row>
    <row r="584" spans="1:4">
      <c r="A584" s="202" t="s">
        <v>990</v>
      </c>
      <c r="B584" s="201">
        <v>27135</v>
      </c>
      <c r="C584" s="200">
        <v>27</v>
      </c>
      <c r="D584" s="203" t="s">
        <v>987</v>
      </c>
    </row>
    <row r="585" spans="1:4">
      <c r="A585" s="202" t="s">
        <v>991</v>
      </c>
      <c r="B585" s="201">
        <v>27150</v>
      </c>
      <c r="C585" s="200">
        <v>27</v>
      </c>
      <c r="D585" s="203" t="s">
        <v>987</v>
      </c>
    </row>
    <row r="586" spans="1:4">
      <c r="A586" s="202" t="s">
        <v>992</v>
      </c>
      <c r="B586" s="201">
        <v>27160</v>
      </c>
      <c r="C586" s="200">
        <v>27</v>
      </c>
      <c r="D586" s="203" t="s">
        <v>987</v>
      </c>
    </row>
    <row r="587" spans="1:4">
      <c r="A587" s="202" t="s">
        <v>390</v>
      </c>
      <c r="B587" s="201">
        <v>27205</v>
      </c>
      <c r="C587" s="200">
        <v>27</v>
      </c>
      <c r="D587" s="203" t="s">
        <v>987</v>
      </c>
    </row>
    <row r="588" spans="1:4">
      <c r="A588" s="202" t="s">
        <v>993</v>
      </c>
      <c r="B588" s="201">
        <v>27245</v>
      </c>
      <c r="C588" s="200">
        <v>27</v>
      </c>
      <c r="D588" s="203" t="s">
        <v>987</v>
      </c>
    </row>
    <row r="589" spans="1:4">
      <c r="A589" s="202" t="s">
        <v>391</v>
      </c>
      <c r="B589" s="201">
        <v>27250</v>
      </c>
      <c r="C589" s="200">
        <v>27</v>
      </c>
      <c r="D589" s="203" t="s">
        <v>987</v>
      </c>
    </row>
    <row r="590" spans="1:4">
      <c r="A590" s="202" t="s">
        <v>392</v>
      </c>
      <c r="B590" s="201">
        <v>27361</v>
      </c>
      <c r="C590" s="200">
        <v>27</v>
      </c>
      <c r="D590" s="203" t="s">
        <v>987</v>
      </c>
    </row>
    <row r="591" spans="1:4">
      <c r="A591" s="202" t="s">
        <v>994</v>
      </c>
      <c r="B591" s="201">
        <v>27372</v>
      </c>
      <c r="C591" s="200">
        <v>27</v>
      </c>
      <c r="D591" s="203" t="s">
        <v>987</v>
      </c>
    </row>
    <row r="592" spans="1:4">
      <c r="A592" s="202" t="s">
        <v>995</v>
      </c>
      <c r="B592" s="201">
        <v>27413</v>
      </c>
      <c r="C592" s="200">
        <v>27</v>
      </c>
      <c r="D592" s="203" t="s">
        <v>987</v>
      </c>
    </row>
    <row r="593" spans="1:4">
      <c r="A593" s="202" t="s">
        <v>393</v>
      </c>
      <c r="B593" s="201">
        <v>27425</v>
      </c>
      <c r="C593" s="200">
        <v>27</v>
      </c>
      <c r="D593" s="203" t="s">
        <v>987</v>
      </c>
    </row>
    <row r="594" spans="1:4">
      <c r="A594" s="202" t="s">
        <v>394</v>
      </c>
      <c r="B594" s="201">
        <v>27430</v>
      </c>
      <c r="C594" s="200">
        <v>27</v>
      </c>
      <c r="D594" s="203" t="s">
        <v>987</v>
      </c>
    </row>
    <row r="595" spans="1:4">
      <c r="A595" s="202" t="s">
        <v>996</v>
      </c>
      <c r="B595" s="201">
        <v>27450</v>
      </c>
      <c r="C595" s="200">
        <v>27</v>
      </c>
      <c r="D595" s="203" t="s">
        <v>987</v>
      </c>
    </row>
    <row r="596" spans="1:4">
      <c r="A596" s="202" t="s">
        <v>997</v>
      </c>
      <c r="B596" s="201">
        <v>27491</v>
      </c>
      <c r="C596" s="200">
        <v>27</v>
      </c>
      <c r="D596" s="203" t="s">
        <v>987</v>
      </c>
    </row>
    <row r="597" spans="1:4">
      <c r="A597" s="202" t="s">
        <v>998</v>
      </c>
      <c r="B597" s="201">
        <v>27495</v>
      </c>
      <c r="C597" s="200">
        <v>27</v>
      </c>
      <c r="D597" s="203" t="s">
        <v>987</v>
      </c>
    </row>
    <row r="598" spans="1:4">
      <c r="A598" s="202" t="s">
        <v>999</v>
      </c>
      <c r="B598" s="201">
        <v>27580</v>
      </c>
      <c r="C598" s="200">
        <v>27</v>
      </c>
      <c r="D598" s="203" t="s">
        <v>987</v>
      </c>
    </row>
    <row r="599" spans="1:4">
      <c r="A599" s="202" t="s">
        <v>1000</v>
      </c>
      <c r="B599" s="201">
        <v>27600</v>
      </c>
      <c r="C599" s="200">
        <v>27</v>
      </c>
      <c r="D599" s="203" t="s">
        <v>987</v>
      </c>
    </row>
    <row r="600" spans="1:4">
      <c r="A600" s="202" t="s">
        <v>395</v>
      </c>
      <c r="B600" s="201">
        <v>27615</v>
      </c>
      <c r="C600" s="200">
        <v>27</v>
      </c>
      <c r="D600" s="203" t="s">
        <v>987</v>
      </c>
    </row>
    <row r="601" spans="1:4">
      <c r="A601" s="202" t="s">
        <v>1001</v>
      </c>
      <c r="B601" s="201">
        <v>27660</v>
      </c>
      <c r="C601" s="200">
        <v>27</v>
      </c>
      <c r="D601" s="203" t="s">
        <v>987</v>
      </c>
    </row>
    <row r="602" spans="1:4">
      <c r="A602" s="202" t="s">
        <v>396</v>
      </c>
      <c r="B602" s="201">
        <v>27745</v>
      </c>
      <c r="C602" s="200">
        <v>27</v>
      </c>
      <c r="D602" s="203" t="s">
        <v>987</v>
      </c>
    </row>
    <row r="603" spans="1:4">
      <c r="A603" s="202" t="s">
        <v>397</v>
      </c>
      <c r="B603" s="201">
        <v>27787</v>
      </c>
      <c r="C603" s="200">
        <v>27</v>
      </c>
      <c r="D603" s="203" t="s">
        <v>987</v>
      </c>
    </row>
    <row r="604" spans="1:4">
      <c r="A604" s="202" t="s">
        <v>398</v>
      </c>
      <c r="B604" s="201">
        <v>27800</v>
      </c>
      <c r="C604" s="200">
        <v>27</v>
      </c>
      <c r="D604" s="203" t="s">
        <v>987</v>
      </c>
    </row>
    <row r="605" spans="1:4">
      <c r="A605" s="202" t="s">
        <v>1002</v>
      </c>
      <c r="B605" s="201">
        <v>27810</v>
      </c>
      <c r="C605" s="200">
        <v>27</v>
      </c>
      <c r="D605" s="203" t="s">
        <v>987</v>
      </c>
    </row>
    <row r="606" spans="1:4">
      <c r="A606" s="202" t="s">
        <v>400</v>
      </c>
      <c r="B606" s="201">
        <v>41001</v>
      </c>
      <c r="C606" s="200">
        <v>41</v>
      </c>
      <c r="D606" s="203" t="s">
        <v>1003</v>
      </c>
    </row>
    <row r="607" spans="1:4">
      <c r="A607" s="202" t="s">
        <v>401</v>
      </c>
      <c r="B607" s="201">
        <v>41006</v>
      </c>
      <c r="C607" s="200">
        <v>41</v>
      </c>
      <c r="D607" s="203" t="s">
        <v>1003</v>
      </c>
    </row>
    <row r="608" spans="1:4">
      <c r="A608" s="202" t="s">
        <v>1004</v>
      </c>
      <c r="B608" s="201">
        <v>41013</v>
      </c>
      <c r="C608" s="200">
        <v>41</v>
      </c>
      <c r="D608" s="203" t="s">
        <v>1003</v>
      </c>
    </row>
    <row r="609" spans="1:4">
      <c r="A609" s="202" t="s">
        <v>402</v>
      </c>
      <c r="B609" s="201">
        <v>41016</v>
      </c>
      <c r="C609" s="200">
        <v>41</v>
      </c>
      <c r="D609" s="203" t="s">
        <v>1003</v>
      </c>
    </row>
    <row r="610" spans="1:4">
      <c r="A610" s="202" t="s">
        <v>403</v>
      </c>
      <c r="B610" s="201">
        <v>41020</v>
      </c>
      <c r="C610" s="200">
        <v>41</v>
      </c>
      <c r="D610" s="203" t="s">
        <v>1003</v>
      </c>
    </row>
    <row r="611" spans="1:4">
      <c r="A611" s="202" t="s">
        <v>1005</v>
      </c>
      <c r="B611" s="201">
        <v>41026</v>
      </c>
      <c r="C611" s="200">
        <v>41</v>
      </c>
      <c r="D611" s="203" t="s">
        <v>1003</v>
      </c>
    </row>
    <row r="612" spans="1:4">
      <c r="A612" s="202" t="s">
        <v>1006</v>
      </c>
      <c r="B612" s="201">
        <v>41078</v>
      </c>
      <c r="C612" s="200">
        <v>41</v>
      </c>
      <c r="D612" s="203" t="s">
        <v>1003</v>
      </c>
    </row>
    <row r="613" spans="1:4">
      <c r="A613" s="202" t="s">
        <v>404</v>
      </c>
      <c r="B613" s="201">
        <v>41132</v>
      </c>
      <c r="C613" s="200">
        <v>41</v>
      </c>
      <c r="D613" s="203" t="s">
        <v>1003</v>
      </c>
    </row>
    <row r="614" spans="1:4">
      <c r="A614" s="202" t="s">
        <v>1007</v>
      </c>
      <c r="B614" s="201">
        <v>41206</v>
      </c>
      <c r="C614" s="200">
        <v>41</v>
      </c>
      <c r="D614" s="203" t="s">
        <v>1003</v>
      </c>
    </row>
    <row r="615" spans="1:4">
      <c r="A615" s="202" t="s">
        <v>1008</v>
      </c>
      <c r="B615" s="201">
        <v>41244</v>
      </c>
      <c r="C615" s="200">
        <v>41</v>
      </c>
      <c r="D615" s="203" t="s">
        <v>1003</v>
      </c>
    </row>
    <row r="616" spans="1:4">
      <c r="A616" s="202" t="s">
        <v>405</v>
      </c>
      <c r="B616" s="201">
        <v>41298</v>
      </c>
      <c r="C616" s="200">
        <v>41</v>
      </c>
      <c r="D616" s="203" t="s">
        <v>1003</v>
      </c>
    </row>
    <row r="617" spans="1:4">
      <c r="A617" s="202" t="s">
        <v>406</v>
      </c>
      <c r="B617" s="201">
        <v>41306</v>
      </c>
      <c r="C617" s="200">
        <v>41</v>
      </c>
      <c r="D617" s="203" t="s">
        <v>1003</v>
      </c>
    </row>
    <row r="618" spans="1:4">
      <c r="A618" s="202" t="s">
        <v>407</v>
      </c>
      <c r="B618" s="201">
        <v>41319</v>
      </c>
      <c r="C618" s="200">
        <v>41</v>
      </c>
      <c r="D618" s="203" t="s">
        <v>1003</v>
      </c>
    </row>
    <row r="619" spans="1:4">
      <c r="A619" s="202" t="s">
        <v>1009</v>
      </c>
      <c r="B619" s="201">
        <v>41349</v>
      </c>
      <c r="C619" s="200">
        <v>41</v>
      </c>
      <c r="D619" s="203" t="s">
        <v>1003</v>
      </c>
    </row>
    <row r="620" spans="1:4">
      <c r="A620" s="202" t="s">
        <v>408</v>
      </c>
      <c r="B620" s="201">
        <v>41357</v>
      </c>
      <c r="C620" s="200">
        <v>41</v>
      </c>
      <c r="D620" s="203" t="s">
        <v>1003</v>
      </c>
    </row>
    <row r="621" spans="1:4">
      <c r="A621" s="202" t="s">
        <v>409</v>
      </c>
      <c r="B621" s="201">
        <v>41359</v>
      </c>
      <c r="C621" s="200">
        <v>41</v>
      </c>
      <c r="D621" s="203" t="s">
        <v>1003</v>
      </c>
    </row>
    <row r="622" spans="1:4">
      <c r="A622" s="202" t="s">
        <v>1010</v>
      </c>
      <c r="B622" s="201">
        <v>41378</v>
      </c>
      <c r="C622" s="200">
        <v>41</v>
      </c>
      <c r="D622" s="203" t="s">
        <v>1003</v>
      </c>
    </row>
    <row r="623" spans="1:4">
      <c r="A623" s="202" t="s">
        <v>410</v>
      </c>
      <c r="B623" s="201">
        <v>41396</v>
      </c>
      <c r="C623" s="200">
        <v>41</v>
      </c>
      <c r="D623" s="203" t="s">
        <v>1003</v>
      </c>
    </row>
    <row r="624" spans="1:4">
      <c r="A624" s="202" t="s">
        <v>411</v>
      </c>
      <c r="B624" s="201">
        <v>41483</v>
      </c>
      <c r="C624" s="200">
        <v>41</v>
      </c>
      <c r="D624" s="203" t="s">
        <v>1003</v>
      </c>
    </row>
    <row r="625" spans="1:4">
      <c r="A625" s="202" t="s">
        <v>1011</v>
      </c>
      <c r="B625" s="201">
        <v>41503</v>
      </c>
      <c r="C625" s="200">
        <v>41</v>
      </c>
      <c r="D625" s="203" t="s">
        <v>1003</v>
      </c>
    </row>
    <row r="626" spans="1:4">
      <c r="A626" s="202" t="s">
        <v>1012</v>
      </c>
      <c r="B626" s="201">
        <v>41518</v>
      </c>
      <c r="C626" s="200">
        <v>41</v>
      </c>
      <c r="D626" s="203" t="s">
        <v>1003</v>
      </c>
    </row>
    <row r="627" spans="1:4">
      <c r="A627" s="202" t="s">
        <v>412</v>
      </c>
      <c r="B627" s="201">
        <v>41524</v>
      </c>
      <c r="C627" s="200">
        <v>41</v>
      </c>
      <c r="D627" s="203" t="s">
        <v>1003</v>
      </c>
    </row>
    <row r="628" spans="1:4">
      <c r="A628" s="202" t="s">
        <v>413</v>
      </c>
      <c r="B628" s="201">
        <v>41530</v>
      </c>
      <c r="C628" s="200">
        <v>41</v>
      </c>
      <c r="D628" s="203" t="s">
        <v>1003</v>
      </c>
    </row>
    <row r="629" spans="1:4">
      <c r="A629" s="202" t="s">
        <v>1013</v>
      </c>
      <c r="B629" s="201">
        <v>41548</v>
      </c>
      <c r="C629" s="200">
        <v>41</v>
      </c>
      <c r="D629" s="203" t="s">
        <v>1003</v>
      </c>
    </row>
    <row r="630" spans="1:4">
      <c r="A630" s="202" t="s">
        <v>414</v>
      </c>
      <c r="B630" s="201">
        <v>41551</v>
      </c>
      <c r="C630" s="200">
        <v>41</v>
      </c>
      <c r="D630" s="203" t="s">
        <v>1003</v>
      </c>
    </row>
    <row r="631" spans="1:4">
      <c r="A631" s="202" t="s">
        <v>415</v>
      </c>
      <c r="B631" s="201">
        <v>41615</v>
      </c>
      <c r="C631" s="200">
        <v>41</v>
      </c>
      <c r="D631" s="203" t="s">
        <v>1003</v>
      </c>
    </row>
    <row r="632" spans="1:4">
      <c r="A632" s="202" t="s">
        <v>1014</v>
      </c>
      <c r="B632" s="201">
        <v>41660</v>
      </c>
      <c r="C632" s="200">
        <v>41</v>
      </c>
      <c r="D632" s="203" t="s">
        <v>1003</v>
      </c>
    </row>
    <row r="633" spans="1:4">
      <c r="A633" s="202" t="s">
        <v>416</v>
      </c>
      <c r="B633" s="201">
        <v>41668</v>
      </c>
      <c r="C633" s="200">
        <v>41</v>
      </c>
      <c r="D633" s="203" t="s">
        <v>1003</v>
      </c>
    </row>
    <row r="634" spans="1:4">
      <c r="A634" s="202" t="s">
        <v>871</v>
      </c>
      <c r="B634" s="201">
        <v>41676</v>
      </c>
      <c r="C634" s="200">
        <v>41</v>
      </c>
      <c r="D634" s="203" t="s">
        <v>1003</v>
      </c>
    </row>
    <row r="635" spans="1:4">
      <c r="A635" s="202" t="s">
        <v>417</v>
      </c>
      <c r="B635" s="201">
        <v>41770</v>
      </c>
      <c r="C635" s="200">
        <v>41</v>
      </c>
      <c r="D635" s="203" t="s">
        <v>1003</v>
      </c>
    </row>
    <row r="636" spans="1:4">
      <c r="A636" s="202" t="s">
        <v>418</v>
      </c>
      <c r="B636" s="201">
        <v>41791</v>
      </c>
      <c r="C636" s="200">
        <v>41</v>
      </c>
      <c r="D636" s="203" t="s">
        <v>1003</v>
      </c>
    </row>
    <row r="637" spans="1:4">
      <c r="A637" s="202" t="s">
        <v>1015</v>
      </c>
      <c r="B637" s="201">
        <v>41797</v>
      </c>
      <c r="C637" s="200">
        <v>41</v>
      </c>
      <c r="D637" s="203" t="s">
        <v>1003</v>
      </c>
    </row>
    <row r="638" spans="1:4">
      <c r="A638" s="202" t="s">
        <v>1016</v>
      </c>
      <c r="B638" s="201">
        <v>41799</v>
      </c>
      <c r="C638" s="200">
        <v>41</v>
      </c>
      <c r="D638" s="203" t="s">
        <v>1003</v>
      </c>
    </row>
    <row r="639" spans="1:4">
      <c r="A639" s="202" t="s">
        <v>1017</v>
      </c>
      <c r="B639" s="201">
        <v>41801</v>
      </c>
      <c r="C639" s="200">
        <v>41</v>
      </c>
      <c r="D639" s="203" t="s">
        <v>1003</v>
      </c>
    </row>
    <row r="640" spans="1:4">
      <c r="A640" s="202" t="s">
        <v>419</v>
      </c>
      <c r="B640" s="201">
        <v>41807</v>
      </c>
      <c r="C640" s="200">
        <v>41</v>
      </c>
      <c r="D640" s="203" t="s">
        <v>1003</v>
      </c>
    </row>
    <row r="641" spans="1:4">
      <c r="A641" s="202" t="s">
        <v>1018</v>
      </c>
      <c r="B641" s="201">
        <v>41872</v>
      </c>
      <c r="C641" s="200">
        <v>41</v>
      </c>
      <c r="D641" s="203" t="s">
        <v>1003</v>
      </c>
    </row>
    <row r="642" spans="1:4">
      <c r="A642" s="202" t="s">
        <v>1019</v>
      </c>
      <c r="B642" s="201">
        <v>41885</v>
      </c>
      <c r="C642" s="200">
        <v>41</v>
      </c>
      <c r="D642" s="203" t="s">
        <v>1003</v>
      </c>
    </row>
    <row r="643" spans="1:4">
      <c r="A643" s="202" t="s">
        <v>421</v>
      </c>
      <c r="B643" s="201">
        <v>44001</v>
      </c>
      <c r="C643" s="200">
        <v>44</v>
      </c>
      <c r="D643" s="203" t="s">
        <v>1020</v>
      </c>
    </row>
    <row r="644" spans="1:4">
      <c r="A644" s="202" t="s">
        <v>422</v>
      </c>
      <c r="B644" s="201">
        <v>44035</v>
      </c>
      <c r="C644" s="200">
        <v>44</v>
      </c>
      <c r="D644" s="203" t="s">
        <v>1020</v>
      </c>
    </row>
    <row r="645" spans="1:4">
      <c r="A645" s="202" t="s">
        <v>423</v>
      </c>
      <c r="B645" s="201">
        <v>44078</v>
      </c>
      <c r="C645" s="200">
        <v>44</v>
      </c>
      <c r="D645" s="203" t="s">
        <v>1020</v>
      </c>
    </row>
    <row r="646" spans="1:4">
      <c r="A646" s="202" t="s">
        <v>424</v>
      </c>
      <c r="B646" s="201">
        <v>44090</v>
      </c>
      <c r="C646" s="200">
        <v>44</v>
      </c>
      <c r="D646" s="203" t="s">
        <v>1020</v>
      </c>
    </row>
    <row r="647" spans="1:4">
      <c r="A647" s="202" t="s">
        <v>1021</v>
      </c>
      <c r="B647" s="201">
        <v>44098</v>
      </c>
      <c r="C647" s="200">
        <v>44</v>
      </c>
      <c r="D647" s="203" t="s">
        <v>1020</v>
      </c>
    </row>
    <row r="648" spans="1:4">
      <c r="A648" s="202" t="s">
        <v>1022</v>
      </c>
      <c r="B648" s="201">
        <v>44110</v>
      </c>
      <c r="C648" s="200">
        <v>44</v>
      </c>
      <c r="D648" s="203" t="s">
        <v>1020</v>
      </c>
    </row>
    <row r="649" spans="1:4">
      <c r="A649" s="202" t="s">
        <v>425</v>
      </c>
      <c r="B649" s="201">
        <v>44279</v>
      </c>
      <c r="C649" s="200">
        <v>44</v>
      </c>
      <c r="D649" s="203" t="s">
        <v>1020</v>
      </c>
    </row>
    <row r="650" spans="1:4">
      <c r="A650" s="202" t="s">
        <v>426</v>
      </c>
      <c r="B650" s="201">
        <v>44378</v>
      </c>
      <c r="C650" s="200">
        <v>44</v>
      </c>
      <c r="D650" s="203" t="s">
        <v>1020</v>
      </c>
    </row>
    <row r="651" spans="1:4">
      <c r="A651" s="202" t="s">
        <v>1023</v>
      </c>
      <c r="B651" s="201">
        <v>44420</v>
      </c>
      <c r="C651" s="200">
        <v>44</v>
      </c>
      <c r="D651" s="203" t="s">
        <v>1020</v>
      </c>
    </row>
    <row r="652" spans="1:4">
      <c r="A652" s="202" t="s">
        <v>427</v>
      </c>
      <c r="B652" s="201">
        <v>44430</v>
      </c>
      <c r="C652" s="200">
        <v>44</v>
      </c>
      <c r="D652" s="203" t="s">
        <v>1020</v>
      </c>
    </row>
    <row r="653" spans="1:4">
      <c r="A653" s="202" t="s">
        <v>428</v>
      </c>
      <c r="B653" s="201">
        <v>44560</v>
      </c>
      <c r="C653" s="200">
        <v>44</v>
      </c>
      <c r="D653" s="203" t="s">
        <v>1020</v>
      </c>
    </row>
    <row r="654" spans="1:4">
      <c r="A654" s="202" t="s">
        <v>429</v>
      </c>
      <c r="B654" s="201">
        <v>44650</v>
      </c>
      <c r="C654" s="200">
        <v>44</v>
      </c>
      <c r="D654" s="203" t="s">
        <v>1020</v>
      </c>
    </row>
    <row r="655" spans="1:4">
      <c r="A655" s="202" t="s">
        <v>430</v>
      </c>
      <c r="B655" s="201">
        <v>44847</v>
      </c>
      <c r="C655" s="200">
        <v>44</v>
      </c>
      <c r="D655" s="203" t="s">
        <v>1020</v>
      </c>
    </row>
    <row r="656" spans="1:4">
      <c r="A656" s="202" t="s">
        <v>431</v>
      </c>
      <c r="B656" s="201">
        <v>44855</v>
      </c>
      <c r="C656" s="200">
        <v>44</v>
      </c>
      <c r="D656" s="203" t="s">
        <v>1020</v>
      </c>
    </row>
    <row r="657" spans="1:4">
      <c r="A657" s="202" t="s">
        <v>432</v>
      </c>
      <c r="B657" s="201">
        <v>44874</v>
      </c>
      <c r="C657" s="200">
        <v>44</v>
      </c>
      <c r="D657" s="203" t="s">
        <v>1020</v>
      </c>
    </row>
    <row r="658" spans="1:4">
      <c r="A658" s="202" t="s">
        <v>434</v>
      </c>
      <c r="B658" s="201">
        <v>47001</v>
      </c>
      <c r="C658" s="200">
        <v>47</v>
      </c>
      <c r="D658" s="203" t="s">
        <v>1024</v>
      </c>
    </row>
    <row r="659" spans="1:4">
      <c r="A659" s="202" t="s">
        <v>435</v>
      </c>
      <c r="B659" s="201">
        <v>47030</v>
      </c>
      <c r="C659" s="200">
        <v>47</v>
      </c>
      <c r="D659" s="203" t="s">
        <v>1024</v>
      </c>
    </row>
    <row r="660" spans="1:4">
      <c r="A660" s="202" t="s">
        <v>436</v>
      </c>
      <c r="B660" s="201">
        <v>47053</v>
      </c>
      <c r="C660" s="200">
        <v>47</v>
      </c>
      <c r="D660" s="203" t="s">
        <v>1024</v>
      </c>
    </row>
    <row r="661" spans="1:4">
      <c r="A661" s="202" t="s">
        <v>437</v>
      </c>
      <c r="B661" s="201">
        <v>47058</v>
      </c>
      <c r="C661" s="200">
        <v>47</v>
      </c>
      <c r="D661" s="203" t="s">
        <v>1024</v>
      </c>
    </row>
    <row r="662" spans="1:4">
      <c r="A662" s="202" t="s">
        <v>438</v>
      </c>
      <c r="B662" s="201">
        <v>47161</v>
      </c>
      <c r="C662" s="200">
        <v>47</v>
      </c>
      <c r="D662" s="203" t="s">
        <v>1024</v>
      </c>
    </row>
    <row r="663" spans="1:4">
      <c r="A663" s="202" t="s">
        <v>439</v>
      </c>
      <c r="B663" s="201">
        <v>47170</v>
      </c>
      <c r="C663" s="200">
        <v>47</v>
      </c>
      <c r="D663" s="203" t="s">
        <v>1024</v>
      </c>
    </row>
    <row r="664" spans="1:4">
      <c r="A664" s="202" t="s">
        <v>440</v>
      </c>
      <c r="B664" s="201">
        <v>47189</v>
      </c>
      <c r="C664" s="200">
        <v>47</v>
      </c>
      <c r="D664" s="203" t="s">
        <v>1024</v>
      </c>
    </row>
    <row r="665" spans="1:4">
      <c r="A665" s="202" t="s">
        <v>441</v>
      </c>
      <c r="B665" s="201">
        <v>47205</v>
      </c>
      <c r="C665" s="200">
        <v>47</v>
      </c>
      <c r="D665" s="203" t="s">
        <v>1024</v>
      </c>
    </row>
    <row r="666" spans="1:4">
      <c r="A666" s="202" t="s">
        <v>442</v>
      </c>
      <c r="B666" s="201">
        <v>47245</v>
      </c>
      <c r="C666" s="200">
        <v>47</v>
      </c>
      <c r="D666" s="203" t="s">
        <v>1024</v>
      </c>
    </row>
    <row r="667" spans="1:4">
      <c r="A667" s="202" t="s">
        <v>443</v>
      </c>
      <c r="B667" s="201">
        <v>47258</v>
      </c>
      <c r="C667" s="200">
        <v>47</v>
      </c>
      <c r="D667" s="203" t="s">
        <v>1024</v>
      </c>
    </row>
    <row r="668" spans="1:4">
      <c r="A668" s="202" t="s">
        <v>444</v>
      </c>
      <c r="B668" s="201">
        <v>47268</v>
      </c>
      <c r="C668" s="200">
        <v>47</v>
      </c>
      <c r="D668" s="203" t="s">
        <v>1024</v>
      </c>
    </row>
    <row r="669" spans="1:4">
      <c r="A669" s="202" t="s">
        <v>445</v>
      </c>
      <c r="B669" s="201">
        <v>47288</v>
      </c>
      <c r="C669" s="200">
        <v>47</v>
      </c>
      <c r="D669" s="203" t="s">
        <v>1024</v>
      </c>
    </row>
    <row r="670" spans="1:4">
      <c r="A670" s="202" t="s">
        <v>446</v>
      </c>
      <c r="B670" s="201">
        <v>47318</v>
      </c>
      <c r="C670" s="200">
        <v>47</v>
      </c>
      <c r="D670" s="203" t="s">
        <v>1024</v>
      </c>
    </row>
    <row r="671" spans="1:4">
      <c r="A671" s="202" t="s">
        <v>447</v>
      </c>
      <c r="B671" s="201">
        <v>47460</v>
      </c>
      <c r="C671" s="200">
        <v>47</v>
      </c>
      <c r="D671" s="203" t="s">
        <v>1024</v>
      </c>
    </row>
    <row r="672" spans="1:4">
      <c r="A672" s="202" t="s">
        <v>448</v>
      </c>
      <c r="B672" s="201">
        <v>47541</v>
      </c>
      <c r="C672" s="200">
        <v>47</v>
      </c>
      <c r="D672" s="203" t="s">
        <v>1024</v>
      </c>
    </row>
    <row r="673" spans="1:4">
      <c r="A673" s="202" t="s">
        <v>1025</v>
      </c>
      <c r="B673" s="201">
        <v>47545</v>
      </c>
      <c r="C673" s="200">
        <v>47</v>
      </c>
      <c r="D673" s="203" t="s">
        <v>1024</v>
      </c>
    </row>
    <row r="674" spans="1:4">
      <c r="A674" s="202" t="s">
        <v>449</v>
      </c>
      <c r="B674" s="201">
        <v>47551</v>
      </c>
      <c r="C674" s="200">
        <v>47</v>
      </c>
      <c r="D674" s="203" t="s">
        <v>1024</v>
      </c>
    </row>
    <row r="675" spans="1:4">
      <c r="A675" s="202" t="s">
        <v>450</v>
      </c>
      <c r="B675" s="201">
        <v>47555</v>
      </c>
      <c r="C675" s="200">
        <v>47</v>
      </c>
      <c r="D675" s="203" t="s">
        <v>1024</v>
      </c>
    </row>
    <row r="676" spans="1:4">
      <c r="A676" s="202" t="s">
        <v>451</v>
      </c>
      <c r="B676" s="201">
        <v>47570</v>
      </c>
      <c r="C676" s="200">
        <v>47</v>
      </c>
      <c r="D676" s="203" t="s">
        <v>1024</v>
      </c>
    </row>
    <row r="677" spans="1:4">
      <c r="A677" s="202" t="s">
        <v>452</v>
      </c>
      <c r="B677" s="201">
        <v>47605</v>
      </c>
      <c r="C677" s="200">
        <v>47</v>
      </c>
      <c r="D677" s="203" t="s">
        <v>1024</v>
      </c>
    </row>
    <row r="678" spans="1:4">
      <c r="A678" s="202" t="s">
        <v>1026</v>
      </c>
      <c r="B678" s="201">
        <v>47660</v>
      </c>
      <c r="C678" s="200">
        <v>47</v>
      </c>
      <c r="D678" s="203" t="s">
        <v>1024</v>
      </c>
    </row>
    <row r="679" spans="1:4">
      <c r="A679" s="202" t="s">
        <v>453</v>
      </c>
      <c r="B679" s="201">
        <v>47675</v>
      </c>
      <c r="C679" s="200">
        <v>47</v>
      </c>
      <c r="D679" s="203" t="s">
        <v>1024</v>
      </c>
    </row>
    <row r="680" spans="1:4">
      <c r="A680" s="202" t="s">
        <v>454</v>
      </c>
      <c r="B680" s="201">
        <v>47692</v>
      </c>
      <c r="C680" s="200">
        <v>47</v>
      </c>
      <c r="D680" s="203" t="s">
        <v>1024</v>
      </c>
    </row>
    <row r="681" spans="1:4">
      <c r="A681" s="202" t="s">
        <v>455</v>
      </c>
      <c r="B681" s="201">
        <v>47703</v>
      </c>
      <c r="C681" s="200">
        <v>47</v>
      </c>
      <c r="D681" s="203" t="s">
        <v>1024</v>
      </c>
    </row>
    <row r="682" spans="1:4">
      <c r="A682" s="202" t="s">
        <v>456</v>
      </c>
      <c r="B682" s="201">
        <v>47707</v>
      </c>
      <c r="C682" s="200">
        <v>47</v>
      </c>
      <c r="D682" s="203" t="s">
        <v>1024</v>
      </c>
    </row>
    <row r="683" spans="1:4">
      <c r="A683" s="202" t="s">
        <v>457</v>
      </c>
      <c r="B683" s="201">
        <v>47720</v>
      </c>
      <c r="C683" s="200">
        <v>47</v>
      </c>
      <c r="D683" s="203" t="s">
        <v>1024</v>
      </c>
    </row>
    <row r="684" spans="1:4">
      <c r="A684" s="202" t="s">
        <v>458</v>
      </c>
      <c r="B684" s="201">
        <v>47745</v>
      </c>
      <c r="C684" s="200">
        <v>47</v>
      </c>
      <c r="D684" s="203" t="s">
        <v>1024</v>
      </c>
    </row>
    <row r="685" spans="1:4">
      <c r="A685" s="202" t="s">
        <v>459</v>
      </c>
      <c r="B685" s="201">
        <v>47798</v>
      </c>
      <c r="C685" s="200">
        <v>47</v>
      </c>
      <c r="D685" s="203" t="s">
        <v>1024</v>
      </c>
    </row>
    <row r="686" spans="1:4">
      <c r="A686" s="202" t="s">
        <v>460</v>
      </c>
      <c r="B686" s="201">
        <v>47960</v>
      </c>
      <c r="C686" s="200">
        <v>47</v>
      </c>
      <c r="D686" s="203" t="s">
        <v>1024</v>
      </c>
    </row>
    <row r="687" spans="1:4">
      <c r="A687" s="202" t="s">
        <v>461</v>
      </c>
      <c r="B687" s="201">
        <v>47980</v>
      </c>
      <c r="C687" s="200">
        <v>47</v>
      </c>
      <c r="D687" s="203" t="s">
        <v>1024</v>
      </c>
    </row>
    <row r="688" spans="1:4">
      <c r="A688" s="202" t="s">
        <v>463</v>
      </c>
      <c r="B688" s="201">
        <v>50001</v>
      </c>
      <c r="C688" s="200">
        <v>50</v>
      </c>
      <c r="D688" s="203" t="s">
        <v>1027</v>
      </c>
    </row>
    <row r="689" spans="1:4">
      <c r="A689" s="202" t="s">
        <v>464</v>
      </c>
      <c r="B689" s="201">
        <v>50006</v>
      </c>
      <c r="C689" s="200">
        <v>50</v>
      </c>
      <c r="D689" s="203" t="s">
        <v>1027</v>
      </c>
    </row>
    <row r="690" spans="1:4">
      <c r="A690" s="202" t="s">
        <v>1028</v>
      </c>
      <c r="B690" s="201">
        <v>50110</v>
      </c>
      <c r="C690" s="200">
        <v>50</v>
      </c>
      <c r="D690" s="203" t="s">
        <v>1027</v>
      </c>
    </row>
    <row r="691" spans="1:4">
      <c r="A691" s="202" t="s">
        <v>1029</v>
      </c>
      <c r="B691" s="201">
        <v>50124</v>
      </c>
      <c r="C691" s="200">
        <v>50</v>
      </c>
      <c r="D691" s="203" t="s">
        <v>1027</v>
      </c>
    </row>
    <row r="692" spans="1:4">
      <c r="A692" s="202" t="s">
        <v>1030</v>
      </c>
      <c r="B692" s="201">
        <v>50150</v>
      </c>
      <c r="C692" s="200">
        <v>50</v>
      </c>
      <c r="D692" s="203" t="s">
        <v>1027</v>
      </c>
    </row>
    <row r="693" spans="1:4">
      <c r="A693" s="202" t="s">
        <v>1031</v>
      </c>
      <c r="B693" s="201">
        <v>50223</v>
      </c>
      <c r="C693" s="200">
        <v>50</v>
      </c>
      <c r="D693" s="203" t="s">
        <v>1027</v>
      </c>
    </row>
    <row r="694" spans="1:4">
      <c r="A694" s="202" t="s">
        <v>465</v>
      </c>
      <c r="B694" s="201">
        <v>50226</v>
      </c>
      <c r="C694" s="200">
        <v>50</v>
      </c>
      <c r="D694" s="203" t="s">
        <v>1027</v>
      </c>
    </row>
    <row r="695" spans="1:4">
      <c r="A695" s="202" t="s">
        <v>1032</v>
      </c>
      <c r="B695" s="201">
        <v>50245</v>
      </c>
      <c r="C695" s="200">
        <v>50</v>
      </c>
      <c r="D695" s="203" t="s">
        <v>1027</v>
      </c>
    </row>
    <row r="696" spans="1:4">
      <c r="A696" s="202" t="s">
        <v>1033</v>
      </c>
      <c r="B696" s="201">
        <v>50251</v>
      </c>
      <c r="C696" s="200">
        <v>50</v>
      </c>
      <c r="D696" s="203" t="s">
        <v>1027</v>
      </c>
    </row>
    <row r="697" spans="1:4">
      <c r="A697" s="202" t="s">
        <v>1034</v>
      </c>
      <c r="B697" s="201">
        <v>50270</v>
      </c>
      <c r="C697" s="200">
        <v>50</v>
      </c>
      <c r="D697" s="203" t="s">
        <v>1027</v>
      </c>
    </row>
    <row r="698" spans="1:4">
      <c r="A698" s="202" t="s">
        <v>1035</v>
      </c>
      <c r="B698" s="201">
        <v>50287</v>
      </c>
      <c r="C698" s="200">
        <v>50</v>
      </c>
      <c r="D698" s="203" t="s">
        <v>1027</v>
      </c>
    </row>
    <row r="699" spans="1:4">
      <c r="A699" s="202" t="s">
        <v>466</v>
      </c>
      <c r="B699" s="201">
        <v>50313</v>
      </c>
      <c r="C699" s="200">
        <v>50</v>
      </c>
      <c r="D699" s="203" t="s">
        <v>1027</v>
      </c>
    </row>
    <row r="700" spans="1:4">
      <c r="A700" s="202" t="s">
        <v>446</v>
      </c>
      <c r="B700" s="201">
        <v>50318</v>
      </c>
      <c r="C700" s="200">
        <v>50</v>
      </c>
      <c r="D700" s="203" t="s">
        <v>1027</v>
      </c>
    </row>
    <row r="701" spans="1:4">
      <c r="A701" s="202" t="s">
        <v>1036</v>
      </c>
      <c r="B701" s="201">
        <v>50325</v>
      </c>
      <c r="C701" s="200">
        <v>50</v>
      </c>
      <c r="D701" s="203" t="s">
        <v>1027</v>
      </c>
    </row>
    <row r="702" spans="1:4">
      <c r="A702" s="202" t="s">
        <v>468</v>
      </c>
      <c r="B702" s="201">
        <v>50330</v>
      </c>
      <c r="C702" s="200">
        <v>50</v>
      </c>
      <c r="D702" s="203" t="s">
        <v>1027</v>
      </c>
    </row>
    <row r="703" spans="1:4">
      <c r="A703" s="202" t="s">
        <v>467</v>
      </c>
      <c r="B703" s="201">
        <v>50350</v>
      </c>
      <c r="C703" s="200">
        <v>50</v>
      </c>
      <c r="D703" s="203" t="s">
        <v>1027</v>
      </c>
    </row>
    <row r="704" spans="1:4">
      <c r="A704" s="202" t="s">
        <v>474</v>
      </c>
      <c r="B704" s="201">
        <v>50370</v>
      </c>
      <c r="C704" s="200">
        <v>50</v>
      </c>
      <c r="D704" s="203" t="s">
        <v>1027</v>
      </c>
    </row>
    <row r="705" spans="1:4">
      <c r="A705" s="202" t="s">
        <v>1037</v>
      </c>
      <c r="B705" s="201">
        <v>50400</v>
      </c>
      <c r="C705" s="200">
        <v>50</v>
      </c>
      <c r="D705" s="203" t="s">
        <v>1027</v>
      </c>
    </row>
    <row r="706" spans="1:4">
      <c r="A706" s="202" t="s">
        <v>1038</v>
      </c>
      <c r="B706" s="201">
        <v>50450</v>
      </c>
      <c r="C706" s="200">
        <v>50</v>
      </c>
      <c r="D706" s="203" t="s">
        <v>1027</v>
      </c>
    </row>
    <row r="707" spans="1:4">
      <c r="A707" s="202" t="s">
        <v>469</v>
      </c>
      <c r="B707" s="201">
        <v>50568</v>
      </c>
      <c r="C707" s="200">
        <v>50</v>
      </c>
      <c r="D707" s="203" t="s">
        <v>1027</v>
      </c>
    </row>
    <row r="708" spans="1:4">
      <c r="A708" s="202" t="s">
        <v>471</v>
      </c>
      <c r="B708" s="201">
        <v>50573</v>
      </c>
      <c r="C708" s="200">
        <v>50</v>
      </c>
      <c r="D708" s="203" t="s">
        <v>1027</v>
      </c>
    </row>
    <row r="709" spans="1:4">
      <c r="A709" s="202" t="s">
        <v>470</v>
      </c>
      <c r="B709" s="201">
        <v>50577</v>
      </c>
      <c r="C709" s="200">
        <v>50</v>
      </c>
      <c r="D709" s="203" t="s">
        <v>1027</v>
      </c>
    </row>
    <row r="710" spans="1:4">
      <c r="A710" s="202" t="s">
        <v>472</v>
      </c>
      <c r="B710" s="201">
        <v>50590</v>
      </c>
      <c r="C710" s="200">
        <v>50</v>
      </c>
      <c r="D710" s="203" t="s">
        <v>1027</v>
      </c>
    </row>
    <row r="711" spans="1:4">
      <c r="A711" s="202" t="s">
        <v>1039</v>
      </c>
      <c r="B711" s="201">
        <v>50606</v>
      </c>
      <c r="C711" s="200">
        <v>50</v>
      </c>
      <c r="D711" s="203" t="s">
        <v>1027</v>
      </c>
    </row>
    <row r="712" spans="1:4">
      <c r="A712" s="202" t="s">
        <v>1040</v>
      </c>
      <c r="B712" s="201">
        <v>50680</v>
      </c>
      <c r="C712" s="200">
        <v>50</v>
      </c>
      <c r="D712" s="203" t="s">
        <v>1027</v>
      </c>
    </row>
    <row r="713" spans="1:4">
      <c r="A713" s="202" t="s">
        <v>1041</v>
      </c>
      <c r="B713" s="201">
        <v>50683</v>
      </c>
      <c r="C713" s="200">
        <v>50</v>
      </c>
      <c r="D713" s="203" t="s">
        <v>1027</v>
      </c>
    </row>
    <row r="714" spans="1:4">
      <c r="A714" s="202" t="s">
        <v>1042</v>
      </c>
      <c r="B714" s="201">
        <v>50686</v>
      </c>
      <c r="C714" s="200">
        <v>50</v>
      </c>
      <c r="D714" s="203" t="s">
        <v>1027</v>
      </c>
    </row>
    <row r="715" spans="1:4">
      <c r="A715" s="202" t="s">
        <v>473</v>
      </c>
      <c r="B715" s="201">
        <v>50689</v>
      </c>
      <c r="C715" s="200">
        <v>50</v>
      </c>
      <c r="D715" s="203" t="s">
        <v>1027</v>
      </c>
    </row>
    <row r="716" spans="1:4">
      <c r="A716" s="202" t="s">
        <v>475</v>
      </c>
      <c r="B716" s="201">
        <v>50711</v>
      </c>
      <c r="C716" s="200">
        <v>50</v>
      </c>
      <c r="D716" s="203" t="s">
        <v>1027</v>
      </c>
    </row>
    <row r="717" spans="1:4">
      <c r="A717" s="202" t="s">
        <v>477</v>
      </c>
      <c r="B717" s="201">
        <v>52001</v>
      </c>
      <c r="C717" s="200">
        <v>52</v>
      </c>
      <c r="D717" s="203" t="s">
        <v>120</v>
      </c>
    </row>
    <row r="718" spans="1:4">
      <c r="A718" s="202" t="s">
        <v>478</v>
      </c>
      <c r="B718" s="201">
        <v>52019</v>
      </c>
      <c r="C718" s="200">
        <v>52</v>
      </c>
      <c r="D718" s="203" t="s">
        <v>120</v>
      </c>
    </row>
    <row r="719" spans="1:4">
      <c r="A719" s="202" t="s">
        <v>479</v>
      </c>
      <c r="B719" s="201">
        <v>52022</v>
      </c>
      <c r="C719" s="200">
        <v>52</v>
      </c>
      <c r="D719" s="203" t="s">
        <v>120</v>
      </c>
    </row>
    <row r="720" spans="1:4">
      <c r="A720" s="202" t="s">
        <v>480</v>
      </c>
      <c r="B720" s="201">
        <v>52036</v>
      </c>
      <c r="C720" s="200">
        <v>52</v>
      </c>
      <c r="D720" s="203" t="s">
        <v>120</v>
      </c>
    </row>
    <row r="721" spans="1:4">
      <c r="A721" s="202" t="s">
        <v>481</v>
      </c>
      <c r="B721" s="201">
        <v>52051</v>
      </c>
      <c r="C721" s="200">
        <v>52</v>
      </c>
      <c r="D721" s="203" t="s">
        <v>120</v>
      </c>
    </row>
    <row r="722" spans="1:4">
      <c r="A722" s="202" t="s">
        <v>482</v>
      </c>
      <c r="B722" s="201">
        <v>52079</v>
      </c>
      <c r="C722" s="200">
        <v>52</v>
      </c>
      <c r="D722" s="203" t="s">
        <v>120</v>
      </c>
    </row>
    <row r="723" spans="1:4">
      <c r="A723" s="202" t="s">
        <v>483</v>
      </c>
      <c r="B723" s="201">
        <v>52083</v>
      </c>
      <c r="C723" s="200">
        <v>52</v>
      </c>
      <c r="D723" s="203" t="s">
        <v>120</v>
      </c>
    </row>
    <row r="724" spans="1:4">
      <c r="A724" s="202" t="s">
        <v>484</v>
      </c>
      <c r="B724" s="201">
        <v>52110</v>
      </c>
      <c r="C724" s="200">
        <v>52</v>
      </c>
      <c r="D724" s="203" t="s">
        <v>120</v>
      </c>
    </row>
    <row r="725" spans="1:4">
      <c r="A725" s="202" t="s">
        <v>486</v>
      </c>
      <c r="B725" s="201">
        <v>52203</v>
      </c>
      <c r="C725" s="200">
        <v>52</v>
      </c>
      <c r="D725" s="203" t="s">
        <v>120</v>
      </c>
    </row>
    <row r="726" spans="1:4">
      <c r="A726" s="202" t="s">
        <v>487</v>
      </c>
      <c r="B726" s="201">
        <v>52207</v>
      </c>
      <c r="C726" s="200">
        <v>52</v>
      </c>
      <c r="D726" s="203" t="s">
        <v>120</v>
      </c>
    </row>
    <row r="727" spans="1:4">
      <c r="A727" s="202" t="s">
        <v>488</v>
      </c>
      <c r="B727" s="201">
        <v>52210</v>
      </c>
      <c r="C727" s="200">
        <v>52</v>
      </c>
      <c r="D727" s="203" t="s">
        <v>120</v>
      </c>
    </row>
    <row r="728" spans="1:4">
      <c r="A728" s="202" t="s">
        <v>489</v>
      </c>
      <c r="B728" s="201">
        <v>52215</v>
      </c>
      <c r="C728" s="200">
        <v>52</v>
      </c>
      <c r="D728" s="203" t="s">
        <v>120</v>
      </c>
    </row>
    <row r="729" spans="1:4">
      <c r="A729" s="202" t="s">
        <v>490</v>
      </c>
      <c r="B729" s="201">
        <v>52224</v>
      </c>
      <c r="C729" s="200">
        <v>52</v>
      </c>
      <c r="D729" s="203" t="s">
        <v>120</v>
      </c>
    </row>
    <row r="730" spans="1:4">
      <c r="A730" s="202" t="s">
        <v>491</v>
      </c>
      <c r="B730" s="201">
        <v>52227</v>
      </c>
      <c r="C730" s="200">
        <v>52</v>
      </c>
      <c r="D730" s="203" t="s">
        <v>120</v>
      </c>
    </row>
    <row r="731" spans="1:4">
      <c r="A731" s="202" t="s">
        <v>492</v>
      </c>
      <c r="B731" s="201">
        <v>52233</v>
      </c>
      <c r="C731" s="200">
        <v>52</v>
      </c>
      <c r="D731" s="203" t="s">
        <v>120</v>
      </c>
    </row>
    <row r="732" spans="1:4">
      <c r="A732" s="202" t="s">
        <v>485</v>
      </c>
      <c r="B732" s="201">
        <v>52240</v>
      </c>
      <c r="C732" s="200">
        <v>52</v>
      </c>
      <c r="D732" s="203" t="s">
        <v>120</v>
      </c>
    </row>
    <row r="733" spans="1:4">
      <c r="A733" s="202" t="s">
        <v>493</v>
      </c>
      <c r="B733" s="201">
        <v>52250</v>
      </c>
      <c r="C733" s="200">
        <v>52</v>
      </c>
      <c r="D733" s="203" t="s">
        <v>120</v>
      </c>
    </row>
    <row r="734" spans="1:4">
      <c r="A734" s="202" t="s">
        <v>1043</v>
      </c>
      <c r="B734" s="201">
        <v>52254</v>
      </c>
      <c r="C734" s="200">
        <v>52</v>
      </c>
      <c r="D734" s="203" t="s">
        <v>120</v>
      </c>
    </row>
    <row r="735" spans="1:4">
      <c r="A735" s="202" t="s">
        <v>1044</v>
      </c>
      <c r="B735" s="201">
        <v>52256</v>
      </c>
      <c r="C735" s="200">
        <v>52</v>
      </c>
      <c r="D735" s="203" t="s">
        <v>120</v>
      </c>
    </row>
    <row r="736" spans="1:4">
      <c r="A736" s="202" t="s">
        <v>494</v>
      </c>
      <c r="B736" s="201">
        <v>52258</v>
      </c>
      <c r="C736" s="200">
        <v>52</v>
      </c>
      <c r="D736" s="203" t="s">
        <v>120</v>
      </c>
    </row>
    <row r="737" spans="1:4">
      <c r="A737" s="202" t="s">
        <v>495</v>
      </c>
      <c r="B737" s="201">
        <v>52260</v>
      </c>
      <c r="C737" s="200">
        <v>52</v>
      </c>
      <c r="D737" s="203" t="s">
        <v>120</v>
      </c>
    </row>
    <row r="738" spans="1:4">
      <c r="A738" s="202" t="s">
        <v>496</v>
      </c>
      <c r="B738" s="201">
        <v>52287</v>
      </c>
      <c r="C738" s="200">
        <v>52</v>
      </c>
      <c r="D738" s="203" t="s">
        <v>120</v>
      </c>
    </row>
    <row r="739" spans="1:4">
      <c r="A739" s="202" t="s">
        <v>497</v>
      </c>
      <c r="B739" s="201">
        <v>52317</v>
      </c>
      <c r="C739" s="200">
        <v>52</v>
      </c>
      <c r="D739" s="203" t="s">
        <v>120</v>
      </c>
    </row>
    <row r="740" spans="1:4">
      <c r="A740" s="202" t="s">
        <v>498</v>
      </c>
      <c r="B740" s="201">
        <v>52320</v>
      </c>
      <c r="C740" s="200">
        <v>52</v>
      </c>
      <c r="D740" s="203" t="s">
        <v>120</v>
      </c>
    </row>
    <row r="741" spans="1:4">
      <c r="A741" s="202" t="s">
        <v>499</v>
      </c>
      <c r="B741" s="201">
        <v>52323</v>
      </c>
      <c r="C741" s="200">
        <v>52</v>
      </c>
      <c r="D741" s="203" t="s">
        <v>120</v>
      </c>
    </row>
    <row r="742" spans="1:4">
      <c r="A742" s="202" t="s">
        <v>500</v>
      </c>
      <c r="B742" s="201">
        <v>52352</v>
      </c>
      <c r="C742" s="200">
        <v>52</v>
      </c>
      <c r="D742" s="203" t="s">
        <v>120</v>
      </c>
    </row>
    <row r="743" spans="1:4">
      <c r="A743" s="202" t="s">
        <v>501</v>
      </c>
      <c r="B743" s="201">
        <v>52354</v>
      </c>
      <c r="C743" s="200">
        <v>52</v>
      </c>
      <c r="D743" s="203" t="s">
        <v>120</v>
      </c>
    </row>
    <row r="744" spans="1:4">
      <c r="A744" s="202" t="s">
        <v>502</v>
      </c>
      <c r="B744" s="201">
        <v>52356</v>
      </c>
      <c r="C744" s="200">
        <v>52</v>
      </c>
      <c r="D744" s="203" t="s">
        <v>120</v>
      </c>
    </row>
    <row r="745" spans="1:4">
      <c r="A745" s="202" t="s">
        <v>1045</v>
      </c>
      <c r="B745" s="201">
        <v>52378</v>
      </c>
      <c r="C745" s="200">
        <v>52</v>
      </c>
      <c r="D745" s="203" t="s">
        <v>120</v>
      </c>
    </row>
    <row r="746" spans="1:4">
      <c r="A746" s="202" t="s">
        <v>1046</v>
      </c>
      <c r="B746" s="201">
        <v>52381</v>
      </c>
      <c r="C746" s="200">
        <v>52</v>
      </c>
      <c r="D746" s="203" t="s">
        <v>120</v>
      </c>
    </row>
    <row r="747" spans="1:4">
      <c r="A747" s="202" t="s">
        <v>1047</v>
      </c>
      <c r="B747" s="201">
        <v>52385</v>
      </c>
      <c r="C747" s="200">
        <v>52</v>
      </c>
      <c r="D747" s="203" t="s">
        <v>120</v>
      </c>
    </row>
    <row r="748" spans="1:4">
      <c r="A748" s="202" t="s">
        <v>1048</v>
      </c>
      <c r="B748" s="201">
        <v>52390</v>
      </c>
      <c r="C748" s="200">
        <v>52</v>
      </c>
      <c r="D748" s="203" t="s">
        <v>120</v>
      </c>
    </row>
    <row r="749" spans="1:4">
      <c r="A749" s="202" t="s">
        <v>503</v>
      </c>
      <c r="B749" s="201">
        <v>52399</v>
      </c>
      <c r="C749" s="200">
        <v>52</v>
      </c>
      <c r="D749" s="203" t="s">
        <v>120</v>
      </c>
    </row>
    <row r="750" spans="1:4">
      <c r="A750" s="202" t="s">
        <v>504</v>
      </c>
      <c r="B750" s="201">
        <v>52405</v>
      </c>
      <c r="C750" s="200">
        <v>52</v>
      </c>
      <c r="D750" s="203" t="s">
        <v>120</v>
      </c>
    </row>
    <row r="751" spans="1:4">
      <c r="A751" s="202" t="s">
        <v>505</v>
      </c>
      <c r="B751" s="201">
        <v>52411</v>
      </c>
      <c r="C751" s="200">
        <v>52</v>
      </c>
      <c r="D751" s="203" t="s">
        <v>120</v>
      </c>
    </row>
    <row r="752" spans="1:4">
      <c r="A752" s="202" t="s">
        <v>506</v>
      </c>
      <c r="B752" s="201">
        <v>52418</v>
      </c>
      <c r="C752" s="200">
        <v>52</v>
      </c>
      <c r="D752" s="203" t="s">
        <v>120</v>
      </c>
    </row>
    <row r="753" spans="1:4">
      <c r="A753" s="202" t="s">
        <v>507</v>
      </c>
      <c r="B753" s="201">
        <v>52427</v>
      </c>
      <c r="C753" s="200">
        <v>52</v>
      </c>
      <c r="D753" s="203" t="s">
        <v>120</v>
      </c>
    </row>
    <row r="754" spans="1:4">
      <c r="A754" s="202" t="s">
        <v>508</v>
      </c>
      <c r="B754" s="201">
        <v>52435</v>
      </c>
      <c r="C754" s="200">
        <v>52</v>
      </c>
      <c r="D754" s="203" t="s">
        <v>120</v>
      </c>
    </row>
    <row r="755" spans="1:4">
      <c r="A755" s="202" t="s">
        <v>509</v>
      </c>
      <c r="B755" s="201">
        <v>52473</v>
      </c>
      <c r="C755" s="200">
        <v>52</v>
      </c>
      <c r="D755" s="203" t="s">
        <v>120</v>
      </c>
    </row>
    <row r="756" spans="1:4">
      <c r="A756" s="202" t="s">
        <v>510</v>
      </c>
      <c r="B756" s="201">
        <v>52480</v>
      </c>
      <c r="C756" s="200">
        <v>52</v>
      </c>
      <c r="D756" s="203" t="s">
        <v>120</v>
      </c>
    </row>
    <row r="757" spans="1:4">
      <c r="A757" s="202" t="s">
        <v>511</v>
      </c>
      <c r="B757" s="201">
        <v>52490</v>
      </c>
      <c r="C757" s="200">
        <v>52</v>
      </c>
      <c r="D757" s="203" t="s">
        <v>120</v>
      </c>
    </row>
    <row r="758" spans="1:4">
      <c r="A758" s="202" t="s">
        <v>512</v>
      </c>
      <c r="B758" s="201">
        <v>52506</v>
      </c>
      <c r="C758" s="200">
        <v>52</v>
      </c>
      <c r="D758" s="203" t="s">
        <v>120</v>
      </c>
    </row>
    <row r="759" spans="1:4">
      <c r="A759" s="202" t="s">
        <v>1049</v>
      </c>
      <c r="B759" s="201">
        <v>52520</v>
      </c>
      <c r="C759" s="200">
        <v>52</v>
      </c>
      <c r="D759" s="203" t="s">
        <v>120</v>
      </c>
    </row>
    <row r="760" spans="1:4">
      <c r="A760" s="202" t="s">
        <v>513</v>
      </c>
      <c r="B760" s="201">
        <v>52540</v>
      </c>
      <c r="C760" s="200">
        <v>52</v>
      </c>
      <c r="D760" s="203" t="s">
        <v>120</v>
      </c>
    </row>
    <row r="761" spans="1:4">
      <c r="A761" s="202" t="s">
        <v>514</v>
      </c>
      <c r="B761" s="201">
        <v>52560</v>
      </c>
      <c r="C761" s="200">
        <v>52</v>
      </c>
      <c r="D761" s="203" t="s">
        <v>120</v>
      </c>
    </row>
    <row r="762" spans="1:4">
      <c r="A762" s="202" t="s">
        <v>515</v>
      </c>
      <c r="B762" s="201">
        <v>52565</v>
      </c>
      <c r="C762" s="200">
        <v>52</v>
      </c>
      <c r="D762" s="203" t="s">
        <v>120</v>
      </c>
    </row>
    <row r="763" spans="1:4">
      <c r="A763" s="202" t="s">
        <v>516</v>
      </c>
      <c r="B763" s="201">
        <v>52573</v>
      </c>
      <c r="C763" s="200">
        <v>52</v>
      </c>
      <c r="D763" s="203" t="s">
        <v>120</v>
      </c>
    </row>
    <row r="764" spans="1:4">
      <c r="A764" s="202" t="s">
        <v>517</v>
      </c>
      <c r="B764" s="201">
        <v>52585</v>
      </c>
      <c r="C764" s="200">
        <v>52</v>
      </c>
      <c r="D764" s="203" t="s">
        <v>120</v>
      </c>
    </row>
    <row r="765" spans="1:4">
      <c r="A765" s="202" t="s">
        <v>518</v>
      </c>
      <c r="B765" s="201">
        <v>52612</v>
      </c>
      <c r="C765" s="200">
        <v>52</v>
      </c>
      <c r="D765" s="203" t="s">
        <v>120</v>
      </c>
    </row>
    <row r="766" spans="1:4">
      <c r="A766" s="202" t="s">
        <v>519</v>
      </c>
      <c r="B766" s="201">
        <v>52621</v>
      </c>
      <c r="C766" s="200">
        <v>52</v>
      </c>
      <c r="D766" s="203" t="s">
        <v>120</v>
      </c>
    </row>
    <row r="767" spans="1:4">
      <c r="A767" s="202" t="s">
        <v>520</v>
      </c>
      <c r="B767" s="201">
        <v>52678</v>
      </c>
      <c r="C767" s="200">
        <v>52</v>
      </c>
      <c r="D767" s="203" t="s">
        <v>120</v>
      </c>
    </row>
    <row r="768" spans="1:4">
      <c r="A768" s="202" t="s">
        <v>524</v>
      </c>
      <c r="B768" s="201">
        <v>52683</v>
      </c>
      <c r="C768" s="200">
        <v>52</v>
      </c>
      <c r="D768" s="203" t="s">
        <v>120</v>
      </c>
    </row>
    <row r="769" spans="1:4">
      <c r="A769" s="202" t="s">
        <v>522</v>
      </c>
      <c r="B769" s="201">
        <v>52685</v>
      </c>
      <c r="C769" s="200">
        <v>52</v>
      </c>
      <c r="D769" s="203" t="s">
        <v>120</v>
      </c>
    </row>
    <row r="770" spans="1:4">
      <c r="A770" s="202" t="s">
        <v>1050</v>
      </c>
      <c r="B770" s="201">
        <v>52687</v>
      </c>
      <c r="C770" s="200">
        <v>52</v>
      </c>
      <c r="D770" s="203" t="s">
        <v>120</v>
      </c>
    </row>
    <row r="771" spans="1:4">
      <c r="A771" s="202" t="s">
        <v>523</v>
      </c>
      <c r="B771" s="201">
        <v>52693</v>
      </c>
      <c r="C771" s="200">
        <v>52</v>
      </c>
      <c r="D771" s="203" t="s">
        <v>120</v>
      </c>
    </row>
    <row r="772" spans="1:4">
      <c r="A772" s="202" t="s">
        <v>1051</v>
      </c>
      <c r="B772" s="201">
        <v>52694</v>
      </c>
      <c r="C772" s="200">
        <v>52</v>
      </c>
      <c r="D772" s="203" t="s">
        <v>120</v>
      </c>
    </row>
    <row r="773" spans="1:4">
      <c r="A773" s="202" t="s">
        <v>525</v>
      </c>
      <c r="B773" s="201">
        <v>52696</v>
      </c>
      <c r="C773" s="200">
        <v>52</v>
      </c>
      <c r="D773" s="203" t="s">
        <v>120</v>
      </c>
    </row>
    <row r="774" spans="1:4">
      <c r="A774" s="202" t="s">
        <v>526</v>
      </c>
      <c r="B774" s="201">
        <v>52699</v>
      </c>
      <c r="C774" s="200">
        <v>52</v>
      </c>
      <c r="D774" s="203" t="s">
        <v>120</v>
      </c>
    </row>
    <row r="775" spans="1:4">
      <c r="A775" s="202" t="s">
        <v>527</v>
      </c>
      <c r="B775" s="201">
        <v>52720</v>
      </c>
      <c r="C775" s="200">
        <v>52</v>
      </c>
      <c r="D775" s="203" t="s">
        <v>120</v>
      </c>
    </row>
    <row r="776" spans="1:4">
      <c r="A776" s="202" t="s">
        <v>528</v>
      </c>
      <c r="B776" s="201">
        <v>52786</v>
      </c>
      <c r="C776" s="200">
        <v>52</v>
      </c>
      <c r="D776" s="203" t="s">
        <v>120</v>
      </c>
    </row>
    <row r="777" spans="1:4">
      <c r="A777" s="202" t="s">
        <v>529</v>
      </c>
      <c r="B777" s="201">
        <v>52788</v>
      </c>
      <c r="C777" s="200">
        <v>52</v>
      </c>
      <c r="D777" s="203" t="s">
        <v>120</v>
      </c>
    </row>
    <row r="778" spans="1:4">
      <c r="A778" s="202" t="s">
        <v>521</v>
      </c>
      <c r="B778" s="201">
        <v>52835</v>
      </c>
      <c r="C778" s="200">
        <v>52</v>
      </c>
      <c r="D778" s="203" t="s">
        <v>120</v>
      </c>
    </row>
    <row r="779" spans="1:4">
      <c r="A779" s="202" t="s">
        <v>530</v>
      </c>
      <c r="B779" s="201">
        <v>52838</v>
      </c>
      <c r="C779" s="200">
        <v>52</v>
      </c>
      <c r="D779" s="203" t="s">
        <v>120</v>
      </c>
    </row>
    <row r="780" spans="1:4">
      <c r="A780" s="202" t="s">
        <v>531</v>
      </c>
      <c r="B780" s="201">
        <v>52885</v>
      </c>
      <c r="C780" s="200">
        <v>52</v>
      </c>
      <c r="D780" s="203" t="s">
        <v>120</v>
      </c>
    </row>
    <row r="781" spans="1:4">
      <c r="A781" s="202" t="s">
        <v>533</v>
      </c>
      <c r="B781" s="201">
        <v>54001</v>
      </c>
      <c r="C781" s="200">
        <v>54</v>
      </c>
      <c r="D781" s="203" t="s">
        <v>1052</v>
      </c>
    </row>
    <row r="782" spans="1:4">
      <c r="A782" s="202" t="s">
        <v>534</v>
      </c>
      <c r="B782" s="201">
        <v>54003</v>
      </c>
      <c r="C782" s="200">
        <v>54</v>
      </c>
      <c r="D782" s="203" t="s">
        <v>1052</v>
      </c>
    </row>
    <row r="783" spans="1:4">
      <c r="A783" s="202" t="s">
        <v>1053</v>
      </c>
      <c r="B783" s="201">
        <v>54051</v>
      </c>
      <c r="C783" s="200">
        <v>54</v>
      </c>
      <c r="D783" s="203" t="s">
        <v>1052</v>
      </c>
    </row>
    <row r="784" spans="1:4">
      <c r="A784" s="202" t="s">
        <v>1054</v>
      </c>
      <c r="B784" s="201">
        <v>54099</v>
      </c>
      <c r="C784" s="200">
        <v>54</v>
      </c>
      <c r="D784" s="203" t="s">
        <v>1052</v>
      </c>
    </row>
    <row r="785" spans="1:4">
      <c r="A785" s="202" t="s">
        <v>1055</v>
      </c>
      <c r="B785" s="201">
        <v>54109</v>
      </c>
      <c r="C785" s="200">
        <v>54</v>
      </c>
      <c r="D785" s="203" t="s">
        <v>1052</v>
      </c>
    </row>
    <row r="786" spans="1:4">
      <c r="A786" s="202" t="s">
        <v>1056</v>
      </c>
      <c r="B786" s="201">
        <v>54125</v>
      </c>
      <c r="C786" s="200">
        <v>54</v>
      </c>
      <c r="D786" s="203" t="s">
        <v>1052</v>
      </c>
    </row>
    <row r="787" spans="1:4">
      <c r="A787" s="202" t="s">
        <v>535</v>
      </c>
      <c r="B787" s="201">
        <v>54128</v>
      </c>
      <c r="C787" s="200">
        <v>54</v>
      </c>
      <c r="D787" s="203" t="s">
        <v>1052</v>
      </c>
    </row>
    <row r="788" spans="1:4">
      <c r="A788" s="202" t="s">
        <v>1057</v>
      </c>
      <c r="B788" s="201">
        <v>54172</v>
      </c>
      <c r="C788" s="200">
        <v>54</v>
      </c>
      <c r="D788" s="203" t="s">
        <v>1052</v>
      </c>
    </row>
    <row r="789" spans="1:4">
      <c r="A789" s="202" t="s">
        <v>1058</v>
      </c>
      <c r="B789" s="201">
        <v>54174</v>
      </c>
      <c r="C789" s="200">
        <v>54</v>
      </c>
      <c r="D789" s="203" t="s">
        <v>1052</v>
      </c>
    </row>
    <row r="790" spans="1:4">
      <c r="A790" s="202" t="s">
        <v>536</v>
      </c>
      <c r="B790" s="201">
        <v>54206</v>
      </c>
      <c r="C790" s="200">
        <v>54</v>
      </c>
      <c r="D790" s="203" t="s">
        <v>1052</v>
      </c>
    </row>
    <row r="791" spans="1:4">
      <c r="A791" s="202" t="s">
        <v>1059</v>
      </c>
      <c r="B791" s="201">
        <v>54223</v>
      </c>
      <c r="C791" s="200">
        <v>54</v>
      </c>
      <c r="D791" s="203" t="s">
        <v>1052</v>
      </c>
    </row>
    <row r="792" spans="1:4">
      <c r="A792" s="202" t="s">
        <v>1060</v>
      </c>
      <c r="B792" s="201">
        <v>54239</v>
      </c>
      <c r="C792" s="200">
        <v>54</v>
      </c>
      <c r="D792" s="203" t="s">
        <v>1052</v>
      </c>
    </row>
    <row r="793" spans="1:4">
      <c r="A793" s="202" t="s">
        <v>537</v>
      </c>
      <c r="B793" s="201">
        <v>54245</v>
      </c>
      <c r="C793" s="200">
        <v>54</v>
      </c>
      <c r="D793" s="203" t="s">
        <v>1052</v>
      </c>
    </row>
    <row r="794" spans="1:4">
      <c r="A794" s="202" t="s">
        <v>538</v>
      </c>
      <c r="B794" s="201">
        <v>54250</v>
      </c>
      <c r="C794" s="200">
        <v>54</v>
      </c>
      <c r="D794" s="203" t="s">
        <v>1052</v>
      </c>
    </row>
    <row r="795" spans="1:4">
      <c r="A795" s="202" t="s">
        <v>539</v>
      </c>
      <c r="B795" s="201">
        <v>54261</v>
      </c>
      <c r="C795" s="200">
        <v>54</v>
      </c>
      <c r="D795" s="203" t="s">
        <v>1052</v>
      </c>
    </row>
    <row r="796" spans="1:4">
      <c r="A796" s="202" t="s">
        <v>1061</v>
      </c>
      <c r="B796" s="201">
        <v>54313</v>
      </c>
      <c r="C796" s="200">
        <v>54</v>
      </c>
      <c r="D796" s="203" t="s">
        <v>1052</v>
      </c>
    </row>
    <row r="797" spans="1:4">
      <c r="A797" s="202" t="s">
        <v>540</v>
      </c>
      <c r="B797" s="201">
        <v>54344</v>
      </c>
      <c r="C797" s="200">
        <v>54</v>
      </c>
      <c r="D797" s="203" t="s">
        <v>1052</v>
      </c>
    </row>
    <row r="798" spans="1:4">
      <c r="A798" s="202" t="s">
        <v>1062</v>
      </c>
      <c r="B798" s="201">
        <v>54347</v>
      </c>
      <c r="C798" s="200">
        <v>54</v>
      </c>
      <c r="D798" s="203" t="s">
        <v>1052</v>
      </c>
    </row>
    <row r="799" spans="1:4">
      <c r="A799" s="202" t="s">
        <v>1063</v>
      </c>
      <c r="B799" s="201">
        <v>54377</v>
      </c>
      <c r="C799" s="200">
        <v>54</v>
      </c>
      <c r="D799" s="203" t="s">
        <v>1052</v>
      </c>
    </row>
    <row r="800" spans="1:4">
      <c r="A800" s="202" t="s">
        <v>1064</v>
      </c>
      <c r="B800" s="201">
        <v>54385</v>
      </c>
      <c r="C800" s="200">
        <v>54</v>
      </c>
      <c r="D800" s="203" t="s">
        <v>1052</v>
      </c>
    </row>
    <row r="801" spans="1:4">
      <c r="A801" s="202" t="s">
        <v>1065</v>
      </c>
      <c r="B801" s="201">
        <v>54398</v>
      </c>
      <c r="C801" s="200">
        <v>54</v>
      </c>
      <c r="D801" s="203" t="s">
        <v>1052</v>
      </c>
    </row>
    <row r="802" spans="1:4">
      <c r="A802" s="202" t="s">
        <v>541</v>
      </c>
      <c r="B802" s="201">
        <v>54405</v>
      </c>
      <c r="C802" s="200">
        <v>54</v>
      </c>
      <c r="D802" s="203" t="s">
        <v>1052</v>
      </c>
    </row>
    <row r="803" spans="1:4">
      <c r="A803" s="202" t="s">
        <v>542</v>
      </c>
      <c r="B803" s="201">
        <v>54418</v>
      </c>
      <c r="C803" s="200">
        <v>54</v>
      </c>
      <c r="D803" s="203" t="s">
        <v>1052</v>
      </c>
    </row>
    <row r="804" spans="1:4">
      <c r="A804" s="202" t="s">
        <v>1066</v>
      </c>
      <c r="B804" s="201">
        <v>54480</v>
      </c>
      <c r="C804" s="200">
        <v>54</v>
      </c>
      <c r="D804" s="203" t="s">
        <v>1052</v>
      </c>
    </row>
    <row r="805" spans="1:4">
      <c r="A805" s="202" t="s">
        <v>543</v>
      </c>
      <c r="B805" s="201">
        <v>54498</v>
      </c>
      <c r="C805" s="200">
        <v>54</v>
      </c>
      <c r="D805" s="203" t="s">
        <v>1052</v>
      </c>
    </row>
    <row r="806" spans="1:4">
      <c r="A806" s="202" t="s">
        <v>544</v>
      </c>
      <c r="B806" s="201">
        <v>54518</v>
      </c>
      <c r="C806" s="200">
        <v>54</v>
      </c>
      <c r="D806" s="203" t="s">
        <v>1052</v>
      </c>
    </row>
    <row r="807" spans="1:4">
      <c r="A807" s="202" t="s">
        <v>1067</v>
      </c>
      <c r="B807" s="201">
        <v>54520</v>
      </c>
      <c r="C807" s="200">
        <v>54</v>
      </c>
      <c r="D807" s="203" t="s">
        <v>1052</v>
      </c>
    </row>
    <row r="808" spans="1:4">
      <c r="A808" s="202" t="s">
        <v>545</v>
      </c>
      <c r="B808" s="201">
        <v>54553</v>
      </c>
      <c r="C808" s="200">
        <v>54</v>
      </c>
      <c r="D808" s="203" t="s">
        <v>1052</v>
      </c>
    </row>
    <row r="809" spans="1:4">
      <c r="A809" s="202" t="s">
        <v>1068</v>
      </c>
      <c r="B809" s="201">
        <v>54599</v>
      </c>
      <c r="C809" s="200">
        <v>54</v>
      </c>
      <c r="D809" s="203" t="s">
        <v>1052</v>
      </c>
    </row>
    <row r="810" spans="1:4">
      <c r="A810" s="202" t="s">
        <v>1069</v>
      </c>
      <c r="B810" s="201">
        <v>54660</v>
      </c>
      <c r="C810" s="200">
        <v>54</v>
      </c>
      <c r="D810" s="203" t="s">
        <v>1052</v>
      </c>
    </row>
    <row r="811" spans="1:4">
      <c r="A811" s="202" t="s">
        <v>546</v>
      </c>
      <c r="B811" s="201">
        <v>54670</v>
      </c>
      <c r="C811" s="200">
        <v>54</v>
      </c>
      <c r="D811" s="203" t="s">
        <v>1052</v>
      </c>
    </row>
    <row r="812" spans="1:4">
      <c r="A812" s="202" t="s">
        <v>965</v>
      </c>
      <c r="B812" s="201">
        <v>54673</v>
      </c>
      <c r="C812" s="200">
        <v>54</v>
      </c>
      <c r="D812" s="203" t="s">
        <v>1052</v>
      </c>
    </row>
    <row r="813" spans="1:4">
      <c r="A813" s="202" t="s">
        <v>1070</v>
      </c>
      <c r="B813" s="201">
        <v>54680</v>
      </c>
      <c r="C813" s="200">
        <v>54</v>
      </c>
      <c r="D813" s="203" t="s">
        <v>1052</v>
      </c>
    </row>
    <row r="814" spans="1:4">
      <c r="A814" s="202" t="s">
        <v>547</v>
      </c>
      <c r="B814" s="201">
        <v>54720</v>
      </c>
      <c r="C814" s="200">
        <v>54</v>
      </c>
      <c r="D814" s="203" t="s">
        <v>1052</v>
      </c>
    </row>
    <row r="815" spans="1:4">
      <c r="A815" s="202" t="s">
        <v>1071</v>
      </c>
      <c r="B815" s="201">
        <v>54743</v>
      </c>
      <c r="C815" s="200">
        <v>54</v>
      </c>
      <c r="D815" s="203" t="s">
        <v>1052</v>
      </c>
    </row>
    <row r="816" spans="1:4">
      <c r="A816" s="202" t="s">
        <v>548</v>
      </c>
      <c r="B816" s="201">
        <v>54800</v>
      </c>
      <c r="C816" s="200">
        <v>54</v>
      </c>
      <c r="D816" s="203" t="s">
        <v>1052</v>
      </c>
    </row>
    <row r="817" spans="1:4">
      <c r="A817" s="202" t="s">
        <v>549</v>
      </c>
      <c r="B817" s="201">
        <v>54810</v>
      </c>
      <c r="C817" s="200">
        <v>54</v>
      </c>
      <c r="D817" s="203" t="s">
        <v>1052</v>
      </c>
    </row>
    <row r="818" spans="1:4">
      <c r="A818" s="202" t="s">
        <v>789</v>
      </c>
      <c r="B818" s="201">
        <v>54820</v>
      </c>
      <c r="C818" s="200">
        <v>54</v>
      </c>
      <c r="D818" s="203" t="s">
        <v>1052</v>
      </c>
    </row>
    <row r="819" spans="1:4">
      <c r="A819" s="202" t="s">
        <v>1072</v>
      </c>
      <c r="B819" s="201">
        <v>54871</v>
      </c>
      <c r="C819" s="200">
        <v>54</v>
      </c>
      <c r="D819" s="203" t="s">
        <v>1052</v>
      </c>
    </row>
    <row r="820" spans="1:4">
      <c r="A820" s="202" t="s">
        <v>550</v>
      </c>
      <c r="B820" s="201">
        <v>54874</v>
      </c>
      <c r="C820" s="200">
        <v>54</v>
      </c>
      <c r="D820" s="203" t="s">
        <v>1052</v>
      </c>
    </row>
    <row r="821" spans="1:4">
      <c r="A821" s="202" t="s">
        <v>551</v>
      </c>
      <c r="B821" s="201">
        <v>63001</v>
      </c>
      <c r="C821" s="200">
        <v>63</v>
      </c>
      <c r="D821" s="203" t="s">
        <v>1073</v>
      </c>
    </row>
    <row r="822" spans="1:4">
      <c r="A822" s="202" t="s">
        <v>552</v>
      </c>
      <c r="B822" s="201">
        <v>63111</v>
      </c>
      <c r="C822" s="200">
        <v>63</v>
      </c>
      <c r="D822" s="203" t="s">
        <v>1073</v>
      </c>
    </row>
    <row r="823" spans="1:4">
      <c r="A823" s="202" t="s">
        <v>553</v>
      </c>
      <c r="B823" s="201">
        <v>63130</v>
      </c>
      <c r="C823" s="200">
        <v>63</v>
      </c>
      <c r="D823" s="203" t="s">
        <v>1073</v>
      </c>
    </row>
    <row r="824" spans="1:4">
      <c r="A824" s="202" t="s">
        <v>554</v>
      </c>
      <c r="B824" s="201">
        <v>63190</v>
      </c>
      <c r="C824" s="200">
        <v>63</v>
      </c>
      <c r="D824" s="203" t="s">
        <v>1073</v>
      </c>
    </row>
    <row r="825" spans="1:4">
      <c r="A825" s="202" t="s">
        <v>555</v>
      </c>
      <c r="B825" s="201">
        <v>63212</v>
      </c>
      <c r="C825" s="200">
        <v>63</v>
      </c>
      <c r="D825" s="203" t="s">
        <v>1073</v>
      </c>
    </row>
    <row r="826" spans="1:4">
      <c r="A826" s="202" t="s">
        <v>556</v>
      </c>
      <c r="B826" s="201">
        <v>63272</v>
      </c>
      <c r="C826" s="200">
        <v>63</v>
      </c>
      <c r="D826" s="203" t="s">
        <v>1073</v>
      </c>
    </row>
    <row r="827" spans="1:4">
      <c r="A827" s="202" t="s">
        <v>557</v>
      </c>
      <c r="B827" s="201">
        <v>63302</v>
      </c>
      <c r="C827" s="200">
        <v>63</v>
      </c>
      <c r="D827" s="203" t="s">
        <v>1073</v>
      </c>
    </row>
    <row r="828" spans="1:4">
      <c r="A828" s="202" t="s">
        <v>558</v>
      </c>
      <c r="B828" s="201">
        <v>63401</v>
      </c>
      <c r="C828" s="200">
        <v>63</v>
      </c>
      <c r="D828" s="203" t="s">
        <v>1073</v>
      </c>
    </row>
    <row r="829" spans="1:4">
      <c r="A829" s="202" t="s">
        <v>559</v>
      </c>
      <c r="B829" s="201">
        <v>63470</v>
      </c>
      <c r="C829" s="200">
        <v>63</v>
      </c>
      <c r="D829" s="203" t="s">
        <v>1073</v>
      </c>
    </row>
    <row r="830" spans="1:4">
      <c r="A830" s="202" t="s">
        <v>560</v>
      </c>
      <c r="B830" s="201">
        <v>63548</v>
      </c>
      <c r="C830" s="200">
        <v>63</v>
      </c>
      <c r="D830" s="203" t="s">
        <v>1073</v>
      </c>
    </row>
    <row r="831" spans="1:4">
      <c r="A831" s="202" t="s">
        <v>561</v>
      </c>
      <c r="B831" s="201">
        <v>63594</v>
      </c>
      <c r="C831" s="200">
        <v>63</v>
      </c>
      <c r="D831" s="203" t="s">
        <v>1073</v>
      </c>
    </row>
    <row r="832" spans="1:4">
      <c r="A832" s="202" t="s">
        <v>562</v>
      </c>
      <c r="B832" s="201">
        <v>63690</v>
      </c>
      <c r="C832" s="200">
        <v>63</v>
      </c>
      <c r="D832" s="203" t="s">
        <v>1073</v>
      </c>
    </row>
    <row r="833" spans="1:4">
      <c r="A833" s="202" t="s">
        <v>564</v>
      </c>
      <c r="B833" s="201">
        <v>66001</v>
      </c>
      <c r="C833" s="200">
        <v>66</v>
      </c>
      <c r="D833" s="203" t="s">
        <v>1074</v>
      </c>
    </row>
    <row r="834" spans="1:4">
      <c r="A834" s="202" t="s">
        <v>1075</v>
      </c>
      <c r="B834" s="201">
        <v>66045</v>
      </c>
      <c r="C834" s="200">
        <v>66</v>
      </c>
      <c r="D834" s="203" t="s">
        <v>1074</v>
      </c>
    </row>
    <row r="835" spans="1:4">
      <c r="A835" s="202" t="s">
        <v>257</v>
      </c>
      <c r="B835" s="201">
        <v>66075</v>
      </c>
      <c r="C835" s="200">
        <v>66</v>
      </c>
      <c r="D835" s="203" t="s">
        <v>1074</v>
      </c>
    </row>
    <row r="836" spans="1:4">
      <c r="A836" s="202" t="s">
        <v>565</v>
      </c>
      <c r="B836" s="201">
        <v>66088</v>
      </c>
      <c r="C836" s="200">
        <v>66</v>
      </c>
      <c r="D836" s="203" t="s">
        <v>1074</v>
      </c>
    </row>
    <row r="837" spans="1:4">
      <c r="A837" s="202" t="s">
        <v>566</v>
      </c>
      <c r="B837" s="201">
        <v>66170</v>
      </c>
      <c r="C837" s="200">
        <v>66</v>
      </c>
      <c r="D837" s="203" t="s">
        <v>1074</v>
      </c>
    </row>
    <row r="838" spans="1:4">
      <c r="A838" s="202" t="s">
        <v>1076</v>
      </c>
      <c r="B838" s="201">
        <v>66318</v>
      </c>
      <c r="C838" s="200">
        <v>66</v>
      </c>
      <c r="D838" s="203" t="s">
        <v>1074</v>
      </c>
    </row>
    <row r="839" spans="1:4">
      <c r="A839" s="202" t="s">
        <v>1077</v>
      </c>
      <c r="B839" s="201">
        <v>66383</v>
      </c>
      <c r="C839" s="200">
        <v>66</v>
      </c>
      <c r="D839" s="203" t="s">
        <v>1074</v>
      </c>
    </row>
    <row r="840" spans="1:4">
      <c r="A840" s="202" t="s">
        <v>567</v>
      </c>
      <c r="B840" s="201">
        <v>66400</v>
      </c>
      <c r="C840" s="200">
        <v>66</v>
      </c>
      <c r="D840" s="203" t="s">
        <v>1074</v>
      </c>
    </row>
    <row r="841" spans="1:4">
      <c r="A841" s="202" t="s">
        <v>1078</v>
      </c>
      <c r="B841" s="201">
        <v>66440</v>
      </c>
      <c r="C841" s="200">
        <v>66</v>
      </c>
      <c r="D841" s="203" t="s">
        <v>1074</v>
      </c>
    </row>
    <row r="842" spans="1:4">
      <c r="A842" s="202" t="s">
        <v>568</v>
      </c>
      <c r="B842" s="201">
        <v>66456</v>
      </c>
      <c r="C842" s="200">
        <v>66</v>
      </c>
      <c r="D842" s="203" t="s">
        <v>1074</v>
      </c>
    </row>
    <row r="843" spans="1:4">
      <c r="A843" s="202" t="s">
        <v>1079</v>
      </c>
      <c r="B843" s="201">
        <v>66572</v>
      </c>
      <c r="C843" s="200">
        <v>66</v>
      </c>
      <c r="D843" s="203" t="s">
        <v>1074</v>
      </c>
    </row>
    <row r="844" spans="1:4">
      <c r="A844" s="202" t="s">
        <v>569</v>
      </c>
      <c r="B844" s="201">
        <v>66594</v>
      </c>
      <c r="C844" s="200">
        <v>66</v>
      </c>
      <c r="D844" s="203" t="s">
        <v>1074</v>
      </c>
    </row>
    <row r="845" spans="1:4">
      <c r="A845" s="202" t="s">
        <v>570</v>
      </c>
      <c r="B845" s="201">
        <v>66682</v>
      </c>
      <c r="C845" s="200">
        <v>66</v>
      </c>
      <c r="D845" s="203" t="s">
        <v>1074</v>
      </c>
    </row>
    <row r="846" spans="1:4">
      <c r="A846" s="202" t="s">
        <v>571</v>
      </c>
      <c r="B846" s="201">
        <v>66687</v>
      </c>
      <c r="C846" s="200">
        <v>66</v>
      </c>
      <c r="D846" s="203" t="s">
        <v>1074</v>
      </c>
    </row>
    <row r="847" spans="1:4">
      <c r="A847" s="202" t="s">
        <v>573</v>
      </c>
      <c r="B847" s="201">
        <v>68001</v>
      </c>
      <c r="C847" s="200">
        <v>68</v>
      </c>
      <c r="D847" s="203" t="s">
        <v>1080</v>
      </c>
    </row>
    <row r="848" spans="1:4">
      <c r="A848" s="202" t="s">
        <v>1081</v>
      </c>
      <c r="B848" s="201">
        <v>68013</v>
      </c>
      <c r="C848" s="200">
        <v>68</v>
      </c>
      <c r="D848" s="203" t="s">
        <v>1080</v>
      </c>
    </row>
    <row r="849" spans="1:4">
      <c r="A849" s="202" t="s">
        <v>902</v>
      </c>
      <c r="B849" s="201">
        <v>68020</v>
      </c>
      <c r="C849" s="200">
        <v>68</v>
      </c>
      <c r="D849" s="203" t="s">
        <v>1080</v>
      </c>
    </row>
    <row r="850" spans="1:4">
      <c r="A850" s="202" t="s">
        <v>1082</v>
      </c>
      <c r="B850" s="201">
        <v>68051</v>
      </c>
      <c r="C850" s="200">
        <v>68</v>
      </c>
      <c r="D850" s="203" t="s">
        <v>1080</v>
      </c>
    </row>
    <row r="851" spans="1:4">
      <c r="A851" s="202" t="s">
        <v>574</v>
      </c>
      <c r="B851" s="201">
        <v>68077</v>
      </c>
      <c r="C851" s="200">
        <v>68</v>
      </c>
      <c r="D851" s="203" t="s">
        <v>1080</v>
      </c>
    </row>
    <row r="852" spans="1:4">
      <c r="A852" s="202" t="s">
        <v>575</v>
      </c>
      <c r="B852" s="201">
        <v>68079</v>
      </c>
      <c r="C852" s="200">
        <v>68</v>
      </c>
      <c r="D852" s="203" t="s">
        <v>1080</v>
      </c>
    </row>
    <row r="853" spans="1:4">
      <c r="A853" s="202" t="s">
        <v>576</v>
      </c>
      <c r="B853" s="201">
        <v>68081</v>
      </c>
      <c r="C853" s="200">
        <v>68</v>
      </c>
      <c r="D853" s="203" t="s">
        <v>1080</v>
      </c>
    </row>
    <row r="854" spans="1:4">
      <c r="A854" s="202" t="s">
        <v>54</v>
      </c>
      <c r="B854" s="201">
        <v>68092</v>
      </c>
      <c r="C854" s="200">
        <v>68</v>
      </c>
      <c r="D854" s="203" t="s">
        <v>1080</v>
      </c>
    </row>
    <row r="855" spans="1:4">
      <c r="A855" s="202" t="s">
        <v>1083</v>
      </c>
      <c r="B855" s="201">
        <v>68101</v>
      </c>
      <c r="C855" s="200">
        <v>68</v>
      </c>
      <c r="D855" s="203" t="s">
        <v>1080</v>
      </c>
    </row>
    <row r="856" spans="1:4">
      <c r="A856" s="202" t="s">
        <v>344</v>
      </c>
      <c r="B856" s="201">
        <v>68121</v>
      </c>
      <c r="C856" s="200">
        <v>68</v>
      </c>
      <c r="D856" s="203" t="s">
        <v>1080</v>
      </c>
    </row>
    <row r="857" spans="1:4">
      <c r="A857" s="202" t="s">
        <v>1084</v>
      </c>
      <c r="B857" s="201">
        <v>68132</v>
      </c>
      <c r="C857" s="200">
        <v>68</v>
      </c>
      <c r="D857" s="203" t="s">
        <v>1080</v>
      </c>
    </row>
    <row r="858" spans="1:4">
      <c r="A858" s="202" t="s">
        <v>1085</v>
      </c>
      <c r="B858" s="201">
        <v>68147</v>
      </c>
      <c r="C858" s="200">
        <v>68</v>
      </c>
      <c r="D858" s="203" t="s">
        <v>1080</v>
      </c>
    </row>
    <row r="859" spans="1:4">
      <c r="A859" s="202" t="s">
        <v>1086</v>
      </c>
      <c r="B859" s="201">
        <v>68152</v>
      </c>
      <c r="C859" s="200">
        <v>68</v>
      </c>
      <c r="D859" s="203" t="s">
        <v>1080</v>
      </c>
    </row>
    <row r="860" spans="1:4">
      <c r="A860" s="202" t="s">
        <v>1087</v>
      </c>
      <c r="B860" s="201">
        <v>68160</v>
      </c>
      <c r="C860" s="200">
        <v>68</v>
      </c>
      <c r="D860" s="203" t="s">
        <v>1080</v>
      </c>
    </row>
    <row r="861" spans="1:4">
      <c r="A861" s="202" t="s">
        <v>1088</v>
      </c>
      <c r="B861" s="201">
        <v>68162</v>
      </c>
      <c r="C861" s="200">
        <v>68</v>
      </c>
      <c r="D861" s="203" t="s">
        <v>1080</v>
      </c>
    </row>
    <row r="862" spans="1:4">
      <c r="A862" s="202" t="s">
        <v>577</v>
      </c>
      <c r="B862" s="201">
        <v>68167</v>
      </c>
      <c r="C862" s="200">
        <v>68</v>
      </c>
      <c r="D862" s="203" t="s">
        <v>1080</v>
      </c>
    </row>
    <row r="863" spans="1:4">
      <c r="A863" s="202" t="s">
        <v>1089</v>
      </c>
      <c r="B863" s="201">
        <v>68169</v>
      </c>
      <c r="C863" s="200">
        <v>68</v>
      </c>
      <c r="D863" s="203" t="s">
        <v>1080</v>
      </c>
    </row>
    <row r="864" spans="1:4">
      <c r="A864" s="202" t="s">
        <v>1090</v>
      </c>
      <c r="B864" s="201">
        <v>68176</v>
      </c>
      <c r="C864" s="200">
        <v>68</v>
      </c>
      <c r="D864" s="203" t="s">
        <v>1080</v>
      </c>
    </row>
    <row r="865" spans="1:4">
      <c r="A865" s="202" t="s">
        <v>1091</v>
      </c>
      <c r="B865" s="201">
        <v>68179</v>
      </c>
      <c r="C865" s="200">
        <v>68</v>
      </c>
      <c r="D865" s="203" t="s">
        <v>1080</v>
      </c>
    </row>
    <row r="866" spans="1:4">
      <c r="A866" s="202" t="s">
        <v>578</v>
      </c>
      <c r="B866" s="201">
        <v>68190</v>
      </c>
      <c r="C866" s="200">
        <v>68</v>
      </c>
      <c r="D866" s="203" t="s">
        <v>1080</v>
      </c>
    </row>
    <row r="867" spans="1:4">
      <c r="A867" s="202" t="s">
        <v>763</v>
      </c>
      <c r="B867" s="201">
        <v>68207</v>
      </c>
      <c r="C867" s="200">
        <v>68</v>
      </c>
      <c r="D867" s="203" t="s">
        <v>1080</v>
      </c>
    </row>
    <row r="868" spans="1:4">
      <c r="A868" s="202" t="s">
        <v>1092</v>
      </c>
      <c r="B868" s="201">
        <v>68209</v>
      </c>
      <c r="C868" s="200">
        <v>68</v>
      </c>
      <c r="D868" s="203" t="s">
        <v>1080</v>
      </c>
    </row>
    <row r="869" spans="1:4">
      <c r="A869" s="202" t="s">
        <v>1093</v>
      </c>
      <c r="B869" s="201">
        <v>68211</v>
      </c>
      <c r="C869" s="200">
        <v>68</v>
      </c>
      <c r="D869" s="203" t="s">
        <v>1080</v>
      </c>
    </row>
    <row r="870" spans="1:4">
      <c r="A870" s="202" t="s">
        <v>1094</v>
      </c>
      <c r="B870" s="201">
        <v>68217</v>
      </c>
      <c r="C870" s="200">
        <v>68</v>
      </c>
      <c r="D870" s="203" t="s">
        <v>1080</v>
      </c>
    </row>
    <row r="871" spans="1:4">
      <c r="A871" s="202" t="s">
        <v>1095</v>
      </c>
      <c r="B871" s="201">
        <v>68229</v>
      </c>
      <c r="C871" s="200">
        <v>68</v>
      </c>
      <c r="D871" s="203" t="s">
        <v>1080</v>
      </c>
    </row>
    <row r="872" spans="1:4">
      <c r="A872" s="202" t="s">
        <v>1096</v>
      </c>
      <c r="B872" s="201">
        <v>68235</v>
      </c>
      <c r="C872" s="200">
        <v>68</v>
      </c>
      <c r="D872" s="203" t="s">
        <v>1080</v>
      </c>
    </row>
    <row r="873" spans="1:4">
      <c r="A873" s="202" t="s">
        <v>1097</v>
      </c>
      <c r="B873" s="201">
        <v>68245</v>
      </c>
      <c r="C873" s="200">
        <v>68</v>
      </c>
      <c r="D873" s="203" t="s">
        <v>1080</v>
      </c>
    </row>
    <row r="874" spans="1:4">
      <c r="A874" s="202" t="s">
        <v>798</v>
      </c>
      <c r="B874" s="201">
        <v>68250</v>
      </c>
      <c r="C874" s="200">
        <v>68</v>
      </c>
      <c r="D874" s="203" t="s">
        <v>1080</v>
      </c>
    </row>
    <row r="875" spans="1:4">
      <c r="A875" s="202" t="s">
        <v>1098</v>
      </c>
      <c r="B875" s="201">
        <v>68255</v>
      </c>
      <c r="C875" s="200">
        <v>68</v>
      </c>
      <c r="D875" s="203" t="s">
        <v>1080</v>
      </c>
    </row>
    <row r="876" spans="1:4">
      <c r="A876" s="202" t="s">
        <v>1099</v>
      </c>
      <c r="B876" s="201">
        <v>68264</v>
      </c>
      <c r="C876" s="200">
        <v>68</v>
      </c>
      <c r="D876" s="203" t="s">
        <v>1080</v>
      </c>
    </row>
    <row r="877" spans="1:4">
      <c r="A877" s="202" t="s">
        <v>1100</v>
      </c>
      <c r="B877" s="201">
        <v>68266</v>
      </c>
      <c r="C877" s="200">
        <v>68</v>
      </c>
      <c r="D877" s="203" t="s">
        <v>1080</v>
      </c>
    </row>
    <row r="878" spans="1:4">
      <c r="A878" s="202" t="s">
        <v>1101</v>
      </c>
      <c r="B878" s="201">
        <v>68271</v>
      </c>
      <c r="C878" s="200">
        <v>68</v>
      </c>
      <c r="D878" s="203" t="s">
        <v>1080</v>
      </c>
    </row>
    <row r="879" spans="1:4">
      <c r="A879" s="202" t="s">
        <v>579</v>
      </c>
      <c r="B879" s="201">
        <v>68276</v>
      </c>
      <c r="C879" s="200">
        <v>68</v>
      </c>
      <c r="D879" s="203" t="s">
        <v>1080</v>
      </c>
    </row>
    <row r="880" spans="1:4">
      <c r="A880" s="202" t="s">
        <v>1102</v>
      </c>
      <c r="B880" s="201">
        <v>68296</v>
      </c>
      <c r="C880" s="200">
        <v>68</v>
      </c>
      <c r="D880" s="203" t="s">
        <v>1080</v>
      </c>
    </row>
    <row r="881" spans="1:4">
      <c r="A881" s="202" t="s">
        <v>1103</v>
      </c>
      <c r="B881" s="201">
        <v>68298</v>
      </c>
      <c r="C881" s="200">
        <v>68</v>
      </c>
      <c r="D881" s="203" t="s">
        <v>1080</v>
      </c>
    </row>
    <row r="882" spans="1:4">
      <c r="A882" s="202" t="s">
        <v>580</v>
      </c>
      <c r="B882" s="201">
        <v>68307</v>
      </c>
      <c r="C882" s="200">
        <v>68</v>
      </c>
      <c r="D882" s="203" t="s">
        <v>1080</v>
      </c>
    </row>
    <row r="883" spans="1:4">
      <c r="A883" s="202" t="s">
        <v>1104</v>
      </c>
      <c r="B883" s="201">
        <v>68318</v>
      </c>
      <c r="C883" s="200">
        <v>68</v>
      </c>
      <c r="D883" s="203" t="s">
        <v>1080</v>
      </c>
    </row>
    <row r="884" spans="1:4">
      <c r="A884" s="202" t="s">
        <v>767</v>
      </c>
      <c r="B884" s="201">
        <v>68320</v>
      </c>
      <c r="C884" s="200">
        <v>68</v>
      </c>
      <c r="D884" s="203" t="s">
        <v>1080</v>
      </c>
    </row>
    <row r="885" spans="1:4">
      <c r="A885" s="202" t="s">
        <v>1105</v>
      </c>
      <c r="B885" s="201">
        <v>68322</v>
      </c>
      <c r="C885" s="200">
        <v>68</v>
      </c>
      <c r="D885" s="203" t="s">
        <v>1080</v>
      </c>
    </row>
    <row r="886" spans="1:4">
      <c r="A886" s="202" t="s">
        <v>1106</v>
      </c>
      <c r="B886" s="201">
        <v>68324</v>
      </c>
      <c r="C886" s="200">
        <v>68</v>
      </c>
      <c r="D886" s="203" t="s">
        <v>1080</v>
      </c>
    </row>
    <row r="887" spans="1:4">
      <c r="A887" s="202" t="s">
        <v>1107</v>
      </c>
      <c r="B887" s="201">
        <v>68327</v>
      </c>
      <c r="C887" s="200">
        <v>68</v>
      </c>
      <c r="D887" s="203" t="s">
        <v>1080</v>
      </c>
    </row>
    <row r="888" spans="1:4">
      <c r="A888" s="202" t="s">
        <v>1108</v>
      </c>
      <c r="B888" s="201">
        <v>68344</v>
      </c>
      <c r="C888" s="200">
        <v>68</v>
      </c>
      <c r="D888" s="203" t="s">
        <v>1080</v>
      </c>
    </row>
    <row r="889" spans="1:4">
      <c r="A889" s="202" t="s">
        <v>1109</v>
      </c>
      <c r="B889" s="201">
        <v>68368</v>
      </c>
      <c r="C889" s="200">
        <v>68</v>
      </c>
      <c r="D889" s="203" t="s">
        <v>1080</v>
      </c>
    </row>
    <row r="890" spans="1:4">
      <c r="A890" s="202" t="s">
        <v>1110</v>
      </c>
      <c r="B890" s="201">
        <v>68370</v>
      </c>
      <c r="C890" s="200">
        <v>68</v>
      </c>
      <c r="D890" s="203" t="s">
        <v>1080</v>
      </c>
    </row>
    <row r="891" spans="1:4">
      <c r="A891" s="202" t="s">
        <v>1111</v>
      </c>
      <c r="B891" s="201">
        <v>68377</v>
      </c>
      <c r="C891" s="200">
        <v>68</v>
      </c>
      <c r="D891" s="203" t="s">
        <v>1080</v>
      </c>
    </row>
    <row r="892" spans="1:4">
      <c r="A892" s="202" t="s">
        <v>1112</v>
      </c>
      <c r="B892" s="201">
        <v>68385</v>
      </c>
      <c r="C892" s="200">
        <v>68</v>
      </c>
      <c r="D892" s="203" t="s">
        <v>1080</v>
      </c>
    </row>
    <row r="893" spans="1:4">
      <c r="A893" s="202" t="s">
        <v>301</v>
      </c>
      <c r="B893" s="201">
        <v>68397</v>
      </c>
      <c r="C893" s="200">
        <v>68</v>
      </c>
      <c r="D893" s="203" t="s">
        <v>1080</v>
      </c>
    </row>
    <row r="894" spans="1:4">
      <c r="A894" s="202" t="s">
        <v>581</v>
      </c>
      <c r="B894" s="201">
        <v>68406</v>
      </c>
      <c r="C894" s="200">
        <v>68</v>
      </c>
      <c r="D894" s="203" t="s">
        <v>1080</v>
      </c>
    </row>
    <row r="895" spans="1:4">
      <c r="A895" s="202" t="s">
        <v>1113</v>
      </c>
      <c r="B895" s="201">
        <v>68418</v>
      </c>
      <c r="C895" s="200">
        <v>68</v>
      </c>
      <c r="D895" s="203" t="s">
        <v>1080</v>
      </c>
    </row>
    <row r="896" spans="1:4">
      <c r="A896" s="202" t="s">
        <v>1114</v>
      </c>
      <c r="B896" s="201">
        <v>68425</v>
      </c>
      <c r="C896" s="200">
        <v>68</v>
      </c>
      <c r="D896" s="203" t="s">
        <v>1080</v>
      </c>
    </row>
    <row r="897" spans="1:4">
      <c r="A897" s="202" t="s">
        <v>582</v>
      </c>
      <c r="B897" s="201">
        <v>68432</v>
      </c>
      <c r="C897" s="200">
        <v>68</v>
      </c>
      <c r="D897" s="203" t="s">
        <v>1080</v>
      </c>
    </row>
    <row r="898" spans="1:4">
      <c r="A898" s="202" t="s">
        <v>1115</v>
      </c>
      <c r="B898" s="201">
        <v>68444</v>
      </c>
      <c r="C898" s="200">
        <v>68</v>
      </c>
      <c r="D898" s="203" t="s">
        <v>1080</v>
      </c>
    </row>
    <row r="899" spans="1:4">
      <c r="A899" s="202" t="s">
        <v>1116</v>
      </c>
      <c r="B899" s="201">
        <v>68464</v>
      </c>
      <c r="C899" s="200">
        <v>68</v>
      </c>
      <c r="D899" s="203" t="s">
        <v>1080</v>
      </c>
    </row>
    <row r="900" spans="1:4">
      <c r="A900" s="202" t="s">
        <v>1117</v>
      </c>
      <c r="B900" s="201">
        <v>68468</v>
      </c>
      <c r="C900" s="200">
        <v>68</v>
      </c>
      <c r="D900" s="203" t="s">
        <v>1080</v>
      </c>
    </row>
    <row r="901" spans="1:4">
      <c r="A901" s="202" t="s">
        <v>1118</v>
      </c>
      <c r="B901" s="201">
        <v>68498</v>
      </c>
      <c r="C901" s="200">
        <v>68</v>
      </c>
      <c r="D901" s="203" t="s">
        <v>1080</v>
      </c>
    </row>
    <row r="902" spans="1:4">
      <c r="A902" s="202" t="s">
        <v>583</v>
      </c>
      <c r="B902" s="201">
        <v>68500</v>
      </c>
      <c r="C902" s="200">
        <v>68</v>
      </c>
      <c r="D902" s="203" t="s">
        <v>1080</v>
      </c>
    </row>
    <row r="903" spans="1:4">
      <c r="A903" s="202" t="s">
        <v>1119</v>
      </c>
      <c r="B903" s="201">
        <v>68502</v>
      </c>
      <c r="C903" s="200">
        <v>68</v>
      </c>
      <c r="D903" s="203" t="s">
        <v>1080</v>
      </c>
    </row>
    <row r="904" spans="1:4">
      <c r="A904" s="202" t="s">
        <v>1120</v>
      </c>
      <c r="B904" s="201">
        <v>68522</v>
      </c>
      <c r="C904" s="200">
        <v>68</v>
      </c>
      <c r="D904" s="203" t="s">
        <v>1080</v>
      </c>
    </row>
    <row r="905" spans="1:4">
      <c r="A905" s="202" t="s">
        <v>1121</v>
      </c>
      <c r="B905" s="201">
        <v>68524</v>
      </c>
      <c r="C905" s="200">
        <v>68</v>
      </c>
      <c r="D905" s="203" t="s">
        <v>1080</v>
      </c>
    </row>
    <row r="906" spans="1:4">
      <c r="A906" s="202" t="s">
        <v>1122</v>
      </c>
      <c r="B906" s="201">
        <v>68533</v>
      </c>
      <c r="C906" s="200">
        <v>68</v>
      </c>
      <c r="D906" s="203" t="s">
        <v>1080</v>
      </c>
    </row>
    <row r="907" spans="1:4">
      <c r="A907" s="202" t="s">
        <v>584</v>
      </c>
      <c r="B907" s="201">
        <v>68547</v>
      </c>
      <c r="C907" s="200">
        <v>68</v>
      </c>
      <c r="D907" s="203" t="s">
        <v>1080</v>
      </c>
    </row>
    <row r="908" spans="1:4">
      <c r="A908" s="202" t="s">
        <v>1123</v>
      </c>
      <c r="B908" s="201">
        <v>68549</v>
      </c>
      <c r="C908" s="200">
        <v>68</v>
      </c>
      <c r="D908" s="203" t="s">
        <v>1080</v>
      </c>
    </row>
    <row r="909" spans="1:4">
      <c r="A909" s="202" t="s">
        <v>1124</v>
      </c>
      <c r="B909" s="201">
        <v>68572</v>
      </c>
      <c r="C909" s="200">
        <v>68</v>
      </c>
      <c r="D909" s="203" t="s">
        <v>1080</v>
      </c>
    </row>
    <row r="910" spans="1:4">
      <c r="A910" s="202" t="s">
        <v>1125</v>
      </c>
      <c r="B910" s="201">
        <v>68573</v>
      </c>
      <c r="C910" s="200">
        <v>68</v>
      </c>
      <c r="D910" s="203" t="s">
        <v>1080</v>
      </c>
    </row>
    <row r="911" spans="1:4">
      <c r="A911" s="202" t="s">
        <v>585</v>
      </c>
      <c r="B911" s="201">
        <v>68575</v>
      </c>
      <c r="C911" s="200">
        <v>68</v>
      </c>
      <c r="D911" s="203" t="s">
        <v>1080</v>
      </c>
    </row>
    <row r="912" spans="1:4">
      <c r="A912" s="202" t="s">
        <v>586</v>
      </c>
      <c r="B912" s="201">
        <v>68615</v>
      </c>
      <c r="C912" s="200">
        <v>68</v>
      </c>
      <c r="D912" s="203" t="s">
        <v>1080</v>
      </c>
    </row>
    <row r="913" spans="1:4">
      <c r="A913" s="202" t="s">
        <v>587</v>
      </c>
      <c r="B913" s="201">
        <v>68655</v>
      </c>
      <c r="C913" s="200">
        <v>68</v>
      </c>
      <c r="D913" s="203" t="s">
        <v>1080</v>
      </c>
    </row>
    <row r="914" spans="1:4">
      <c r="A914" s="202" t="s">
        <v>1126</v>
      </c>
      <c r="B914" s="201">
        <v>68669</v>
      </c>
      <c r="C914" s="200">
        <v>68</v>
      </c>
      <c r="D914" s="203" t="s">
        <v>1080</v>
      </c>
    </row>
    <row r="915" spans="1:4">
      <c r="A915" s="202" t="s">
        <v>1127</v>
      </c>
      <c r="B915" s="201">
        <v>68673</v>
      </c>
      <c r="C915" s="200">
        <v>68</v>
      </c>
      <c r="D915" s="203" t="s">
        <v>1080</v>
      </c>
    </row>
    <row r="916" spans="1:4">
      <c r="A916" s="202" t="s">
        <v>588</v>
      </c>
      <c r="B916" s="201">
        <v>68679</v>
      </c>
      <c r="C916" s="200">
        <v>68</v>
      </c>
      <c r="D916" s="203" t="s">
        <v>1080</v>
      </c>
    </row>
    <row r="917" spans="1:4">
      <c r="A917" s="202" t="s">
        <v>1128</v>
      </c>
      <c r="B917" s="201">
        <v>68682</v>
      </c>
      <c r="C917" s="200">
        <v>68</v>
      </c>
      <c r="D917" s="203" t="s">
        <v>1080</v>
      </c>
    </row>
    <row r="918" spans="1:4">
      <c r="A918" s="202" t="s">
        <v>1129</v>
      </c>
      <c r="B918" s="201">
        <v>68684</v>
      </c>
      <c r="C918" s="200">
        <v>68</v>
      </c>
      <c r="D918" s="203" t="s">
        <v>1080</v>
      </c>
    </row>
    <row r="919" spans="1:4">
      <c r="A919" s="202" t="s">
        <v>1130</v>
      </c>
      <c r="B919" s="201">
        <v>68686</v>
      </c>
      <c r="C919" s="200">
        <v>68</v>
      </c>
      <c r="D919" s="203" t="s">
        <v>1080</v>
      </c>
    </row>
    <row r="920" spans="1:4">
      <c r="A920" s="202" t="s">
        <v>589</v>
      </c>
      <c r="B920" s="201">
        <v>68689</v>
      </c>
      <c r="C920" s="200">
        <v>68</v>
      </c>
      <c r="D920" s="203" t="s">
        <v>1080</v>
      </c>
    </row>
    <row r="921" spans="1:4">
      <c r="A921" s="202" t="s">
        <v>784</v>
      </c>
      <c r="B921" s="201">
        <v>68705</v>
      </c>
      <c r="C921" s="200">
        <v>68</v>
      </c>
      <c r="D921" s="203" t="s">
        <v>1080</v>
      </c>
    </row>
    <row r="922" spans="1:4">
      <c r="A922" s="202" t="s">
        <v>1131</v>
      </c>
      <c r="B922" s="201">
        <v>68720</v>
      </c>
      <c r="C922" s="200">
        <v>68</v>
      </c>
      <c r="D922" s="203" t="s">
        <v>1080</v>
      </c>
    </row>
    <row r="923" spans="1:4">
      <c r="A923" s="202" t="s">
        <v>1132</v>
      </c>
      <c r="B923" s="201">
        <v>68745</v>
      </c>
      <c r="C923" s="200">
        <v>68</v>
      </c>
      <c r="D923" s="203" t="s">
        <v>1080</v>
      </c>
    </row>
    <row r="924" spans="1:4">
      <c r="A924" s="202" t="s">
        <v>590</v>
      </c>
      <c r="B924" s="201">
        <v>68755</v>
      </c>
      <c r="C924" s="200">
        <v>68</v>
      </c>
      <c r="D924" s="203" t="s">
        <v>1080</v>
      </c>
    </row>
    <row r="925" spans="1:4">
      <c r="A925" s="202" t="s">
        <v>1133</v>
      </c>
      <c r="B925" s="201">
        <v>68770</v>
      </c>
      <c r="C925" s="200">
        <v>68</v>
      </c>
      <c r="D925" s="203" t="s">
        <v>1080</v>
      </c>
    </row>
    <row r="926" spans="1:4">
      <c r="A926" s="202" t="s">
        <v>913</v>
      </c>
      <c r="B926" s="201">
        <v>68773</v>
      </c>
      <c r="C926" s="200">
        <v>68</v>
      </c>
      <c r="D926" s="203" t="s">
        <v>1080</v>
      </c>
    </row>
    <row r="927" spans="1:4">
      <c r="A927" s="202" t="s">
        <v>591</v>
      </c>
      <c r="B927" s="201">
        <v>68780</v>
      </c>
      <c r="C927" s="200">
        <v>68</v>
      </c>
      <c r="D927" s="203" t="s">
        <v>1080</v>
      </c>
    </row>
    <row r="928" spans="1:4">
      <c r="A928" s="202" t="s">
        <v>592</v>
      </c>
      <c r="B928" s="201">
        <v>68820</v>
      </c>
      <c r="C928" s="200">
        <v>68</v>
      </c>
      <c r="D928" s="203" t="s">
        <v>1080</v>
      </c>
    </row>
    <row r="929" spans="1:4">
      <c r="A929" s="202" t="s">
        <v>1134</v>
      </c>
      <c r="B929" s="201">
        <v>68855</v>
      </c>
      <c r="C929" s="200">
        <v>68</v>
      </c>
      <c r="D929" s="203" t="s">
        <v>1080</v>
      </c>
    </row>
    <row r="930" spans="1:4">
      <c r="A930" s="202" t="s">
        <v>593</v>
      </c>
      <c r="B930" s="201">
        <v>68861</v>
      </c>
      <c r="C930" s="200">
        <v>68</v>
      </c>
      <c r="D930" s="203" t="s">
        <v>1080</v>
      </c>
    </row>
    <row r="931" spans="1:4">
      <c r="A931" s="202" t="s">
        <v>1135</v>
      </c>
      <c r="B931" s="201">
        <v>68867</v>
      </c>
      <c r="C931" s="200">
        <v>68</v>
      </c>
      <c r="D931" s="203" t="s">
        <v>1080</v>
      </c>
    </row>
    <row r="932" spans="1:4">
      <c r="A932" s="202" t="s">
        <v>1136</v>
      </c>
      <c r="B932" s="201">
        <v>68872</v>
      </c>
      <c r="C932" s="200">
        <v>68</v>
      </c>
      <c r="D932" s="203" t="s">
        <v>1080</v>
      </c>
    </row>
    <row r="933" spans="1:4">
      <c r="A933" s="202" t="s">
        <v>594</v>
      </c>
      <c r="B933" s="201">
        <v>68895</v>
      </c>
      <c r="C933" s="200">
        <v>68</v>
      </c>
      <c r="D933" s="203" t="s">
        <v>1080</v>
      </c>
    </row>
    <row r="934" spans="1:4">
      <c r="A934" s="202" t="s">
        <v>596</v>
      </c>
      <c r="B934" s="201">
        <v>70001</v>
      </c>
      <c r="C934" s="200">
        <v>70</v>
      </c>
      <c r="D934" s="203" t="s">
        <v>913</v>
      </c>
    </row>
    <row r="935" spans="1:4">
      <c r="A935" s="202" t="s">
        <v>597</v>
      </c>
      <c r="B935" s="201">
        <v>70110</v>
      </c>
      <c r="C935" s="200">
        <v>70</v>
      </c>
      <c r="D935" s="203" t="s">
        <v>913</v>
      </c>
    </row>
    <row r="936" spans="1:4">
      <c r="A936" s="202" t="s">
        <v>598</v>
      </c>
      <c r="B936" s="201">
        <v>70124</v>
      </c>
      <c r="C936" s="200">
        <v>70</v>
      </c>
      <c r="D936" s="203" t="s">
        <v>913</v>
      </c>
    </row>
    <row r="937" spans="1:4">
      <c r="A937" s="202" t="s">
        <v>600</v>
      </c>
      <c r="B937" s="201">
        <v>70204</v>
      </c>
      <c r="C937" s="200">
        <v>70</v>
      </c>
      <c r="D937" s="203" t="s">
        <v>913</v>
      </c>
    </row>
    <row r="938" spans="1:4">
      <c r="A938" s="202" t="s">
        <v>601</v>
      </c>
      <c r="B938" s="201">
        <v>70215</v>
      </c>
      <c r="C938" s="200">
        <v>70</v>
      </c>
      <c r="D938" s="203" t="s">
        <v>913</v>
      </c>
    </row>
    <row r="939" spans="1:4">
      <c r="A939" s="202" t="s">
        <v>602</v>
      </c>
      <c r="B939" s="201">
        <v>70221</v>
      </c>
      <c r="C939" s="200">
        <v>70</v>
      </c>
      <c r="D939" s="203" t="s">
        <v>913</v>
      </c>
    </row>
    <row r="940" spans="1:4">
      <c r="A940" s="202" t="s">
        <v>599</v>
      </c>
      <c r="B940" s="201">
        <v>70230</v>
      </c>
      <c r="C940" s="200">
        <v>70</v>
      </c>
      <c r="D940" s="203" t="s">
        <v>913</v>
      </c>
    </row>
    <row r="941" spans="1:4">
      <c r="A941" s="202" t="s">
        <v>603</v>
      </c>
      <c r="B941" s="201">
        <v>70233</v>
      </c>
      <c r="C941" s="200">
        <v>70</v>
      </c>
      <c r="D941" s="203" t="s">
        <v>913</v>
      </c>
    </row>
    <row r="942" spans="1:4">
      <c r="A942" s="202" t="s">
        <v>604</v>
      </c>
      <c r="B942" s="201">
        <v>70235</v>
      </c>
      <c r="C942" s="200">
        <v>70</v>
      </c>
      <c r="D942" s="203" t="s">
        <v>913</v>
      </c>
    </row>
    <row r="943" spans="1:4">
      <c r="A943" s="202" t="s">
        <v>605</v>
      </c>
      <c r="B943" s="201">
        <v>70265</v>
      </c>
      <c r="C943" s="200">
        <v>70</v>
      </c>
      <c r="D943" s="203" t="s">
        <v>913</v>
      </c>
    </row>
    <row r="944" spans="1:4">
      <c r="A944" s="202" t="s">
        <v>606</v>
      </c>
      <c r="B944" s="201">
        <v>70400</v>
      </c>
      <c r="C944" s="200">
        <v>70</v>
      </c>
      <c r="D944" s="203" t="s">
        <v>913</v>
      </c>
    </row>
    <row r="945" spans="1:4">
      <c r="A945" s="202" t="s">
        <v>607</v>
      </c>
      <c r="B945" s="201">
        <v>70418</v>
      </c>
      <c r="C945" s="200">
        <v>70</v>
      </c>
      <c r="D945" s="203" t="s">
        <v>913</v>
      </c>
    </row>
    <row r="946" spans="1:4">
      <c r="A946" s="202" t="s">
        <v>608</v>
      </c>
      <c r="B946" s="201">
        <v>70429</v>
      </c>
      <c r="C946" s="200">
        <v>70</v>
      </c>
      <c r="D946" s="203" t="s">
        <v>913</v>
      </c>
    </row>
    <row r="947" spans="1:4">
      <c r="A947" s="202" t="s">
        <v>609</v>
      </c>
      <c r="B947" s="201">
        <v>70473</v>
      </c>
      <c r="C947" s="200">
        <v>70</v>
      </c>
      <c r="D947" s="203" t="s">
        <v>913</v>
      </c>
    </row>
    <row r="948" spans="1:4">
      <c r="A948" s="202" t="s">
        <v>610</v>
      </c>
      <c r="B948" s="201">
        <v>70508</v>
      </c>
      <c r="C948" s="200">
        <v>70</v>
      </c>
      <c r="D948" s="203" t="s">
        <v>913</v>
      </c>
    </row>
    <row r="949" spans="1:4">
      <c r="A949" s="202" t="s">
        <v>611</v>
      </c>
      <c r="B949" s="201">
        <v>70523</v>
      </c>
      <c r="C949" s="200">
        <v>70</v>
      </c>
      <c r="D949" s="203" t="s">
        <v>913</v>
      </c>
    </row>
    <row r="950" spans="1:4">
      <c r="A950" s="202" t="s">
        <v>612</v>
      </c>
      <c r="B950" s="201">
        <v>70670</v>
      </c>
      <c r="C950" s="200">
        <v>70</v>
      </c>
      <c r="D950" s="203" t="s">
        <v>913</v>
      </c>
    </row>
    <row r="951" spans="1:4">
      <c r="A951" s="202" t="s">
        <v>613</v>
      </c>
      <c r="B951" s="201">
        <v>70678</v>
      </c>
      <c r="C951" s="200">
        <v>70</v>
      </c>
      <c r="D951" s="203" t="s">
        <v>913</v>
      </c>
    </row>
    <row r="952" spans="1:4">
      <c r="A952" s="202" t="s">
        <v>614</v>
      </c>
      <c r="B952" s="201">
        <v>70702</v>
      </c>
      <c r="C952" s="200">
        <v>70</v>
      </c>
      <c r="D952" s="203" t="s">
        <v>913</v>
      </c>
    </row>
    <row r="953" spans="1:4">
      <c r="A953" s="202" t="s">
        <v>616</v>
      </c>
      <c r="B953" s="201">
        <v>70708</v>
      </c>
      <c r="C953" s="200">
        <v>70</v>
      </c>
      <c r="D953" s="203" t="s">
        <v>913</v>
      </c>
    </row>
    <row r="954" spans="1:4">
      <c r="A954" s="202" t="s">
        <v>617</v>
      </c>
      <c r="B954" s="201">
        <v>70713</v>
      </c>
      <c r="C954" s="200">
        <v>70</v>
      </c>
      <c r="D954" s="203" t="s">
        <v>913</v>
      </c>
    </row>
    <row r="955" spans="1:4">
      <c r="A955" s="202" t="s">
        <v>618</v>
      </c>
      <c r="B955" s="201">
        <v>70717</v>
      </c>
      <c r="C955" s="200">
        <v>70</v>
      </c>
      <c r="D955" s="203" t="s">
        <v>913</v>
      </c>
    </row>
    <row r="956" spans="1:4">
      <c r="A956" s="202" t="s">
        <v>615</v>
      </c>
      <c r="B956" s="201">
        <v>70742</v>
      </c>
      <c r="C956" s="200">
        <v>70</v>
      </c>
      <c r="D956" s="203" t="s">
        <v>913</v>
      </c>
    </row>
    <row r="957" spans="1:4">
      <c r="A957" s="202" t="s">
        <v>620</v>
      </c>
      <c r="B957" s="201">
        <v>70771</v>
      </c>
      <c r="C957" s="200">
        <v>70</v>
      </c>
      <c r="D957" s="203" t="s">
        <v>913</v>
      </c>
    </row>
    <row r="958" spans="1:4">
      <c r="A958" s="202" t="s">
        <v>619</v>
      </c>
      <c r="B958" s="201">
        <v>70820</v>
      </c>
      <c r="C958" s="200">
        <v>70</v>
      </c>
      <c r="D958" s="203" t="s">
        <v>913</v>
      </c>
    </row>
    <row r="959" spans="1:4">
      <c r="A959" s="202" t="s">
        <v>621</v>
      </c>
      <c r="B959" s="201">
        <v>70823</v>
      </c>
      <c r="C959" s="200">
        <v>70</v>
      </c>
      <c r="D959" s="203" t="s">
        <v>913</v>
      </c>
    </row>
    <row r="960" spans="1:4">
      <c r="A960" s="202" t="s">
        <v>623</v>
      </c>
      <c r="B960" s="201">
        <v>73001</v>
      </c>
      <c r="C960" s="200">
        <v>73</v>
      </c>
      <c r="D960" s="203" t="s">
        <v>1137</v>
      </c>
    </row>
    <row r="961" spans="1:4">
      <c r="A961" s="202" t="s">
        <v>624</v>
      </c>
      <c r="B961" s="201">
        <v>73024</v>
      </c>
      <c r="C961" s="200">
        <v>73</v>
      </c>
      <c r="D961" s="203" t="s">
        <v>1137</v>
      </c>
    </row>
    <row r="962" spans="1:4">
      <c r="A962" s="202" t="s">
        <v>1138</v>
      </c>
      <c r="B962" s="201">
        <v>73026</v>
      </c>
      <c r="C962" s="200">
        <v>73</v>
      </c>
      <c r="D962" s="203" t="s">
        <v>1137</v>
      </c>
    </row>
    <row r="963" spans="1:4">
      <c r="A963" s="202" t="s">
        <v>1139</v>
      </c>
      <c r="B963" s="201">
        <v>73030</v>
      </c>
      <c r="C963" s="200">
        <v>73</v>
      </c>
      <c r="D963" s="203" t="s">
        <v>1137</v>
      </c>
    </row>
    <row r="964" spans="1:4">
      <c r="A964" s="202" t="s">
        <v>1140</v>
      </c>
      <c r="B964" s="201">
        <v>73043</v>
      </c>
      <c r="C964" s="200">
        <v>73</v>
      </c>
      <c r="D964" s="203" t="s">
        <v>1137</v>
      </c>
    </row>
    <row r="965" spans="1:4">
      <c r="A965" s="202" t="s">
        <v>1141</v>
      </c>
      <c r="B965" s="201">
        <v>73055</v>
      </c>
      <c r="C965" s="200">
        <v>73</v>
      </c>
      <c r="D965" s="203" t="s">
        <v>1137</v>
      </c>
    </row>
    <row r="966" spans="1:4">
      <c r="A966" s="202" t="s">
        <v>625</v>
      </c>
      <c r="B966" s="201">
        <v>73067</v>
      </c>
      <c r="C966" s="200">
        <v>73</v>
      </c>
      <c r="D966" s="203" t="s">
        <v>1137</v>
      </c>
    </row>
    <row r="967" spans="1:4">
      <c r="A967" s="202" t="s">
        <v>626</v>
      </c>
      <c r="B967" s="201">
        <v>73124</v>
      </c>
      <c r="C967" s="200">
        <v>73</v>
      </c>
      <c r="D967" s="203" t="s">
        <v>1137</v>
      </c>
    </row>
    <row r="968" spans="1:4">
      <c r="A968" s="202" t="s">
        <v>1142</v>
      </c>
      <c r="B968" s="201">
        <v>73148</v>
      </c>
      <c r="C968" s="200">
        <v>73</v>
      </c>
      <c r="D968" s="203" t="s">
        <v>1137</v>
      </c>
    </row>
    <row r="969" spans="1:4">
      <c r="A969" s="202" t="s">
        <v>1143</v>
      </c>
      <c r="B969" s="201">
        <v>73152</v>
      </c>
      <c r="C969" s="200">
        <v>73</v>
      </c>
      <c r="D969" s="203" t="s">
        <v>1137</v>
      </c>
    </row>
    <row r="970" spans="1:4">
      <c r="A970" s="202" t="s">
        <v>627</v>
      </c>
      <c r="B970" s="201">
        <v>73168</v>
      </c>
      <c r="C970" s="200">
        <v>73</v>
      </c>
      <c r="D970" s="203" t="s">
        <v>1137</v>
      </c>
    </row>
    <row r="971" spans="1:4">
      <c r="A971" s="202" t="s">
        <v>1144</v>
      </c>
      <c r="B971" s="201">
        <v>73200</v>
      </c>
      <c r="C971" s="200">
        <v>73</v>
      </c>
      <c r="D971" s="203" t="s">
        <v>1137</v>
      </c>
    </row>
    <row r="972" spans="1:4">
      <c r="A972" s="202" t="s">
        <v>628</v>
      </c>
      <c r="B972" s="201">
        <v>73217</v>
      </c>
      <c r="C972" s="200">
        <v>73</v>
      </c>
      <c r="D972" s="203" t="s">
        <v>1137</v>
      </c>
    </row>
    <row r="973" spans="1:4">
      <c r="A973" s="202" t="s">
        <v>1145</v>
      </c>
      <c r="B973" s="201">
        <v>73226</v>
      </c>
      <c r="C973" s="200">
        <v>73</v>
      </c>
      <c r="D973" s="203" t="s">
        <v>1137</v>
      </c>
    </row>
    <row r="974" spans="1:4">
      <c r="A974" s="202" t="s">
        <v>629</v>
      </c>
      <c r="B974" s="201">
        <v>73236</v>
      </c>
      <c r="C974" s="200">
        <v>73</v>
      </c>
      <c r="D974" s="203" t="s">
        <v>1137</v>
      </c>
    </row>
    <row r="975" spans="1:4">
      <c r="A975" s="202" t="s">
        <v>630</v>
      </c>
      <c r="B975" s="201">
        <v>73268</v>
      </c>
      <c r="C975" s="200">
        <v>73</v>
      </c>
      <c r="D975" s="203" t="s">
        <v>1137</v>
      </c>
    </row>
    <row r="976" spans="1:4">
      <c r="A976" s="202" t="s">
        <v>1146</v>
      </c>
      <c r="B976" s="201">
        <v>73270</v>
      </c>
      <c r="C976" s="200">
        <v>73</v>
      </c>
      <c r="D976" s="203" t="s">
        <v>1137</v>
      </c>
    </row>
    <row r="977" spans="1:4">
      <c r="A977" s="202" t="s">
        <v>631</v>
      </c>
      <c r="B977" s="201">
        <v>73275</v>
      </c>
      <c r="C977" s="200">
        <v>73</v>
      </c>
      <c r="D977" s="203" t="s">
        <v>1137</v>
      </c>
    </row>
    <row r="978" spans="1:4">
      <c r="A978" s="202" t="s">
        <v>632</v>
      </c>
      <c r="B978" s="201">
        <v>73283</v>
      </c>
      <c r="C978" s="200">
        <v>73</v>
      </c>
      <c r="D978" s="203" t="s">
        <v>1137</v>
      </c>
    </row>
    <row r="979" spans="1:4">
      <c r="A979" s="202" t="s">
        <v>633</v>
      </c>
      <c r="B979" s="201">
        <v>73319</v>
      </c>
      <c r="C979" s="200">
        <v>73</v>
      </c>
      <c r="D979" s="203" t="s">
        <v>1137</v>
      </c>
    </row>
    <row r="980" spans="1:4">
      <c r="A980" s="202" t="s">
        <v>1147</v>
      </c>
      <c r="B980" s="201">
        <v>73347</v>
      </c>
      <c r="C980" s="200">
        <v>73</v>
      </c>
      <c r="D980" s="203" t="s">
        <v>1137</v>
      </c>
    </row>
    <row r="981" spans="1:4">
      <c r="A981" s="202" t="s">
        <v>634</v>
      </c>
      <c r="B981" s="201">
        <v>73349</v>
      </c>
      <c r="C981" s="200">
        <v>73</v>
      </c>
      <c r="D981" s="203" t="s">
        <v>1137</v>
      </c>
    </row>
    <row r="982" spans="1:4">
      <c r="A982" s="202" t="s">
        <v>1148</v>
      </c>
      <c r="B982" s="201">
        <v>73352</v>
      </c>
      <c r="C982" s="200">
        <v>73</v>
      </c>
      <c r="D982" s="203" t="s">
        <v>1137</v>
      </c>
    </row>
    <row r="983" spans="1:4">
      <c r="A983" s="202" t="s">
        <v>635</v>
      </c>
      <c r="B983" s="201">
        <v>73408</v>
      </c>
      <c r="C983" s="200">
        <v>73</v>
      </c>
      <c r="D983" s="203" t="s">
        <v>1137</v>
      </c>
    </row>
    <row r="984" spans="1:4">
      <c r="A984" s="202" t="s">
        <v>636</v>
      </c>
      <c r="B984" s="201">
        <v>73411</v>
      </c>
      <c r="C984" s="200">
        <v>73</v>
      </c>
      <c r="D984" s="203" t="s">
        <v>1137</v>
      </c>
    </row>
    <row r="985" spans="1:4">
      <c r="A985" s="202" t="s">
        <v>637</v>
      </c>
      <c r="B985" s="201">
        <v>73443</v>
      </c>
      <c r="C985" s="200">
        <v>73</v>
      </c>
      <c r="D985" s="203" t="s">
        <v>1137</v>
      </c>
    </row>
    <row r="986" spans="1:4">
      <c r="A986" s="202" t="s">
        <v>638</v>
      </c>
      <c r="B986" s="201">
        <v>73449</v>
      </c>
      <c r="C986" s="200">
        <v>73</v>
      </c>
      <c r="D986" s="203" t="s">
        <v>1137</v>
      </c>
    </row>
    <row r="987" spans="1:4">
      <c r="A987" s="202" t="s">
        <v>1149</v>
      </c>
      <c r="B987" s="201">
        <v>73461</v>
      </c>
      <c r="C987" s="200">
        <v>73</v>
      </c>
      <c r="D987" s="203" t="s">
        <v>1137</v>
      </c>
    </row>
    <row r="988" spans="1:4">
      <c r="A988" s="202" t="s">
        <v>639</v>
      </c>
      <c r="B988" s="201">
        <v>73483</v>
      </c>
      <c r="C988" s="200">
        <v>73</v>
      </c>
      <c r="D988" s="203" t="s">
        <v>1137</v>
      </c>
    </row>
    <row r="989" spans="1:4">
      <c r="A989" s="202" t="s">
        <v>640</v>
      </c>
      <c r="B989" s="201">
        <v>73504</v>
      </c>
      <c r="C989" s="200">
        <v>73</v>
      </c>
      <c r="D989" s="203" t="s">
        <v>1137</v>
      </c>
    </row>
    <row r="990" spans="1:4">
      <c r="A990" s="202" t="s">
        <v>1150</v>
      </c>
      <c r="B990" s="201">
        <v>73520</v>
      </c>
      <c r="C990" s="200">
        <v>73</v>
      </c>
      <c r="D990" s="203" t="s">
        <v>1137</v>
      </c>
    </row>
    <row r="991" spans="1:4">
      <c r="A991" s="202" t="s">
        <v>1151</v>
      </c>
      <c r="B991" s="201">
        <v>73547</v>
      </c>
      <c r="C991" s="200">
        <v>73</v>
      </c>
      <c r="D991" s="203" t="s">
        <v>1137</v>
      </c>
    </row>
    <row r="992" spans="1:4">
      <c r="A992" s="202" t="s">
        <v>641</v>
      </c>
      <c r="B992" s="201">
        <v>73555</v>
      </c>
      <c r="C992" s="200">
        <v>73</v>
      </c>
      <c r="D992" s="203" t="s">
        <v>1137</v>
      </c>
    </row>
    <row r="993" spans="1:4">
      <c r="A993" s="202" t="s">
        <v>1152</v>
      </c>
      <c r="B993" s="201">
        <v>73563</v>
      </c>
      <c r="C993" s="200">
        <v>73</v>
      </c>
      <c r="D993" s="203" t="s">
        <v>1137</v>
      </c>
    </row>
    <row r="994" spans="1:4">
      <c r="A994" s="202" t="s">
        <v>642</v>
      </c>
      <c r="B994" s="201">
        <v>73585</v>
      </c>
      <c r="C994" s="200">
        <v>73</v>
      </c>
      <c r="D994" s="203" t="s">
        <v>1137</v>
      </c>
    </row>
    <row r="995" spans="1:4">
      <c r="A995" s="202" t="s">
        <v>643</v>
      </c>
      <c r="B995" s="201">
        <v>73616</v>
      </c>
      <c r="C995" s="200">
        <v>73</v>
      </c>
      <c r="D995" s="203" t="s">
        <v>1137</v>
      </c>
    </row>
    <row r="996" spans="1:4">
      <c r="A996" s="202" t="s">
        <v>644</v>
      </c>
      <c r="B996" s="201">
        <v>73622</v>
      </c>
      <c r="C996" s="200">
        <v>73</v>
      </c>
      <c r="D996" s="203" t="s">
        <v>1137</v>
      </c>
    </row>
    <row r="997" spans="1:4">
      <c r="A997" s="202" t="s">
        <v>645</v>
      </c>
      <c r="B997" s="201">
        <v>73624</v>
      </c>
      <c r="C997" s="200">
        <v>73</v>
      </c>
      <c r="D997" s="203" t="s">
        <v>1137</v>
      </c>
    </row>
    <row r="998" spans="1:4">
      <c r="A998" s="202" t="s">
        <v>646</v>
      </c>
      <c r="B998" s="201">
        <v>73671</v>
      </c>
      <c r="C998" s="200">
        <v>73</v>
      </c>
      <c r="D998" s="203" t="s">
        <v>1137</v>
      </c>
    </row>
    <row r="999" spans="1:4">
      <c r="A999" s="202" t="s">
        <v>647</v>
      </c>
      <c r="B999" s="201">
        <v>73675</v>
      </c>
      <c r="C999" s="200">
        <v>73</v>
      </c>
      <c r="D999" s="203" t="s">
        <v>1137</v>
      </c>
    </row>
    <row r="1000" spans="1:4">
      <c r="A1000" s="202" t="s">
        <v>1153</v>
      </c>
      <c r="B1000" s="201">
        <v>73678</v>
      </c>
      <c r="C1000" s="200">
        <v>73</v>
      </c>
      <c r="D1000" s="203" t="s">
        <v>1137</v>
      </c>
    </row>
    <row r="1001" spans="1:4">
      <c r="A1001" s="202" t="s">
        <v>1154</v>
      </c>
      <c r="B1001" s="201">
        <v>73686</v>
      </c>
      <c r="C1001" s="200">
        <v>73</v>
      </c>
      <c r="D1001" s="203" t="s">
        <v>1137</v>
      </c>
    </row>
    <row r="1002" spans="1:4">
      <c r="A1002" s="202" t="s">
        <v>281</v>
      </c>
      <c r="B1002" s="201">
        <v>73770</v>
      </c>
      <c r="C1002" s="200">
        <v>73</v>
      </c>
      <c r="D1002" s="203" t="s">
        <v>1137</v>
      </c>
    </row>
    <row r="1003" spans="1:4">
      <c r="A1003" s="202" t="s">
        <v>1155</v>
      </c>
      <c r="B1003" s="201">
        <v>73854</v>
      </c>
      <c r="C1003" s="200">
        <v>73</v>
      </c>
      <c r="D1003" s="203" t="s">
        <v>1137</v>
      </c>
    </row>
    <row r="1004" spans="1:4">
      <c r="A1004" s="202" t="s">
        <v>1156</v>
      </c>
      <c r="B1004" s="201">
        <v>73861</v>
      </c>
      <c r="C1004" s="200">
        <v>73</v>
      </c>
      <c r="D1004" s="203" t="s">
        <v>1137</v>
      </c>
    </row>
    <row r="1005" spans="1:4">
      <c r="A1005" s="202" t="s">
        <v>1157</v>
      </c>
      <c r="B1005" s="201">
        <v>73870</v>
      </c>
      <c r="C1005" s="200">
        <v>73</v>
      </c>
      <c r="D1005" s="203" t="s">
        <v>1137</v>
      </c>
    </row>
    <row r="1006" spans="1:4">
      <c r="A1006" s="202" t="s">
        <v>1158</v>
      </c>
      <c r="B1006" s="201">
        <v>73873</v>
      </c>
      <c r="C1006" s="200">
        <v>73</v>
      </c>
      <c r="D1006" s="203" t="s">
        <v>1137</v>
      </c>
    </row>
    <row r="1007" spans="1:4">
      <c r="A1007" s="202" t="s">
        <v>649</v>
      </c>
      <c r="B1007" s="201">
        <v>76001</v>
      </c>
      <c r="C1007" s="200">
        <v>76</v>
      </c>
      <c r="D1007" s="203" t="s">
        <v>1159</v>
      </c>
    </row>
    <row r="1008" spans="1:4">
      <c r="A1008" s="202" t="s">
        <v>650</v>
      </c>
      <c r="B1008" s="201">
        <v>76020</v>
      </c>
      <c r="C1008" s="200">
        <v>76</v>
      </c>
      <c r="D1008" s="203" t="s">
        <v>1159</v>
      </c>
    </row>
    <row r="1009" spans="1:4">
      <c r="A1009" s="202" t="s">
        <v>651</v>
      </c>
      <c r="B1009" s="201">
        <v>76036</v>
      </c>
      <c r="C1009" s="200">
        <v>76</v>
      </c>
      <c r="D1009" s="203" t="s">
        <v>1159</v>
      </c>
    </row>
    <row r="1010" spans="1:4">
      <c r="A1010" s="202" t="s">
        <v>652</v>
      </c>
      <c r="B1010" s="201">
        <v>76041</v>
      </c>
      <c r="C1010" s="200">
        <v>76</v>
      </c>
      <c r="D1010" s="203" t="s">
        <v>1159</v>
      </c>
    </row>
    <row r="1011" spans="1:4">
      <c r="A1011" s="202" t="s">
        <v>653</v>
      </c>
      <c r="B1011" s="201">
        <v>76054</v>
      </c>
      <c r="C1011" s="200">
        <v>76</v>
      </c>
      <c r="D1011" s="203" t="s">
        <v>1159</v>
      </c>
    </row>
    <row r="1012" spans="1:4">
      <c r="A1012" s="202" t="s">
        <v>654</v>
      </c>
      <c r="B1012" s="201">
        <v>76100</v>
      </c>
      <c r="C1012" s="200">
        <v>76</v>
      </c>
      <c r="D1012" s="203" t="s">
        <v>1159</v>
      </c>
    </row>
    <row r="1013" spans="1:4">
      <c r="A1013" s="202" t="s">
        <v>655</v>
      </c>
      <c r="B1013" s="201">
        <v>76109</v>
      </c>
      <c r="C1013" s="200">
        <v>76</v>
      </c>
      <c r="D1013" s="203" t="s">
        <v>1159</v>
      </c>
    </row>
    <row r="1014" spans="1:4">
      <c r="A1014" s="202" t="s">
        <v>669</v>
      </c>
      <c r="B1014" s="201">
        <v>76111</v>
      </c>
      <c r="C1014" s="200">
        <v>76</v>
      </c>
      <c r="D1014" s="203" t="s">
        <v>1159</v>
      </c>
    </row>
    <row r="1015" spans="1:4">
      <c r="A1015" s="202" t="s">
        <v>656</v>
      </c>
      <c r="B1015" s="201">
        <v>76113</v>
      </c>
      <c r="C1015" s="200">
        <v>76</v>
      </c>
      <c r="D1015" s="203" t="s">
        <v>1159</v>
      </c>
    </row>
    <row r="1016" spans="1:4">
      <c r="A1016" s="202" t="s">
        <v>657</v>
      </c>
      <c r="B1016" s="201">
        <v>76122</v>
      </c>
      <c r="C1016" s="200">
        <v>76</v>
      </c>
      <c r="D1016" s="203" t="s">
        <v>1159</v>
      </c>
    </row>
    <row r="1017" spans="1:4">
      <c r="A1017" s="202" t="s">
        <v>658</v>
      </c>
      <c r="B1017" s="201">
        <v>76126</v>
      </c>
      <c r="C1017" s="200">
        <v>76</v>
      </c>
      <c r="D1017" s="203" t="s">
        <v>1159</v>
      </c>
    </row>
    <row r="1018" spans="1:4">
      <c r="A1018" s="202" t="s">
        <v>659</v>
      </c>
      <c r="B1018" s="201">
        <v>76130</v>
      </c>
      <c r="C1018" s="200">
        <v>76</v>
      </c>
      <c r="D1018" s="203" t="s">
        <v>1159</v>
      </c>
    </row>
    <row r="1019" spans="1:4">
      <c r="A1019" s="202" t="s">
        <v>660</v>
      </c>
      <c r="B1019" s="201">
        <v>76147</v>
      </c>
      <c r="C1019" s="200">
        <v>76</v>
      </c>
      <c r="D1019" s="203" t="s">
        <v>1159</v>
      </c>
    </row>
    <row r="1020" spans="1:4">
      <c r="A1020" s="202" t="s">
        <v>661</v>
      </c>
      <c r="B1020" s="201">
        <v>76233</v>
      </c>
      <c r="C1020" s="200">
        <v>76</v>
      </c>
      <c r="D1020" s="203" t="s">
        <v>1159</v>
      </c>
    </row>
    <row r="1021" spans="1:4">
      <c r="A1021" s="202" t="s">
        <v>662</v>
      </c>
      <c r="B1021" s="201">
        <v>76243</v>
      </c>
      <c r="C1021" s="200">
        <v>76</v>
      </c>
      <c r="D1021" s="203" t="s">
        <v>1159</v>
      </c>
    </row>
    <row r="1022" spans="1:4">
      <c r="A1022" s="202" t="s">
        <v>663</v>
      </c>
      <c r="B1022" s="201">
        <v>76246</v>
      </c>
      <c r="C1022" s="200">
        <v>76</v>
      </c>
      <c r="D1022" s="203" t="s">
        <v>1159</v>
      </c>
    </row>
    <row r="1023" spans="1:4">
      <c r="A1023" s="202" t="s">
        <v>664</v>
      </c>
      <c r="B1023" s="201">
        <v>76248</v>
      </c>
      <c r="C1023" s="200">
        <v>76</v>
      </c>
      <c r="D1023" s="203" t="s">
        <v>1159</v>
      </c>
    </row>
    <row r="1024" spans="1:4">
      <c r="A1024" s="202" t="s">
        <v>665</v>
      </c>
      <c r="B1024" s="201">
        <v>76250</v>
      </c>
      <c r="C1024" s="200">
        <v>76</v>
      </c>
      <c r="D1024" s="203" t="s">
        <v>1159</v>
      </c>
    </row>
    <row r="1025" spans="1:4">
      <c r="A1025" s="202" t="s">
        <v>666</v>
      </c>
      <c r="B1025" s="201">
        <v>76275</v>
      </c>
      <c r="C1025" s="200">
        <v>76</v>
      </c>
      <c r="D1025" s="203" t="s">
        <v>1159</v>
      </c>
    </row>
    <row r="1026" spans="1:4">
      <c r="A1026" s="202" t="s">
        <v>667</v>
      </c>
      <c r="B1026" s="201">
        <v>76306</v>
      </c>
      <c r="C1026" s="200">
        <v>76</v>
      </c>
      <c r="D1026" s="203" t="s">
        <v>1159</v>
      </c>
    </row>
    <row r="1027" spans="1:4">
      <c r="A1027" s="202" t="s">
        <v>668</v>
      </c>
      <c r="B1027" s="201">
        <v>76318</v>
      </c>
      <c r="C1027" s="200">
        <v>76</v>
      </c>
      <c r="D1027" s="203" t="s">
        <v>1159</v>
      </c>
    </row>
    <row r="1028" spans="1:4">
      <c r="A1028" s="202" t="s">
        <v>670</v>
      </c>
      <c r="B1028" s="201">
        <v>76364</v>
      </c>
      <c r="C1028" s="200">
        <v>76</v>
      </c>
      <c r="D1028" s="203" t="s">
        <v>1159</v>
      </c>
    </row>
    <row r="1029" spans="1:4">
      <c r="A1029" s="202" t="s">
        <v>671</v>
      </c>
      <c r="B1029" s="201">
        <v>76377</v>
      </c>
      <c r="C1029" s="200">
        <v>76</v>
      </c>
      <c r="D1029" s="203" t="s">
        <v>1159</v>
      </c>
    </row>
    <row r="1030" spans="1:4">
      <c r="A1030" s="202" t="s">
        <v>672</v>
      </c>
      <c r="B1030" s="201">
        <v>76400</v>
      </c>
      <c r="C1030" s="200">
        <v>76</v>
      </c>
      <c r="D1030" s="203" t="s">
        <v>1159</v>
      </c>
    </row>
    <row r="1031" spans="1:4">
      <c r="A1031" s="202" t="s">
        <v>673</v>
      </c>
      <c r="B1031" s="201">
        <v>76403</v>
      </c>
      <c r="C1031" s="200">
        <v>76</v>
      </c>
      <c r="D1031" s="203" t="s">
        <v>1159</v>
      </c>
    </row>
    <row r="1032" spans="1:4">
      <c r="A1032" s="202" t="s">
        <v>674</v>
      </c>
      <c r="B1032" s="201">
        <v>76497</v>
      </c>
      <c r="C1032" s="200">
        <v>76</v>
      </c>
      <c r="D1032" s="203" t="s">
        <v>1159</v>
      </c>
    </row>
    <row r="1033" spans="1:4">
      <c r="A1033" s="202" t="s">
        <v>675</v>
      </c>
      <c r="B1033" s="201">
        <v>76520</v>
      </c>
      <c r="C1033" s="200">
        <v>76</v>
      </c>
      <c r="D1033" s="203" t="s">
        <v>1159</v>
      </c>
    </row>
    <row r="1034" spans="1:4">
      <c r="A1034" s="202" t="s">
        <v>676</v>
      </c>
      <c r="B1034" s="201">
        <v>76563</v>
      </c>
      <c r="C1034" s="200">
        <v>76</v>
      </c>
      <c r="D1034" s="203" t="s">
        <v>1159</v>
      </c>
    </row>
    <row r="1035" spans="1:4">
      <c r="A1035" s="202" t="s">
        <v>677</v>
      </c>
      <c r="B1035" s="201">
        <v>76606</v>
      </c>
      <c r="C1035" s="200">
        <v>76</v>
      </c>
      <c r="D1035" s="203" t="s">
        <v>1159</v>
      </c>
    </row>
    <row r="1036" spans="1:4">
      <c r="A1036" s="202" t="s">
        <v>678</v>
      </c>
      <c r="B1036" s="201">
        <v>76616</v>
      </c>
      <c r="C1036" s="200">
        <v>76</v>
      </c>
      <c r="D1036" s="203" t="s">
        <v>1159</v>
      </c>
    </row>
    <row r="1037" spans="1:4">
      <c r="A1037" s="202" t="s">
        <v>679</v>
      </c>
      <c r="B1037" s="201">
        <v>76622</v>
      </c>
      <c r="C1037" s="200">
        <v>76</v>
      </c>
      <c r="D1037" s="203" t="s">
        <v>1159</v>
      </c>
    </row>
    <row r="1038" spans="1:4">
      <c r="A1038" s="204" t="s">
        <v>680</v>
      </c>
      <c r="B1038" s="201">
        <v>76670</v>
      </c>
      <c r="C1038" s="200">
        <v>76</v>
      </c>
      <c r="D1038" s="203" t="s">
        <v>1159</v>
      </c>
    </row>
    <row r="1039" spans="1:4">
      <c r="A1039" s="202" t="s">
        <v>681</v>
      </c>
      <c r="B1039" s="201">
        <v>76736</v>
      </c>
      <c r="C1039" s="200">
        <v>76</v>
      </c>
      <c r="D1039" s="203" t="s">
        <v>1159</v>
      </c>
    </row>
    <row r="1040" spans="1:4">
      <c r="A1040" s="202" t="s">
        <v>682</v>
      </c>
      <c r="B1040" s="201">
        <v>76823</v>
      </c>
      <c r="C1040" s="200">
        <v>76</v>
      </c>
      <c r="D1040" s="203" t="s">
        <v>1159</v>
      </c>
    </row>
    <row r="1041" spans="1:4">
      <c r="A1041" s="202" t="s">
        <v>683</v>
      </c>
      <c r="B1041" s="201">
        <v>76828</v>
      </c>
      <c r="C1041" s="200">
        <v>76</v>
      </c>
      <c r="D1041" s="203" t="s">
        <v>1159</v>
      </c>
    </row>
    <row r="1042" spans="1:4">
      <c r="A1042" s="202" t="s">
        <v>684</v>
      </c>
      <c r="B1042" s="201">
        <v>76834</v>
      </c>
      <c r="C1042" s="200">
        <v>76</v>
      </c>
      <c r="D1042" s="203" t="s">
        <v>1159</v>
      </c>
    </row>
    <row r="1043" spans="1:4">
      <c r="A1043" s="202" t="s">
        <v>685</v>
      </c>
      <c r="B1043" s="201">
        <v>76845</v>
      </c>
      <c r="C1043" s="200">
        <v>76</v>
      </c>
      <c r="D1043" s="203" t="s">
        <v>1159</v>
      </c>
    </row>
    <row r="1044" spans="1:4">
      <c r="A1044" s="202" t="s">
        <v>686</v>
      </c>
      <c r="B1044" s="201">
        <v>76863</v>
      </c>
      <c r="C1044" s="200">
        <v>76</v>
      </c>
      <c r="D1044" s="203" t="s">
        <v>1159</v>
      </c>
    </row>
    <row r="1045" spans="1:4">
      <c r="A1045" s="202" t="s">
        <v>687</v>
      </c>
      <c r="B1045" s="201">
        <v>76869</v>
      </c>
      <c r="C1045" s="200">
        <v>76</v>
      </c>
      <c r="D1045" s="203" t="s">
        <v>1159</v>
      </c>
    </row>
    <row r="1046" spans="1:4">
      <c r="A1046" s="202" t="s">
        <v>688</v>
      </c>
      <c r="B1046" s="201">
        <v>76890</v>
      </c>
      <c r="C1046" s="200">
        <v>76</v>
      </c>
      <c r="D1046" s="203" t="s">
        <v>1159</v>
      </c>
    </row>
    <row r="1047" spans="1:4">
      <c r="A1047" s="202" t="s">
        <v>689</v>
      </c>
      <c r="B1047" s="201">
        <v>76892</v>
      </c>
      <c r="C1047" s="200">
        <v>76</v>
      </c>
      <c r="D1047" s="203" t="s">
        <v>1159</v>
      </c>
    </row>
    <row r="1048" spans="1:4">
      <c r="A1048" s="202" t="s">
        <v>690</v>
      </c>
      <c r="B1048" s="201">
        <v>76895</v>
      </c>
      <c r="C1048" s="200">
        <v>76</v>
      </c>
      <c r="D1048" s="203" t="s">
        <v>1159</v>
      </c>
    </row>
    <row r="1049" spans="1:4">
      <c r="A1049" s="202" t="s">
        <v>692</v>
      </c>
      <c r="B1049" s="201">
        <v>81001</v>
      </c>
      <c r="C1049" s="200">
        <v>81</v>
      </c>
      <c r="D1049" s="203" t="s">
        <v>1160</v>
      </c>
    </row>
    <row r="1050" spans="1:4">
      <c r="A1050" s="202" t="s">
        <v>693</v>
      </c>
      <c r="B1050" s="201">
        <v>81065</v>
      </c>
      <c r="C1050" s="200">
        <v>81</v>
      </c>
      <c r="D1050" s="203" t="s">
        <v>1160</v>
      </c>
    </row>
    <row r="1051" spans="1:4">
      <c r="A1051" s="202" t="s">
        <v>1161</v>
      </c>
      <c r="B1051" s="201">
        <v>81220</v>
      </c>
      <c r="C1051" s="200">
        <v>81</v>
      </c>
      <c r="D1051" s="203" t="s">
        <v>1160</v>
      </c>
    </row>
    <row r="1052" spans="1:4">
      <c r="A1052" s="202" t="s">
        <v>694</v>
      </c>
      <c r="B1052" s="201">
        <v>81300</v>
      </c>
      <c r="C1052" s="200">
        <v>81</v>
      </c>
      <c r="D1052" s="203" t="s">
        <v>1160</v>
      </c>
    </row>
    <row r="1053" spans="1:4">
      <c r="A1053" s="202" t="s">
        <v>1162</v>
      </c>
      <c r="B1053" s="201">
        <v>81591</v>
      </c>
      <c r="C1053" s="200">
        <v>81</v>
      </c>
      <c r="D1053" s="203" t="s">
        <v>1160</v>
      </c>
    </row>
    <row r="1054" spans="1:4">
      <c r="A1054" s="202" t="s">
        <v>695</v>
      </c>
      <c r="B1054" s="201">
        <v>81736</v>
      </c>
      <c r="C1054" s="200">
        <v>81</v>
      </c>
      <c r="D1054" s="203" t="s">
        <v>1160</v>
      </c>
    </row>
    <row r="1055" spans="1:4">
      <c r="A1055" s="202" t="s">
        <v>696</v>
      </c>
      <c r="B1055" s="201">
        <v>81794</v>
      </c>
      <c r="C1055" s="200">
        <v>81</v>
      </c>
      <c r="D1055" s="203" t="s">
        <v>1160</v>
      </c>
    </row>
    <row r="1056" spans="1:4">
      <c r="A1056" s="202" t="s">
        <v>698</v>
      </c>
      <c r="B1056" s="201">
        <v>85001</v>
      </c>
      <c r="C1056" s="200">
        <v>85</v>
      </c>
      <c r="D1056" s="203" t="s">
        <v>1163</v>
      </c>
    </row>
    <row r="1057" spans="1:4">
      <c r="A1057" s="202" t="s">
        <v>699</v>
      </c>
      <c r="B1057" s="201">
        <v>85010</v>
      </c>
      <c r="C1057" s="200">
        <v>85</v>
      </c>
      <c r="D1057" s="203" t="s">
        <v>1163</v>
      </c>
    </row>
    <row r="1058" spans="1:4">
      <c r="A1058" s="202" t="s">
        <v>700</v>
      </c>
      <c r="B1058" s="201">
        <v>85015</v>
      </c>
      <c r="C1058" s="200">
        <v>85</v>
      </c>
      <c r="D1058" s="203" t="s">
        <v>1163</v>
      </c>
    </row>
    <row r="1059" spans="1:4">
      <c r="A1059" s="202" t="s">
        <v>1164</v>
      </c>
      <c r="B1059" s="201">
        <v>85125</v>
      </c>
      <c r="C1059" s="200">
        <v>85</v>
      </c>
      <c r="D1059" s="203" t="s">
        <v>1163</v>
      </c>
    </row>
    <row r="1060" spans="1:4">
      <c r="A1060" s="202" t="s">
        <v>1165</v>
      </c>
      <c r="B1060" s="201">
        <v>85136</v>
      </c>
      <c r="C1060" s="200">
        <v>85</v>
      </c>
      <c r="D1060" s="203" t="s">
        <v>1163</v>
      </c>
    </row>
    <row r="1061" spans="1:4">
      <c r="A1061" s="202" t="s">
        <v>701</v>
      </c>
      <c r="B1061" s="201">
        <v>85139</v>
      </c>
      <c r="C1061" s="200">
        <v>85</v>
      </c>
      <c r="D1061" s="203" t="s">
        <v>1163</v>
      </c>
    </row>
    <row r="1062" spans="1:4">
      <c r="A1062" s="202" t="s">
        <v>702</v>
      </c>
      <c r="B1062" s="201">
        <v>85162</v>
      </c>
      <c r="C1062" s="200">
        <v>85</v>
      </c>
      <c r="D1062" s="203" t="s">
        <v>1163</v>
      </c>
    </row>
    <row r="1063" spans="1:4">
      <c r="A1063" s="202" t="s">
        <v>1166</v>
      </c>
      <c r="B1063" s="201">
        <v>85225</v>
      </c>
      <c r="C1063" s="200">
        <v>85</v>
      </c>
      <c r="D1063" s="203" t="s">
        <v>1163</v>
      </c>
    </row>
    <row r="1064" spans="1:4">
      <c r="A1064" s="202" t="s">
        <v>1167</v>
      </c>
      <c r="B1064" s="201">
        <v>85230</v>
      </c>
      <c r="C1064" s="200">
        <v>85</v>
      </c>
      <c r="D1064" s="203" t="s">
        <v>1163</v>
      </c>
    </row>
    <row r="1065" spans="1:4">
      <c r="A1065" s="202" t="s">
        <v>703</v>
      </c>
      <c r="B1065" s="201">
        <v>85250</v>
      </c>
      <c r="C1065" s="200">
        <v>85</v>
      </c>
      <c r="D1065" s="203" t="s">
        <v>1163</v>
      </c>
    </row>
    <row r="1066" spans="1:4">
      <c r="A1066" s="202" t="s">
        <v>704</v>
      </c>
      <c r="B1066" s="201">
        <v>85263</v>
      </c>
      <c r="C1066" s="200">
        <v>85</v>
      </c>
      <c r="D1066" s="203" t="s">
        <v>1163</v>
      </c>
    </row>
    <row r="1067" spans="1:4">
      <c r="A1067" s="202" t="s">
        <v>1168</v>
      </c>
      <c r="B1067" s="201">
        <v>85279</v>
      </c>
      <c r="C1067" s="200">
        <v>85</v>
      </c>
      <c r="D1067" s="203" t="s">
        <v>1163</v>
      </c>
    </row>
    <row r="1068" spans="1:4">
      <c r="A1068" s="202" t="s">
        <v>778</v>
      </c>
      <c r="B1068" s="201">
        <v>85300</v>
      </c>
      <c r="C1068" s="200">
        <v>85</v>
      </c>
      <c r="D1068" s="203" t="s">
        <v>1163</v>
      </c>
    </row>
    <row r="1069" spans="1:4">
      <c r="A1069" s="202" t="s">
        <v>1169</v>
      </c>
      <c r="B1069" s="201">
        <v>85315</v>
      </c>
      <c r="C1069" s="200">
        <v>85</v>
      </c>
      <c r="D1069" s="203" t="s">
        <v>1163</v>
      </c>
    </row>
    <row r="1070" spans="1:4">
      <c r="A1070" s="202" t="s">
        <v>1170</v>
      </c>
      <c r="B1070" s="201">
        <v>85325</v>
      </c>
      <c r="C1070" s="200">
        <v>85</v>
      </c>
      <c r="D1070" s="203" t="s">
        <v>1163</v>
      </c>
    </row>
    <row r="1071" spans="1:4">
      <c r="A1071" s="202" t="s">
        <v>1171</v>
      </c>
      <c r="B1071" s="201">
        <v>85400</v>
      </c>
      <c r="C1071" s="200">
        <v>85</v>
      </c>
      <c r="D1071" s="203" t="s">
        <v>1163</v>
      </c>
    </row>
    <row r="1072" spans="1:4">
      <c r="A1072" s="202" t="s">
        <v>705</v>
      </c>
      <c r="B1072" s="201">
        <v>85410</v>
      </c>
      <c r="C1072" s="200">
        <v>85</v>
      </c>
      <c r="D1072" s="203" t="s">
        <v>1163</v>
      </c>
    </row>
    <row r="1073" spans="1:4">
      <c r="A1073" s="202" t="s">
        <v>706</v>
      </c>
      <c r="B1073" s="201">
        <v>85430</v>
      </c>
      <c r="C1073" s="200">
        <v>85</v>
      </c>
      <c r="D1073" s="203" t="s">
        <v>1163</v>
      </c>
    </row>
    <row r="1074" spans="1:4">
      <c r="A1074" s="202" t="s">
        <v>707</v>
      </c>
      <c r="B1074" s="201">
        <v>85440</v>
      </c>
      <c r="C1074" s="200">
        <v>85</v>
      </c>
      <c r="D1074" s="203" t="s">
        <v>1163</v>
      </c>
    </row>
    <row r="1075" spans="1:4">
      <c r="A1075" s="202" t="s">
        <v>709</v>
      </c>
      <c r="B1075" s="201">
        <v>86001</v>
      </c>
      <c r="C1075" s="200">
        <v>86</v>
      </c>
      <c r="D1075" s="203" t="s">
        <v>1172</v>
      </c>
    </row>
    <row r="1076" spans="1:4">
      <c r="A1076" s="202" t="s">
        <v>710</v>
      </c>
      <c r="B1076" s="201">
        <v>86219</v>
      </c>
      <c r="C1076" s="200">
        <v>86</v>
      </c>
      <c r="D1076" s="203" t="s">
        <v>1172</v>
      </c>
    </row>
    <row r="1077" spans="1:4">
      <c r="A1077" s="202" t="s">
        <v>712</v>
      </c>
      <c r="B1077" s="201">
        <v>86320</v>
      </c>
      <c r="C1077" s="200">
        <v>86</v>
      </c>
      <c r="D1077" s="203" t="s">
        <v>1172</v>
      </c>
    </row>
    <row r="1078" spans="1:4">
      <c r="A1078" s="202" t="s">
        <v>713</v>
      </c>
      <c r="B1078" s="201">
        <v>86568</v>
      </c>
      <c r="C1078" s="200">
        <v>86</v>
      </c>
      <c r="D1078" s="203" t="s">
        <v>1172</v>
      </c>
    </row>
    <row r="1079" spans="1:4">
      <c r="A1079" s="202" t="s">
        <v>714</v>
      </c>
      <c r="B1079" s="201">
        <v>86569</v>
      </c>
      <c r="C1079" s="200">
        <v>86</v>
      </c>
      <c r="D1079" s="203" t="s">
        <v>1172</v>
      </c>
    </row>
    <row r="1080" spans="1:4">
      <c r="A1080" s="202" t="s">
        <v>715</v>
      </c>
      <c r="B1080" s="201">
        <v>86571</v>
      </c>
      <c r="C1080" s="200">
        <v>86</v>
      </c>
      <c r="D1080" s="203" t="s">
        <v>1172</v>
      </c>
    </row>
    <row r="1081" spans="1:4">
      <c r="A1081" s="202" t="s">
        <v>711</v>
      </c>
      <c r="B1081" s="201">
        <v>86573</v>
      </c>
      <c r="C1081" s="200">
        <v>86</v>
      </c>
      <c r="D1081" s="203" t="s">
        <v>1172</v>
      </c>
    </row>
    <row r="1082" spans="1:4">
      <c r="A1082" s="202" t="s">
        <v>717</v>
      </c>
      <c r="B1082" s="201">
        <v>86749</v>
      </c>
      <c r="C1082" s="200">
        <v>86</v>
      </c>
      <c r="D1082" s="203" t="s">
        <v>1172</v>
      </c>
    </row>
    <row r="1083" spans="1:4">
      <c r="A1083" s="202" t="s">
        <v>780</v>
      </c>
      <c r="B1083" s="201">
        <v>86755</v>
      </c>
      <c r="C1083" s="200">
        <v>86</v>
      </c>
      <c r="D1083" s="203" t="s">
        <v>1172</v>
      </c>
    </row>
    <row r="1084" spans="1:4">
      <c r="A1084" s="202" t="s">
        <v>716</v>
      </c>
      <c r="B1084" s="201">
        <v>86757</v>
      </c>
      <c r="C1084" s="200">
        <v>86</v>
      </c>
      <c r="D1084" s="203" t="s">
        <v>1172</v>
      </c>
    </row>
    <row r="1085" spans="1:4">
      <c r="A1085" s="202" t="s">
        <v>1173</v>
      </c>
      <c r="B1085" s="201">
        <v>86760</v>
      </c>
      <c r="C1085" s="200">
        <v>86</v>
      </c>
      <c r="D1085" s="203" t="s">
        <v>1172</v>
      </c>
    </row>
    <row r="1086" spans="1:4">
      <c r="A1086" s="202" t="s">
        <v>718</v>
      </c>
      <c r="B1086" s="201">
        <v>86865</v>
      </c>
      <c r="C1086" s="200">
        <v>86</v>
      </c>
      <c r="D1086" s="203" t="s">
        <v>1172</v>
      </c>
    </row>
    <row r="1087" spans="1:4">
      <c r="A1087" s="202" t="s">
        <v>719</v>
      </c>
      <c r="B1087" s="201">
        <v>86885</v>
      </c>
      <c r="C1087" s="200">
        <v>86</v>
      </c>
      <c r="D1087" s="203" t="s">
        <v>1172</v>
      </c>
    </row>
    <row r="1088" spans="1:4">
      <c r="A1088" s="202" t="s">
        <v>722</v>
      </c>
      <c r="B1088" s="201">
        <v>88001</v>
      </c>
      <c r="C1088" s="200">
        <v>88</v>
      </c>
      <c r="D1088" s="203" t="s">
        <v>1126</v>
      </c>
    </row>
    <row r="1089" spans="1:4">
      <c r="A1089" s="202" t="s">
        <v>721</v>
      </c>
      <c r="B1089" s="201">
        <v>88564</v>
      </c>
      <c r="C1089" s="200">
        <v>88</v>
      </c>
      <c r="D1089" s="203" t="s">
        <v>1126</v>
      </c>
    </row>
    <row r="1090" spans="1:4">
      <c r="A1090" s="202" t="s">
        <v>724</v>
      </c>
      <c r="B1090" s="201">
        <v>91001</v>
      </c>
      <c r="C1090" s="200">
        <v>91</v>
      </c>
      <c r="D1090" s="203" t="s">
        <v>1174</v>
      </c>
    </row>
    <row r="1091" spans="1:4">
      <c r="A1091" s="202" t="s">
        <v>726</v>
      </c>
      <c r="B1091" s="201">
        <v>91263</v>
      </c>
      <c r="C1091" s="200">
        <v>91</v>
      </c>
      <c r="D1091" s="203" t="s">
        <v>1174</v>
      </c>
    </row>
    <row r="1092" spans="1:4">
      <c r="A1092" s="202" t="s">
        <v>725</v>
      </c>
      <c r="B1092" s="201">
        <v>91405</v>
      </c>
      <c r="C1092" s="200">
        <v>91</v>
      </c>
      <c r="D1092" s="203" t="s">
        <v>1174</v>
      </c>
    </row>
    <row r="1093" spans="1:4">
      <c r="A1093" s="202" t="s">
        <v>727</v>
      </c>
      <c r="B1093" s="201">
        <v>91407</v>
      </c>
      <c r="C1093" s="200">
        <v>91</v>
      </c>
      <c r="D1093" s="203" t="s">
        <v>1174</v>
      </c>
    </row>
    <row r="1094" spans="1:4">
      <c r="A1094" s="202" t="s">
        <v>1175</v>
      </c>
      <c r="B1094" s="201">
        <v>91430</v>
      </c>
      <c r="C1094" s="200">
        <v>91</v>
      </c>
      <c r="D1094" s="203" t="s">
        <v>1174</v>
      </c>
    </row>
    <row r="1095" spans="1:4">
      <c r="A1095" s="202" t="s">
        <v>1176</v>
      </c>
      <c r="B1095" s="201">
        <v>91460</v>
      </c>
      <c r="C1095" s="200">
        <v>91</v>
      </c>
      <c r="D1095" s="203" t="s">
        <v>1174</v>
      </c>
    </row>
    <row r="1096" spans="1:4">
      <c r="A1096" s="202" t="s">
        <v>728</v>
      </c>
      <c r="B1096" s="201">
        <v>91530</v>
      </c>
      <c r="C1096" s="200">
        <v>91</v>
      </c>
      <c r="D1096" s="203" t="s">
        <v>1174</v>
      </c>
    </row>
    <row r="1097" spans="1:4">
      <c r="A1097" s="202" t="s">
        <v>1177</v>
      </c>
      <c r="B1097" s="201">
        <v>91536</v>
      </c>
      <c r="C1097" s="200">
        <v>91</v>
      </c>
      <c r="D1097" s="203" t="s">
        <v>1174</v>
      </c>
    </row>
    <row r="1098" spans="1:4">
      <c r="A1098" s="202" t="s">
        <v>729</v>
      </c>
      <c r="B1098" s="201">
        <v>91540</v>
      </c>
      <c r="C1098" s="200">
        <v>91</v>
      </c>
      <c r="D1098" s="203" t="s">
        <v>1174</v>
      </c>
    </row>
    <row r="1099" spans="1:4">
      <c r="A1099" s="202" t="s">
        <v>730</v>
      </c>
      <c r="B1099" s="201">
        <v>91669</v>
      </c>
      <c r="C1099" s="200">
        <v>91</v>
      </c>
      <c r="D1099" s="203" t="s">
        <v>1174</v>
      </c>
    </row>
    <row r="1100" spans="1:4">
      <c r="A1100" s="202" t="s">
        <v>731</v>
      </c>
      <c r="B1100" s="201">
        <v>91798</v>
      </c>
      <c r="C1100" s="200">
        <v>91</v>
      </c>
      <c r="D1100" s="203" t="s">
        <v>1174</v>
      </c>
    </row>
    <row r="1101" spans="1:4">
      <c r="A1101" s="202" t="s">
        <v>733</v>
      </c>
      <c r="B1101" s="201">
        <v>94001</v>
      </c>
      <c r="C1101" s="200">
        <v>94</v>
      </c>
      <c r="D1101" s="203" t="s">
        <v>1178</v>
      </c>
    </row>
    <row r="1102" spans="1:4">
      <c r="A1102" s="202" t="s">
        <v>734</v>
      </c>
      <c r="B1102" s="201">
        <v>94343</v>
      </c>
      <c r="C1102" s="200">
        <v>94</v>
      </c>
      <c r="D1102" s="203" t="s">
        <v>1178</v>
      </c>
    </row>
    <row r="1103" spans="1:4">
      <c r="A1103" s="202" t="s">
        <v>1179</v>
      </c>
      <c r="B1103" s="201">
        <v>94663</v>
      </c>
      <c r="C1103" s="200">
        <v>94</v>
      </c>
      <c r="D1103" s="203" t="s">
        <v>1178</v>
      </c>
    </row>
    <row r="1104" spans="1:4">
      <c r="A1104" s="202" t="s">
        <v>1180</v>
      </c>
      <c r="B1104" s="201">
        <v>94883</v>
      </c>
      <c r="C1104" s="200">
        <v>94</v>
      </c>
      <c r="D1104" s="203" t="s">
        <v>1178</v>
      </c>
    </row>
    <row r="1105" spans="1:4">
      <c r="A1105" s="202" t="s">
        <v>1181</v>
      </c>
      <c r="B1105" s="201">
        <v>94884</v>
      </c>
      <c r="C1105" s="200">
        <v>94</v>
      </c>
      <c r="D1105" s="203" t="s">
        <v>1178</v>
      </c>
    </row>
    <row r="1106" spans="1:4">
      <c r="A1106" s="202" t="s">
        <v>1182</v>
      </c>
      <c r="B1106" s="201">
        <v>94885</v>
      </c>
      <c r="C1106" s="200">
        <v>94</v>
      </c>
      <c r="D1106" s="203" t="s">
        <v>1178</v>
      </c>
    </row>
    <row r="1107" spans="1:4">
      <c r="A1107" s="202" t="s">
        <v>1183</v>
      </c>
      <c r="B1107" s="201">
        <v>94886</v>
      </c>
      <c r="C1107" s="200">
        <v>94</v>
      </c>
      <c r="D1107" s="203" t="s">
        <v>1178</v>
      </c>
    </row>
    <row r="1108" spans="1:4">
      <c r="A1108" s="202" t="s">
        <v>1184</v>
      </c>
      <c r="B1108" s="201">
        <v>94887</v>
      </c>
      <c r="C1108" s="200">
        <v>94</v>
      </c>
      <c r="D1108" s="203" t="s">
        <v>1178</v>
      </c>
    </row>
    <row r="1109" spans="1:4">
      <c r="A1109" s="202" t="s">
        <v>1185</v>
      </c>
      <c r="B1109" s="201">
        <v>94888</v>
      </c>
      <c r="C1109" s="200">
        <v>94</v>
      </c>
      <c r="D1109" s="203" t="s">
        <v>1178</v>
      </c>
    </row>
    <row r="1110" spans="1:4">
      <c r="A1110" s="202" t="s">
        <v>736</v>
      </c>
      <c r="B1110" s="201">
        <v>95001</v>
      </c>
      <c r="C1110" s="200">
        <v>95</v>
      </c>
      <c r="D1110" s="203" t="s">
        <v>1186</v>
      </c>
    </row>
    <row r="1111" spans="1:4">
      <c r="A1111" s="202" t="s">
        <v>737</v>
      </c>
      <c r="B1111" s="201">
        <v>95015</v>
      </c>
      <c r="C1111" s="200">
        <v>95</v>
      </c>
      <c r="D1111" s="203" t="s">
        <v>1186</v>
      </c>
    </row>
    <row r="1112" spans="1:4">
      <c r="A1112" s="202" t="s">
        <v>738</v>
      </c>
      <c r="B1112" s="201">
        <v>95025</v>
      </c>
      <c r="C1112" s="200">
        <v>95</v>
      </c>
      <c r="D1112" s="203" t="s">
        <v>1186</v>
      </c>
    </row>
    <row r="1113" spans="1:4">
      <c r="A1113" s="202" t="s">
        <v>739</v>
      </c>
      <c r="B1113" s="201">
        <v>95200</v>
      </c>
      <c r="C1113" s="200">
        <v>95</v>
      </c>
      <c r="D1113" s="203" t="s">
        <v>1186</v>
      </c>
    </row>
    <row r="1114" spans="1:4">
      <c r="A1114" s="202" t="s">
        <v>740</v>
      </c>
      <c r="B1114" s="201">
        <v>97001</v>
      </c>
      <c r="C1114" s="200">
        <v>97</v>
      </c>
      <c r="D1114" s="203" t="s">
        <v>1187</v>
      </c>
    </row>
    <row r="1115" spans="1:4">
      <c r="A1115" s="202" t="s">
        <v>1188</v>
      </c>
      <c r="B1115" s="201">
        <v>97161</v>
      </c>
      <c r="C1115" s="200">
        <v>97</v>
      </c>
      <c r="D1115" s="203" t="s">
        <v>1187</v>
      </c>
    </row>
    <row r="1116" spans="1:4">
      <c r="A1116" s="202" t="s">
        <v>1189</v>
      </c>
      <c r="B1116" s="201">
        <v>97511</v>
      </c>
      <c r="C1116" s="200">
        <v>97</v>
      </c>
      <c r="D1116" s="203" t="s">
        <v>1187</v>
      </c>
    </row>
    <row r="1117" spans="1:4">
      <c r="A1117" s="202" t="s">
        <v>1190</v>
      </c>
      <c r="B1117" s="201">
        <v>97666</v>
      </c>
      <c r="C1117" s="200">
        <v>97</v>
      </c>
      <c r="D1117" s="203" t="s">
        <v>1187</v>
      </c>
    </row>
    <row r="1118" spans="1:4">
      <c r="A1118" s="202" t="s">
        <v>1191</v>
      </c>
      <c r="B1118" s="201">
        <v>97777</v>
      </c>
      <c r="C1118" s="200">
        <v>97</v>
      </c>
      <c r="D1118" s="203" t="s">
        <v>1187</v>
      </c>
    </row>
    <row r="1119" spans="1:4">
      <c r="A1119" s="202" t="s">
        <v>1192</v>
      </c>
      <c r="B1119" s="201">
        <v>97889</v>
      </c>
      <c r="C1119" s="200">
        <v>97</v>
      </c>
      <c r="D1119" s="203" t="s">
        <v>1187</v>
      </c>
    </row>
    <row r="1120" spans="1:4">
      <c r="A1120" s="202" t="s">
        <v>742</v>
      </c>
      <c r="B1120" s="201">
        <v>99001</v>
      </c>
      <c r="C1120" s="200">
        <v>99</v>
      </c>
      <c r="D1120" s="203" t="s">
        <v>1193</v>
      </c>
    </row>
    <row r="1121" spans="1:4">
      <c r="A1121" s="202" t="s">
        <v>1194</v>
      </c>
      <c r="B1121" s="201">
        <v>99524</v>
      </c>
      <c r="C1121" s="200">
        <v>99</v>
      </c>
      <c r="D1121" s="203" t="s">
        <v>1193</v>
      </c>
    </row>
    <row r="1122" spans="1:4">
      <c r="A1122" s="202" t="s">
        <v>1195</v>
      </c>
      <c r="B1122" s="201">
        <v>99624</v>
      </c>
      <c r="C1122" s="200">
        <v>99</v>
      </c>
      <c r="D1122" s="203" t="s">
        <v>1193</v>
      </c>
    </row>
    <row r="1123" spans="1:4" ht="15.75" thickBot="1">
      <c r="A1123" s="205" t="s">
        <v>743</v>
      </c>
      <c r="B1123" s="206">
        <v>99773</v>
      </c>
      <c r="C1123" s="207">
        <v>99</v>
      </c>
      <c r="D1123" s="208" t="s">
        <v>1193</v>
      </c>
    </row>
    <row r="1124" spans="1:4" ht="15.75" thickBot="1">
      <c r="A1124" s="28"/>
      <c r="B1124" s="28" t="s">
        <v>1197</v>
      </c>
      <c r="C1124" s="27" t="s">
        <v>1196</v>
      </c>
      <c r="D1124" s="28"/>
    </row>
  </sheetData>
  <autoFilter ref="A1:E1124"/>
  <hyperlinks>
    <hyperlink ref="E1" location="'Hoja índice'!A1" display="I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4"/>
  </sheetPr>
  <dimension ref="A1:G57"/>
  <sheetViews>
    <sheetView showGridLines="0" topLeftCell="A37" workbookViewId="0">
      <selection activeCell="D57" sqref="D57"/>
    </sheetView>
  </sheetViews>
  <sheetFormatPr baseColWidth="10" defaultRowHeight="15"/>
  <cols>
    <col min="1" max="7" width="15.42578125" customWidth="1"/>
  </cols>
  <sheetData>
    <row r="1" spans="1:7">
      <c r="A1" s="4" t="s">
        <v>1555</v>
      </c>
    </row>
    <row r="2" spans="1:7">
      <c r="A2" s="332" t="s">
        <v>1306</v>
      </c>
    </row>
    <row r="4" spans="1:7">
      <c r="A4" s="1107" t="s">
        <v>1307</v>
      </c>
      <c r="B4" s="1107"/>
      <c r="C4" s="1107"/>
      <c r="D4" s="1107"/>
      <c r="E4" s="1107"/>
      <c r="F4" s="1107"/>
      <c r="G4" s="1107"/>
    </row>
    <row r="5" spans="1:7">
      <c r="A5" s="417" t="s">
        <v>1308</v>
      </c>
      <c r="B5" s="417" t="s">
        <v>1309</v>
      </c>
      <c r="C5" s="417" t="s">
        <v>1310</v>
      </c>
      <c r="D5" s="417" t="s">
        <v>1311</v>
      </c>
      <c r="E5" s="417" t="s">
        <v>1312</v>
      </c>
      <c r="F5" s="417" t="s">
        <v>1313</v>
      </c>
      <c r="G5" s="417" t="s">
        <v>1314</v>
      </c>
    </row>
    <row r="6" spans="1:7">
      <c r="A6" s="20" t="s">
        <v>1315</v>
      </c>
      <c r="B6" s="20" t="s">
        <v>1316</v>
      </c>
      <c r="C6" s="20" t="s">
        <v>1317</v>
      </c>
      <c r="D6" s="20">
        <v>200</v>
      </c>
      <c r="E6" s="20">
        <v>6</v>
      </c>
      <c r="F6" s="333">
        <v>5750</v>
      </c>
      <c r="G6" s="333">
        <f t="shared" ref="G6:G8" si="0">F6/E6</f>
        <v>958.33333333333337</v>
      </c>
    </row>
    <row r="7" spans="1:7">
      <c r="A7" s="20" t="s">
        <v>1318</v>
      </c>
      <c r="B7" s="20" t="s">
        <v>1319</v>
      </c>
      <c r="C7" s="20" t="s">
        <v>1320</v>
      </c>
      <c r="D7" s="20">
        <v>200</v>
      </c>
      <c r="E7" s="20">
        <v>6</v>
      </c>
      <c r="F7" s="333">
        <v>5700</v>
      </c>
      <c r="G7" s="333">
        <f t="shared" si="0"/>
        <v>950</v>
      </c>
    </row>
    <row r="8" spans="1:7">
      <c r="A8" s="20" t="s">
        <v>1321</v>
      </c>
      <c r="B8" s="20" t="s">
        <v>1319</v>
      </c>
      <c r="C8" s="20" t="s">
        <v>1320</v>
      </c>
      <c r="D8" s="20">
        <v>200</v>
      </c>
      <c r="E8" s="20">
        <v>6</v>
      </c>
      <c r="F8" s="333">
        <v>4500</v>
      </c>
      <c r="G8" s="333">
        <f t="shared" si="0"/>
        <v>750</v>
      </c>
    </row>
    <row r="10" spans="1:7">
      <c r="A10" s="1107" t="s">
        <v>1322</v>
      </c>
      <c r="B10" s="1107"/>
      <c r="C10" s="1107"/>
      <c r="D10" s="1107"/>
      <c r="E10" s="1107"/>
      <c r="F10" s="1107"/>
      <c r="G10" s="1107"/>
    </row>
    <row r="11" spans="1:7">
      <c r="A11" s="417" t="s">
        <v>1308</v>
      </c>
      <c r="B11" s="417" t="s">
        <v>1309</v>
      </c>
      <c r="C11" s="417" t="s">
        <v>1310</v>
      </c>
      <c r="D11" s="417" t="s">
        <v>1323</v>
      </c>
      <c r="E11" s="417" t="s">
        <v>1312</v>
      </c>
      <c r="F11" s="417" t="s">
        <v>1313</v>
      </c>
      <c r="G11" s="417" t="s">
        <v>1314</v>
      </c>
    </row>
    <row r="12" spans="1:7">
      <c r="A12" s="20" t="s">
        <v>1324</v>
      </c>
      <c r="B12" s="20" t="s">
        <v>1325</v>
      </c>
      <c r="C12" s="20" t="s">
        <v>1326</v>
      </c>
      <c r="D12" s="20">
        <v>34.5</v>
      </c>
      <c r="E12" s="20">
        <v>12</v>
      </c>
      <c r="F12" s="333">
        <v>6200</v>
      </c>
      <c r="G12" s="333">
        <f>F12/E12</f>
        <v>516.66666666666663</v>
      </c>
    </row>
    <row r="13" spans="1:7">
      <c r="A13" s="20" t="s">
        <v>1324</v>
      </c>
      <c r="B13" s="20" t="s">
        <v>1325</v>
      </c>
      <c r="C13" s="20" t="s">
        <v>1326</v>
      </c>
      <c r="D13" s="20">
        <v>34.5</v>
      </c>
      <c r="E13" s="20">
        <v>12</v>
      </c>
      <c r="F13" s="333">
        <v>6500</v>
      </c>
      <c r="G13" s="333">
        <f>F13/E13</f>
        <v>541.66666666666663</v>
      </c>
    </row>
    <row r="14" spans="1:7">
      <c r="A14" s="20" t="s">
        <v>1324</v>
      </c>
      <c r="B14" s="20" t="s">
        <v>1327</v>
      </c>
      <c r="C14" s="20" t="s">
        <v>1326</v>
      </c>
      <c r="D14" s="20">
        <v>21</v>
      </c>
      <c r="E14" s="20">
        <v>9</v>
      </c>
      <c r="F14" s="333">
        <v>4550</v>
      </c>
      <c r="G14" s="333">
        <f>F14/E14</f>
        <v>505.55555555555554</v>
      </c>
    </row>
    <row r="16" spans="1:7">
      <c r="A16" s="332" t="s">
        <v>1345</v>
      </c>
    </row>
    <row r="18" spans="1:7">
      <c r="A18" s="1107" t="s">
        <v>1307</v>
      </c>
      <c r="B18" s="1107"/>
      <c r="C18" s="1107"/>
      <c r="D18" s="1107"/>
      <c r="E18" s="1107"/>
      <c r="F18" s="1107"/>
      <c r="G18" s="1107"/>
    </row>
    <row r="19" spans="1:7">
      <c r="A19" s="417" t="s">
        <v>1308</v>
      </c>
      <c r="B19" s="417" t="s">
        <v>1309</v>
      </c>
      <c r="C19" s="417" t="s">
        <v>1310</v>
      </c>
      <c r="D19" s="417" t="s">
        <v>1311</v>
      </c>
      <c r="E19" s="417" t="s">
        <v>1312</v>
      </c>
      <c r="F19" s="417" t="s">
        <v>1313</v>
      </c>
      <c r="G19" s="417" t="s">
        <v>1314</v>
      </c>
    </row>
    <row r="20" spans="1:7">
      <c r="A20" s="20" t="s">
        <v>1315</v>
      </c>
      <c r="B20" s="20" t="s">
        <v>1316</v>
      </c>
      <c r="C20" s="20" t="s">
        <v>1317</v>
      </c>
      <c r="D20" s="20">
        <v>200</v>
      </c>
      <c r="E20" s="20">
        <v>6</v>
      </c>
      <c r="F20" s="333">
        <v>5860</v>
      </c>
      <c r="G20" s="333">
        <f t="shared" ref="G20:G30" si="1">F20/E20</f>
        <v>976.66666666666663</v>
      </c>
    </row>
    <row r="21" spans="1:7">
      <c r="A21" s="20" t="s">
        <v>1321</v>
      </c>
      <c r="B21" s="20" t="s">
        <v>1328</v>
      </c>
      <c r="C21" s="20" t="s">
        <v>1320</v>
      </c>
      <c r="D21" s="20">
        <v>200</v>
      </c>
      <c r="E21" s="20">
        <v>6</v>
      </c>
      <c r="F21" s="333">
        <f>990*6</f>
        <v>5940</v>
      </c>
      <c r="G21" s="333">
        <f t="shared" si="1"/>
        <v>990</v>
      </c>
    </row>
    <row r="22" spans="1:7">
      <c r="A22" s="20" t="s">
        <v>1321</v>
      </c>
      <c r="B22" s="20" t="s">
        <v>1329</v>
      </c>
      <c r="C22" s="20" t="s">
        <v>1320</v>
      </c>
      <c r="D22" s="20">
        <v>200</v>
      </c>
      <c r="E22" s="20">
        <v>6</v>
      </c>
      <c r="F22" s="20">
        <f>950*6</f>
        <v>5700</v>
      </c>
      <c r="G22" s="333">
        <f t="shared" si="1"/>
        <v>950</v>
      </c>
    </row>
    <row r="23" spans="1:7">
      <c r="A23" s="20" t="s">
        <v>1321</v>
      </c>
      <c r="B23" s="20" t="s">
        <v>1330</v>
      </c>
      <c r="C23" s="20" t="s">
        <v>1320</v>
      </c>
      <c r="D23" s="20">
        <v>200</v>
      </c>
      <c r="E23" s="20">
        <v>6</v>
      </c>
      <c r="F23" s="333">
        <v>5150</v>
      </c>
      <c r="G23" s="333">
        <f t="shared" si="1"/>
        <v>858.33333333333337</v>
      </c>
    </row>
    <row r="24" spans="1:7">
      <c r="A24" s="20" t="s">
        <v>1321</v>
      </c>
      <c r="B24" s="20" t="s">
        <v>1331</v>
      </c>
      <c r="C24" s="20" t="s">
        <v>1317</v>
      </c>
      <c r="D24" s="20">
        <v>200</v>
      </c>
      <c r="E24" s="20">
        <v>6</v>
      </c>
      <c r="F24" s="333">
        <v>3340</v>
      </c>
      <c r="G24" s="333">
        <f t="shared" si="1"/>
        <v>556.66666666666663</v>
      </c>
    </row>
    <row r="25" spans="1:7">
      <c r="A25" s="20" t="s">
        <v>1321</v>
      </c>
      <c r="B25" s="20" t="s">
        <v>1332</v>
      </c>
      <c r="C25" s="20" t="s">
        <v>1320</v>
      </c>
      <c r="D25" s="20">
        <v>200</v>
      </c>
      <c r="E25" s="20">
        <v>6</v>
      </c>
      <c r="F25" s="333">
        <v>4790</v>
      </c>
      <c r="G25" s="333">
        <f t="shared" si="1"/>
        <v>798.33333333333337</v>
      </c>
    </row>
    <row r="26" spans="1:7">
      <c r="A26" s="20" t="s">
        <v>1333</v>
      </c>
      <c r="B26" s="20" t="s">
        <v>1316</v>
      </c>
      <c r="C26" s="20" t="s">
        <v>1334</v>
      </c>
      <c r="D26" s="20">
        <v>154</v>
      </c>
      <c r="E26" s="20">
        <v>4</v>
      </c>
      <c r="F26" s="333">
        <v>2600</v>
      </c>
      <c r="G26" s="334">
        <f t="shared" si="1"/>
        <v>650</v>
      </c>
    </row>
    <row r="27" spans="1:7">
      <c r="A27" s="20" t="s">
        <v>1335</v>
      </c>
      <c r="B27" s="20" t="s">
        <v>1316</v>
      </c>
      <c r="C27" s="20" t="s">
        <v>1334</v>
      </c>
      <c r="D27" s="20">
        <v>120</v>
      </c>
      <c r="E27" s="20">
        <v>4</v>
      </c>
      <c r="F27" s="333">
        <v>3000</v>
      </c>
      <c r="G27" s="334">
        <f t="shared" si="1"/>
        <v>750</v>
      </c>
    </row>
    <row r="28" spans="1:7">
      <c r="A28" s="20" t="s">
        <v>1336</v>
      </c>
      <c r="B28" s="20" t="s">
        <v>1328</v>
      </c>
      <c r="C28" s="20" t="s">
        <v>1317</v>
      </c>
      <c r="D28" s="20">
        <v>200</v>
      </c>
      <c r="E28" s="20">
        <v>3</v>
      </c>
      <c r="F28" s="333">
        <v>2870</v>
      </c>
      <c r="G28" s="334">
        <f t="shared" si="1"/>
        <v>956.66666666666663</v>
      </c>
    </row>
    <row r="29" spans="1:7">
      <c r="A29" s="20" t="s">
        <v>1337</v>
      </c>
      <c r="B29" s="20" t="s">
        <v>1338</v>
      </c>
      <c r="C29" s="20" t="s">
        <v>1317</v>
      </c>
      <c r="D29" s="20">
        <v>200</v>
      </c>
      <c r="E29" s="20">
        <v>4</v>
      </c>
      <c r="F29" s="333">
        <v>3850</v>
      </c>
      <c r="G29" s="333">
        <f t="shared" si="1"/>
        <v>962.5</v>
      </c>
    </row>
    <row r="30" spans="1:7">
      <c r="A30" s="20" t="s">
        <v>1337</v>
      </c>
      <c r="B30" s="20" t="s">
        <v>1316</v>
      </c>
      <c r="C30" s="20" t="s">
        <v>1317</v>
      </c>
      <c r="D30" s="20">
        <v>200</v>
      </c>
      <c r="E30" s="20">
        <v>6</v>
      </c>
      <c r="F30" s="333">
        <v>5370</v>
      </c>
      <c r="G30" s="333">
        <f t="shared" si="1"/>
        <v>895</v>
      </c>
    </row>
    <row r="32" spans="1:7">
      <c r="A32" s="1107" t="s">
        <v>1322</v>
      </c>
      <c r="B32" s="1107"/>
      <c r="C32" s="1107"/>
      <c r="D32" s="1107"/>
      <c r="E32" s="1107"/>
      <c r="F32" s="1107"/>
      <c r="G32" s="1107"/>
    </row>
    <row r="33" spans="1:7">
      <c r="A33" s="417" t="s">
        <v>1308</v>
      </c>
      <c r="B33" s="417" t="s">
        <v>1309</v>
      </c>
      <c r="C33" s="417" t="s">
        <v>1310</v>
      </c>
      <c r="D33" s="417" t="s">
        <v>1323</v>
      </c>
      <c r="E33" s="417" t="s">
        <v>1312</v>
      </c>
      <c r="F33" s="417" t="s">
        <v>1313</v>
      </c>
      <c r="G33" s="417" t="s">
        <v>1314</v>
      </c>
    </row>
    <row r="34" spans="1:7">
      <c r="A34" s="20" t="s">
        <v>1324</v>
      </c>
      <c r="B34" s="20" t="s">
        <v>1325</v>
      </c>
      <c r="C34" s="20" t="s">
        <v>1326</v>
      </c>
      <c r="D34" s="20">
        <v>34.5</v>
      </c>
      <c r="E34" s="20">
        <v>12</v>
      </c>
      <c r="F34" s="333">
        <v>8390</v>
      </c>
      <c r="G34" s="333">
        <f t="shared" ref="G34:G41" si="2">F34/E34</f>
        <v>699.16666666666663</v>
      </c>
    </row>
    <row r="35" spans="1:7">
      <c r="A35" s="20" t="s">
        <v>1324</v>
      </c>
      <c r="B35" s="20" t="s">
        <v>1339</v>
      </c>
      <c r="C35" s="20" t="s">
        <v>1340</v>
      </c>
      <c r="D35" s="20">
        <v>25</v>
      </c>
      <c r="E35" s="20">
        <v>18</v>
      </c>
      <c r="F35" s="333">
        <v>2010</v>
      </c>
      <c r="G35" s="333">
        <f t="shared" si="2"/>
        <v>111.66666666666667</v>
      </c>
    </row>
    <row r="36" spans="1:7">
      <c r="A36" s="20" t="s">
        <v>1324</v>
      </c>
      <c r="B36" s="20" t="s">
        <v>1341</v>
      </c>
      <c r="C36" s="20" t="s">
        <v>1326</v>
      </c>
      <c r="D36" s="20">
        <v>25</v>
      </c>
      <c r="E36" s="20">
        <v>21</v>
      </c>
      <c r="F36" s="333">
        <v>2350</v>
      </c>
      <c r="G36" s="333">
        <f t="shared" si="2"/>
        <v>111.9047619047619</v>
      </c>
    </row>
    <row r="37" spans="1:7">
      <c r="A37" s="20" t="s">
        <v>1324</v>
      </c>
      <c r="B37" s="20" t="s">
        <v>1327</v>
      </c>
      <c r="C37" s="20" t="s">
        <v>1326</v>
      </c>
      <c r="D37" s="20">
        <v>21</v>
      </c>
      <c r="E37" s="20">
        <v>9</v>
      </c>
      <c r="F37" s="333">
        <v>3550</v>
      </c>
      <c r="G37" s="333">
        <f t="shared" si="2"/>
        <v>394.44444444444446</v>
      </c>
    </row>
    <row r="38" spans="1:7">
      <c r="A38" s="20" t="s">
        <v>1324</v>
      </c>
      <c r="B38" s="20" t="s">
        <v>1342</v>
      </c>
      <c r="C38" s="20" t="s">
        <v>1326</v>
      </c>
      <c r="D38" s="20">
        <v>12</v>
      </c>
      <c r="E38" s="20">
        <v>15</v>
      </c>
      <c r="F38" s="333">
        <v>3890</v>
      </c>
      <c r="G38" s="333">
        <f t="shared" si="2"/>
        <v>259.33333333333331</v>
      </c>
    </row>
    <row r="39" spans="1:7">
      <c r="A39" s="20" t="s">
        <v>1324</v>
      </c>
      <c r="B39" s="20" t="s">
        <v>1343</v>
      </c>
      <c r="C39" s="20" t="s">
        <v>1326</v>
      </c>
      <c r="D39" s="20">
        <v>12</v>
      </c>
      <c r="E39" s="20">
        <v>15</v>
      </c>
      <c r="F39" s="333">
        <v>5770</v>
      </c>
      <c r="G39" s="333">
        <f t="shared" si="2"/>
        <v>384.66666666666669</v>
      </c>
    </row>
    <row r="40" spans="1:7">
      <c r="A40" s="20" t="s">
        <v>1324</v>
      </c>
      <c r="B40" s="20" t="s">
        <v>1343</v>
      </c>
      <c r="C40" s="20" t="s">
        <v>1340</v>
      </c>
      <c r="D40" s="20">
        <v>12</v>
      </c>
      <c r="E40" s="20">
        <v>12</v>
      </c>
      <c r="F40" s="333">
        <v>4270</v>
      </c>
      <c r="G40" s="333">
        <f t="shared" si="2"/>
        <v>355.83333333333331</v>
      </c>
    </row>
    <row r="41" spans="1:7">
      <c r="A41" s="20" t="s">
        <v>1324</v>
      </c>
      <c r="B41" s="20" t="s">
        <v>1344</v>
      </c>
      <c r="C41" s="20" t="s">
        <v>1340</v>
      </c>
      <c r="D41" s="20">
        <v>12</v>
      </c>
      <c r="E41" s="20">
        <v>9</v>
      </c>
      <c r="F41" s="333">
        <v>3450</v>
      </c>
      <c r="G41" s="333">
        <f t="shared" si="2"/>
        <v>383.33333333333331</v>
      </c>
    </row>
    <row r="44" spans="1:7">
      <c r="A44" s="1107" t="s">
        <v>1350</v>
      </c>
      <c r="B44" s="1107"/>
      <c r="C44" s="1107"/>
      <c r="D44" s="1107"/>
    </row>
    <row r="45" spans="1:7">
      <c r="A45" s="417" t="s">
        <v>1308</v>
      </c>
      <c r="B45" s="417" t="s">
        <v>1346</v>
      </c>
      <c r="C45" s="417" t="s">
        <v>1347</v>
      </c>
      <c r="D45" s="417" t="s">
        <v>1348</v>
      </c>
    </row>
    <row r="46" spans="1:7">
      <c r="A46" s="20" t="s">
        <v>1315</v>
      </c>
      <c r="B46" s="335">
        <f>+G6</f>
        <v>958.33333333333337</v>
      </c>
      <c r="C46" s="335">
        <f>+G20</f>
        <v>976.66666666666663</v>
      </c>
      <c r="D46" s="333">
        <f t="shared" ref="D46:D51" si="3">AVERAGE(B46:C46)</f>
        <v>967.5</v>
      </c>
    </row>
    <row r="47" spans="1:7">
      <c r="A47" s="20" t="s">
        <v>1321</v>
      </c>
      <c r="B47" s="333">
        <f>+G8</f>
        <v>750</v>
      </c>
      <c r="C47" s="333">
        <f>+G25</f>
        <v>798.33333333333337</v>
      </c>
      <c r="D47" s="333">
        <f t="shared" si="3"/>
        <v>774.16666666666674</v>
      </c>
    </row>
    <row r="48" spans="1:7">
      <c r="A48" s="20" t="s">
        <v>1333</v>
      </c>
      <c r="B48" s="333"/>
      <c r="C48" s="333">
        <f>+G26</f>
        <v>650</v>
      </c>
      <c r="D48" s="333">
        <f t="shared" si="3"/>
        <v>650</v>
      </c>
    </row>
    <row r="49" spans="1:4">
      <c r="A49" s="20" t="s">
        <v>1335</v>
      </c>
      <c r="B49" s="333"/>
      <c r="C49" s="333">
        <f>+G27</f>
        <v>750</v>
      </c>
      <c r="D49" s="333">
        <f t="shared" si="3"/>
        <v>750</v>
      </c>
    </row>
    <row r="50" spans="1:4">
      <c r="A50" s="20" t="s">
        <v>1336</v>
      </c>
      <c r="B50" s="333"/>
      <c r="C50" s="333">
        <f>+G28</f>
        <v>956.66666666666663</v>
      </c>
      <c r="D50" s="333">
        <f t="shared" si="3"/>
        <v>956.66666666666663</v>
      </c>
    </row>
    <row r="51" spans="1:4">
      <c r="A51" s="20" t="s">
        <v>1337</v>
      </c>
      <c r="B51" s="333"/>
      <c r="C51" s="333">
        <f>+G30</f>
        <v>895</v>
      </c>
      <c r="D51" s="333">
        <f t="shared" si="3"/>
        <v>895</v>
      </c>
    </row>
    <row r="52" spans="1:4">
      <c r="A52" s="336"/>
      <c r="B52" s="337"/>
      <c r="C52" s="337"/>
      <c r="D52" s="333">
        <f>GEOMEAN(D46:D51)</f>
        <v>823.83572935045856</v>
      </c>
    </row>
    <row r="54" spans="1:4">
      <c r="A54" s="1107" t="s">
        <v>1322</v>
      </c>
      <c r="B54" s="1107"/>
      <c r="C54" s="1107"/>
      <c r="D54" s="1107"/>
    </row>
    <row r="55" spans="1:4">
      <c r="A55" s="417" t="s">
        <v>1308</v>
      </c>
      <c r="B55" s="417" t="s">
        <v>1346</v>
      </c>
      <c r="C55" s="417" t="s">
        <v>1347</v>
      </c>
      <c r="D55" s="417" t="s">
        <v>1348</v>
      </c>
    </row>
    <row r="56" spans="1:4">
      <c r="A56" s="338" t="s">
        <v>1324</v>
      </c>
      <c r="B56" s="339">
        <f>+GEOMEAN(G12:G14)</f>
        <v>521.07929123816507</v>
      </c>
      <c r="C56" s="333">
        <f>+GEOMEAN(G34:G41)</f>
        <v>287.66571129452234</v>
      </c>
      <c r="D56" s="333">
        <f>+AVERAGE(B56:C56)</f>
        <v>404.3725012663437</v>
      </c>
    </row>
    <row r="57" spans="1:4" ht="37.5">
      <c r="C57" s="418" t="s">
        <v>1349</v>
      </c>
      <c r="D57" s="996">
        <f>+(D56+D52)*'Parametros Generales'!$C$29</f>
        <v>1265.0544775353062</v>
      </c>
    </row>
  </sheetData>
  <mergeCells count="6">
    <mergeCell ref="A54:D54"/>
    <mergeCell ref="A4:G4"/>
    <mergeCell ref="A10:G10"/>
    <mergeCell ref="A18:G18"/>
    <mergeCell ref="A32:G32"/>
    <mergeCell ref="A44:D44"/>
  </mergeCells>
  <hyperlinks>
    <hyperlink ref="A1" location="'Hoja índice'!A1" display="Indice"/>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4"/>
  </sheetPr>
  <dimension ref="B1:J154"/>
  <sheetViews>
    <sheetView showGridLines="0" topLeftCell="A52" zoomScale="85" zoomScaleNormal="85" workbookViewId="0">
      <selection activeCell="B1" sqref="B1"/>
    </sheetView>
  </sheetViews>
  <sheetFormatPr baseColWidth="10" defaultRowHeight="12.75"/>
  <cols>
    <col min="1" max="1" width="3.85546875" style="363" customWidth="1"/>
    <col min="2" max="2" width="39" style="363" customWidth="1"/>
    <col min="3" max="3" width="11.42578125" style="363"/>
    <col min="4" max="4" width="18.28515625" style="363" customWidth="1"/>
    <col min="5" max="5" width="14.42578125" style="363" customWidth="1"/>
    <col min="6" max="6" width="18.7109375" style="363" customWidth="1"/>
    <col min="7" max="7" width="17.5703125" style="363" customWidth="1"/>
    <col min="8" max="8" width="11.42578125" style="363" customWidth="1"/>
    <col min="9" max="9" width="19.140625" style="363" customWidth="1"/>
    <col min="10" max="16384" width="11.42578125" style="363"/>
  </cols>
  <sheetData>
    <row r="1" spans="2:9" ht="15">
      <c r="B1" s="4" t="s">
        <v>1555</v>
      </c>
      <c r="C1" s="340"/>
      <c r="D1" s="340"/>
      <c r="E1" s="340"/>
      <c r="F1" s="340"/>
      <c r="G1" s="340"/>
      <c r="H1" s="340"/>
      <c r="I1" s="340"/>
    </row>
    <row r="2" spans="2:9" ht="13.5" thickBot="1">
      <c r="B2" s="341"/>
      <c r="C2" s="342"/>
      <c r="D2" s="342"/>
      <c r="E2" s="343"/>
      <c r="F2" s="343"/>
      <c r="G2" s="343"/>
      <c r="H2" s="343"/>
      <c r="I2" s="344"/>
    </row>
    <row r="3" spans="2:9">
      <c r="B3" s="385"/>
      <c r="C3" s="386"/>
      <c r="D3" s="386"/>
      <c r="E3" s="387"/>
      <c r="F3" s="387"/>
      <c r="G3" s="388"/>
      <c r="H3" s="389"/>
      <c r="I3" s="390"/>
    </row>
    <row r="4" spans="2:9">
      <c r="B4" s="391"/>
      <c r="C4" s="392"/>
      <c r="D4" s="392"/>
      <c r="E4" s="392"/>
      <c r="F4" s="392"/>
      <c r="G4" s="393"/>
      <c r="H4" s="393"/>
      <c r="I4" s="394"/>
    </row>
    <row r="5" spans="2:9">
      <c r="B5" s="391"/>
      <c r="C5" s="392"/>
      <c r="D5" s="392"/>
      <c r="E5" s="392"/>
      <c r="F5" s="392"/>
      <c r="G5" s="392"/>
      <c r="H5" s="395"/>
      <c r="I5" s="394"/>
    </row>
    <row r="6" spans="2:9">
      <c r="B6" s="391"/>
      <c r="C6" s="392"/>
      <c r="D6" s="392"/>
      <c r="E6" s="392"/>
      <c r="F6" s="392"/>
      <c r="G6" s="392"/>
      <c r="H6" s="395"/>
      <c r="I6" s="394"/>
    </row>
    <row r="7" spans="2:9">
      <c r="B7" s="391"/>
      <c r="C7" s="340"/>
      <c r="D7" s="340"/>
      <c r="E7" s="340"/>
      <c r="F7" s="340"/>
      <c r="G7" s="340"/>
      <c r="H7" s="340"/>
      <c r="I7" s="356"/>
    </row>
    <row r="8" spans="2:9">
      <c r="B8" s="391"/>
      <c r="C8" s="340"/>
      <c r="D8" s="340"/>
      <c r="E8" s="340"/>
      <c r="F8" s="340"/>
      <c r="G8" s="340"/>
      <c r="H8" s="340"/>
      <c r="I8" s="356"/>
    </row>
    <row r="9" spans="2:9" ht="13.5" thickBot="1">
      <c r="B9" s="396"/>
      <c r="C9" s="358"/>
      <c r="D9" s="358"/>
      <c r="E9" s="358"/>
      <c r="F9" s="358"/>
      <c r="G9" s="358"/>
      <c r="H9" s="358"/>
      <c r="I9" s="359"/>
    </row>
    <row r="10" spans="2:9">
      <c r="B10" s="1112" t="s">
        <v>1351</v>
      </c>
      <c r="C10" s="1113"/>
      <c r="D10" s="1113"/>
      <c r="E10" s="1113"/>
      <c r="F10" s="1113"/>
      <c r="G10" s="1113"/>
      <c r="H10" s="1113"/>
      <c r="I10" s="1114"/>
    </row>
    <row r="11" spans="2:9">
      <c r="B11" s="1115"/>
      <c r="C11" s="1116"/>
      <c r="D11" s="1116"/>
      <c r="E11" s="1116"/>
      <c r="F11" s="1116"/>
      <c r="G11" s="1116"/>
      <c r="H11" s="1116"/>
      <c r="I11" s="1117"/>
    </row>
    <row r="12" spans="2:9">
      <c r="B12" s="1108" t="s">
        <v>1352</v>
      </c>
      <c r="C12" s="1109"/>
      <c r="D12" s="1109"/>
      <c r="E12" s="1109"/>
      <c r="F12" s="1109" t="s">
        <v>1353</v>
      </c>
      <c r="G12" s="1109"/>
      <c r="H12" s="1110" t="s">
        <v>1354</v>
      </c>
      <c r="I12" s="1111"/>
    </row>
    <row r="13" spans="2:9">
      <c r="B13" s="1118" t="s">
        <v>1355</v>
      </c>
      <c r="C13" s="1119"/>
      <c r="D13" s="1119"/>
      <c r="E13" s="1119"/>
      <c r="F13" s="1109" t="s">
        <v>1356</v>
      </c>
      <c r="G13" s="1109"/>
      <c r="H13" s="1120" t="s">
        <v>1357</v>
      </c>
      <c r="I13" s="1121"/>
    </row>
    <row r="14" spans="2:9">
      <c r="B14" s="397"/>
      <c r="C14" s="398"/>
      <c r="D14" s="398"/>
      <c r="E14" s="398"/>
      <c r="F14" s="399"/>
      <c r="G14" s="399"/>
      <c r="H14" s="400"/>
      <c r="I14" s="401"/>
    </row>
    <row r="15" spans="2:9">
      <c r="B15" s="377" t="s">
        <v>1444</v>
      </c>
      <c r="C15" s="340"/>
      <c r="D15" s="340"/>
      <c r="E15" s="340"/>
      <c r="F15" s="340"/>
      <c r="G15" s="340"/>
      <c r="H15" s="340"/>
      <c r="I15" s="356"/>
    </row>
    <row r="16" spans="2:9">
      <c r="B16" s="377" t="s">
        <v>1445</v>
      </c>
      <c r="C16" s="340"/>
      <c r="D16" s="340"/>
      <c r="E16" s="340"/>
      <c r="F16" s="340"/>
      <c r="G16" s="340"/>
      <c r="H16" s="340"/>
      <c r="I16" s="356"/>
    </row>
    <row r="17" spans="2:10">
      <c r="B17" s="381"/>
      <c r="C17" s="382"/>
      <c r="D17" s="382"/>
      <c r="E17" s="382"/>
      <c r="F17" s="382"/>
      <c r="G17" s="382"/>
      <c r="H17" s="382"/>
      <c r="I17" s="402"/>
      <c r="J17" s="403"/>
    </row>
    <row r="18" spans="2:10" ht="25.5">
      <c r="B18" s="360" t="s">
        <v>1358</v>
      </c>
      <c r="C18" s="361" t="s">
        <v>1359</v>
      </c>
      <c r="D18" s="361" t="s">
        <v>1360</v>
      </c>
      <c r="E18" s="361" t="s">
        <v>1361</v>
      </c>
      <c r="F18" s="361" t="s">
        <v>1362</v>
      </c>
      <c r="G18" s="361" t="s">
        <v>1363</v>
      </c>
      <c r="H18" s="361" t="s">
        <v>1364</v>
      </c>
      <c r="I18" s="362" t="s">
        <v>1365</v>
      </c>
    </row>
    <row r="19" spans="2:10">
      <c r="B19" s="404" t="s">
        <v>1366</v>
      </c>
      <c r="C19" s="364">
        <v>1</v>
      </c>
      <c r="D19" s="365">
        <v>2500</v>
      </c>
      <c r="E19" s="405">
        <v>0.16</v>
      </c>
      <c r="F19" s="366">
        <f t="shared" ref="F19:F39" si="0">ROUND((E19+D19),0)</f>
        <v>2500</v>
      </c>
      <c r="G19" s="367">
        <f t="shared" ref="G19:G39" si="1">ROUND(D19*C19,0)</f>
        <v>2500</v>
      </c>
      <c r="H19" s="367">
        <f t="shared" ref="H19:H39" si="2">ROUND(G19*16%,0)</f>
        <v>400</v>
      </c>
      <c r="I19" s="368">
        <f t="shared" ref="I19:I39" si="3">ROUND(G19+H19,0)</f>
        <v>2900</v>
      </c>
    </row>
    <row r="20" spans="2:10">
      <c r="B20" s="404" t="s">
        <v>1367</v>
      </c>
      <c r="C20" s="364">
        <v>1</v>
      </c>
      <c r="D20" s="365">
        <f>6600/6</f>
        <v>1100</v>
      </c>
      <c r="E20" s="405">
        <v>0.16</v>
      </c>
      <c r="F20" s="366">
        <f t="shared" si="0"/>
        <v>1100</v>
      </c>
      <c r="G20" s="367">
        <f t="shared" si="1"/>
        <v>1100</v>
      </c>
      <c r="H20" s="367">
        <f t="shared" si="2"/>
        <v>176</v>
      </c>
      <c r="I20" s="368">
        <f t="shared" si="3"/>
        <v>1276</v>
      </c>
    </row>
    <row r="21" spans="2:10">
      <c r="B21" s="404" t="s">
        <v>1368</v>
      </c>
      <c r="C21" s="364">
        <v>1</v>
      </c>
      <c r="D21" s="365">
        <v>2950</v>
      </c>
      <c r="E21" s="405">
        <v>0</v>
      </c>
      <c r="F21" s="366">
        <f t="shared" si="0"/>
        <v>2950</v>
      </c>
      <c r="G21" s="367">
        <f t="shared" si="1"/>
        <v>2950</v>
      </c>
      <c r="H21" s="367">
        <f>ROUND(G21*0,0)</f>
        <v>0</v>
      </c>
      <c r="I21" s="368">
        <f t="shared" si="3"/>
        <v>2950</v>
      </c>
    </row>
    <row r="22" spans="2:10">
      <c r="B22" s="404" t="s">
        <v>1369</v>
      </c>
      <c r="C22" s="379">
        <v>1</v>
      </c>
      <c r="D22" s="365">
        <v>500</v>
      </c>
      <c r="E22" s="405">
        <v>0.16</v>
      </c>
      <c r="F22" s="366">
        <f t="shared" si="0"/>
        <v>500</v>
      </c>
      <c r="G22" s="367">
        <f t="shared" si="1"/>
        <v>500</v>
      </c>
      <c r="H22" s="367">
        <f t="shared" si="2"/>
        <v>80</v>
      </c>
      <c r="I22" s="368">
        <f t="shared" si="3"/>
        <v>580</v>
      </c>
    </row>
    <row r="23" spans="2:10">
      <c r="B23" s="404" t="s">
        <v>1370</v>
      </c>
      <c r="C23" s="379">
        <v>10</v>
      </c>
      <c r="D23" s="365">
        <f>3900/10</f>
        <v>390</v>
      </c>
      <c r="E23" s="405">
        <v>0</v>
      </c>
      <c r="F23" s="366">
        <f t="shared" si="0"/>
        <v>390</v>
      </c>
      <c r="G23" s="367">
        <f t="shared" si="1"/>
        <v>3900</v>
      </c>
      <c r="H23" s="367">
        <f>ROUND(G23*0%,0)</f>
        <v>0</v>
      </c>
      <c r="I23" s="368">
        <f t="shared" si="3"/>
        <v>3900</v>
      </c>
    </row>
    <row r="24" spans="2:10">
      <c r="B24" s="404" t="s">
        <v>1371</v>
      </c>
      <c r="C24" s="379">
        <v>10</v>
      </c>
      <c r="D24" s="365">
        <f>2500/10</f>
        <v>250</v>
      </c>
      <c r="E24" s="405">
        <v>0</v>
      </c>
      <c r="F24" s="366">
        <f t="shared" si="0"/>
        <v>250</v>
      </c>
      <c r="G24" s="367">
        <f t="shared" si="1"/>
        <v>2500</v>
      </c>
      <c r="H24" s="367">
        <f>ROUND(G24*0%,0)</f>
        <v>0</v>
      </c>
      <c r="I24" s="368">
        <f t="shared" si="3"/>
        <v>2500</v>
      </c>
    </row>
    <row r="25" spans="2:10">
      <c r="B25" s="406" t="s">
        <v>1372</v>
      </c>
      <c r="C25" s="407">
        <v>1</v>
      </c>
      <c r="D25" s="365">
        <v>700</v>
      </c>
      <c r="E25" s="405">
        <v>0</v>
      </c>
      <c r="F25" s="366">
        <f t="shared" si="0"/>
        <v>700</v>
      </c>
      <c r="G25" s="367">
        <f t="shared" si="1"/>
        <v>700</v>
      </c>
      <c r="H25" s="367">
        <f>ROUND(G25*0%,0)</f>
        <v>0</v>
      </c>
      <c r="I25" s="368">
        <f t="shared" si="3"/>
        <v>700</v>
      </c>
    </row>
    <row r="26" spans="2:10">
      <c r="B26" s="406" t="s">
        <v>1373</v>
      </c>
      <c r="C26" s="407">
        <v>1</v>
      </c>
      <c r="D26" s="365">
        <v>350</v>
      </c>
      <c r="E26" s="405">
        <v>0.16</v>
      </c>
      <c r="F26" s="366">
        <f t="shared" si="0"/>
        <v>350</v>
      </c>
      <c r="G26" s="367">
        <f t="shared" si="1"/>
        <v>350</v>
      </c>
      <c r="H26" s="367">
        <f t="shared" si="2"/>
        <v>56</v>
      </c>
      <c r="I26" s="368">
        <f t="shared" si="3"/>
        <v>406</v>
      </c>
    </row>
    <row r="27" spans="2:10">
      <c r="B27" s="406" t="s">
        <v>1374</v>
      </c>
      <c r="C27" s="407">
        <v>1</v>
      </c>
      <c r="D27" s="365">
        <v>500</v>
      </c>
      <c r="E27" s="405">
        <v>0.16</v>
      </c>
      <c r="F27" s="366">
        <f t="shared" si="0"/>
        <v>500</v>
      </c>
      <c r="G27" s="367">
        <f t="shared" si="1"/>
        <v>500</v>
      </c>
      <c r="H27" s="367">
        <f t="shared" si="2"/>
        <v>80</v>
      </c>
      <c r="I27" s="368">
        <f t="shared" si="3"/>
        <v>580</v>
      </c>
    </row>
    <row r="28" spans="2:10">
      <c r="B28" s="406" t="s">
        <v>1375</v>
      </c>
      <c r="C28" s="407">
        <v>6</v>
      </c>
      <c r="D28" s="365">
        <v>1550</v>
      </c>
      <c r="E28" s="405">
        <v>0</v>
      </c>
      <c r="F28" s="366">
        <f t="shared" si="0"/>
        <v>1550</v>
      </c>
      <c r="G28" s="367">
        <f t="shared" si="1"/>
        <v>9300</v>
      </c>
      <c r="H28" s="367">
        <f>ROUND(G28*0%,0)</f>
        <v>0</v>
      </c>
      <c r="I28" s="368">
        <f t="shared" si="3"/>
        <v>9300</v>
      </c>
    </row>
    <row r="29" spans="2:10">
      <c r="B29" s="406" t="s">
        <v>1376</v>
      </c>
      <c r="C29" s="407">
        <v>25</v>
      </c>
      <c r="D29" s="365">
        <f>1800/25</f>
        <v>72</v>
      </c>
      <c r="E29" s="405">
        <v>0</v>
      </c>
      <c r="F29" s="366">
        <f t="shared" si="0"/>
        <v>72</v>
      </c>
      <c r="G29" s="367">
        <f t="shared" si="1"/>
        <v>1800</v>
      </c>
      <c r="H29" s="367">
        <f>ROUND(G29*0%,0)</f>
        <v>0</v>
      </c>
      <c r="I29" s="368">
        <f t="shared" si="3"/>
        <v>1800</v>
      </c>
    </row>
    <row r="30" spans="2:10">
      <c r="B30" s="406" t="s">
        <v>1377</v>
      </c>
      <c r="C30" s="407">
        <v>35</v>
      </c>
      <c r="D30" s="365">
        <f>2600/35</f>
        <v>74.285714285714292</v>
      </c>
      <c r="E30" s="405">
        <v>0</v>
      </c>
      <c r="F30" s="366">
        <f t="shared" si="0"/>
        <v>74</v>
      </c>
      <c r="G30" s="367">
        <f t="shared" si="1"/>
        <v>2600</v>
      </c>
      <c r="H30" s="367">
        <f>ROUND(G30*0%,0)</f>
        <v>0</v>
      </c>
      <c r="I30" s="368">
        <f t="shared" si="3"/>
        <v>2600</v>
      </c>
    </row>
    <row r="31" spans="2:10">
      <c r="B31" s="406" t="s">
        <v>1378</v>
      </c>
      <c r="C31" s="407">
        <v>1</v>
      </c>
      <c r="D31" s="365">
        <v>2900</v>
      </c>
      <c r="E31" s="405">
        <v>0.16</v>
      </c>
      <c r="F31" s="366">
        <f t="shared" si="0"/>
        <v>2900</v>
      </c>
      <c r="G31" s="367">
        <f t="shared" si="1"/>
        <v>2900</v>
      </c>
      <c r="H31" s="367">
        <f t="shared" si="2"/>
        <v>464</v>
      </c>
      <c r="I31" s="368">
        <f t="shared" si="3"/>
        <v>3364</v>
      </c>
    </row>
    <row r="32" spans="2:10">
      <c r="B32" s="406" t="s">
        <v>1379</v>
      </c>
      <c r="C32" s="407">
        <v>1</v>
      </c>
      <c r="D32" s="365">
        <f>2500/6</f>
        <v>416.66666666666669</v>
      </c>
      <c r="E32" s="405">
        <v>0.16</v>
      </c>
      <c r="F32" s="366">
        <f t="shared" si="0"/>
        <v>417</v>
      </c>
      <c r="G32" s="367">
        <f t="shared" si="1"/>
        <v>417</v>
      </c>
      <c r="H32" s="367">
        <f t="shared" si="2"/>
        <v>67</v>
      </c>
      <c r="I32" s="368">
        <f t="shared" si="3"/>
        <v>484</v>
      </c>
    </row>
    <row r="33" spans="2:9">
      <c r="B33" s="406" t="s">
        <v>1380</v>
      </c>
      <c r="C33" s="407">
        <v>8</v>
      </c>
      <c r="D33" s="365">
        <f>700/8</f>
        <v>87.5</v>
      </c>
      <c r="E33" s="405">
        <v>0.16</v>
      </c>
      <c r="F33" s="366">
        <f t="shared" si="0"/>
        <v>88</v>
      </c>
      <c r="G33" s="367">
        <f t="shared" si="1"/>
        <v>700</v>
      </c>
      <c r="H33" s="367">
        <f t="shared" si="2"/>
        <v>112</v>
      </c>
      <c r="I33" s="368">
        <f t="shared" si="3"/>
        <v>812</v>
      </c>
    </row>
    <row r="34" spans="2:9">
      <c r="B34" s="408" t="s">
        <v>1381</v>
      </c>
      <c r="C34" s="409">
        <v>1</v>
      </c>
      <c r="D34" s="410">
        <v>250</v>
      </c>
      <c r="E34" s="405">
        <v>0.16</v>
      </c>
      <c r="F34" s="366">
        <f t="shared" si="0"/>
        <v>250</v>
      </c>
      <c r="G34" s="367">
        <f t="shared" si="1"/>
        <v>250</v>
      </c>
      <c r="H34" s="367">
        <f>ROUND(G34*0%,0)</f>
        <v>0</v>
      </c>
      <c r="I34" s="368">
        <f t="shared" si="3"/>
        <v>250</v>
      </c>
    </row>
    <row r="35" spans="2:9">
      <c r="B35" s="408" t="s">
        <v>1382</v>
      </c>
      <c r="C35" s="409">
        <v>1</v>
      </c>
      <c r="D35" s="410">
        <f>(500/20)*200</f>
        <v>5000</v>
      </c>
      <c r="E35" s="405">
        <v>0.16</v>
      </c>
      <c r="F35" s="366">
        <f t="shared" si="0"/>
        <v>5000</v>
      </c>
      <c r="G35" s="367">
        <f t="shared" si="1"/>
        <v>5000</v>
      </c>
      <c r="H35" s="367">
        <f>ROUND(G35*16%,0)</f>
        <v>800</v>
      </c>
      <c r="I35" s="368">
        <f t="shared" si="3"/>
        <v>5800</v>
      </c>
    </row>
    <row r="36" spans="2:9">
      <c r="B36" s="408" t="s">
        <v>1383</v>
      </c>
      <c r="C36" s="409">
        <v>1</v>
      </c>
      <c r="D36" s="410">
        <v>700</v>
      </c>
      <c r="E36" s="405">
        <v>0</v>
      </c>
      <c r="F36" s="366">
        <f t="shared" si="0"/>
        <v>700</v>
      </c>
      <c r="G36" s="367">
        <f t="shared" si="1"/>
        <v>700</v>
      </c>
      <c r="H36" s="367">
        <f>ROUND(G36*0,0)</f>
        <v>0</v>
      </c>
      <c r="I36" s="368">
        <f t="shared" si="3"/>
        <v>700</v>
      </c>
    </row>
    <row r="37" spans="2:9">
      <c r="B37" s="408" t="s">
        <v>1384</v>
      </c>
      <c r="C37" s="409">
        <v>1</v>
      </c>
      <c r="D37" s="410">
        <v>9900</v>
      </c>
      <c r="E37" s="405">
        <v>0</v>
      </c>
      <c r="F37" s="366">
        <f t="shared" si="0"/>
        <v>9900</v>
      </c>
      <c r="G37" s="367">
        <f t="shared" si="1"/>
        <v>9900</v>
      </c>
      <c r="H37" s="367">
        <f>ROUND(G37*0,0)</f>
        <v>0</v>
      </c>
      <c r="I37" s="368">
        <f t="shared" si="3"/>
        <v>9900</v>
      </c>
    </row>
    <row r="38" spans="2:9">
      <c r="B38" s="408" t="s">
        <v>1385</v>
      </c>
      <c r="C38" s="409">
        <v>1</v>
      </c>
      <c r="D38" s="410">
        <v>2400</v>
      </c>
      <c r="E38" s="405">
        <v>0.16</v>
      </c>
      <c r="F38" s="366">
        <f t="shared" si="0"/>
        <v>2400</v>
      </c>
      <c r="G38" s="367">
        <f t="shared" si="1"/>
        <v>2400</v>
      </c>
      <c r="H38" s="367">
        <f t="shared" si="2"/>
        <v>384</v>
      </c>
      <c r="I38" s="368">
        <f t="shared" si="3"/>
        <v>2784</v>
      </c>
    </row>
    <row r="39" spans="2:9" ht="13.5" thickBot="1">
      <c r="B39" s="411" t="s">
        <v>1386</v>
      </c>
      <c r="C39" s="412">
        <v>1</v>
      </c>
      <c r="D39" s="370">
        <v>7000</v>
      </c>
      <c r="E39" s="405">
        <v>0.16</v>
      </c>
      <c r="F39" s="366">
        <f t="shared" si="0"/>
        <v>7000</v>
      </c>
      <c r="G39" s="367">
        <f t="shared" si="1"/>
        <v>7000</v>
      </c>
      <c r="H39" s="367">
        <f t="shared" si="2"/>
        <v>1120</v>
      </c>
      <c r="I39" s="368">
        <f t="shared" si="3"/>
        <v>8120</v>
      </c>
    </row>
    <row r="40" spans="2:9" ht="13.5" thickBot="1"/>
    <row r="41" spans="2:9" s="340" customFormat="1">
      <c r="B41" s="345"/>
      <c r="C41" s="346"/>
      <c r="D41" s="346"/>
      <c r="E41" s="347"/>
      <c r="F41" s="347"/>
      <c r="G41" s="348"/>
      <c r="H41" s="349"/>
      <c r="I41" s="350"/>
    </row>
    <row r="42" spans="2:9" s="340" customFormat="1">
      <c r="B42" s="351"/>
      <c r="C42" s="352"/>
      <c r="D42" s="352"/>
      <c r="E42" s="352"/>
      <c r="F42" s="352"/>
      <c r="G42" s="353"/>
      <c r="H42" s="353"/>
      <c r="I42" s="354"/>
    </row>
    <row r="43" spans="2:9" s="340" customFormat="1">
      <c r="B43" s="351"/>
      <c r="C43" s="352"/>
      <c r="D43" s="352"/>
      <c r="E43" s="352"/>
      <c r="F43" s="352"/>
      <c r="G43" s="352"/>
      <c r="H43" s="355"/>
      <c r="I43" s="354"/>
    </row>
    <row r="44" spans="2:9" s="340" customFormat="1">
      <c r="B44" s="351"/>
      <c r="C44" s="352"/>
      <c r="D44" s="352"/>
      <c r="E44" s="352"/>
      <c r="F44" s="352"/>
      <c r="G44" s="352"/>
      <c r="H44" s="355"/>
      <c r="I44" s="354"/>
    </row>
    <row r="45" spans="2:9" s="340" customFormat="1">
      <c r="B45" s="351"/>
      <c r="I45" s="356"/>
    </row>
    <row r="46" spans="2:9" s="340" customFormat="1">
      <c r="B46" s="351"/>
      <c r="I46" s="356"/>
    </row>
    <row r="47" spans="2:9" s="340" customFormat="1" ht="13.5" thickBot="1">
      <c r="B47" s="357"/>
      <c r="C47" s="358"/>
      <c r="D47" s="358"/>
      <c r="E47" s="358"/>
      <c r="F47" s="358"/>
      <c r="G47" s="358"/>
      <c r="H47" s="358"/>
      <c r="I47" s="359"/>
    </row>
    <row r="48" spans="2:9" s="340" customFormat="1">
      <c r="B48" s="1112" t="s">
        <v>1351</v>
      </c>
      <c r="C48" s="1113"/>
      <c r="D48" s="1113"/>
      <c r="E48" s="1113"/>
      <c r="F48" s="1113"/>
      <c r="G48" s="1113"/>
      <c r="H48" s="1113"/>
      <c r="I48" s="1114"/>
    </row>
    <row r="49" spans="2:9" s="340" customFormat="1">
      <c r="B49" s="1115"/>
      <c r="C49" s="1116"/>
      <c r="D49" s="1116"/>
      <c r="E49" s="1116"/>
      <c r="F49" s="1116"/>
      <c r="G49" s="1116"/>
      <c r="H49" s="1116"/>
      <c r="I49" s="1117"/>
    </row>
    <row r="50" spans="2:9" s="340" customFormat="1">
      <c r="B50" s="1108" t="s">
        <v>1387</v>
      </c>
      <c r="C50" s="1109"/>
      <c r="D50" s="1109"/>
      <c r="E50" s="1109"/>
      <c r="F50" s="1109" t="s">
        <v>1388</v>
      </c>
      <c r="G50" s="1109"/>
      <c r="H50" s="1122" t="s">
        <v>1389</v>
      </c>
      <c r="I50" s="1111"/>
    </row>
    <row r="51" spans="2:9" s="340" customFormat="1">
      <c r="B51" s="1118" t="s">
        <v>1390</v>
      </c>
      <c r="C51" s="1119"/>
      <c r="D51" s="1119"/>
      <c r="E51" s="1119"/>
      <c r="F51" s="1109" t="s">
        <v>1356</v>
      </c>
      <c r="G51" s="1109"/>
      <c r="H51" s="1120" t="s">
        <v>1357</v>
      </c>
      <c r="I51" s="1121"/>
    </row>
    <row r="52" spans="2:9" s="413" customFormat="1">
      <c r="B52" s="397"/>
      <c r="C52" s="398"/>
      <c r="D52" s="398"/>
      <c r="E52" s="398"/>
      <c r="F52" s="399"/>
      <c r="G52" s="399"/>
      <c r="H52" s="400"/>
      <c r="I52" s="401"/>
    </row>
    <row r="53" spans="2:9" s="340" customFormat="1">
      <c r="B53" s="377" t="s">
        <v>1444</v>
      </c>
      <c r="I53" s="356"/>
    </row>
    <row r="54" spans="2:9" s="340" customFormat="1">
      <c r="B54" s="377" t="s">
        <v>1445</v>
      </c>
      <c r="I54" s="356"/>
    </row>
    <row r="55" spans="2:9">
      <c r="B55" s="381"/>
      <c r="C55" s="382"/>
      <c r="D55" s="382"/>
      <c r="E55" s="382"/>
      <c r="F55" s="382"/>
      <c r="G55" s="382"/>
      <c r="H55" s="382"/>
      <c r="I55" s="402"/>
    </row>
    <row r="56" spans="2:9" ht="25.5">
      <c r="B56" s="360" t="s">
        <v>1358</v>
      </c>
      <c r="C56" s="361" t="s">
        <v>1359</v>
      </c>
      <c r="D56" s="361" t="s">
        <v>1360</v>
      </c>
      <c r="E56" s="361" t="s">
        <v>1361</v>
      </c>
      <c r="F56" s="361" t="s">
        <v>1391</v>
      </c>
      <c r="G56" s="361" t="s">
        <v>1363</v>
      </c>
      <c r="H56" s="361" t="s">
        <v>1364</v>
      </c>
      <c r="I56" s="362" t="s">
        <v>1365</v>
      </c>
    </row>
    <row r="57" spans="2:9">
      <c r="B57" s="404" t="s">
        <v>1392</v>
      </c>
      <c r="C57" s="364">
        <v>1</v>
      </c>
      <c r="D57" s="365">
        <v>2810</v>
      </c>
      <c r="E57" s="405">
        <v>0.16</v>
      </c>
      <c r="F57" s="366">
        <f>ROUND((E57+D57),0)</f>
        <v>2810</v>
      </c>
      <c r="G57" s="367">
        <f>ROUND(D57*C57,0)</f>
        <v>2810</v>
      </c>
      <c r="H57" s="367">
        <f>ROUND(G57*16%,0)</f>
        <v>450</v>
      </c>
      <c r="I57" s="368">
        <f>ROUND(G57+H57,0)</f>
        <v>3260</v>
      </c>
    </row>
    <row r="58" spans="2:9">
      <c r="B58" s="404" t="s">
        <v>1367</v>
      </c>
      <c r="C58" s="364">
        <v>1</v>
      </c>
      <c r="D58" s="365">
        <v>1266</v>
      </c>
      <c r="E58" s="405">
        <v>0.16</v>
      </c>
      <c r="F58" s="366">
        <f t="shared" ref="F58:F77" si="4">ROUND((E58+D58),0)</f>
        <v>1266</v>
      </c>
      <c r="G58" s="367">
        <f t="shared" ref="G58:G77" si="5">ROUND(D58*C58,0)</f>
        <v>1266</v>
      </c>
      <c r="H58" s="367">
        <f t="shared" ref="H58" si="6">ROUND(G58*16%,0)</f>
        <v>203</v>
      </c>
      <c r="I58" s="368">
        <f t="shared" ref="I58:I77" si="7">ROUND(G58+H58,0)</f>
        <v>1469</v>
      </c>
    </row>
    <row r="59" spans="2:9">
      <c r="B59" s="404" t="s">
        <v>1393</v>
      </c>
      <c r="C59" s="364">
        <v>1</v>
      </c>
      <c r="D59" s="365">
        <v>604</v>
      </c>
      <c r="E59" s="405">
        <v>0</v>
      </c>
      <c r="F59" s="366">
        <f t="shared" si="4"/>
        <v>604</v>
      </c>
      <c r="G59" s="367">
        <f t="shared" si="5"/>
        <v>604</v>
      </c>
      <c r="H59" s="367">
        <f>ROUND(G59*0%,0)</f>
        <v>0</v>
      </c>
      <c r="I59" s="368">
        <f t="shared" si="7"/>
        <v>604</v>
      </c>
    </row>
    <row r="60" spans="2:9">
      <c r="B60" s="404" t="s">
        <v>1369</v>
      </c>
      <c r="C60" s="379">
        <v>1</v>
      </c>
      <c r="D60" s="365">
        <v>2233</v>
      </c>
      <c r="E60" s="405">
        <v>0.16</v>
      </c>
      <c r="F60" s="366">
        <f t="shared" si="4"/>
        <v>2233</v>
      </c>
      <c r="G60" s="367">
        <f t="shared" si="5"/>
        <v>2233</v>
      </c>
      <c r="H60" s="367">
        <f t="shared" ref="H60:H77" si="8">ROUND(G60*16%,0)</f>
        <v>357</v>
      </c>
      <c r="I60" s="368">
        <f t="shared" si="7"/>
        <v>2590</v>
      </c>
    </row>
    <row r="61" spans="2:9" ht="25.5">
      <c r="B61" s="414" t="s">
        <v>1394</v>
      </c>
      <c r="C61" s="378">
        <v>1</v>
      </c>
      <c r="D61" s="365">
        <v>425</v>
      </c>
      <c r="E61" s="405">
        <v>0</v>
      </c>
      <c r="F61" s="366">
        <f t="shared" si="4"/>
        <v>425</v>
      </c>
      <c r="G61" s="367">
        <f t="shared" si="5"/>
        <v>425</v>
      </c>
      <c r="H61" s="367">
        <f>ROUND(G61*0%,0)</f>
        <v>0</v>
      </c>
      <c r="I61" s="368">
        <f>ROUND(G61+H61,0)*10</f>
        <v>4250</v>
      </c>
    </row>
    <row r="62" spans="2:9" ht="25.5">
      <c r="B62" s="414" t="s">
        <v>1395</v>
      </c>
      <c r="C62" s="378">
        <v>1</v>
      </c>
      <c r="D62" s="365">
        <f>4858/10</f>
        <v>485.8</v>
      </c>
      <c r="E62" s="405">
        <v>0</v>
      </c>
      <c r="F62" s="366">
        <f t="shared" si="4"/>
        <v>486</v>
      </c>
      <c r="G62" s="367">
        <f t="shared" si="5"/>
        <v>486</v>
      </c>
      <c r="H62" s="367">
        <f>ROUND(G62*0%,0)</f>
        <v>0</v>
      </c>
      <c r="I62" s="368">
        <f>ROUND(G62+H62,0)*10</f>
        <v>4860</v>
      </c>
    </row>
    <row r="63" spans="2:9">
      <c r="B63" s="406" t="s">
        <v>1396</v>
      </c>
      <c r="C63" s="407">
        <v>1</v>
      </c>
      <c r="D63" s="365">
        <f>7164/12</f>
        <v>597</v>
      </c>
      <c r="E63" s="405">
        <v>0</v>
      </c>
      <c r="F63" s="366">
        <f t="shared" si="4"/>
        <v>597</v>
      </c>
      <c r="G63" s="367">
        <f t="shared" si="5"/>
        <v>597</v>
      </c>
      <c r="H63" s="367">
        <f>ROUND(G63*0%,0)</f>
        <v>0</v>
      </c>
      <c r="I63" s="368">
        <f t="shared" si="7"/>
        <v>597</v>
      </c>
    </row>
    <row r="64" spans="2:9">
      <c r="B64" s="406" t="s">
        <v>1397</v>
      </c>
      <c r="C64" s="407">
        <v>1</v>
      </c>
      <c r="D64" s="365">
        <f>4960/20</f>
        <v>248</v>
      </c>
      <c r="E64" s="405">
        <v>0.16</v>
      </c>
      <c r="F64" s="366">
        <f t="shared" si="4"/>
        <v>248</v>
      </c>
      <c r="G64" s="367">
        <f t="shared" si="5"/>
        <v>248</v>
      </c>
      <c r="H64" s="367">
        <f t="shared" si="8"/>
        <v>40</v>
      </c>
      <c r="I64" s="368">
        <f t="shared" si="7"/>
        <v>288</v>
      </c>
    </row>
    <row r="65" spans="2:9">
      <c r="B65" s="406" t="s">
        <v>1374</v>
      </c>
      <c r="C65" s="407">
        <v>1</v>
      </c>
      <c r="D65" s="365">
        <v>700</v>
      </c>
      <c r="E65" s="405">
        <v>0.16</v>
      </c>
      <c r="F65" s="366">
        <f t="shared" si="4"/>
        <v>700</v>
      </c>
      <c r="G65" s="367">
        <f t="shared" si="5"/>
        <v>700</v>
      </c>
      <c r="H65" s="367">
        <f t="shared" si="8"/>
        <v>112</v>
      </c>
      <c r="I65" s="368">
        <f t="shared" si="7"/>
        <v>812</v>
      </c>
    </row>
    <row r="66" spans="2:9">
      <c r="B66" s="415" t="s">
        <v>1398</v>
      </c>
      <c r="C66" s="407">
        <v>1</v>
      </c>
      <c r="D66" s="365">
        <v>977</v>
      </c>
      <c r="E66" s="405">
        <v>0</v>
      </c>
      <c r="F66" s="366">
        <f t="shared" si="4"/>
        <v>977</v>
      </c>
      <c r="G66" s="367">
        <f t="shared" si="5"/>
        <v>977</v>
      </c>
      <c r="H66" s="367">
        <f>ROUND(G66*0%,0)</f>
        <v>0</v>
      </c>
      <c r="I66" s="368">
        <f t="shared" si="7"/>
        <v>977</v>
      </c>
    </row>
    <row r="67" spans="2:9">
      <c r="B67" s="415" t="s">
        <v>1399</v>
      </c>
      <c r="C67" s="407">
        <v>1</v>
      </c>
      <c r="D67" s="365">
        <v>2500</v>
      </c>
      <c r="E67" s="405">
        <v>0</v>
      </c>
      <c r="F67" s="366">
        <f t="shared" si="4"/>
        <v>2500</v>
      </c>
      <c r="G67" s="367">
        <f t="shared" si="5"/>
        <v>2500</v>
      </c>
      <c r="H67" s="367">
        <f t="shared" ref="H67:H68" si="9">ROUND(G67*0%,0)</f>
        <v>0</v>
      </c>
      <c r="I67" s="368">
        <f t="shared" si="7"/>
        <v>2500</v>
      </c>
    </row>
    <row r="68" spans="2:9">
      <c r="B68" s="415" t="s">
        <v>1400</v>
      </c>
      <c r="C68" s="407">
        <v>1</v>
      </c>
      <c r="D68" s="365">
        <f>1500/35</f>
        <v>42.857142857142854</v>
      </c>
      <c r="E68" s="405">
        <v>0</v>
      </c>
      <c r="F68" s="366">
        <f t="shared" si="4"/>
        <v>43</v>
      </c>
      <c r="G68" s="367">
        <f t="shared" si="5"/>
        <v>43</v>
      </c>
      <c r="H68" s="367">
        <f t="shared" si="9"/>
        <v>0</v>
      </c>
      <c r="I68" s="368">
        <f>ROUND(G68+H68,0)*35</f>
        <v>1505</v>
      </c>
    </row>
    <row r="69" spans="2:9">
      <c r="B69" s="406" t="s">
        <v>1401</v>
      </c>
      <c r="C69" s="407">
        <v>1</v>
      </c>
      <c r="D69" s="365">
        <v>2007</v>
      </c>
      <c r="E69" s="405">
        <v>0.16</v>
      </c>
      <c r="F69" s="366">
        <f t="shared" si="4"/>
        <v>2007</v>
      </c>
      <c r="G69" s="367">
        <f t="shared" si="5"/>
        <v>2007</v>
      </c>
      <c r="H69" s="367">
        <f t="shared" si="8"/>
        <v>321</v>
      </c>
      <c r="I69" s="368">
        <f t="shared" si="7"/>
        <v>2328</v>
      </c>
    </row>
    <row r="70" spans="2:9">
      <c r="B70" s="406" t="s">
        <v>1402</v>
      </c>
      <c r="C70" s="407">
        <v>1</v>
      </c>
      <c r="D70" s="365">
        <v>706</v>
      </c>
      <c r="E70" s="405">
        <v>0.16</v>
      </c>
      <c r="F70" s="366">
        <f t="shared" si="4"/>
        <v>706</v>
      </c>
      <c r="G70" s="367">
        <f t="shared" si="5"/>
        <v>706</v>
      </c>
      <c r="H70" s="367">
        <f t="shared" si="8"/>
        <v>113</v>
      </c>
      <c r="I70" s="368">
        <f t="shared" si="7"/>
        <v>819</v>
      </c>
    </row>
    <row r="71" spans="2:9">
      <c r="B71" s="406" t="s">
        <v>1403</v>
      </c>
      <c r="C71" s="407">
        <v>1</v>
      </c>
      <c r="D71" s="365">
        <v>533</v>
      </c>
      <c r="E71" s="405">
        <v>0.16</v>
      </c>
      <c r="F71" s="366">
        <f t="shared" si="4"/>
        <v>533</v>
      </c>
      <c r="G71" s="367">
        <f t="shared" si="5"/>
        <v>533</v>
      </c>
      <c r="H71" s="367">
        <f t="shared" si="8"/>
        <v>85</v>
      </c>
      <c r="I71" s="368">
        <f t="shared" si="7"/>
        <v>618</v>
      </c>
    </row>
    <row r="72" spans="2:9">
      <c r="B72" s="408" t="s">
        <v>1381</v>
      </c>
      <c r="C72" s="409">
        <v>1</v>
      </c>
      <c r="D72" s="365">
        <v>200</v>
      </c>
      <c r="E72" s="405">
        <v>0.16</v>
      </c>
      <c r="F72" s="366">
        <f t="shared" si="4"/>
        <v>200</v>
      </c>
      <c r="G72" s="367">
        <f t="shared" si="5"/>
        <v>200</v>
      </c>
      <c r="H72" s="367">
        <f t="shared" si="8"/>
        <v>32</v>
      </c>
      <c r="I72" s="368">
        <f t="shared" si="7"/>
        <v>232</v>
      </c>
    </row>
    <row r="73" spans="2:9">
      <c r="B73" s="408" t="s">
        <v>1404</v>
      </c>
      <c r="C73" s="409">
        <v>1</v>
      </c>
      <c r="D73" s="365">
        <v>4500</v>
      </c>
      <c r="E73" s="405">
        <v>0.16</v>
      </c>
      <c r="F73" s="366">
        <f t="shared" si="4"/>
        <v>4500</v>
      </c>
      <c r="G73" s="367">
        <f t="shared" si="5"/>
        <v>4500</v>
      </c>
      <c r="H73" s="367">
        <f t="shared" si="8"/>
        <v>720</v>
      </c>
      <c r="I73" s="368">
        <f t="shared" si="7"/>
        <v>5220</v>
      </c>
    </row>
    <row r="74" spans="2:9">
      <c r="B74" s="408" t="s">
        <v>1405</v>
      </c>
      <c r="C74" s="409">
        <v>1</v>
      </c>
      <c r="D74" s="365">
        <v>780</v>
      </c>
      <c r="E74" s="405">
        <v>0.16</v>
      </c>
      <c r="F74" s="366">
        <f t="shared" si="4"/>
        <v>780</v>
      </c>
      <c r="G74" s="367">
        <f t="shared" si="5"/>
        <v>780</v>
      </c>
      <c r="H74" s="367">
        <f t="shared" si="8"/>
        <v>125</v>
      </c>
      <c r="I74" s="368">
        <f t="shared" si="7"/>
        <v>905</v>
      </c>
    </row>
    <row r="75" spans="2:9">
      <c r="B75" s="408" t="s">
        <v>1384</v>
      </c>
      <c r="C75" s="409">
        <v>1</v>
      </c>
      <c r="D75" s="365">
        <v>10000</v>
      </c>
      <c r="E75" s="405">
        <v>0.16</v>
      </c>
      <c r="F75" s="366">
        <f t="shared" si="4"/>
        <v>10000</v>
      </c>
      <c r="G75" s="367">
        <f t="shared" si="5"/>
        <v>10000</v>
      </c>
      <c r="H75" s="367">
        <f t="shared" si="8"/>
        <v>1600</v>
      </c>
      <c r="I75" s="368">
        <f t="shared" si="7"/>
        <v>11600</v>
      </c>
    </row>
    <row r="76" spans="2:9">
      <c r="B76" s="408" t="s">
        <v>1406</v>
      </c>
      <c r="C76" s="409">
        <v>1</v>
      </c>
      <c r="D76" s="365">
        <v>528</v>
      </c>
      <c r="E76" s="405">
        <v>0.16</v>
      </c>
      <c r="F76" s="366">
        <f t="shared" si="4"/>
        <v>528</v>
      </c>
      <c r="G76" s="367">
        <f t="shared" si="5"/>
        <v>528</v>
      </c>
      <c r="H76" s="367">
        <f t="shared" si="8"/>
        <v>84</v>
      </c>
      <c r="I76" s="368">
        <f t="shared" si="7"/>
        <v>612</v>
      </c>
    </row>
    <row r="77" spans="2:9" ht="13.5" thickBot="1">
      <c r="B77" s="411" t="s">
        <v>1386</v>
      </c>
      <c r="C77" s="412">
        <v>1</v>
      </c>
      <c r="D77" s="370">
        <v>3744</v>
      </c>
      <c r="E77" s="416">
        <v>0.16</v>
      </c>
      <c r="F77" s="371">
        <f t="shared" si="4"/>
        <v>3744</v>
      </c>
      <c r="G77" s="372">
        <f t="shared" si="5"/>
        <v>3744</v>
      </c>
      <c r="H77" s="372">
        <f t="shared" si="8"/>
        <v>599</v>
      </c>
      <c r="I77" s="373">
        <f t="shared" si="7"/>
        <v>4343</v>
      </c>
    </row>
    <row r="79" spans="2:9" s="340" customFormat="1" ht="13.5" thickBot="1">
      <c r="B79" s="341"/>
      <c r="C79" s="342"/>
      <c r="D79" s="342"/>
      <c r="E79" s="343"/>
      <c r="F79" s="343"/>
      <c r="G79" s="343"/>
      <c r="H79" s="343"/>
      <c r="I79" s="344"/>
    </row>
    <row r="80" spans="2:9" s="340" customFormat="1">
      <c r="B80" s="345"/>
      <c r="C80" s="346"/>
      <c r="D80" s="346"/>
      <c r="E80" s="347"/>
      <c r="F80" s="347"/>
      <c r="G80" s="348"/>
      <c r="H80" s="349"/>
      <c r="I80" s="350"/>
    </row>
    <row r="81" spans="2:9" s="340" customFormat="1">
      <c r="B81" s="351"/>
      <c r="C81" s="352"/>
      <c r="D81" s="352"/>
      <c r="E81" s="352"/>
      <c r="F81" s="352"/>
      <c r="G81" s="353"/>
      <c r="H81" s="353"/>
      <c r="I81" s="354"/>
    </row>
    <row r="82" spans="2:9" s="340" customFormat="1">
      <c r="B82" s="351"/>
      <c r="C82" s="352"/>
      <c r="D82" s="352"/>
      <c r="E82" s="352"/>
      <c r="F82" s="352"/>
      <c r="G82" s="352"/>
      <c r="H82" s="355"/>
      <c r="I82" s="354"/>
    </row>
    <row r="83" spans="2:9" s="340" customFormat="1">
      <c r="B83" s="351"/>
      <c r="C83" s="352"/>
      <c r="D83" s="352"/>
      <c r="E83" s="352"/>
      <c r="F83" s="352"/>
      <c r="G83" s="352"/>
      <c r="H83" s="355"/>
      <c r="I83" s="354"/>
    </row>
    <row r="84" spans="2:9" s="340" customFormat="1">
      <c r="B84" s="351"/>
      <c r="I84" s="356"/>
    </row>
    <row r="85" spans="2:9" s="340" customFormat="1">
      <c r="B85" s="351"/>
      <c r="I85" s="356"/>
    </row>
    <row r="86" spans="2:9" s="340" customFormat="1" ht="13.5" thickBot="1">
      <c r="B86" s="357"/>
      <c r="C86" s="358"/>
      <c r="D86" s="358"/>
      <c r="E86" s="358"/>
      <c r="F86" s="358"/>
      <c r="G86" s="358"/>
      <c r="H86" s="358"/>
      <c r="I86" s="359"/>
    </row>
    <row r="87" spans="2:9" s="340" customFormat="1">
      <c r="B87" s="1112" t="s">
        <v>1351</v>
      </c>
      <c r="C87" s="1113"/>
      <c r="D87" s="1113"/>
      <c r="E87" s="1113"/>
      <c r="F87" s="1113"/>
      <c r="G87" s="1113"/>
      <c r="H87" s="1113"/>
      <c r="I87" s="1114"/>
    </row>
    <row r="88" spans="2:9" s="340" customFormat="1">
      <c r="B88" s="1115"/>
      <c r="C88" s="1116"/>
      <c r="D88" s="1116"/>
      <c r="E88" s="1116"/>
      <c r="F88" s="1116"/>
      <c r="G88" s="1116"/>
      <c r="H88" s="1116"/>
      <c r="I88" s="1117"/>
    </row>
    <row r="89" spans="2:9" s="340" customFormat="1">
      <c r="B89" s="1108" t="s">
        <v>1407</v>
      </c>
      <c r="C89" s="1109"/>
      <c r="D89" s="1109"/>
      <c r="E89" s="1109"/>
      <c r="F89" s="1109" t="s">
        <v>1353</v>
      </c>
      <c r="G89" s="1109"/>
      <c r="H89" s="1122" t="s">
        <v>1354</v>
      </c>
      <c r="I89" s="1111"/>
    </row>
    <row r="90" spans="2:9" s="340" customFormat="1">
      <c r="B90" s="1118" t="s">
        <v>1355</v>
      </c>
      <c r="C90" s="1119"/>
      <c r="D90" s="1119"/>
      <c r="E90" s="1119"/>
      <c r="F90" s="1109" t="s">
        <v>1356</v>
      </c>
      <c r="G90" s="1109"/>
      <c r="H90" s="1120" t="s">
        <v>1357</v>
      </c>
      <c r="I90" s="1121"/>
    </row>
    <row r="91" spans="2:9" s="413" customFormat="1">
      <c r="B91" s="397"/>
      <c r="C91" s="398"/>
      <c r="D91" s="398"/>
      <c r="E91" s="398"/>
      <c r="F91" s="399"/>
      <c r="G91" s="399"/>
      <c r="H91" s="400"/>
      <c r="I91" s="401"/>
    </row>
    <row r="92" spans="2:9" s="340" customFormat="1">
      <c r="B92" s="377" t="s">
        <v>1444</v>
      </c>
      <c r="I92" s="356"/>
    </row>
    <row r="93" spans="2:9" s="340" customFormat="1">
      <c r="B93" s="377" t="s">
        <v>1445</v>
      </c>
      <c r="I93" s="356"/>
    </row>
    <row r="94" spans="2:9">
      <c r="B94" s="381"/>
      <c r="C94" s="382"/>
      <c r="D94" s="382"/>
      <c r="E94" s="382"/>
      <c r="F94" s="382"/>
      <c r="G94" s="382"/>
      <c r="H94" s="382"/>
      <c r="I94" s="402"/>
    </row>
    <row r="95" spans="2:9" ht="25.5">
      <c r="B95" s="360" t="s">
        <v>1358</v>
      </c>
      <c r="C95" s="361" t="s">
        <v>1359</v>
      </c>
      <c r="D95" s="361" t="s">
        <v>1360</v>
      </c>
      <c r="E95" s="361" t="s">
        <v>1361</v>
      </c>
      <c r="F95" s="361" t="s">
        <v>1408</v>
      </c>
      <c r="G95" s="361" t="s">
        <v>1363</v>
      </c>
      <c r="H95" s="361" t="s">
        <v>1364</v>
      </c>
      <c r="I95" s="362" t="s">
        <v>1365</v>
      </c>
    </row>
    <row r="96" spans="2:9">
      <c r="B96" s="404" t="s">
        <v>1392</v>
      </c>
      <c r="C96" s="364">
        <v>1</v>
      </c>
      <c r="D96" s="365">
        <f>2300/1.16</f>
        <v>1982.7586206896553</v>
      </c>
      <c r="E96" s="405">
        <v>0.16</v>
      </c>
      <c r="F96" s="366">
        <f>ROUND((E96+D96),0)</f>
        <v>1983</v>
      </c>
      <c r="G96" s="367">
        <f>ROUND(D96*C96,0)</f>
        <v>1983</v>
      </c>
      <c r="H96" s="367">
        <f>ROUND(G96*16%,0)</f>
        <v>317</v>
      </c>
      <c r="I96" s="368">
        <f>ROUND(G96+H96,0)</f>
        <v>2300</v>
      </c>
    </row>
    <row r="97" spans="2:9">
      <c r="B97" s="404" t="s">
        <v>1367</v>
      </c>
      <c r="C97" s="364">
        <v>1</v>
      </c>
      <c r="D97" s="365">
        <f>(4500/6)/1.16</f>
        <v>646.55172413793105</v>
      </c>
      <c r="E97" s="405">
        <v>0.16</v>
      </c>
      <c r="F97" s="366">
        <f t="shared" ref="F97:F116" si="10">ROUND((E97+D97),0)</f>
        <v>647</v>
      </c>
      <c r="G97" s="367">
        <f t="shared" ref="G97:G116" si="11">ROUND(D97*C97,0)</f>
        <v>647</v>
      </c>
      <c r="H97" s="367">
        <f t="shared" ref="H97" si="12">ROUND(G97*16%,0)</f>
        <v>104</v>
      </c>
      <c r="I97" s="368">
        <f t="shared" ref="I97:I116" si="13">ROUND(G97+H97,0)</f>
        <v>751</v>
      </c>
    </row>
    <row r="98" spans="2:9">
      <c r="B98" s="404" t="s">
        <v>1393</v>
      </c>
      <c r="C98" s="364">
        <v>1</v>
      </c>
      <c r="D98" s="365">
        <v>3600</v>
      </c>
      <c r="E98" s="405">
        <v>0</v>
      </c>
      <c r="F98" s="366">
        <f t="shared" si="10"/>
        <v>3600</v>
      </c>
      <c r="G98" s="367">
        <f t="shared" si="11"/>
        <v>3600</v>
      </c>
      <c r="H98" s="367">
        <f>ROUND(G98*0%,0)</f>
        <v>0</v>
      </c>
      <c r="I98" s="368">
        <f t="shared" si="13"/>
        <v>3600</v>
      </c>
    </row>
    <row r="99" spans="2:9">
      <c r="B99" s="404" t="s">
        <v>1369</v>
      </c>
      <c r="C99" s="379">
        <v>1</v>
      </c>
      <c r="D99" s="365">
        <f>2086/1.16</f>
        <v>1798.2758620689656</v>
      </c>
      <c r="E99" s="405">
        <v>0.16</v>
      </c>
      <c r="F99" s="366">
        <f t="shared" si="10"/>
        <v>1798</v>
      </c>
      <c r="G99" s="367">
        <f t="shared" si="11"/>
        <v>1798</v>
      </c>
      <c r="H99" s="367">
        <f t="shared" ref="H99:H116" si="14">ROUND(G99*16%,0)</f>
        <v>288</v>
      </c>
      <c r="I99" s="368">
        <f t="shared" si="13"/>
        <v>2086</v>
      </c>
    </row>
    <row r="100" spans="2:9" ht="25.5">
      <c r="B100" s="414" t="s">
        <v>1394</v>
      </c>
      <c r="C100" s="378">
        <v>1</v>
      </c>
      <c r="D100" s="365">
        <f>6630/50</f>
        <v>132.6</v>
      </c>
      <c r="E100" s="405">
        <v>0</v>
      </c>
      <c r="F100" s="366">
        <f t="shared" si="10"/>
        <v>133</v>
      </c>
      <c r="G100" s="367">
        <f t="shared" si="11"/>
        <v>133</v>
      </c>
      <c r="H100" s="367">
        <f>ROUND(G100*0%,0)</f>
        <v>0</v>
      </c>
      <c r="I100" s="368">
        <f>ROUND(G100+H100,0)*10</f>
        <v>1330</v>
      </c>
    </row>
    <row r="101" spans="2:9" ht="25.5">
      <c r="B101" s="414" t="s">
        <v>1395</v>
      </c>
      <c r="C101" s="378">
        <v>1</v>
      </c>
      <c r="D101" s="365">
        <v>0</v>
      </c>
      <c r="E101" s="405">
        <v>0</v>
      </c>
      <c r="F101" s="366">
        <f t="shared" si="10"/>
        <v>0</v>
      </c>
      <c r="G101" s="367">
        <f t="shared" si="11"/>
        <v>0</v>
      </c>
      <c r="H101" s="367">
        <f>ROUND(G101*0%,0)</f>
        <v>0</v>
      </c>
      <c r="I101" s="368">
        <f t="shared" si="13"/>
        <v>0</v>
      </c>
    </row>
    <row r="102" spans="2:9">
      <c r="B102" s="406" t="s">
        <v>1396</v>
      </c>
      <c r="C102" s="407">
        <v>1</v>
      </c>
      <c r="D102" s="365">
        <f>2600/4</f>
        <v>650</v>
      </c>
      <c r="E102" s="405">
        <v>0</v>
      </c>
      <c r="F102" s="366">
        <f t="shared" si="10"/>
        <v>650</v>
      </c>
      <c r="G102" s="367">
        <f t="shared" si="11"/>
        <v>650</v>
      </c>
      <c r="H102" s="367">
        <f>ROUND(G102*0%,0)</f>
        <v>0</v>
      </c>
      <c r="I102" s="368">
        <f t="shared" si="13"/>
        <v>650</v>
      </c>
    </row>
    <row r="103" spans="2:9">
      <c r="B103" s="406" t="s">
        <v>1397</v>
      </c>
      <c r="C103" s="407">
        <v>1</v>
      </c>
      <c r="D103" s="365">
        <f>1800/4</f>
        <v>450</v>
      </c>
      <c r="E103" s="405">
        <v>0.16</v>
      </c>
      <c r="F103" s="366">
        <f t="shared" si="10"/>
        <v>450</v>
      </c>
      <c r="G103" s="367">
        <f t="shared" si="11"/>
        <v>450</v>
      </c>
      <c r="H103" s="367">
        <f t="shared" si="14"/>
        <v>72</v>
      </c>
      <c r="I103" s="368">
        <f t="shared" si="13"/>
        <v>522</v>
      </c>
    </row>
    <row r="104" spans="2:9">
      <c r="B104" s="406" t="s">
        <v>1374</v>
      </c>
      <c r="C104" s="407">
        <v>1</v>
      </c>
      <c r="D104" s="365">
        <f>1300/1.16</f>
        <v>1120.6896551724139</v>
      </c>
      <c r="E104" s="405">
        <v>0.16</v>
      </c>
      <c r="F104" s="366">
        <f t="shared" si="10"/>
        <v>1121</v>
      </c>
      <c r="G104" s="367">
        <f t="shared" si="11"/>
        <v>1121</v>
      </c>
      <c r="H104" s="367">
        <f t="shared" si="14"/>
        <v>179</v>
      </c>
      <c r="I104" s="368">
        <f t="shared" si="13"/>
        <v>1300</v>
      </c>
    </row>
    <row r="105" spans="2:9">
      <c r="B105" s="415" t="s">
        <v>1398</v>
      </c>
      <c r="C105" s="407">
        <v>1</v>
      </c>
      <c r="D105" s="365">
        <v>7400</v>
      </c>
      <c r="E105" s="405">
        <v>0</v>
      </c>
      <c r="F105" s="366">
        <f t="shared" si="10"/>
        <v>7400</v>
      </c>
      <c r="G105" s="367">
        <f t="shared" si="11"/>
        <v>7400</v>
      </c>
      <c r="H105" s="367">
        <f>ROUND(G105*0%,0)</f>
        <v>0</v>
      </c>
      <c r="I105" s="368">
        <f t="shared" si="13"/>
        <v>7400</v>
      </c>
    </row>
    <row r="106" spans="2:9">
      <c r="B106" s="415" t="s">
        <v>1399</v>
      </c>
      <c r="C106" s="407">
        <v>1</v>
      </c>
      <c r="D106" s="365"/>
      <c r="E106" s="405">
        <v>0</v>
      </c>
      <c r="F106" s="366">
        <f t="shared" si="10"/>
        <v>0</v>
      </c>
      <c r="G106" s="367">
        <f t="shared" si="11"/>
        <v>0</v>
      </c>
      <c r="H106" s="367">
        <f t="shared" ref="H106:H107" si="15">ROUND(G106*0%,0)</f>
        <v>0</v>
      </c>
      <c r="I106" s="368">
        <f t="shared" si="13"/>
        <v>0</v>
      </c>
    </row>
    <row r="107" spans="2:9">
      <c r="B107" s="415" t="s">
        <v>1400</v>
      </c>
      <c r="C107" s="407">
        <v>1</v>
      </c>
      <c r="D107" s="365">
        <f>3650/35</f>
        <v>104.28571428571429</v>
      </c>
      <c r="E107" s="405">
        <v>0</v>
      </c>
      <c r="F107" s="366">
        <f t="shared" si="10"/>
        <v>104</v>
      </c>
      <c r="G107" s="367">
        <f t="shared" si="11"/>
        <v>104</v>
      </c>
      <c r="H107" s="367">
        <f t="shared" si="15"/>
        <v>0</v>
      </c>
      <c r="I107" s="368">
        <f>ROUND(G107+H107,0)*35</f>
        <v>3640</v>
      </c>
    </row>
    <row r="108" spans="2:9">
      <c r="B108" s="406" t="s">
        <v>1401</v>
      </c>
      <c r="C108" s="407">
        <v>1</v>
      </c>
      <c r="D108" s="365">
        <f>4400/1.16</f>
        <v>3793.1034482758623</v>
      </c>
      <c r="E108" s="405">
        <v>0.16</v>
      </c>
      <c r="F108" s="366">
        <f t="shared" si="10"/>
        <v>3793</v>
      </c>
      <c r="G108" s="367">
        <f t="shared" si="11"/>
        <v>3793</v>
      </c>
      <c r="H108" s="367">
        <f t="shared" si="14"/>
        <v>607</v>
      </c>
      <c r="I108" s="368">
        <f t="shared" si="13"/>
        <v>4400</v>
      </c>
    </row>
    <row r="109" spans="2:9">
      <c r="B109" s="406" t="s">
        <v>1402</v>
      </c>
      <c r="C109" s="407">
        <v>1</v>
      </c>
      <c r="D109" s="365">
        <f>3100/1.16</f>
        <v>2672.4137931034484</v>
      </c>
      <c r="E109" s="405">
        <v>0.16</v>
      </c>
      <c r="F109" s="366">
        <f t="shared" si="10"/>
        <v>2673</v>
      </c>
      <c r="G109" s="367">
        <f t="shared" si="11"/>
        <v>2672</v>
      </c>
      <c r="H109" s="367">
        <f t="shared" si="14"/>
        <v>428</v>
      </c>
      <c r="I109" s="368">
        <f t="shared" si="13"/>
        <v>3100</v>
      </c>
    </row>
    <row r="110" spans="2:9">
      <c r="B110" s="406" t="s">
        <v>1403</v>
      </c>
      <c r="C110" s="407">
        <v>1</v>
      </c>
      <c r="D110" s="365">
        <v>1000</v>
      </c>
      <c r="E110" s="405">
        <v>0.16</v>
      </c>
      <c r="F110" s="366">
        <f t="shared" si="10"/>
        <v>1000</v>
      </c>
      <c r="G110" s="367">
        <f t="shared" si="11"/>
        <v>1000</v>
      </c>
      <c r="H110" s="367">
        <f t="shared" si="14"/>
        <v>160</v>
      </c>
      <c r="I110" s="368">
        <f>ROUND(G110+H110,0)</f>
        <v>1160</v>
      </c>
    </row>
    <row r="111" spans="2:9">
      <c r="B111" s="408" t="s">
        <v>1381</v>
      </c>
      <c r="C111" s="409">
        <v>1</v>
      </c>
      <c r="D111" s="365"/>
      <c r="E111" s="405">
        <v>0.16</v>
      </c>
      <c r="F111" s="366">
        <f t="shared" si="10"/>
        <v>0</v>
      </c>
      <c r="G111" s="367">
        <f t="shared" si="11"/>
        <v>0</v>
      </c>
      <c r="H111" s="367">
        <f t="shared" si="14"/>
        <v>0</v>
      </c>
      <c r="I111" s="368">
        <f t="shared" si="13"/>
        <v>0</v>
      </c>
    </row>
    <row r="112" spans="2:9">
      <c r="B112" s="408" t="s">
        <v>1409</v>
      </c>
      <c r="C112" s="409">
        <v>1</v>
      </c>
      <c r="D112" s="365">
        <f>(4400/225)*200</f>
        <v>3911.1111111111113</v>
      </c>
      <c r="E112" s="405">
        <v>0.16</v>
      </c>
      <c r="F112" s="366">
        <f t="shared" si="10"/>
        <v>3911</v>
      </c>
      <c r="G112" s="367">
        <f t="shared" si="11"/>
        <v>3911</v>
      </c>
      <c r="H112" s="367">
        <f t="shared" si="14"/>
        <v>626</v>
      </c>
      <c r="I112" s="368">
        <f t="shared" si="13"/>
        <v>4537</v>
      </c>
    </row>
    <row r="113" spans="2:9">
      <c r="B113" s="408" t="s">
        <v>1405</v>
      </c>
      <c r="C113" s="409">
        <v>1</v>
      </c>
      <c r="D113" s="365"/>
      <c r="E113" s="405">
        <v>0.16</v>
      </c>
      <c r="F113" s="366">
        <f t="shared" si="10"/>
        <v>0</v>
      </c>
      <c r="G113" s="367">
        <f t="shared" si="11"/>
        <v>0</v>
      </c>
      <c r="H113" s="367">
        <f t="shared" si="14"/>
        <v>0</v>
      </c>
      <c r="I113" s="368">
        <f t="shared" si="13"/>
        <v>0</v>
      </c>
    </row>
    <row r="114" spans="2:9">
      <c r="B114" s="408" t="s">
        <v>1384</v>
      </c>
      <c r="C114" s="409">
        <v>1</v>
      </c>
      <c r="D114" s="365"/>
      <c r="E114" s="405">
        <v>0.16</v>
      </c>
      <c r="F114" s="366">
        <f t="shared" si="10"/>
        <v>0</v>
      </c>
      <c r="G114" s="367">
        <f t="shared" si="11"/>
        <v>0</v>
      </c>
      <c r="H114" s="367">
        <f t="shared" si="14"/>
        <v>0</v>
      </c>
      <c r="I114" s="368">
        <f t="shared" si="13"/>
        <v>0</v>
      </c>
    </row>
    <row r="115" spans="2:9">
      <c r="B115" s="408" t="s">
        <v>1406</v>
      </c>
      <c r="C115" s="409">
        <v>1</v>
      </c>
      <c r="D115" s="365">
        <v>1400</v>
      </c>
      <c r="E115" s="405">
        <v>0.16</v>
      </c>
      <c r="F115" s="366">
        <f t="shared" si="10"/>
        <v>1400</v>
      </c>
      <c r="G115" s="367">
        <f t="shared" si="11"/>
        <v>1400</v>
      </c>
      <c r="H115" s="367">
        <f t="shared" si="14"/>
        <v>224</v>
      </c>
      <c r="I115" s="368">
        <f t="shared" si="13"/>
        <v>1624</v>
      </c>
    </row>
    <row r="116" spans="2:9" ht="13.5" thickBot="1">
      <c r="B116" s="411" t="s">
        <v>1386</v>
      </c>
      <c r="C116" s="412">
        <v>1</v>
      </c>
      <c r="D116" s="370"/>
      <c r="E116" s="416">
        <v>0.16</v>
      </c>
      <c r="F116" s="371">
        <f t="shared" si="10"/>
        <v>0</v>
      </c>
      <c r="G116" s="372">
        <f t="shared" si="11"/>
        <v>0</v>
      </c>
      <c r="H116" s="372">
        <f t="shared" si="14"/>
        <v>0</v>
      </c>
      <c r="I116" s="373">
        <f t="shared" si="13"/>
        <v>0</v>
      </c>
    </row>
    <row r="117" spans="2:9" ht="13.5" thickBot="1"/>
    <row r="118" spans="2:9" s="340" customFormat="1">
      <c r="B118" s="345"/>
      <c r="C118" s="346"/>
      <c r="D118" s="346"/>
      <c r="E118" s="347"/>
      <c r="F118" s="347"/>
      <c r="G118" s="348"/>
      <c r="H118" s="349"/>
      <c r="I118" s="350"/>
    </row>
    <row r="119" spans="2:9" s="340" customFormat="1">
      <c r="B119" s="351"/>
      <c r="C119" s="352"/>
      <c r="D119" s="352"/>
      <c r="E119" s="352"/>
      <c r="F119" s="352"/>
      <c r="G119" s="353"/>
      <c r="H119" s="353"/>
      <c r="I119" s="354"/>
    </row>
    <row r="120" spans="2:9" s="340" customFormat="1">
      <c r="B120" s="351"/>
      <c r="C120" s="352"/>
      <c r="D120" s="352"/>
      <c r="E120" s="352"/>
      <c r="F120" s="352"/>
      <c r="G120" s="352"/>
      <c r="H120" s="355"/>
      <c r="I120" s="354"/>
    </row>
    <row r="121" spans="2:9" s="340" customFormat="1">
      <c r="B121" s="351"/>
      <c r="C121" s="352"/>
      <c r="D121" s="352"/>
      <c r="E121" s="352"/>
      <c r="F121" s="352"/>
      <c r="G121" s="352"/>
      <c r="H121" s="355"/>
      <c r="I121" s="354"/>
    </row>
    <row r="122" spans="2:9" s="340" customFormat="1">
      <c r="B122" s="351"/>
      <c r="I122" s="356"/>
    </row>
    <row r="123" spans="2:9" s="340" customFormat="1">
      <c r="B123" s="351"/>
      <c r="I123" s="356"/>
    </row>
    <row r="124" spans="2:9" s="340" customFormat="1" ht="13.5" thickBot="1">
      <c r="B124" s="357"/>
      <c r="C124" s="358"/>
      <c r="D124" s="358"/>
      <c r="E124" s="358"/>
      <c r="F124" s="358"/>
      <c r="G124" s="358"/>
      <c r="H124" s="358"/>
      <c r="I124" s="359"/>
    </row>
    <row r="125" spans="2:9" s="340" customFormat="1">
      <c r="B125" s="1112" t="s">
        <v>1351</v>
      </c>
      <c r="C125" s="1113"/>
      <c r="D125" s="1113"/>
      <c r="E125" s="1113"/>
      <c r="F125" s="1113"/>
      <c r="G125" s="1113"/>
      <c r="H125" s="1113"/>
      <c r="I125" s="1114"/>
    </row>
    <row r="126" spans="2:9" s="340" customFormat="1">
      <c r="B126" s="1115"/>
      <c r="C126" s="1116"/>
      <c r="D126" s="1116"/>
      <c r="E126" s="1116"/>
      <c r="F126" s="1116"/>
      <c r="G126" s="1116"/>
      <c r="H126" s="1116"/>
      <c r="I126" s="1117"/>
    </row>
    <row r="127" spans="2:9" s="340" customFormat="1">
      <c r="B127" s="1108" t="s">
        <v>1410</v>
      </c>
      <c r="C127" s="1109"/>
      <c r="D127" s="1109"/>
      <c r="E127" s="1109"/>
      <c r="F127" s="1109" t="s">
        <v>1411</v>
      </c>
      <c r="G127" s="1109"/>
      <c r="H127" s="1122" t="s">
        <v>1412</v>
      </c>
      <c r="I127" s="1111"/>
    </row>
    <row r="128" spans="2:9" s="340" customFormat="1">
      <c r="B128" s="1118" t="s">
        <v>1355</v>
      </c>
      <c r="C128" s="1119"/>
      <c r="D128" s="1119"/>
      <c r="E128" s="1119"/>
      <c r="F128" s="1109" t="s">
        <v>1356</v>
      </c>
      <c r="G128" s="1109"/>
      <c r="H128" s="1120" t="s">
        <v>1357</v>
      </c>
      <c r="I128" s="1121"/>
    </row>
    <row r="129" spans="2:9" s="413" customFormat="1">
      <c r="B129" s="397"/>
      <c r="C129" s="398"/>
      <c r="D129" s="398"/>
      <c r="E129" s="398"/>
      <c r="F129" s="399"/>
      <c r="G129" s="399"/>
      <c r="H129" s="400"/>
      <c r="I129" s="401"/>
    </row>
    <row r="130" spans="2:9" s="340" customFormat="1">
      <c r="B130" s="377" t="s">
        <v>1444</v>
      </c>
      <c r="I130" s="356"/>
    </row>
    <row r="131" spans="2:9" s="340" customFormat="1">
      <c r="B131" s="377" t="s">
        <v>1445</v>
      </c>
      <c r="I131" s="356"/>
    </row>
    <row r="132" spans="2:9">
      <c r="B132" s="381"/>
      <c r="C132" s="382"/>
      <c r="D132" s="382"/>
      <c r="E132" s="382"/>
      <c r="F132" s="382"/>
      <c r="G132" s="382"/>
      <c r="H132" s="382"/>
      <c r="I132" s="402"/>
    </row>
    <row r="133" spans="2:9" ht="25.5">
      <c r="B133" s="360" t="s">
        <v>1358</v>
      </c>
      <c r="C133" s="361" t="s">
        <v>1359</v>
      </c>
      <c r="D133" s="361" t="s">
        <v>1360</v>
      </c>
      <c r="E133" s="361" t="s">
        <v>1361</v>
      </c>
      <c r="F133" s="361" t="s">
        <v>1413</v>
      </c>
      <c r="G133" s="361" t="s">
        <v>1363</v>
      </c>
      <c r="H133" s="361" t="s">
        <v>1364</v>
      </c>
      <c r="I133" s="362" t="s">
        <v>1365</v>
      </c>
    </row>
    <row r="134" spans="2:9">
      <c r="B134" s="404" t="s">
        <v>1392</v>
      </c>
      <c r="C134" s="364">
        <v>1</v>
      </c>
      <c r="D134" s="365">
        <v>1116</v>
      </c>
      <c r="E134" s="405">
        <v>0.16</v>
      </c>
      <c r="F134" s="366">
        <f>ROUND((E134+D134),0)</f>
        <v>1116</v>
      </c>
      <c r="G134" s="367">
        <f>ROUND(D134*C134,0)</f>
        <v>1116</v>
      </c>
      <c r="H134" s="367">
        <f>ROUND(G134*16%,0)</f>
        <v>179</v>
      </c>
      <c r="I134" s="368">
        <f>ROUND(G134+H134,0)</f>
        <v>1295</v>
      </c>
    </row>
    <row r="135" spans="2:9">
      <c r="B135" s="404" t="s">
        <v>1367</v>
      </c>
      <c r="C135" s="364">
        <v>1</v>
      </c>
      <c r="D135" s="365">
        <v>3100</v>
      </c>
      <c r="E135" s="405">
        <v>0.16</v>
      </c>
      <c r="F135" s="366">
        <f t="shared" ref="F135:F154" si="16">ROUND((E135+D135),0)</f>
        <v>3100</v>
      </c>
      <c r="G135" s="367">
        <f t="shared" ref="G135:G154" si="17">ROUND(D135*C135,0)</f>
        <v>3100</v>
      </c>
      <c r="H135" s="367">
        <f t="shared" ref="H135" si="18">ROUND(G135*16%,0)</f>
        <v>496</v>
      </c>
      <c r="I135" s="368">
        <f>ROUND(G135+H135,0)/6</f>
        <v>599.33333333333337</v>
      </c>
    </row>
    <row r="136" spans="2:9">
      <c r="B136" s="404" t="s">
        <v>1393</v>
      </c>
      <c r="C136" s="364">
        <v>1</v>
      </c>
      <c r="D136" s="365">
        <v>1158</v>
      </c>
      <c r="E136" s="405">
        <v>0</v>
      </c>
      <c r="F136" s="366">
        <f t="shared" si="16"/>
        <v>1158</v>
      </c>
      <c r="G136" s="367">
        <f t="shared" si="17"/>
        <v>1158</v>
      </c>
      <c r="H136" s="367">
        <f>ROUND(G136*0%,0)</f>
        <v>0</v>
      </c>
      <c r="I136" s="368">
        <f t="shared" ref="I136:I154" si="19">ROUND(G136+H136,0)</f>
        <v>1158</v>
      </c>
    </row>
    <row r="137" spans="2:9">
      <c r="B137" s="404" t="s">
        <v>1369</v>
      </c>
      <c r="C137" s="379">
        <v>1</v>
      </c>
      <c r="D137" s="365">
        <v>1800</v>
      </c>
      <c r="E137" s="405">
        <v>0.16</v>
      </c>
      <c r="F137" s="366">
        <f t="shared" si="16"/>
        <v>1800</v>
      </c>
      <c r="G137" s="367">
        <f t="shared" si="17"/>
        <v>1800</v>
      </c>
      <c r="H137" s="367">
        <f t="shared" ref="H137:H154" si="20">ROUND(G137*16%,0)</f>
        <v>288</v>
      </c>
      <c r="I137" s="368">
        <f t="shared" si="19"/>
        <v>2088</v>
      </c>
    </row>
    <row r="138" spans="2:9" ht="25.5">
      <c r="B138" s="414" t="s">
        <v>1394</v>
      </c>
      <c r="C138" s="378">
        <v>1</v>
      </c>
      <c r="D138" s="365">
        <v>1000</v>
      </c>
      <c r="E138" s="405">
        <v>0</v>
      </c>
      <c r="F138" s="366">
        <f t="shared" si="16"/>
        <v>1000</v>
      </c>
      <c r="G138" s="367">
        <f t="shared" si="17"/>
        <v>1000</v>
      </c>
      <c r="H138" s="367">
        <f>ROUND(G138*0%,0)</f>
        <v>0</v>
      </c>
      <c r="I138" s="368">
        <f t="shared" si="19"/>
        <v>1000</v>
      </c>
    </row>
    <row r="139" spans="2:9" ht="25.5">
      <c r="B139" s="414" t="s">
        <v>1395</v>
      </c>
      <c r="C139" s="378">
        <v>1</v>
      </c>
      <c r="D139" s="365">
        <v>1000</v>
      </c>
      <c r="E139" s="405">
        <v>0</v>
      </c>
      <c r="F139" s="366">
        <f t="shared" si="16"/>
        <v>1000</v>
      </c>
      <c r="G139" s="367">
        <f t="shared" si="17"/>
        <v>1000</v>
      </c>
      <c r="H139" s="367">
        <f>ROUND(G139*0%,0)</f>
        <v>0</v>
      </c>
      <c r="I139" s="368">
        <f t="shared" si="19"/>
        <v>1000</v>
      </c>
    </row>
    <row r="140" spans="2:9">
      <c r="B140" s="406" t="s">
        <v>1396</v>
      </c>
      <c r="C140" s="407">
        <v>1</v>
      </c>
      <c r="D140" s="365">
        <v>550</v>
      </c>
      <c r="E140" s="405">
        <v>0</v>
      </c>
      <c r="F140" s="366">
        <f t="shared" si="16"/>
        <v>550</v>
      </c>
      <c r="G140" s="367">
        <f t="shared" si="17"/>
        <v>550</v>
      </c>
      <c r="H140" s="367">
        <f>ROUND(G140*0%,0)</f>
        <v>0</v>
      </c>
      <c r="I140" s="368">
        <f t="shared" si="19"/>
        <v>550</v>
      </c>
    </row>
    <row r="141" spans="2:9">
      <c r="B141" s="406" t="s">
        <v>1397</v>
      </c>
      <c r="C141" s="407">
        <v>1</v>
      </c>
      <c r="D141" s="365">
        <v>280</v>
      </c>
      <c r="E141" s="405">
        <v>0.16</v>
      </c>
      <c r="F141" s="366">
        <f t="shared" si="16"/>
        <v>280</v>
      </c>
      <c r="G141" s="367">
        <f t="shared" si="17"/>
        <v>280</v>
      </c>
      <c r="H141" s="367">
        <f t="shared" si="20"/>
        <v>45</v>
      </c>
      <c r="I141" s="368">
        <f t="shared" si="19"/>
        <v>325</v>
      </c>
    </row>
    <row r="142" spans="2:9">
      <c r="B142" s="406" t="s">
        <v>1374</v>
      </c>
      <c r="C142" s="407">
        <v>1</v>
      </c>
      <c r="D142" s="365">
        <v>380</v>
      </c>
      <c r="E142" s="405">
        <v>0.16</v>
      </c>
      <c r="F142" s="366">
        <f t="shared" si="16"/>
        <v>380</v>
      </c>
      <c r="G142" s="367">
        <f t="shared" si="17"/>
        <v>380</v>
      </c>
      <c r="H142" s="367">
        <f t="shared" si="20"/>
        <v>61</v>
      </c>
      <c r="I142" s="368">
        <f t="shared" si="19"/>
        <v>441</v>
      </c>
    </row>
    <row r="143" spans="2:9">
      <c r="B143" s="415" t="s">
        <v>1398</v>
      </c>
      <c r="C143" s="407">
        <v>1</v>
      </c>
      <c r="D143" s="365">
        <v>3500</v>
      </c>
      <c r="E143" s="405">
        <v>0</v>
      </c>
      <c r="F143" s="366">
        <f t="shared" si="16"/>
        <v>3500</v>
      </c>
      <c r="G143" s="367">
        <f t="shared" si="17"/>
        <v>3500</v>
      </c>
      <c r="H143" s="367">
        <f>ROUND(G143*0%,0)</f>
        <v>0</v>
      </c>
      <c r="I143" s="368">
        <f t="shared" si="19"/>
        <v>3500</v>
      </c>
    </row>
    <row r="144" spans="2:9">
      <c r="B144" s="415" t="s">
        <v>1399</v>
      </c>
      <c r="C144" s="407">
        <v>1</v>
      </c>
      <c r="D144" s="365">
        <v>2100</v>
      </c>
      <c r="E144" s="405">
        <v>0</v>
      </c>
      <c r="F144" s="366">
        <f t="shared" si="16"/>
        <v>2100</v>
      </c>
      <c r="G144" s="367">
        <f t="shared" si="17"/>
        <v>2100</v>
      </c>
      <c r="H144" s="367">
        <f t="shared" ref="H144:H145" si="21">ROUND(G144*0%,0)</f>
        <v>0</v>
      </c>
      <c r="I144" s="368">
        <f t="shared" si="19"/>
        <v>2100</v>
      </c>
    </row>
    <row r="145" spans="2:9">
      <c r="B145" s="415" t="s">
        <v>1400</v>
      </c>
      <c r="C145" s="407">
        <v>1</v>
      </c>
      <c r="D145" s="365">
        <f>1800/35</f>
        <v>51.428571428571431</v>
      </c>
      <c r="E145" s="405">
        <v>0</v>
      </c>
      <c r="F145" s="366">
        <f t="shared" si="16"/>
        <v>51</v>
      </c>
      <c r="G145" s="367">
        <f t="shared" si="17"/>
        <v>51</v>
      </c>
      <c r="H145" s="367">
        <f t="shared" si="21"/>
        <v>0</v>
      </c>
      <c r="I145" s="368">
        <f>ROUND(G145+H145,0)*35</f>
        <v>1785</v>
      </c>
    </row>
    <row r="146" spans="2:9">
      <c r="B146" s="406" t="s">
        <v>1401</v>
      </c>
      <c r="C146" s="407">
        <v>1</v>
      </c>
      <c r="D146" s="365">
        <v>1370</v>
      </c>
      <c r="E146" s="405">
        <v>0.16</v>
      </c>
      <c r="F146" s="366">
        <f t="shared" si="16"/>
        <v>1370</v>
      </c>
      <c r="G146" s="367">
        <f t="shared" si="17"/>
        <v>1370</v>
      </c>
      <c r="H146" s="367">
        <f t="shared" si="20"/>
        <v>219</v>
      </c>
      <c r="I146" s="368">
        <f t="shared" si="19"/>
        <v>1589</v>
      </c>
    </row>
    <row r="147" spans="2:9">
      <c r="B147" s="406" t="s">
        <v>1402</v>
      </c>
      <c r="C147" s="407">
        <v>1</v>
      </c>
      <c r="D147" s="365">
        <v>700</v>
      </c>
      <c r="E147" s="405">
        <v>0.16</v>
      </c>
      <c r="F147" s="366">
        <f t="shared" si="16"/>
        <v>700</v>
      </c>
      <c r="G147" s="367">
        <f t="shared" si="17"/>
        <v>700</v>
      </c>
      <c r="H147" s="367">
        <f t="shared" si="20"/>
        <v>112</v>
      </c>
      <c r="I147" s="368">
        <f t="shared" si="19"/>
        <v>812</v>
      </c>
    </row>
    <row r="148" spans="2:9">
      <c r="B148" s="406" t="s">
        <v>1403</v>
      </c>
      <c r="C148" s="407">
        <v>1</v>
      </c>
      <c r="D148" s="365">
        <v>1150</v>
      </c>
      <c r="E148" s="405">
        <v>0.16</v>
      </c>
      <c r="F148" s="366">
        <f t="shared" si="16"/>
        <v>1150</v>
      </c>
      <c r="G148" s="367">
        <f t="shared" si="17"/>
        <v>1150</v>
      </c>
      <c r="H148" s="367">
        <f t="shared" si="20"/>
        <v>184</v>
      </c>
      <c r="I148" s="368">
        <f t="shared" si="19"/>
        <v>1334</v>
      </c>
    </row>
    <row r="149" spans="2:9">
      <c r="B149" s="408" t="s">
        <v>1381</v>
      </c>
      <c r="C149" s="409">
        <v>1</v>
      </c>
      <c r="D149" s="365">
        <v>160</v>
      </c>
      <c r="E149" s="405">
        <v>0.16</v>
      </c>
      <c r="F149" s="366">
        <f t="shared" si="16"/>
        <v>160</v>
      </c>
      <c r="G149" s="367">
        <f t="shared" si="17"/>
        <v>160</v>
      </c>
      <c r="H149" s="367">
        <f t="shared" si="20"/>
        <v>26</v>
      </c>
      <c r="I149" s="368">
        <f t="shared" si="19"/>
        <v>186</v>
      </c>
    </row>
    <row r="150" spans="2:9">
      <c r="B150" s="408" t="s">
        <v>1404</v>
      </c>
      <c r="C150" s="409">
        <v>1</v>
      </c>
      <c r="D150" s="365">
        <v>2100</v>
      </c>
      <c r="E150" s="405">
        <v>0.16</v>
      </c>
      <c r="F150" s="366">
        <f t="shared" si="16"/>
        <v>2100</v>
      </c>
      <c r="G150" s="367">
        <f t="shared" si="17"/>
        <v>2100</v>
      </c>
      <c r="H150" s="367">
        <f t="shared" si="20"/>
        <v>336</v>
      </c>
      <c r="I150" s="368">
        <f t="shared" si="19"/>
        <v>2436</v>
      </c>
    </row>
    <row r="151" spans="2:9">
      <c r="B151" s="408" t="s">
        <v>1405</v>
      </c>
      <c r="C151" s="409">
        <v>1</v>
      </c>
      <c r="D151" s="365">
        <v>700</v>
      </c>
      <c r="E151" s="405">
        <v>0.16</v>
      </c>
      <c r="F151" s="366">
        <f t="shared" si="16"/>
        <v>700</v>
      </c>
      <c r="G151" s="367">
        <f t="shared" si="17"/>
        <v>700</v>
      </c>
      <c r="H151" s="367">
        <f t="shared" si="20"/>
        <v>112</v>
      </c>
      <c r="I151" s="368">
        <f t="shared" si="19"/>
        <v>812</v>
      </c>
    </row>
    <row r="152" spans="2:9">
      <c r="B152" s="408" t="s">
        <v>1384</v>
      </c>
      <c r="C152" s="409">
        <v>1</v>
      </c>
      <c r="D152" s="365">
        <v>9850</v>
      </c>
      <c r="E152" s="405">
        <v>0.16</v>
      </c>
      <c r="F152" s="366">
        <f t="shared" si="16"/>
        <v>9850</v>
      </c>
      <c r="G152" s="367">
        <f t="shared" si="17"/>
        <v>9850</v>
      </c>
      <c r="H152" s="367">
        <f t="shared" si="20"/>
        <v>1576</v>
      </c>
      <c r="I152" s="368">
        <f t="shared" si="19"/>
        <v>11426</v>
      </c>
    </row>
    <row r="153" spans="2:9">
      <c r="B153" s="408" t="s">
        <v>1406</v>
      </c>
      <c r="C153" s="409">
        <v>1</v>
      </c>
      <c r="D153" s="365">
        <v>800</v>
      </c>
      <c r="E153" s="405">
        <v>0.16</v>
      </c>
      <c r="F153" s="366">
        <f t="shared" si="16"/>
        <v>800</v>
      </c>
      <c r="G153" s="367">
        <f t="shared" si="17"/>
        <v>800</v>
      </c>
      <c r="H153" s="367">
        <f t="shared" si="20"/>
        <v>128</v>
      </c>
      <c r="I153" s="368">
        <f t="shared" si="19"/>
        <v>928</v>
      </c>
    </row>
    <row r="154" spans="2:9" ht="13.5" thickBot="1">
      <c r="B154" s="411" t="s">
        <v>1386</v>
      </c>
      <c r="C154" s="412">
        <v>1</v>
      </c>
      <c r="D154" s="370">
        <v>1550</v>
      </c>
      <c r="E154" s="416">
        <v>0.16</v>
      </c>
      <c r="F154" s="371">
        <f t="shared" si="16"/>
        <v>1550</v>
      </c>
      <c r="G154" s="372">
        <f t="shared" si="17"/>
        <v>1550</v>
      </c>
      <c r="H154" s="372">
        <f t="shared" si="20"/>
        <v>248</v>
      </c>
      <c r="I154" s="373">
        <f t="shared" si="19"/>
        <v>1798</v>
      </c>
    </row>
  </sheetData>
  <mergeCells count="28">
    <mergeCell ref="B87:I88"/>
    <mergeCell ref="B89:E89"/>
    <mergeCell ref="F89:G89"/>
    <mergeCell ref="H89:I89"/>
    <mergeCell ref="B128:E128"/>
    <mergeCell ref="F128:G128"/>
    <mergeCell ref="H128:I128"/>
    <mergeCell ref="B90:E90"/>
    <mergeCell ref="F90:G90"/>
    <mergeCell ref="H90:I90"/>
    <mergeCell ref="B125:I126"/>
    <mergeCell ref="B127:E127"/>
    <mergeCell ref="F127:G127"/>
    <mergeCell ref="H127:I127"/>
    <mergeCell ref="B48:I49"/>
    <mergeCell ref="B50:E50"/>
    <mergeCell ref="F50:G50"/>
    <mergeCell ref="H50:I50"/>
    <mergeCell ref="B51:E51"/>
    <mergeCell ref="F51:G51"/>
    <mergeCell ref="H51:I51"/>
    <mergeCell ref="B12:E12"/>
    <mergeCell ref="F12:G12"/>
    <mergeCell ref="H12:I12"/>
    <mergeCell ref="B10:I11"/>
    <mergeCell ref="B13:E13"/>
    <mergeCell ref="F13:G13"/>
    <mergeCell ref="H13:I13"/>
  </mergeCells>
  <hyperlinks>
    <hyperlink ref="H50" r:id="rId1"/>
    <hyperlink ref="H89" r:id="rId2" display="TEL:3103301760"/>
    <hyperlink ref="H127" r:id="rId3"/>
    <hyperlink ref="B1" location="'Hoja índice'!A1" display="Indice"/>
  </hyperlinks>
  <pageMargins left="0.7" right="0.7" top="0.75" bottom="0.75" header="0.3" footer="0.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4"/>
  </sheetPr>
  <dimension ref="B1:L38"/>
  <sheetViews>
    <sheetView showGridLines="0" topLeftCell="A19" zoomScale="70" zoomScaleNormal="70" workbookViewId="0">
      <selection activeCell="B1" sqref="B1"/>
    </sheetView>
  </sheetViews>
  <sheetFormatPr baseColWidth="10" defaultRowHeight="12.75"/>
  <cols>
    <col min="1" max="1" width="4.5703125" style="363" customWidth="1"/>
    <col min="2" max="2" width="31" style="363" customWidth="1"/>
    <col min="3" max="3" width="44.140625" style="363" customWidth="1"/>
    <col min="4" max="4" width="15" style="363" customWidth="1"/>
    <col min="5" max="5" width="13.42578125" style="363" customWidth="1"/>
    <col min="6" max="6" width="17.140625" style="363" customWidth="1"/>
    <col min="7" max="7" width="14.42578125" style="363" customWidth="1"/>
    <col min="8" max="8" width="14" style="363" customWidth="1"/>
    <col min="9" max="9" width="16.140625" style="363" customWidth="1"/>
    <col min="10" max="10" width="17.140625" style="363" customWidth="1"/>
    <col min="11" max="11" width="12.42578125" style="363" customWidth="1"/>
    <col min="12" max="12" width="16.140625" style="363" customWidth="1"/>
    <col min="13" max="16384" width="11.42578125" style="363"/>
  </cols>
  <sheetData>
    <row r="1" spans="2:12" s="340" customFormat="1" ht="15">
      <c r="B1" s="4" t="s">
        <v>1555</v>
      </c>
    </row>
    <row r="2" spans="2:12" s="340" customFormat="1" ht="13.5" thickBot="1">
      <c r="B2" s="341"/>
      <c r="C2" s="342"/>
      <c r="D2" s="342"/>
      <c r="E2" s="342"/>
      <c r="F2" s="342"/>
      <c r="G2" s="342"/>
      <c r="H2" s="343"/>
      <c r="I2" s="343"/>
      <c r="J2" s="343"/>
      <c r="K2" s="343"/>
      <c r="L2" s="344"/>
    </row>
    <row r="3" spans="2:12" s="340" customFormat="1">
      <c r="B3" s="345"/>
      <c r="C3" s="346"/>
      <c r="D3" s="346"/>
      <c r="E3" s="346"/>
      <c r="F3" s="346"/>
      <c r="G3" s="346"/>
      <c r="H3" s="347"/>
      <c r="I3" s="347"/>
      <c r="J3" s="348"/>
      <c r="K3" s="349"/>
      <c r="L3" s="350"/>
    </row>
    <row r="4" spans="2:12" s="340" customFormat="1">
      <c r="B4" s="351"/>
      <c r="C4" s="352"/>
      <c r="D4" s="352"/>
      <c r="E4" s="352"/>
      <c r="F4" s="352"/>
      <c r="G4" s="352"/>
      <c r="H4" s="352"/>
      <c r="I4" s="352"/>
      <c r="J4" s="353"/>
      <c r="K4" s="353"/>
      <c r="L4" s="354"/>
    </row>
    <row r="5" spans="2:12" s="340" customFormat="1">
      <c r="B5" s="351"/>
      <c r="C5" s="352"/>
      <c r="D5" s="352"/>
      <c r="E5" s="352"/>
      <c r="F5" s="352"/>
      <c r="G5" s="352"/>
      <c r="H5" s="352"/>
      <c r="I5" s="352"/>
      <c r="J5" s="352"/>
      <c r="K5" s="355"/>
      <c r="L5" s="354"/>
    </row>
    <row r="6" spans="2:12" s="340" customFormat="1">
      <c r="B6" s="351"/>
      <c r="C6" s="352"/>
      <c r="D6" s="352"/>
      <c r="E6" s="352"/>
      <c r="F6" s="352"/>
      <c r="G6" s="352"/>
      <c r="H6" s="352"/>
      <c r="I6" s="352"/>
      <c r="J6" s="352"/>
      <c r="K6" s="355"/>
      <c r="L6" s="354"/>
    </row>
    <row r="7" spans="2:12" s="340" customFormat="1">
      <c r="B7" s="351"/>
      <c r="L7" s="356"/>
    </row>
    <row r="8" spans="2:12" s="340" customFormat="1">
      <c r="B8" s="351"/>
      <c r="L8" s="356"/>
    </row>
    <row r="9" spans="2:12" s="340" customFormat="1" ht="13.5" thickBot="1">
      <c r="B9" s="357"/>
      <c r="C9" s="358"/>
      <c r="D9" s="358"/>
      <c r="E9" s="358"/>
      <c r="F9" s="358"/>
      <c r="G9" s="358"/>
      <c r="H9" s="358"/>
      <c r="I9" s="358"/>
      <c r="J9" s="358"/>
      <c r="K9" s="358"/>
      <c r="L9" s="359"/>
    </row>
    <row r="10" spans="2:12" s="340" customFormat="1">
      <c r="B10" s="1112" t="s">
        <v>1414</v>
      </c>
      <c r="C10" s="1113"/>
      <c r="D10" s="1113"/>
      <c r="E10" s="1113"/>
      <c r="F10" s="1113"/>
      <c r="G10" s="1113"/>
      <c r="H10" s="1113"/>
      <c r="I10" s="1113"/>
      <c r="J10" s="1113"/>
      <c r="K10" s="1113"/>
      <c r="L10" s="1113"/>
    </row>
    <row r="11" spans="2:12" s="340" customFormat="1">
      <c r="B11" s="1115"/>
      <c r="C11" s="1116"/>
      <c r="D11" s="1116"/>
      <c r="E11" s="1116"/>
      <c r="F11" s="1116"/>
      <c r="G11" s="1116"/>
      <c r="H11" s="1116"/>
      <c r="I11" s="1116"/>
      <c r="J11" s="1116"/>
      <c r="K11" s="1116"/>
      <c r="L11" s="1116"/>
    </row>
    <row r="12" spans="2:12" s="340" customFormat="1">
      <c r="B12" s="377" t="s">
        <v>1444</v>
      </c>
    </row>
    <row r="13" spans="2:12" ht="25.5">
      <c r="B13" s="361" t="s">
        <v>1358</v>
      </c>
      <c r="C13" s="361" t="s">
        <v>1415</v>
      </c>
      <c r="D13" s="361" t="s">
        <v>1416</v>
      </c>
      <c r="E13" s="361" t="s">
        <v>1417</v>
      </c>
      <c r="F13" s="361" t="s">
        <v>1418</v>
      </c>
      <c r="G13" s="361" t="s">
        <v>1419</v>
      </c>
      <c r="H13" s="361" t="s">
        <v>1361</v>
      </c>
      <c r="I13" s="361" t="s">
        <v>1420</v>
      </c>
      <c r="J13" s="361" t="s">
        <v>1363</v>
      </c>
      <c r="K13" s="361" t="s">
        <v>1364</v>
      </c>
      <c r="L13" s="361" t="s">
        <v>1365</v>
      </c>
    </row>
    <row r="14" spans="2:12">
      <c r="B14" s="1127" t="s">
        <v>1421</v>
      </c>
      <c r="C14" s="1130" t="s">
        <v>1422</v>
      </c>
      <c r="D14" s="1130" t="s">
        <v>1423</v>
      </c>
      <c r="E14" s="378" t="s">
        <v>1424</v>
      </c>
      <c r="F14" s="379">
        <v>1</v>
      </c>
      <c r="G14" s="365">
        <f>(39900)*'Parametros Generales'!C27</f>
        <v>41097</v>
      </c>
      <c r="H14" s="366">
        <f t="shared" ref="H14:H19" si="0">ROUND(G14*16%,0)</f>
        <v>6576</v>
      </c>
      <c r="I14" s="366">
        <f t="shared" ref="I14:I19" si="1">ROUND((H14+G14),0)</f>
        <v>47673</v>
      </c>
      <c r="J14" s="367">
        <f t="shared" ref="J14:J19" si="2">ROUND(G14*F14,0)</f>
        <v>41097</v>
      </c>
      <c r="K14" s="367">
        <f t="shared" ref="K14:K19" si="3">ROUND(J14*16%,0)</f>
        <v>6576</v>
      </c>
      <c r="L14" s="380">
        <f t="shared" ref="L14:L19" si="4">ROUND(J14+K14,0)</f>
        <v>47673</v>
      </c>
    </row>
    <row r="15" spans="2:12">
      <c r="B15" s="1128"/>
      <c r="C15" s="1131"/>
      <c r="D15" s="1132"/>
      <c r="E15" s="378" t="s">
        <v>1425</v>
      </c>
      <c r="F15" s="379">
        <v>1</v>
      </c>
      <c r="G15" s="365">
        <f>(49900)*'Parametros Generales'!C27</f>
        <v>51397</v>
      </c>
      <c r="H15" s="366">
        <f t="shared" si="0"/>
        <v>8224</v>
      </c>
      <c r="I15" s="366">
        <f t="shared" si="1"/>
        <v>59621</v>
      </c>
      <c r="J15" s="367">
        <f t="shared" si="2"/>
        <v>51397</v>
      </c>
      <c r="K15" s="367">
        <f t="shared" si="3"/>
        <v>8224</v>
      </c>
      <c r="L15" s="380">
        <f t="shared" si="4"/>
        <v>59621</v>
      </c>
    </row>
    <row r="16" spans="2:12">
      <c r="B16" s="1128"/>
      <c r="C16" s="1131"/>
      <c r="D16" s="1127" t="s">
        <v>1426</v>
      </c>
      <c r="E16" s="378" t="s">
        <v>1424</v>
      </c>
      <c r="F16" s="379">
        <v>1</v>
      </c>
      <c r="G16" s="365">
        <f>(31100)*'Parametros Generales'!C27</f>
        <v>32033</v>
      </c>
      <c r="H16" s="366">
        <f t="shared" si="0"/>
        <v>5125</v>
      </c>
      <c r="I16" s="366">
        <f t="shared" si="1"/>
        <v>37158</v>
      </c>
      <c r="J16" s="367">
        <f t="shared" si="2"/>
        <v>32033</v>
      </c>
      <c r="K16" s="367">
        <f t="shared" si="3"/>
        <v>5125</v>
      </c>
      <c r="L16" s="380">
        <f t="shared" si="4"/>
        <v>37158</v>
      </c>
    </row>
    <row r="17" spans="2:12">
      <c r="B17" s="1128"/>
      <c r="C17" s="1131"/>
      <c r="D17" s="1129"/>
      <c r="E17" s="378" t="s">
        <v>1427</v>
      </c>
      <c r="F17" s="379">
        <v>1</v>
      </c>
      <c r="G17" s="365">
        <f>(41499)*'Parametros Generales'!C27</f>
        <v>42743.97</v>
      </c>
      <c r="H17" s="366">
        <f t="shared" si="0"/>
        <v>6839</v>
      </c>
      <c r="I17" s="366">
        <f t="shared" si="1"/>
        <v>49583</v>
      </c>
      <c r="J17" s="367">
        <f t="shared" si="2"/>
        <v>42744</v>
      </c>
      <c r="K17" s="367">
        <f t="shared" si="3"/>
        <v>6839</v>
      </c>
      <c r="L17" s="380">
        <f t="shared" si="4"/>
        <v>49583</v>
      </c>
    </row>
    <row r="18" spans="2:12">
      <c r="B18" s="1128"/>
      <c r="C18" s="1131"/>
      <c r="D18" s="1127" t="s">
        <v>1428</v>
      </c>
      <c r="E18" s="378" t="s">
        <v>1424</v>
      </c>
      <c r="F18" s="379">
        <v>1</v>
      </c>
      <c r="G18" s="365">
        <f>(30948)*'Parametros Generales'!C27</f>
        <v>31876.440000000002</v>
      </c>
      <c r="H18" s="366">
        <f t="shared" si="0"/>
        <v>5100</v>
      </c>
      <c r="I18" s="366">
        <f t="shared" si="1"/>
        <v>36976</v>
      </c>
      <c r="J18" s="367">
        <f t="shared" si="2"/>
        <v>31876</v>
      </c>
      <c r="K18" s="367">
        <f t="shared" si="3"/>
        <v>5100</v>
      </c>
      <c r="L18" s="380">
        <f t="shared" si="4"/>
        <v>36976</v>
      </c>
    </row>
    <row r="19" spans="2:12">
      <c r="B19" s="1129"/>
      <c r="C19" s="1132"/>
      <c r="D19" s="1129"/>
      <c r="E19" s="378" t="s">
        <v>1425</v>
      </c>
      <c r="F19" s="379">
        <v>1</v>
      </c>
      <c r="G19" s="365">
        <f>(37845)*'Parametros Generales'!C27</f>
        <v>38980.35</v>
      </c>
      <c r="H19" s="366">
        <f t="shared" si="0"/>
        <v>6237</v>
      </c>
      <c r="I19" s="366">
        <f t="shared" si="1"/>
        <v>45217</v>
      </c>
      <c r="J19" s="367">
        <f t="shared" si="2"/>
        <v>38980</v>
      </c>
      <c r="K19" s="367">
        <f t="shared" si="3"/>
        <v>6237</v>
      </c>
      <c r="L19" s="380">
        <f t="shared" si="4"/>
        <v>45217</v>
      </c>
    </row>
    <row r="22" spans="2:12" s="340" customFormat="1"/>
    <row r="23" spans="2:12" s="340" customFormat="1" ht="13.5" thickBot="1">
      <c r="B23" s="341"/>
      <c r="C23" s="342"/>
      <c r="D23" s="342"/>
      <c r="E23" s="342"/>
      <c r="F23" s="342"/>
      <c r="G23" s="342"/>
      <c r="H23" s="343"/>
      <c r="I23" s="343"/>
      <c r="J23" s="343"/>
      <c r="K23" s="343"/>
      <c r="L23" s="344"/>
    </row>
    <row r="24" spans="2:12" s="340" customFormat="1">
      <c r="B24" s="345"/>
      <c r="C24" s="346"/>
      <c r="D24" s="346"/>
      <c r="E24" s="346"/>
      <c r="F24" s="346"/>
      <c r="G24" s="346"/>
      <c r="H24" s="347"/>
      <c r="I24" s="347"/>
      <c r="J24" s="348"/>
      <c r="K24" s="349"/>
      <c r="L24" s="350"/>
    </row>
    <row r="25" spans="2:12" s="340" customFormat="1">
      <c r="B25" s="351"/>
      <c r="C25" s="352"/>
      <c r="D25" s="352"/>
      <c r="E25" s="352"/>
      <c r="F25" s="352"/>
      <c r="G25" s="352"/>
      <c r="H25" s="352"/>
      <c r="I25" s="352"/>
      <c r="J25" s="353"/>
      <c r="K25" s="353"/>
      <c r="L25" s="354"/>
    </row>
    <row r="26" spans="2:12" s="340" customFormat="1">
      <c r="B26" s="351"/>
      <c r="C26" s="352"/>
      <c r="D26" s="352"/>
      <c r="E26" s="352"/>
      <c r="F26" s="352"/>
      <c r="G26" s="352"/>
      <c r="H26" s="352"/>
      <c r="I26" s="352"/>
      <c r="J26" s="352"/>
      <c r="K26" s="355"/>
      <c r="L26" s="354"/>
    </row>
    <row r="27" spans="2:12" s="340" customFormat="1">
      <c r="B27" s="351"/>
      <c r="C27" s="352"/>
      <c r="D27" s="352"/>
      <c r="E27" s="352"/>
      <c r="F27" s="352"/>
      <c r="G27" s="352"/>
      <c r="H27" s="352"/>
      <c r="I27" s="352"/>
      <c r="J27" s="352"/>
      <c r="K27" s="355"/>
      <c r="L27" s="354"/>
    </row>
    <row r="28" spans="2:12" s="340" customFormat="1">
      <c r="B28" s="351"/>
      <c r="L28" s="356"/>
    </row>
    <row r="29" spans="2:12" s="340" customFormat="1">
      <c r="B29" s="351"/>
      <c r="L29" s="356"/>
    </row>
    <row r="30" spans="2:12" s="340" customFormat="1" ht="13.5" thickBot="1">
      <c r="B30" s="357"/>
      <c r="C30" s="358"/>
      <c r="D30" s="358"/>
      <c r="E30" s="358"/>
      <c r="F30" s="358"/>
      <c r="G30" s="358"/>
      <c r="H30" s="358"/>
      <c r="I30" s="358"/>
      <c r="J30" s="358"/>
      <c r="K30" s="358"/>
      <c r="L30" s="359"/>
    </row>
    <row r="31" spans="2:12" s="340" customFormat="1">
      <c r="B31" s="1112" t="s">
        <v>1429</v>
      </c>
      <c r="C31" s="1113"/>
      <c r="D31" s="1113"/>
      <c r="E31" s="1113"/>
      <c r="F31" s="1113"/>
      <c r="G31" s="1113"/>
      <c r="H31" s="1113"/>
      <c r="I31" s="1113"/>
      <c r="J31" s="1113"/>
      <c r="K31" s="1113"/>
      <c r="L31" s="1113"/>
    </row>
    <row r="32" spans="2:12" s="340" customFormat="1">
      <c r="B32" s="1115"/>
      <c r="C32" s="1116"/>
      <c r="D32" s="1116"/>
      <c r="E32" s="1116"/>
      <c r="F32" s="1116"/>
      <c r="G32" s="1116"/>
      <c r="H32" s="1116"/>
      <c r="I32" s="1116"/>
      <c r="J32" s="1116"/>
      <c r="K32" s="1116"/>
      <c r="L32" s="1116"/>
    </row>
    <row r="33" spans="2:12" s="340" customFormat="1">
      <c r="B33" s="377" t="s">
        <v>1444</v>
      </c>
    </row>
    <row r="34" spans="2:12">
      <c r="B34" s="381"/>
      <c r="C34" s="382"/>
      <c r="D34" s="382"/>
      <c r="E34" s="382"/>
      <c r="F34" s="382"/>
      <c r="G34" s="382"/>
      <c r="H34" s="382"/>
      <c r="I34" s="382"/>
      <c r="J34" s="382"/>
      <c r="K34" s="382"/>
      <c r="L34" s="382"/>
    </row>
    <row r="35" spans="2:12" ht="51">
      <c r="B35" s="361" t="s">
        <v>1358</v>
      </c>
      <c r="C35" s="361" t="s">
        <v>1415</v>
      </c>
      <c r="D35" s="361" t="s">
        <v>1416</v>
      </c>
      <c r="E35" s="384" t="s">
        <v>1417</v>
      </c>
      <c r="F35" s="361" t="s">
        <v>1418</v>
      </c>
      <c r="G35" s="361" t="s">
        <v>1430</v>
      </c>
      <c r="H35" s="361" t="s">
        <v>1361</v>
      </c>
      <c r="I35" s="361" t="s">
        <v>1420</v>
      </c>
      <c r="J35" s="361" t="s">
        <v>1363</v>
      </c>
      <c r="K35" s="361" t="s">
        <v>1364</v>
      </c>
      <c r="L35" s="361" t="s">
        <v>1365</v>
      </c>
    </row>
    <row r="36" spans="2:12" ht="25.5">
      <c r="B36" s="1123" t="s">
        <v>1431</v>
      </c>
      <c r="C36" s="1124" t="s">
        <v>1432</v>
      </c>
      <c r="D36" s="378" t="s">
        <v>1423</v>
      </c>
      <c r="E36" s="383" t="s">
        <v>1433</v>
      </c>
      <c r="F36" s="379">
        <v>1</v>
      </c>
      <c r="G36" s="365">
        <f>(39900)*'Parametros Generales'!C27</f>
        <v>41097</v>
      </c>
      <c r="H36" s="366">
        <f t="shared" ref="H36:H38" si="5">ROUND(G36*16%,0)</f>
        <v>6576</v>
      </c>
      <c r="I36" s="366">
        <f>ROUND((H36+G36),0)</f>
        <v>47673</v>
      </c>
      <c r="J36" s="367">
        <f t="shared" ref="J36:J38" si="6">ROUND(G36*F36,0)</f>
        <v>41097</v>
      </c>
      <c r="K36" s="367">
        <f t="shared" ref="K36:K38" si="7">ROUND(J36*16%,0)</f>
        <v>6576</v>
      </c>
      <c r="L36" s="380">
        <f t="shared" ref="L36:L38" si="8">ROUND(J36+K36,0)</f>
        <v>47673</v>
      </c>
    </row>
    <row r="37" spans="2:12" ht="25.5">
      <c r="B37" s="1123"/>
      <c r="C37" s="1125"/>
      <c r="D37" s="652" t="s">
        <v>1426</v>
      </c>
      <c r="E37" s="653" t="s">
        <v>1434</v>
      </c>
      <c r="F37" s="652">
        <v>1</v>
      </c>
      <c r="G37" s="654">
        <f>(33900)*'Parametros Generales'!C27</f>
        <v>34917</v>
      </c>
      <c r="H37" s="655">
        <f t="shared" si="5"/>
        <v>5587</v>
      </c>
      <c r="I37" s="655">
        <f>ROUND((H37+G37),0)</f>
        <v>40504</v>
      </c>
      <c r="J37" s="367">
        <f t="shared" si="6"/>
        <v>34917</v>
      </c>
      <c r="K37" s="367">
        <f t="shared" si="7"/>
        <v>5587</v>
      </c>
      <c r="L37" s="380">
        <f t="shared" si="8"/>
        <v>40504</v>
      </c>
    </row>
    <row r="38" spans="2:12" ht="25.5">
      <c r="B38" s="1123"/>
      <c r="C38" s="1126"/>
      <c r="D38" s="379" t="s">
        <v>1428</v>
      </c>
      <c r="E38" s="383" t="s">
        <v>1435</v>
      </c>
      <c r="F38" s="379">
        <v>1</v>
      </c>
      <c r="G38" s="365">
        <f>(39127)*'Parametros Generales'!C27</f>
        <v>40300.81</v>
      </c>
      <c r="H38" s="366">
        <f t="shared" si="5"/>
        <v>6448</v>
      </c>
      <c r="I38" s="366">
        <f>ROUND((H38+G38),0)</f>
        <v>46749</v>
      </c>
      <c r="J38" s="367">
        <f t="shared" si="6"/>
        <v>40301</v>
      </c>
      <c r="K38" s="367">
        <f t="shared" si="7"/>
        <v>6448</v>
      </c>
      <c r="L38" s="380">
        <f t="shared" si="8"/>
        <v>46749</v>
      </c>
    </row>
  </sheetData>
  <mergeCells count="9">
    <mergeCell ref="B31:L32"/>
    <mergeCell ref="B36:B38"/>
    <mergeCell ref="C36:C38"/>
    <mergeCell ref="B10:L11"/>
    <mergeCell ref="B14:B19"/>
    <mergeCell ref="C14:C19"/>
    <mergeCell ref="D14:D15"/>
    <mergeCell ref="D16:D17"/>
    <mergeCell ref="D18:D19"/>
  </mergeCells>
  <hyperlinks>
    <hyperlink ref="B1" location="'Hoja índice'!A1" display="I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Hoja índice</vt:lpstr>
      <vt:lpstr>Parametros Generales</vt:lpstr>
      <vt:lpstr>Salarios de Ref</vt:lpstr>
      <vt:lpstr>Componentes T.H.</vt:lpstr>
      <vt:lpstr>Transporte</vt:lpstr>
      <vt:lpstr>Codigos</vt:lpstr>
      <vt:lpstr>Cot. Refrig. </vt:lpstr>
      <vt:lpstr>Cot. Papeleria</vt:lpstr>
      <vt:lpstr>Cot Int y Cel</vt:lpstr>
      <vt:lpstr>Cot. Chalecos</vt:lpstr>
      <vt:lpstr>Cost x Depart</vt:lpstr>
      <vt:lpstr>Res de Costos X Dept</vt:lpstr>
      <vt:lpstr>Res de Costos Pais</vt:lpstr>
      <vt:lpstr>COSTOS TOTALES AJUSTADOS</vt:lpstr>
      <vt:lpstr>___INDEX_SHEET___ASAP_Utilities</vt:lpstr>
      <vt:lpstr>'Componentes T.H.'!Área_de_impresión</vt:lpstr>
      <vt:lpstr>'Cost x Depart'!Área_de_impresión</vt:lpstr>
      <vt:lpstr>'COSTOS TOTALES AJUSTADOS'!Área_de_impresión</vt:lpstr>
      <vt:lpstr>'Res de Costos Pais'!Área_de_impresión</vt:lpstr>
      <vt:lpstr>'Res de Costos X Dept'!Área_de_impresión</vt:lpstr>
      <vt:lpstr>'Salarios de Ref'!Área_de_impresión</vt:lpstr>
      <vt:lpstr>Dias</vt:lpstr>
      <vt:lpstr>perfil</vt:lpstr>
      <vt:lpstr>PERFILES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Ivan Zapata Sterling</cp:lastModifiedBy>
  <cp:lastPrinted>2013-09-27T12:51:34Z</cp:lastPrinted>
  <dcterms:created xsi:type="dcterms:W3CDTF">2013-01-11T12:33:19Z</dcterms:created>
  <dcterms:modified xsi:type="dcterms:W3CDTF">2013-11-15T14:05:36Z</dcterms:modified>
</cp:coreProperties>
</file>