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drawings/drawing4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leonardo.tapiero\Desktop\"/>
    </mc:Choice>
  </mc:AlternateContent>
  <bookViews>
    <workbookView xWindow="0" yWindow="0" windowWidth="19200" windowHeight="10995" tabRatio="934" firstSheet="42" activeTab="46"/>
  </bookViews>
  <sheets>
    <sheet name="F OCTAVIANA (1)" sheetId="52" r:id="rId1"/>
    <sheet name="UT SIN FRONTERAS (3)" sheetId="2" r:id="rId2"/>
    <sheet name="FUNIMEDES (4)" sheetId="51" r:id="rId3"/>
    <sheet name="PROCIENCIA (5)" sheetId="7" r:id="rId4"/>
    <sheet name="FUND LOS PEQ PITUFOS 6-7" sheetId="25" r:id="rId5"/>
    <sheet name="FUNAS (8)" sheetId="53" r:id="rId6"/>
    <sheet name="UT MEDIO FAMILIAR (9)" sheetId="18" r:id="rId7"/>
    <sheet name="COOPERATIVA MULTIACTIVA (10)" sheetId="19" r:id="rId8"/>
    <sheet name="FUNDACOBA (11-13-15)" sheetId="20" r:id="rId9"/>
    <sheet name="FUNDAPRE (12)" sheetId="12" r:id="rId10"/>
    <sheet name="GIMNASIO MODERNO DEL CAUCA (14)" sheetId="9" r:id="rId11"/>
    <sheet name="U T LA GUAJIRA (16)" sheetId="36" r:id="rId12"/>
    <sheet name="TUCRECER (17)" sheetId="14" r:id="rId13"/>
    <sheet name="VERSALLES (18)" sheetId="56" r:id="rId14"/>
    <sheet name="REDCOM (19)" sheetId="46" r:id="rId15"/>
    <sheet name="CORPORA DE PROF PARA DS-20-21" sheetId="29" r:id="rId16"/>
    <sheet name="FUNDACIÓN LAS GOLONDRINAS -22 " sheetId="31" r:id="rId17"/>
    <sheet name="COOPSALUDCOM-23" sheetId="28" r:id="rId18"/>
    <sheet name="CONSORCIO FAMILATINA (24)" sheetId="49" r:id="rId19"/>
    <sheet name="COREDI-25" sheetId="33" r:id="rId20"/>
    <sheet name="FUNDACION SAN JUAN BOSCO (26)" sheetId="42" r:id="rId21"/>
    <sheet name="CORPORACION INCATE -27" sheetId="26" r:id="rId22"/>
    <sheet name="CAMINO A LA PROSPERIDAD (28)" sheetId="39" r:id="rId23"/>
    <sheet name="DAMOS AMOR RECIPROCO-29 " sheetId="58" r:id="rId24"/>
    <sheet name="UT FAMILIAS CON BIENIESTAR (30)" sheetId="17" r:id="rId25"/>
    <sheet name="NUEVA ERA ECOLOGICA (31)" sheetId="57" r:id="rId26"/>
    <sheet name="U T CREANDO PRIMERA I (32)" sheetId="37" r:id="rId27"/>
    <sheet name="UNION TEMPORAL FAMILIA -33" sheetId="35" r:id="rId28"/>
    <sheet name="UT  INFANCIA CARIBE (34)" sheetId="21" r:id="rId29"/>
    <sheet name="FUNDACIÓN CHOCO SOCIAL (35)" sheetId="15" r:id="rId30"/>
    <sheet name="CODECIN (36)" sheetId="45" r:id="rId31"/>
    <sheet name=" UT N N BOLIVAR (37)" sheetId="48" r:id="rId32"/>
    <sheet name="AMIGOS POR LA INFANCIA (38)" sheetId="38" r:id="rId33"/>
    <sheet name="F BIEN ESTAR (39)" sheetId="54" r:id="rId34"/>
    <sheet name="ASOCIACION FREPAE (40)" sheetId="22" r:id="rId35"/>
    <sheet name="CONS DESARROLLANDO CAMINOS (41)" sheetId="10" r:id="rId36"/>
    <sheet name="FUNMANUS (42)" sheetId="55" r:id="rId37"/>
    <sheet name="ITEDRIS (43)" sheetId="11" r:id="rId38"/>
    <sheet name="CONSORCIO ARCO IRIS-44      " sheetId="24" r:id="rId39"/>
    <sheet name="CORP CORAZON PAIS -45" sheetId="27" r:id="rId40"/>
    <sheet name="PROSERVCO-46" sheetId="32" r:id="rId41"/>
    <sheet name="UT PRIMERA INFANCIA (47)" sheetId="41" r:id="rId42"/>
    <sheet name="FUN POR UN MUNDO NUEVO-48" sheetId="30" r:id="rId43"/>
    <sheet name="FUNGESCOL (49)" sheetId="13" r:id="rId44"/>
    <sheet name="UT SUEÑOS DE INFANCIA (50)" sheetId="47" r:id="rId45"/>
    <sheet name="FE Y ALEGREIA (51)" sheetId="44" r:id="rId46"/>
    <sheet name="COOP MADRES CERETE (52)" sheetId="23" r:id="rId47"/>
  </sheets>
  <definedNames>
    <definedName name="_xlnm.Print_Area" localSheetId="31">' UT N N BOLIVAR (37)'!$A$1:$K$33</definedName>
    <definedName name="_xlnm.Print_Area" localSheetId="32">'AMIGOS POR LA INFANCIA (38)'!$A$1:$E$35</definedName>
    <definedName name="_xlnm.Print_Area" localSheetId="34">'ASOCIACION FREPAE (40)'!$A$1:$E$34</definedName>
    <definedName name="_xlnm.Print_Area" localSheetId="22">'CAMINO A LA PROSPERIDAD (28)'!$A$1:$E$33</definedName>
    <definedName name="_xlnm.Print_Area" localSheetId="30">'CODECIN (36)'!$A$1:$E$35</definedName>
    <definedName name="_xlnm.Print_Area" localSheetId="35">'CONS DESARROLLANDO CAMINOS (41)'!$A$1:$I$35</definedName>
    <definedName name="_xlnm.Print_Area" localSheetId="38">'CONSORCIO ARCO IRIS-44      '!$A$1:$I$35</definedName>
    <definedName name="_xlnm.Print_Area" localSheetId="18">'CONSORCIO FAMILATINA (24)'!$A$1:$I$35</definedName>
    <definedName name="_xlnm.Print_Area" localSheetId="46">'COOP MADRES CERETE (52)'!$A$1:$E$34</definedName>
    <definedName name="_xlnm.Print_Area" localSheetId="7">'COOPERATIVA MULTIACTIVA (10)'!$A$1:$E$33</definedName>
    <definedName name="_xlnm.Print_Area" localSheetId="17">'COOPSALUDCOM-23'!$A$1:$E$37</definedName>
    <definedName name="_xlnm.Print_Area" localSheetId="19">'COREDI-25'!$A$1:$E$36</definedName>
    <definedName name="_xlnm.Print_Area" localSheetId="39">'CORP CORAZON PAIS -45'!$A$1:$E$34</definedName>
    <definedName name="_xlnm.Print_Area" localSheetId="15">'CORPORA DE PROF PARA DS-20-21'!$A$1:$E$35</definedName>
    <definedName name="_xlnm.Print_Area" localSheetId="21">'CORPORACION INCATE -27'!$A$1:$E$35</definedName>
    <definedName name="_xlnm.Print_Area" localSheetId="23">'DAMOS AMOR RECIPROCO-29 '!$A$1:$I$35</definedName>
    <definedName name="_xlnm.Print_Area" localSheetId="33">'F BIEN ESTAR (39)'!$A$1:$E$35</definedName>
    <definedName name="_xlnm.Print_Area" localSheetId="0">'F OCTAVIANA (1)'!$A$1:$E$33</definedName>
    <definedName name="_xlnm.Print_Area" localSheetId="45">'FE Y ALEGREIA (51)'!$A$1:$E$37</definedName>
    <definedName name="_xlnm.Print_Area" localSheetId="42">'FUN POR UN MUNDO NUEVO-48'!$A$1:$E$36</definedName>
    <definedName name="_xlnm.Print_Area" localSheetId="5">'FUNAS (8)'!$A$1:$E$35</definedName>
    <definedName name="_xlnm.Print_Area" localSheetId="4">'FUND LOS PEQ PITUFOS 6-7'!$A$1:$E$33</definedName>
    <definedName name="_xlnm.Print_Area" localSheetId="29">'FUNDACIÓN CHOCO SOCIAL (35)'!$A$1:$D$34</definedName>
    <definedName name="_xlnm.Print_Area" localSheetId="16">'FUNDACIÓN LAS GOLONDRINAS -22 '!$A$1:$E$34</definedName>
    <definedName name="_xlnm.Print_Area" localSheetId="20">'FUNDACION SAN JUAN BOSCO (26)'!$A$1:$E$35</definedName>
    <definedName name="_xlnm.Print_Area" localSheetId="8">'FUNDACOBA (11-13-15)'!$A$1:$E$35</definedName>
    <definedName name="_xlnm.Print_Area" localSheetId="9">'FUNDAPRE (12)'!$A$1:$E$35</definedName>
    <definedName name="_xlnm.Print_Area" localSheetId="43">'FUNGESCOL (49)'!$A$1:$E$37</definedName>
    <definedName name="_xlnm.Print_Area" localSheetId="2">'FUNIMEDES (4)'!$A$1:$E$44</definedName>
    <definedName name="_xlnm.Print_Area" localSheetId="36">'FUNMANUS (42)'!$A$1:$E$36</definedName>
    <definedName name="_xlnm.Print_Area" localSheetId="10">'GIMNASIO MODERNO DEL CAUCA (14)'!$A$1:$E$41</definedName>
    <definedName name="_xlnm.Print_Area" localSheetId="37">'ITEDRIS (43)'!$A$1:$E$34</definedName>
    <definedName name="_xlnm.Print_Area" localSheetId="25">'NUEVA ERA ECOLOGICA (31)'!$A$1:$E$36</definedName>
    <definedName name="_xlnm.Print_Area" localSheetId="3">'PROCIENCIA (5)'!$A$1:$E$35</definedName>
    <definedName name="_xlnm.Print_Area" localSheetId="40">'PROSERVCO-46'!$A$1:$E$36</definedName>
    <definedName name="_xlnm.Print_Area" localSheetId="14">'REDCOM (19)'!$A$1:$E$36</definedName>
    <definedName name="_xlnm.Print_Area" localSheetId="12">'TUCRECER (17)'!$A$1:$E$34</definedName>
    <definedName name="_xlnm.Print_Area" localSheetId="26">'U T CREANDO PRIMERA I (32)'!$A$1:$I$35</definedName>
    <definedName name="_xlnm.Print_Area" localSheetId="11">'U T LA GUAJIRA (16)'!$A$1:$I$34</definedName>
    <definedName name="_xlnm.Print_Area" localSheetId="27">'UNION TEMPORAL FAMILIA -33'!$A$1:$K$35</definedName>
    <definedName name="_xlnm.Print_Area" localSheetId="28">'UT  INFANCIA CARIBE (34)'!$A$1:$I$35</definedName>
    <definedName name="_xlnm.Print_Area" localSheetId="24">'UT FAMILIAS CON BIENIESTAR (30)'!$A$1:$K$35</definedName>
    <definedName name="_xlnm.Print_Area" localSheetId="6">'UT MEDIO FAMILIAR (9)'!$A$1:$I$34</definedName>
    <definedName name="_xlnm.Print_Area" localSheetId="41">'UT PRIMERA INFANCIA (47)'!$A$1:$I$35</definedName>
    <definedName name="_xlnm.Print_Area" localSheetId="1">'UT SIN FRONTERAS (3)'!$A$1:$I$35</definedName>
    <definedName name="_xlnm.Print_Area" localSheetId="44">'UT SUEÑOS DE INFANCIA (50)'!$A$1:$I$34</definedName>
    <definedName name="_xlnm.Print_Area" localSheetId="13">'VERSALLES (18)'!$A$1:$E$36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30" l="1"/>
  <c r="D13" i="27"/>
  <c r="C16" i="54"/>
  <c r="K28" i="48"/>
  <c r="C13" i="48"/>
  <c r="H30" i="35"/>
  <c r="H29" i="35"/>
  <c r="D14" i="57"/>
  <c r="D14" i="12"/>
  <c r="D14" i="20"/>
  <c r="C16" i="53"/>
  <c r="D14" i="53"/>
  <c r="J51" i="58" l="1"/>
  <c r="H51" i="58"/>
  <c r="J50" i="58"/>
  <c r="H50" i="58"/>
  <c r="J49" i="58"/>
  <c r="H49" i="58"/>
  <c r="J48" i="58"/>
  <c r="H48" i="58"/>
  <c r="J47" i="58"/>
  <c r="H47" i="58"/>
  <c r="J46" i="58"/>
  <c r="H46" i="58"/>
  <c r="J45" i="58"/>
  <c r="H45" i="58"/>
  <c r="J44" i="58"/>
  <c r="E30" i="58"/>
  <c r="C30" i="58"/>
  <c r="E29" i="58"/>
  <c r="C29" i="58"/>
  <c r="G26" i="58"/>
  <c r="G30" i="58" s="1"/>
  <c r="G25" i="58"/>
  <c r="G24" i="58"/>
  <c r="G23" i="58"/>
  <c r="G29" i="58" s="1"/>
  <c r="H29" i="58" s="1"/>
  <c r="G13" i="58"/>
  <c r="C17" i="58" s="1"/>
  <c r="G12" i="58"/>
  <c r="H30" i="58" l="1"/>
  <c r="C18" i="58"/>
  <c r="I52" i="57" l="1"/>
  <c r="H52" i="57"/>
  <c r="I51" i="57"/>
  <c r="H51" i="57"/>
  <c r="I50" i="57"/>
  <c r="H50" i="57"/>
  <c r="I49" i="57"/>
  <c r="H49" i="57"/>
  <c r="I48" i="57"/>
  <c r="H48" i="57"/>
  <c r="I47" i="57"/>
  <c r="H47" i="57"/>
  <c r="I46" i="57"/>
  <c r="H46" i="57"/>
  <c r="I45" i="57"/>
  <c r="C31" i="57"/>
  <c r="C30" i="57"/>
  <c r="C17" i="57"/>
  <c r="C18" i="57" s="1"/>
  <c r="I52" i="56"/>
  <c r="H52" i="56"/>
  <c r="I51" i="56"/>
  <c r="H51" i="56"/>
  <c r="I50" i="56"/>
  <c r="H50" i="56"/>
  <c r="I49" i="56"/>
  <c r="H49" i="56"/>
  <c r="I48" i="56"/>
  <c r="H48" i="56"/>
  <c r="I47" i="56"/>
  <c r="H47" i="56"/>
  <c r="I46" i="56"/>
  <c r="H46" i="56"/>
  <c r="I45" i="56"/>
  <c r="C31" i="56"/>
  <c r="C30" i="56"/>
  <c r="C17" i="56"/>
  <c r="C18" i="56" s="1"/>
  <c r="I52" i="55"/>
  <c r="H52" i="55"/>
  <c r="I51" i="55"/>
  <c r="H51" i="55"/>
  <c r="I50" i="55"/>
  <c r="H50" i="55"/>
  <c r="I49" i="55"/>
  <c r="H49" i="55"/>
  <c r="I48" i="55"/>
  <c r="H48" i="55"/>
  <c r="I47" i="55"/>
  <c r="H47" i="55"/>
  <c r="I46" i="55"/>
  <c r="H46" i="55"/>
  <c r="I45" i="55"/>
  <c r="C31" i="55"/>
  <c r="C30" i="55"/>
  <c r="C17" i="55"/>
  <c r="C18" i="55" s="1"/>
  <c r="I51" i="54"/>
  <c r="H51" i="54"/>
  <c r="I50" i="54"/>
  <c r="H50" i="54"/>
  <c r="I49" i="54"/>
  <c r="H49" i="54"/>
  <c r="I48" i="54"/>
  <c r="H48" i="54"/>
  <c r="I47" i="54"/>
  <c r="H47" i="54"/>
  <c r="I46" i="54"/>
  <c r="H46" i="54"/>
  <c r="I45" i="54"/>
  <c r="H45" i="54"/>
  <c r="I44" i="54"/>
  <c r="C30" i="54"/>
  <c r="C29" i="54"/>
  <c r="C17" i="54"/>
  <c r="I51" i="53"/>
  <c r="H51" i="53"/>
  <c r="I50" i="53"/>
  <c r="H50" i="53"/>
  <c r="I49" i="53"/>
  <c r="H49" i="53"/>
  <c r="I48" i="53"/>
  <c r="H48" i="53"/>
  <c r="I47" i="53"/>
  <c r="H47" i="53"/>
  <c r="I46" i="53"/>
  <c r="H46" i="53"/>
  <c r="I45" i="53"/>
  <c r="H45" i="53"/>
  <c r="I44" i="53"/>
  <c r="C30" i="53"/>
  <c r="C29" i="53"/>
  <c r="C17" i="53"/>
  <c r="C20" i="53" s="1"/>
  <c r="D29" i="53" s="1"/>
  <c r="I49" i="52"/>
  <c r="H49" i="52"/>
  <c r="I48" i="52"/>
  <c r="H48" i="52"/>
  <c r="I47" i="52"/>
  <c r="H47" i="52"/>
  <c r="I46" i="52"/>
  <c r="H46" i="52"/>
  <c r="I45" i="52"/>
  <c r="H45" i="52"/>
  <c r="I44" i="52"/>
  <c r="H44" i="52"/>
  <c r="I43" i="52"/>
  <c r="H43" i="52"/>
  <c r="I42" i="52"/>
  <c r="C28" i="52"/>
  <c r="C27" i="52"/>
  <c r="C14" i="52"/>
  <c r="C15" i="52" s="1"/>
  <c r="I60" i="51"/>
  <c r="H60" i="51"/>
  <c r="I59" i="51"/>
  <c r="H59" i="51"/>
  <c r="I58" i="51"/>
  <c r="H58" i="51"/>
  <c r="I57" i="51"/>
  <c r="H57" i="51"/>
  <c r="I56" i="51"/>
  <c r="H56" i="51"/>
  <c r="I55" i="51"/>
  <c r="H55" i="51"/>
  <c r="I54" i="51"/>
  <c r="H54" i="51"/>
  <c r="I53" i="51"/>
  <c r="C39" i="51"/>
  <c r="C32" i="51"/>
  <c r="C38" i="51" s="1"/>
  <c r="C25" i="51"/>
  <c r="C26" i="51" s="1"/>
  <c r="J51" i="49"/>
  <c r="H51" i="49"/>
  <c r="J50" i="49"/>
  <c r="H50" i="49"/>
  <c r="J49" i="49"/>
  <c r="H49" i="49"/>
  <c r="J48" i="49"/>
  <c r="H48" i="49"/>
  <c r="J47" i="49"/>
  <c r="H47" i="49"/>
  <c r="J46" i="49"/>
  <c r="H46" i="49"/>
  <c r="J45" i="49"/>
  <c r="H45" i="49"/>
  <c r="J44" i="49"/>
  <c r="E30" i="49"/>
  <c r="C30" i="49"/>
  <c r="E29" i="49"/>
  <c r="C29" i="49"/>
  <c r="G26" i="49"/>
  <c r="G25" i="49"/>
  <c r="G24" i="49"/>
  <c r="G23" i="49"/>
  <c r="G29" i="49" s="1"/>
  <c r="H29" i="49" s="1"/>
  <c r="G13" i="49"/>
  <c r="C17" i="49" s="1"/>
  <c r="G12" i="49"/>
  <c r="G30" i="49" l="1"/>
  <c r="H30" i="49" s="1"/>
  <c r="C22" i="57"/>
  <c r="C21" i="57"/>
  <c r="D31" i="57"/>
  <c r="D30" i="57"/>
  <c r="C22" i="56"/>
  <c r="C21" i="56"/>
  <c r="D30" i="56" s="1"/>
  <c r="D31" i="56"/>
  <c r="C22" i="55"/>
  <c r="C21" i="55"/>
  <c r="D30" i="55" s="1"/>
  <c r="D31" i="55"/>
  <c r="C21" i="54"/>
  <c r="C20" i="54"/>
  <c r="D29" i="54" s="1"/>
  <c r="D30" i="54"/>
  <c r="C21" i="53"/>
  <c r="D30" i="53" s="1"/>
  <c r="C19" i="52"/>
  <c r="C18" i="52"/>
  <c r="D28" i="52"/>
  <c r="D27" i="52"/>
  <c r="C30" i="51"/>
  <c r="D39" i="51" s="1"/>
  <c r="C29" i="51"/>
  <c r="D38" i="51" s="1"/>
  <c r="C18" i="49"/>
  <c r="K49" i="48" l="1"/>
  <c r="I49" i="48"/>
  <c r="K48" i="48"/>
  <c r="I48" i="48"/>
  <c r="K47" i="48"/>
  <c r="I47" i="48"/>
  <c r="K46" i="48"/>
  <c r="I46" i="48"/>
  <c r="K45" i="48"/>
  <c r="I45" i="48"/>
  <c r="K44" i="48"/>
  <c r="I44" i="48"/>
  <c r="K43" i="48"/>
  <c r="I43" i="48"/>
  <c r="K42" i="48"/>
  <c r="G28" i="48"/>
  <c r="E28" i="48"/>
  <c r="C28" i="48"/>
  <c r="G27" i="48"/>
  <c r="E27" i="48"/>
  <c r="C27" i="48"/>
  <c r="J24" i="48"/>
  <c r="J28" i="48" s="1"/>
  <c r="I24" i="48"/>
  <c r="K24" i="48" s="1"/>
  <c r="J23" i="48"/>
  <c r="I23" i="48"/>
  <c r="K23" i="48" s="1"/>
  <c r="J22" i="48"/>
  <c r="I22" i="48"/>
  <c r="K22" i="48" s="1"/>
  <c r="J21" i="48"/>
  <c r="J27" i="48" s="1"/>
  <c r="K27" i="48" s="1"/>
  <c r="I21" i="48"/>
  <c r="K21" i="48" s="1"/>
  <c r="C14" i="48"/>
  <c r="J50" i="47"/>
  <c r="H50" i="47"/>
  <c r="J49" i="47"/>
  <c r="H49" i="47"/>
  <c r="J48" i="47"/>
  <c r="H48" i="47"/>
  <c r="J47" i="47"/>
  <c r="H47" i="47"/>
  <c r="J46" i="47"/>
  <c r="H46" i="47"/>
  <c r="J45" i="47"/>
  <c r="H45" i="47"/>
  <c r="J44" i="47"/>
  <c r="H44" i="47"/>
  <c r="J43" i="47"/>
  <c r="E29" i="47"/>
  <c r="C29" i="47"/>
  <c r="E28" i="47"/>
  <c r="C28" i="47"/>
  <c r="G25" i="47"/>
  <c r="G29" i="47" s="1"/>
  <c r="G24" i="47"/>
  <c r="G23" i="47"/>
  <c r="G22" i="47"/>
  <c r="G28" i="47" s="1"/>
  <c r="G11" i="47"/>
  <c r="G12" i="47" s="1"/>
  <c r="I52" i="46"/>
  <c r="H52" i="46"/>
  <c r="I51" i="46"/>
  <c r="H51" i="46"/>
  <c r="I50" i="46"/>
  <c r="H50" i="46"/>
  <c r="I49" i="46"/>
  <c r="H49" i="46"/>
  <c r="I48" i="46"/>
  <c r="H48" i="46"/>
  <c r="I47" i="46"/>
  <c r="H47" i="46"/>
  <c r="I46" i="46"/>
  <c r="H46" i="46"/>
  <c r="I45" i="46"/>
  <c r="C31" i="46"/>
  <c r="C30" i="46"/>
  <c r="C17" i="46"/>
  <c r="C18" i="46" s="1"/>
  <c r="C21" i="46" s="1"/>
  <c r="D30" i="46" s="1"/>
  <c r="I51" i="45"/>
  <c r="H51" i="45"/>
  <c r="I50" i="45"/>
  <c r="H50" i="45"/>
  <c r="I49" i="45"/>
  <c r="H49" i="45"/>
  <c r="I48" i="45"/>
  <c r="H48" i="45"/>
  <c r="I47" i="45"/>
  <c r="H47" i="45"/>
  <c r="I46" i="45"/>
  <c r="H46" i="45"/>
  <c r="I45" i="45"/>
  <c r="H45" i="45"/>
  <c r="I44" i="45"/>
  <c r="C30" i="45"/>
  <c r="C29" i="45"/>
  <c r="C16" i="45"/>
  <c r="C17" i="45" s="1"/>
  <c r="I53" i="44"/>
  <c r="H53" i="44"/>
  <c r="I52" i="44"/>
  <c r="H52" i="44"/>
  <c r="I51" i="44"/>
  <c r="H51" i="44"/>
  <c r="I50" i="44"/>
  <c r="H50" i="44"/>
  <c r="I49" i="44"/>
  <c r="H49" i="44"/>
  <c r="I48" i="44"/>
  <c r="H48" i="44"/>
  <c r="I47" i="44"/>
  <c r="H47" i="44"/>
  <c r="I46" i="44"/>
  <c r="C32" i="44"/>
  <c r="C31" i="44"/>
  <c r="C19" i="44"/>
  <c r="C22" i="44" s="1"/>
  <c r="D31" i="44" s="1"/>
  <c r="C18" i="44"/>
  <c r="I51" i="42"/>
  <c r="H51" i="42"/>
  <c r="I50" i="42"/>
  <c r="H50" i="42"/>
  <c r="I49" i="42"/>
  <c r="H49" i="42"/>
  <c r="I48" i="42"/>
  <c r="H48" i="42"/>
  <c r="I47" i="42"/>
  <c r="H47" i="42"/>
  <c r="I46" i="42"/>
  <c r="H46" i="42"/>
  <c r="I45" i="42"/>
  <c r="H45" i="42"/>
  <c r="I44" i="42"/>
  <c r="C30" i="42"/>
  <c r="C29" i="42"/>
  <c r="C16" i="42"/>
  <c r="C17" i="42" s="1"/>
  <c r="C20" i="42" s="1"/>
  <c r="D29" i="42" s="1"/>
  <c r="C17" i="47" l="1"/>
  <c r="H29" i="47" s="1"/>
  <c r="C16" i="47"/>
  <c r="H28" i="47" s="1"/>
  <c r="C22" i="46"/>
  <c r="D31" i="46" s="1"/>
  <c r="C21" i="45"/>
  <c r="C20" i="45"/>
  <c r="D29" i="45" s="1"/>
  <c r="D30" i="45"/>
  <c r="C23" i="44"/>
  <c r="D32" i="44" s="1"/>
  <c r="C21" i="42"/>
  <c r="D30" i="42" s="1"/>
  <c r="C26" i="41" l="1"/>
  <c r="C25" i="41"/>
  <c r="C24" i="41"/>
  <c r="C23" i="41"/>
  <c r="G23" i="41" s="1"/>
  <c r="J51" i="41"/>
  <c r="H51" i="41"/>
  <c r="J50" i="41"/>
  <c r="H50" i="41"/>
  <c r="J49" i="41"/>
  <c r="H49" i="41"/>
  <c r="J48" i="41"/>
  <c r="H48" i="41"/>
  <c r="J47" i="41"/>
  <c r="H47" i="41"/>
  <c r="J46" i="41"/>
  <c r="H46" i="41"/>
  <c r="J45" i="41"/>
  <c r="H45" i="41"/>
  <c r="J44" i="41"/>
  <c r="E30" i="41"/>
  <c r="C30" i="41"/>
  <c r="E29" i="41"/>
  <c r="G26" i="41"/>
  <c r="G24" i="41"/>
  <c r="G12" i="41"/>
  <c r="G13" i="41" s="1"/>
  <c r="C17" i="41" s="1"/>
  <c r="C29" i="41" l="1"/>
  <c r="G29" i="41"/>
  <c r="H29" i="41" s="1"/>
  <c r="G25" i="41"/>
  <c r="G30" i="41"/>
  <c r="H30" i="41" s="1"/>
  <c r="C18" i="41"/>
  <c r="I49" i="39" l="1"/>
  <c r="H49" i="39"/>
  <c r="I48" i="39"/>
  <c r="H48" i="39"/>
  <c r="I47" i="39"/>
  <c r="H47" i="39"/>
  <c r="I46" i="39"/>
  <c r="H46" i="39"/>
  <c r="I45" i="39"/>
  <c r="H45" i="39"/>
  <c r="I44" i="39"/>
  <c r="H44" i="39"/>
  <c r="I43" i="39"/>
  <c r="H43" i="39"/>
  <c r="I42" i="39"/>
  <c r="C28" i="39"/>
  <c r="C27" i="39"/>
  <c r="C15" i="39"/>
  <c r="C18" i="39" s="1"/>
  <c r="D27" i="39" s="1"/>
  <c r="C14" i="39"/>
  <c r="C19" i="39" l="1"/>
  <c r="D28" i="39" s="1"/>
  <c r="I51" i="38" l="1"/>
  <c r="H51" i="38"/>
  <c r="I50" i="38"/>
  <c r="H50" i="38"/>
  <c r="I49" i="38"/>
  <c r="H49" i="38"/>
  <c r="I48" i="38"/>
  <c r="H48" i="38"/>
  <c r="I47" i="38"/>
  <c r="H47" i="38"/>
  <c r="I46" i="38"/>
  <c r="H46" i="38"/>
  <c r="I45" i="38"/>
  <c r="H45" i="38"/>
  <c r="I44" i="38"/>
  <c r="C30" i="38"/>
  <c r="C29" i="38"/>
  <c r="C16" i="38"/>
  <c r="C17" i="38" s="1"/>
  <c r="C21" i="38" l="1"/>
  <c r="C20" i="38"/>
  <c r="D30" i="38"/>
  <c r="D29" i="38"/>
  <c r="J51" i="37" l="1"/>
  <c r="H51" i="37"/>
  <c r="J50" i="37"/>
  <c r="H50" i="37"/>
  <c r="J49" i="37"/>
  <c r="H49" i="37"/>
  <c r="J48" i="37"/>
  <c r="H48" i="37"/>
  <c r="J47" i="37"/>
  <c r="H47" i="37"/>
  <c r="J46" i="37"/>
  <c r="H46" i="37"/>
  <c r="J45" i="37"/>
  <c r="H45" i="37"/>
  <c r="J44" i="37"/>
  <c r="E30" i="37"/>
  <c r="C30" i="37"/>
  <c r="E29" i="37"/>
  <c r="C29" i="37"/>
  <c r="G26" i="37"/>
  <c r="G30" i="37" s="1"/>
  <c r="G25" i="37"/>
  <c r="G24" i="37"/>
  <c r="G23" i="37"/>
  <c r="G29" i="37" s="1"/>
  <c r="H29" i="37" s="1"/>
  <c r="G12" i="37"/>
  <c r="G13" i="37" s="1"/>
  <c r="C18" i="37" l="1"/>
  <c r="C17" i="37"/>
  <c r="H30" i="37" s="1"/>
  <c r="J50" i="36" l="1"/>
  <c r="H50" i="36"/>
  <c r="J49" i="36"/>
  <c r="H49" i="36"/>
  <c r="J48" i="36"/>
  <c r="H48" i="36"/>
  <c r="J47" i="36"/>
  <c r="H47" i="36"/>
  <c r="J46" i="36"/>
  <c r="H46" i="36"/>
  <c r="J45" i="36"/>
  <c r="H45" i="36"/>
  <c r="J44" i="36"/>
  <c r="H44" i="36"/>
  <c r="J43" i="36"/>
  <c r="E29" i="36"/>
  <c r="C29" i="36"/>
  <c r="E28" i="36"/>
  <c r="C28" i="36"/>
  <c r="G25" i="36"/>
  <c r="G24" i="36"/>
  <c r="G23" i="36"/>
  <c r="G22" i="36"/>
  <c r="G28" i="36" s="1"/>
  <c r="H28" i="36" s="1"/>
  <c r="G13" i="36"/>
  <c r="C16" i="36" s="1"/>
  <c r="G12" i="36"/>
  <c r="G29" i="36" l="1"/>
  <c r="H29" i="36"/>
  <c r="C17" i="36"/>
  <c r="L51" i="35" l="1"/>
  <c r="J51" i="35"/>
  <c r="L50" i="35"/>
  <c r="J50" i="35"/>
  <c r="L49" i="35"/>
  <c r="J49" i="35"/>
  <c r="L48" i="35"/>
  <c r="J48" i="35"/>
  <c r="L47" i="35"/>
  <c r="J47" i="35"/>
  <c r="L46" i="35"/>
  <c r="J46" i="35"/>
  <c r="L45" i="35"/>
  <c r="J45" i="35"/>
  <c r="L44" i="35"/>
  <c r="E30" i="35"/>
  <c r="C30" i="35"/>
  <c r="E29" i="35"/>
  <c r="C29" i="35"/>
  <c r="I26" i="35"/>
  <c r="I25" i="35"/>
  <c r="I24" i="35"/>
  <c r="I23" i="35"/>
  <c r="I29" i="35" s="1"/>
  <c r="J29" i="35" s="1"/>
  <c r="I13" i="35"/>
  <c r="C17" i="35" s="1"/>
  <c r="I12" i="35"/>
  <c r="I53" i="33"/>
  <c r="H53" i="33"/>
  <c r="I52" i="33"/>
  <c r="H52" i="33"/>
  <c r="I51" i="33"/>
  <c r="H51" i="33"/>
  <c r="I50" i="33"/>
  <c r="H50" i="33"/>
  <c r="I49" i="33"/>
  <c r="H49" i="33"/>
  <c r="I48" i="33"/>
  <c r="H48" i="33"/>
  <c r="I47" i="33"/>
  <c r="H47" i="33"/>
  <c r="I46" i="33"/>
  <c r="C31" i="33"/>
  <c r="C30" i="33"/>
  <c r="C17" i="33"/>
  <c r="C18" i="33" s="1"/>
  <c r="C21" i="33" s="1"/>
  <c r="D30" i="33" s="1"/>
  <c r="I53" i="32"/>
  <c r="H53" i="32"/>
  <c r="I52" i="32"/>
  <c r="H52" i="32"/>
  <c r="I51" i="32"/>
  <c r="H51" i="32"/>
  <c r="I50" i="32"/>
  <c r="H50" i="32"/>
  <c r="I49" i="32"/>
  <c r="H49" i="32"/>
  <c r="I48" i="32"/>
  <c r="H48" i="32"/>
  <c r="I47" i="32"/>
  <c r="H47" i="32"/>
  <c r="I46" i="32"/>
  <c r="C30" i="32"/>
  <c r="C27" i="32"/>
  <c r="C31" i="32" s="1"/>
  <c r="C17" i="32"/>
  <c r="C18" i="32" s="1"/>
  <c r="I51" i="31"/>
  <c r="H51" i="31"/>
  <c r="I50" i="31"/>
  <c r="H50" i="31"/>
  <c r="I49" i="31"/>
  <c r="H49" i="31"/>
  <c r="I48" i="31"/>
  <c r="H48" i="31"/>
  <c r="I47" i="31"/>
  <c r="H47" i="31"/>
  <c r="I46" i="31"/>
  <c r="H46" i="31"/>
  <c r="I45" i="31"/>
  <c r="H45" i="31"/>
  <c r="I44" i="31"/>
  <c r="C29" i="31"/>
  <c r="C28" i="31"/>
  <c r="C15" i="31"/>
  <c r="C16" i="31" s="1"/>
  <c r="I53" i="30"/>
  <c r="H53" i="30"/>
  <c r="I52" i="30"/>
  <c r="H52" i="30"/>
  <c r="I51" i="30"/>
  <c r="H51" i="30"/>
  <c r="I50" i="30"/>
  <c r="H50" i="30"/>
  <c r="I49" i="30"/>
  <c r="H49" i="30"/>
  <c r="I48" i="30"/>
  <c r="H48" i="30"/>
  <c r="I47" i="30"/>
  <c r="H47" i="30"/>
  <c r="I46" i="30"/>
  <c r="C31" i="30"/>
  <c r="C30" i="30"/>
  <c r="C18" i="30"/>
  <c r="I51" i="29"/>
  <c r="H51" i="29"/>
  <c r="I50" i="29"/>
  <c r="H50" i="29"/>
  <c r="I49" i="29"/>
  <c r="H49" i="29"/>
  <c r="I48" i="29"/>
  <c r="H48" i="29"/>
  <c r="I47" i="29"/>
  <c r="H47" i="29"/>
  <c r="I46" i="29"/>
  <c r="H46" i="29"/>
  <c r="I45" i="29"/>
  <c r="H45" i="29"/>
  <c r="I44" i="29"/>
  <c r="C30" i="29"/>
  <c r="C29" i="29"/>
  <c r="C16" i="29"/>
  <c r="C17" i="29" s="1"/>
  <c r="C20" i="29" s="1"/>
  <c r="D29" i="29" s="1"/>
  <c r="I53" i="28"/>
  <c r="H53" i="28"/>
  <c r="I52" i="28"/>
  <c r="H52" i="28"/>
  <c r="I51" i="28"/>
  <c r="H51" i="28"/>
  <c r="I50" i="28"/>
  <c r="H50" i="28"/>
  <c r="I49" i="28"/>
  <c r="H49" i="28"/>
  <c r="I48" i="28"/>
  <c r="H48" i="28"/>
  <c r="I47" i="28"/>
  <c r="H47" i="28"/>
  <c r="I46" i="28"/>
  <c r="C32" i="28"/>
  <c r="C31" i="28"/>
  <c r="C18" i="28"/>
  <c r="C19" i="28" s="1"/>
  <c r="C22" i="28" s="1"/>
  <c r="I50" i="27"/>
  <c r="H50" i="27"/>
  <c r="I49" i="27"/>
  <c r="H49" i="27"/>
  <c r="I48" i="27"/>
  <c r="H48" i="27"/>
  <c r="I47" i="27"/>
  <c r="H47" i="27"/>
  <c r="I46" i="27"/>
  <c r="H46" i="27"/>
  <c r="I45" i="27"/>
  <c r="H45" i="27"/>
  <c r="I44" i="27"/>
  <c r="H44" i="27"/>
  <c r="I43" i="27"/>
  <c r="C29" i="27"/>
  <c r="C28" i="27"/>
  <c r="C15" i="27"/>
  <c r="C16" i="27" s="1"/>
  <c r="I51" i="26"/>
  <c r="H51" i="26"/>
  <c r="I50" i="26"/>
  <c r="H50" i="26"/>
  <c r="I49" i="26"/>
  <c r="H49" i="26"/>
  <c r="I48" i="26"/>
  <c r="H48" i="26"/>
  <c r="I47" i="26"/>
  <c r="H47" i="26"/>
  <c r="I46" i="26"/>
  <c r="H46" i="26"/>
  <c r="I45" i="26"/>
  <c r="H45" i="26"/>
  <c r="I44" i="26"/>
  <c r="C30" i="26"/>
  <c r="C29" i="26"/>
  <c r="C16" i="26"/>
  <c r="C17" i="26" s="1"/>
  <c r="C20" i="26" s="1"/>
  <c r="D29" i="26" s="1"/>
  <c r="C14" i="25"/>
  <c r="C15" i="25" s="1"/>
  <c r="C27" i="25"/>
  <c r="C28" i="25"/>
  <c r="I42" i="25"/>
  <c r="H43" i="25"/>
  <c r="I43" i="25"/>
  <c r="H44" i="25"/>
  <c r="I44" i="25"/>
  <c r="H45" i="25"/>
  <c r="I45" i="25"/>
  <c r="H46" i="25"/>
  <c r="I46" i="25"/>
  <c r="H47" i="25"/>
  <c r="I47" i="25"/>
  <c r="H48" i="25"/>
  <c r="I48" i="25"/>
  <c r="H49" i="25"/>
  <c r="I49" i="25"/>
  <c r="G12" i="24"/>
  <c r="G13" i="24" s="1"/>
  <c r="G23" i="24"/>
  <c r="G24" i="24"/>
  <c r="G25" i="24"/>
  <c r="G26" i="24"/>
  <c r="C29" i="24"/>
  <c r="E29" i="24"/>
  <c r="G29" i="24"/>
  <c r="H29" i="24" s="1"/>
  <c r="C30" i="24"/>
  <c r="E30" i="24"/>
  <c r="G30" i="24"/>
  <c r="J44" i="24"/>
  <c r="H45" i="24"/>
  <c r="J45" i="24"/>
  <c r="H46" i="24"/>
  <c r="J46" i="24"/>
  <c r="H47" i="24"/>
  <c r="J47" i="24"/>
  <c r="H48" i="24"/>
  <c r="J48" i="24"/>
  <c r="H49" i="24"/>
  <c r="J49" i="24"/>
  <c r="H50" i="24"/>
  <c r="J50" i="24"/>
  <c r="H51" i="24"/>
  <c r="J51" i="24"/>
  <c r="D31" i="28" l="1"/>
  <c r="I30" i="35"/>
  <c r="J30" i="35" s="1"/>
  <c r="C18" i="35"/>
  <c r="C22" i="33"/>
  <c r="D31" i="33" s="1"/>
  <c r="C22" i="32"/>
  <c r="C21" i="32"/>
  <c r="D30" i="32" s="1"/>
  <c r="D31" i="32"/>
  <c r="C20" i="31"/>
  <c r="C19" i="31"/>
  <c r="D29" i="31"/>
  <c r="D28" i="31"/>
  <c r="C22" i="30"/>
  <c r="C21" i="30"/>
  <c r="D31" i="30"/>
  <c r="D30" i="30"/>
  <c r="C21" i="29"/>
  <c r="D30" i="29" s="1"/>
  <c r="C23" i="28"/>
  <c r="D32" i="28" s="1"/>
  <c r="C20" i="27"/>
  <c r="C19" i="27"/>
  <c r="D29" i="27"/>
  <c r="D28" i="27"/>
  <c r="C21" i="26"/>
  <c r="D30" i="26" s="1"/>
  <c r="C18" i="25"/>
  <c r="D27" i="25" s="1"/>
  <c r="C19" i="25"/>
  <c r="D28" i="25" s="1"/>
  <c r="C18" i="24"/>
  <c r="C17" i="24"/>
  <c r="H30" i="24" s="1"/>
  <c r="I50" i="23" l="1"/>
  <c r="H50" i="23"/>
  <c r="I49" i="23"/>
  <c r="H49" i="23"/>
  <c r="I48" i="23"/>
  <c r="H48" i="23"/>
  <c r="I47" i="23"/>
  <c r="H47" i="23"/>
  <c r="I46" i="23"/>
  <c r="H46" i="23"/>
  <c r="I45" i="23"/>
  <c r="H45" i="23"/>
  <c r="I44" i="23"/>
  <c r="H44" i="23"/>
  <c r="I43" i="23"/>
  <c r="C29" i="23"/>
  <c r="C28" i="23"/>
  <c r="C15" i="23"/>
  <c r="C16" i="23" s="1"/>
  <c r="C19" i="23" s="1"/>
  <c r="D28" i="23" s="1"/>
  <c r="I50" i="22"/>
  <c r="H50" i="22"/>
  <c r="I49" i="22"/>
  <c r="H49" i="22"/>
  <c r="I48" i="22"/>
  <c r="H48" i="22"/>
  <c r="I47" i="22"/>
  <c r="H47" i="22"/>
  <c r="I46" i="22"/>
  <c r="H46" i="22"/>
  <c r="I45" i="22"/>
  <c r="H45" i="22"/>
  <c r="I44" i="22"/>
  <c r="H44" i="22"/>
  <c r="I43" i="22"/>
  <c r="C29" i="22"/>
  <c r="C28" i="22"/>
  <c r="C15" i="22"/>
  <c r="C16" i="22" s="1"/>
  <c r="J51" i="21"/>
  <c r="H51" i="21"/>
  <c r="J50" i="21"/>
  <c r="H50" i="21"/>
  <c r="J49" i="21"/>
  <c r="H49" i="21"/>
  <c r="J48" i="21"/>
  <c r="H48" i="21"/>
  <c r="J47" i="21"/>
  <c r="H47" i="21"/>
  <c r="J46" i="21"/>
  <c r="H46" i="21"/>
  <c r="J45" i="21"/>
  <c r="H45" i="21"/>
  <c r="J44" i="21"/>
  <c r="E30" i="21"/>
  <c r="C30" i="21"/>
  <c r="C29" i="21"/>
  <c r="G26" i="21"/>
  <c r="G25" i="21"/>
  <c r="G24" i="21"/>
  <c r="E23" i="21"/>
  <c r="G23" i="21" s="1"/>
  <c r="G29" i="21" s="1"/>
  <c r="G20" i="21"/>
  <c r="G12" i="21"/>
  <c r="G13" i="21" s="1"/>
  <c r="C17" i="21" s="1"/>
  <c r="C16" i="20"/>
  <c r="C17" i="20" s="1"/>
  <c r="C29" i="20"/>
  <c r="C30" i="20"/>
  <c r="I44" i="20"/>
  <c r="H45" i="20"/>
  <c r="I45" i="20"/>
  <c r="H46" i="20"/>
  <c r="I46" i="20"/>
  <c r="H47" i="20"/>
  <c r="I47" i="20"/>
  <c r="H48" i="20"/>
  <c r="I48" i="20"/>
  <c r="H49" i="20"/>
  <c r="I49" i="20"/>
  <c r="H50" i="20"/>
  <c r="I50" i="20"/>
  <c r="H51" i="20"/>
  <c r="I51" i="20"/>
  <c r="I49" i="19"/>
  <c r="H49" i="19"/>
  <c r="I48" i="19"/>
  <c r="H48" i="19"/>
  <c r="I47" i="19"/>
  <c r="H47" i="19"/>
  <c r="I46" i="19"/>
  <c r="H46" i="19"/>
  <c r="I45" i="19"/>
  <c r="H45" i="19"/>
  <c r="I44" i="19"/>
  <c r="H44" i="19"/>
  <c r="I43" i="19"/>
  <c r="H43" i="19"/>
  <c r="I42" i="19"/>
  <c r="C28" i="19"/>
  <c r="C27" i="19"/>
  <c r="C14" i="19"/>
  <c r="C15" i="19" s="1"/>
  <c r="C18" i="19" s="1"/>
  <c r="D27" i="19" s="1"/>
  <c r="J50" i="18"/>
  <c r="H50" i="18"/>
  <c r="J49" i="18"/>
  <c r="H49" i="18"/>
  <c r="J48" i="18"/>
  <c r="H48" i="18"/>
  <c r="J47" i="18"/>
  <c r="H47" i="18"/>
  <c r="J46" i="18"/>
  <c r="H46" i="18"/>
  <c r="J45" i="18"/>
  <c r="H45" i="18"/>
  <c r="J44" i="18"/>
  <c r="H44" i="18"/>
  <c r="J43" i="18"/>
  <c r="E25" i="18"/>
  <c r="C25" i="18"/>
  <c r="C29" i="18" s="1"/>
  <c r="E24" i="18"/>
  <c r="C24" i="18"/>
  <c r="G24" i="18" s="1"/>
  <c r="E23" i="18"/>
  <c r="C23" i="18"/>
  <c r="E22" i="18"/>
  <c r="E28" i="18" s="1"/>
  <c r="C22" i="18"/>
  <c r="C28" i="18" s="1"/>
  <c r="G19" i="18"/>
  <c r="G12" i="18"/>
  <c r="C16" i="18" s="1"/>
  <c r="G11" i="18"/>
  <c r="G23" i="18" l="1"/>
  <c r="E29" i="18"/>
  <c r="G30" i="21"/>
  <c r="C20" i="23"/>
  <c r="D29" i="23" s="1"/>
  <c r="C20" i="22"/>
  <c r="C19" i="22"/>
  <c r="D29" i="22"/>
  <c r="D28" i="22"/>
  <c r="H29" i="21"/>
  <c r="H30" i="21"/>
  <c r="C18" i="21"/>
  <c r="E29" i="21"/>
  <c r="C21" i="20"/>
  <c r="D30" i="20" s="1"/>
  <c r="C20" i="20"/>
  <c r="D29" i="20" s="1"/>
  <c r="C19" i="19"/>
  <c r="D28" i="19" s="1"/>
  <c r="C17" i="18"/>
  <c r="G22" i="18"/>
  <c r="G28" i="18" s="1"/>
  <c r="H28" i="18" s="1"/>
  <c r="G25" i="18"/>
  <c r="G29" i="18" s="1"/>
  <c r="H29" i="18" s="1"/>
  <c r="E30" i="17"/>
  <c r="E29" i="17"/>
  <c r="J51" i="17"/>
  <c r="H51" i="17"/>
  <c r="J50" i="17"/>
  <c r="H50" i="17"/>
  <c r="J49" i="17"/>
  <c r="H49" i="17"/>
  <c r="J48" i="17"/>
  <c r="H48" i="17"/>
  <c r="J47" i="17"/>
  <c r="H47" i="17"/>
  <c r="J46" i="17"/>
  <c r="H46" i="17"/>
  <c r="J45" i="17"/>
  <c r="H45" i="17"/>
  <c r="J44" i="17"/>
  <c r="G30" i="17"/>
  <c r="C30" i="17"/>
  <c r="G29" i="17"/>
  <c r="C29" i="17"/>
  <c r="I26" i="17"/>
  <c r="I25" i="17"/>
  <c r="I24" i="17"/>
  <c r="I23" i="17"/>
  <c r="I12" i="17"/>
  <c r="I13" i="17" s="1"/>
  <c r="I50" i="15"/>
  <c r="H50" i="15"/>
  <c r="I49" i="15"/>
  <c r="H49" i="15"/>
  <c r="I48" i="15"/>
  <c r="H48" i="15"/>
  <c r="I47" i="15"/>
  <c r="H47" i="15"/>
  <c r="I46" i="15"/>
  <c r="H46" i="15"/>
  <c r="I45" i="15"/>
  <c r="H45" i="15"/>
  <c r="I44" i="15"/>
  <c r="H44" i="15"/>
  <c r="I43" i="15"/>
  <c r="C29" i="15"/>
  <c r="C28" i="15"/>
  <c r="C15" i="15"/>
  <c r="C16" i="15" s="1"/>
  <c r="I50" i="14"/>
  <c r="H50" i="14"/>
  <c r="I49" i="14"/>
  <c r="H49" i="14"/>
  <c r="I48" i="14"/>
  <c r="H48" i="14"/>
  <c r="I47" i="14"/>
  <c r="H47" i="14"/>
  <c r="I46" i="14"/>
  <c r="H46" i="14"/>
  <c r="I45" i="14"/>
  <c r="H45" i="14"/>
  <c r="I44" i="14"/>
  <c r="H44" i="14"/>
  <c r="I43" i="14"/>
  <c r="C29" i="14"/>
  <c r="C28" i="14"/>
  <c r="C15" i="14"/>
  <c r="C16" i="14" s="1"/>
  <c r="I29" i="17" l="1"/>
  <c r="I30" i="17"/>
  <c r="C17" i="17"/>
  <c r="J29" i="17" s="1"/>
  <c r="C18" i="17"/>
  <c r="C20" i="15"/>
  <c r="C19" i="15"/>
  <c r="D28" i="15" s="1"/>
  <c r="D29" i="15"/>
  <c r="C19" i="14"/>
  <c r="D28" i="14" s="1"/>
  <c r="C20" i="14"/>
  <c r="D29" i="14" s="1"/>
  <c r="J30" i="17" l="1"/>
  <c r="I53" i="13" l="1"/>
  <c r="H53" i="13"/>
  <c r="I52" i="13"/>
  <c r="H52" i="13"/>
  <c r="I51" i="13"/>
  <c r="H51" i="13"/>
  <c r="I50" i="13"/>
  <c r="H50" i="13"/>
  <c r="I49" i="13"/>
  <c r="H49" i="13"/>
  <c r="I48" i="13"/>
  <c r="H48" i="13"/>
  <c r="I47" i="13"/>
  <c r="H47" i="13"/>
  <c r="I46" i="13"/>
  <c r="C32" i="13"/>
  <c r="C31" i="13"/>
  <c r="C18" i="13"/>
  <c r="C19" i="13" s="1"/>
  <c r="C23" i="13" s="1"/>
  <c r="D32" i="13" s="1"/>
  <c r="I51" i="12"/>
  <c r="H51" i="12"/>
  <c r="I50" i="12"/>
  <c r="H50" i="12"/>
  <c r="I49" i="12"/>
  <c r="H49" i="12"/>
  <c r="I48" i="12"/>
  <c r="H48" i="12"/>
  <c r="I47" i="12"/>
  <c r="H47" i="12"/>
  <c r="I46" i="12"/>
  <c r="H46" i="12"/>
  <c r="I45" i="12"/>
  <c r="H45" i="12"/>
  <c r="I44" i="12"/>
  <c r="C30" i="12"/>
  <c r="C29" i="12"/>
  <c r="C16" i="12"/>
  <c r="C17" i="12" s="1"/>
  <c r="I50" i="11"/>
  <c r="H50" i="11"/>
  <c r="I49" i="11"/>
  <c r="H49" i="11"/>
  <c r="I48" i="11"/>
  <c r="H48" i="11"/>
  <c r="I47" i="11"/>
  <c r="H47" i="11"/>
  <c r="I46" i="11"/>
  <c r="H46" i="11"/>
  <c r="I45" i="11"/>
  <c r="H45" i="11"/>
  <c r="I44" i="11"/>
  <c r="H44" i="11"/>
  <c r="I43" i="11"/>
  <c r="C29" i="11"/>
  <c r="C28" i="11"/>
  <c r="C16" i="11"/>
  <c r="C19" i="11" s="1"/>
  <c r="C15" i="11"/>
  <c r="J51" i="10"/>
  <c r="H51" i="10"/>
  <c r="J50" i="10"/>
  <c r="H50" i="10"/>
  <c r="J49" i="10"/>
  <c r="H49" i="10"/>
  <c r="J48" i="10"/>
  <c r="H48" i="10"/>
  <c r="J47" i="10"/>
  <c r="H47" i="10"/>
  <c r="J46" i="10"/>
  <c r="H46" i="10"/>
  <c r="J45" i="10"/>
  <c r="H45" i="10"/>
  <c r="J44" i="10"/>
  <c r="E30" i="10"/>
  <c r="C30" i="10"/>
  <c r="E29" i="10"/>
  <c r="C29" i="10"/>
  <c r="G26" i="10"/>
  <c r="G25" i="10"/>
  <c r="G24" i="10"/>
  <c r="G23" i="10"/>
  <c r="G29" i="10" s="1"/>
  <c r="G12" i="10"/>
  <c r="G13" i="10" s="1"/>
  <c r="C22" i="13" l="1"/>
  <c r="D31" i="13" s="1"/>
  <c r="C21" i="12"/>
  <c r="C20" i="12"/>
  <c r="D29" i="12" s="1"/>
  <c r="D30" i="12"/>
  <c r="D28" i="11"/>
  <c r="C20" i="11"/>
  <c r="D29" i="11" s="1"/>
  <c r="G30" i="10"/>
  <c r="C17" i="10"/>
  <c r="H29" i="10" s="1"/>
  <c r="C18" i="10"/>
  <c r="H30" i="10" s="1"/>
  <c r="I57" i="9"/>
  <c r="H57" i="9"/>
  <c r="I56" i="9"/>
  <c r="H56" i="9"/>
  <c r="I55" i="9"/>
  <c r="H55" i="9"/>
  <c r="I54" i="9"/>
  <c r="H54" i="9"/>
  <c r="I53" i="9"/>
  <c r="H53" i="9"/>
  <c r="I52" i="9"/>
  <c r="H52" i="9"/>
  <c r="I51" i="9"/>
  <c r="H51" i="9"/>
  <c r="I50" i="9"/>
  <c r="C36" i="9"/>
  <c r="C35" i="9"/>
  <c r="C22" i="9"/>
  <c r="C23" i="9" s="1"/>
  <c r="C26" i="9" s="1"/>
  <c r="D35" i="9" s="1"/>
  <c r="C27" i="9" l="1"/>
  <c r="D36" i="9" s="1"/>
  <c r="I51" i="7" l="1"/>
  <c r="H51" i="7"/>
  <c r="I50" i="7"/>
  <c r="H50" i="7"/>
  <c r="I49" i="7"/>
  <c r="H49" i="7"/>
  <c r="I48" i="7"/>
  <c r="H48" i="7"/>
  <c r="I47" i="7"/>
  <c r="H47" i="7"/>
  <c r="I46" i="7"/>
  <c r="H46" i="7"/>
  <c r="I45" i="7"/>
  <c r="H45" i="7"/>
  <c r="I44" i="7"/>
  <c r="C30" i="7"/>
  <c r="C29" i="7"/>
  <c r="C16" i="7"/>
  <c r="C17" i="7" s="1"/>
  <c r="G12" i="2"/>
  <c r="C21" i="7" l="1"/>
  <c r="C20" i="7"/>
  <c r="D29" i="7" s="1"/>
  <c r="D30" i="7"/>
  <c r="J51" i="2" l="1"/>
  <c r="H51" i="2"/>
  <c r="J50" i="2"/>
  <c r="H50" i="2"/>
  <c r="J49" i="2"/>
  <c r="H49" i="2"/>
  <c r="J48" i="2"/>
  <c r="H48" i="2"/>
  <c r="J47" i="2"/>
  <c r="H47" i="2"/>
  <c r="J46" i="2"/>
  <c r="H46" i="2"/>
  <c r="J45" i="2"/>
  <c r="H45" i="2"/>
  <c r="J44" i="2"/>
  <c r="E30" i="2" l="1"/>
  <c r="C30" i="2"/>
  <c r="E29" i="2"/>
  <c r="C29" i="2"/>
  <c r="G26" i="2"/>
  <c r="G25" i="2"/>
  <c r="G24" i="2"/>
  <c r="G23" i="2"/>
  <c r="G29" i="2" s="1"/>
  <c r="G13" i="2"/>
  <c r="C18" i="2" l="1"/>
  <c r="C17" i="2"/>
  <c r="H29" i="2" s="1"/>
  <c r="G30" i="2"/>
  <c r="H30" i="2" s="1"/>
</calcChain>
</file>

<file path=xl/sharedStrings.xml><?xml version="1.0" encoding="utf-8"?>
<sst xmlns="http://schemas.openxmlformats.org/spreadsheetml/2006/main" count="1777" uniqueCount="236">
  <si>
    <t>INSTITUTO COLOMBIANO DE BIENESTAR FAMILIAR - ICBF</t>
  </si>
  <si>
    <t>CECILIA DE LA FUENTE DE LLERAS</t>
  </si>
  <si>
    <t>EVALUACIÓN FINANCIERA PRIMERA INFANCIA</t>
  </si>
  <si>
    <t xml:space="preserve">PROPONENTE: </t>
  </si>
  <si>
    <t>VALOR DE LA PROPUESTA EN PESOS:</t>
  </si>
  <si>
    <t>VALOR DE LA PROPUESTA EN SMMLV:</t>
  </si>
  <si>
    <t>NUMERO DE NIT</t>
  </si>
  <si>
    <t>ACTIVO CORRIENTE</t>
  </si>
  <si>
    <t xml:space="preserve">ACTIVO TOTAL </t>
  </si>
  <si>
    <t xml:space="preserve">PASIVO CORRIENTE </t>
  </si>
  <si>
    <t>PASIVO TOTAL</t>
  </si>
  <si>
    <t>INDICADORES FINANCIEROS DEL PROPONENTE</t>
  </si>
  <si>
    <t>Capacidad Financiera</t>
  </si>
  <si>
    <t>LIQUIDEZ</t>
  </si>
  <si>
    <t>NIVEL DE ENDEUDAMIENTO</t>
  </si>
  <si>
    <t>CONSOLIDADO GENERAL:</t>
  </si>
  <si>
    <t>Índice Liquidez &gt;=</t>
  </si>
  <si>
    <t>Nivel de Endeudamiento</t>
  </si>
  <si>
    <t>INTEGRANTES</t>
  </si>
  <si>
    <t>INDICADORES SOLICITADOS SEGÚN VALOR PRESUPUESTO PRESENTADO</t>
  </si>
  <si>
    <t>HASTA</t>
  </si>
  <si>
    <t>DE</t>
  </si>
  <si>
    <t>&gt; A</t>
  </si>
  <si>
    <t xml:space="preserve">GRUPOS A LOS QUE SE PRESENTA </t>
  </si>
  <si>
    <t xml:space="preserve">REGIONAL </t>
  </si>
  <si>
    <t>VALOR</t>
  </si>
  <si>
    <t>OBSERVACION:</t>
  </si>
  <si>
    <t>DIRECCION DE CONTRATACIÓN</t>
  </si>
  <si>
    <t xml:space="preserve">Convocatoria Pública - CP002-2014 </t>
  </si>
  <si>
    <t xml:space="preserve">Atender a niños y niñas menores de 5 años, o hasta su ingreso al grado de transición, en los servicios de educación inicial y cuidado, en la Modalidad Desarrollo infantil en medio familiar, con el fin de promover el desarrollo integral de la primera infancia con calidad, de conformidad con los lineamientos, estándares de calidad y las directrices, y parámetros establecidos por el ICBF
</t>
  </si>
  <si>
    <t>VALOR DE LA (S) PROPUESTA EN PESOS:</t>
  </si>
  <si>
    <t>NIT</t>
  </si>
  <si>
    <t>UNION TEMPORAL SIN FRONTERAS</t>
  </si>
  <si>
    <t xml:space="preserve">COOPERATIVA MULTIACTIVA GESTORAS DELDESARROLLO EN COLOMBIA </t>
  </si>
  <si>
    <t>FUNDACION COMUNITARIA MIS PEQUEÑOS ANGELITOS</t>
  </si>
  <si>
    <t>ATLANTICO</t>
  </si>
  <si>
    <t xml:space="preserve">EL PROPONENTE CUMPLE ___X___ NO CUMPLE _______ CON LA CAPACIDAD FINANCIERA </t>
  </si>
  <si>
    <t>PROPUESTA No:</t>
  </si>
  <si>
    <t>PROPUESTA No</t>
  </si>
  <si>
    <t xml:space="preserve">FUNDACION PARA LA PROMOCION DE LAS CIENCIAS LA TECNOLOGIA Y LA CULTURA FUNDACDION PROCIENCIA </t>
  </si>
  <si>
    <t>BOLIVAR</t>
  </si>
  <si>
    <t>FUNDACIÓN GIMNASIO MODERNO DEL CAUCA</t>
  </si>
  <si>
    <t>CAUCA</t>
  </si>
  <si>
    <t xml:space="preserve">EL PROPONENTE CUMPLE __X____ NO CUMPLE _______ 
CON LA CAPACIDAD FINANCIERA </t>
  </si>
  <si>
    <t xml:space="preserve">CONSORCIO DESARROLLANDO CAMINOS </t>
  </si>
  <si>
    <t xml:space="preserve">FUNDACION CONSTRUYENDO CAMINOS </t>
  </si>
  <si>
    <t>FUNDACION DESARROLLO Y VIDA</t>
  </si>
  <si>
    <t>FUNDACIÓN ITEDRIS</t>
  </si>
  <si>
    <t>BOYACA</t>
  </si>
  <si>
    <t xml:space="preserve">EL PROPONENTE CUMPLE ___X___ NO CUMPLE _______ 
CON LA CAPACIDAD FINANCIERA </t>
  </si>
  <si>
    <t>FUNDACION PARA EL DESARROLLO DE LA EDUCACION FUNDAPRE</t>
  </si>
  <si>
    <t>VALLE DEL CAUCA</t>
  </si>
  <si>
    <t>FUNDACIÓN GESTIÓN POR COLOMBIA FUNGESCOL</t>
  </si>
  <si>
    <t>1-3</t>
  </si>
  <si>
    <t>BOYACÁ</t>
  </si>
  <si>
    <t>7</t>
  </si>
  <si>
    <t>NORTE DE SANTANDER</t>
  </si>
  <si>
    <t>10</t>
  </si>
  <si>
    <t>23-26-29-33-42</t>
  </si>
  <si>
    <t>CUNDINAMARCA</t>
  </si>
  <si>
    <t>BOYACA - SEDE GENERAL</t>
  </si>
  <si>
    <t>FUNDACIÓN TUCRECER</t>
  </si>
  <si>
    <t>FUNDACIÓN CHOCO SOCIAL</t>
  </si>
  <si>
    <t>CHOCO</t>
  </si>
  <si>
    <t>UNIÓN TEMPORAL FAMILIAS CON BIENESTAR</t>
  </si>
  <si>
    <t xml:space="preserve">FUNDACION MULTIACTIVA LAS MORAS </t>
  </si>
  <si>
    <t xml:space="preserve">ONG CORPORACION INTERNACIONAL PARA EL DESARROLLO COMUNITARIO DE LA COSTA ATLANTICA </t>
  </si>
  <si>
    <t>CORPORACION DESARROLLO SOCIAL JAIME URQUIJO</t>
  </si>
  <si>
    <t>MAGDALENA</t>
  </si>
  <si>
    <t xml:space="preserve">UNION TEMPORAL MEDIO FAMILIAR </t>
  </si>
  <si>
    <t>PROACTIVAR</t>
  </si>
  <si>
    <t>CORPORACION EDUCATIVA LOS ANGELES</t>
  </si>
  <si>
    <t xml:space="preserve">EL PROPONENTE CUMPLE ______ NO CUMPLE ___X____ CON LA CAPACIDAD FINANCIERA </t>
  </si>
  <si>
    <t>ANTIOQUIA</t>
  </si>
  <si>
    <t>11-13-15</t>
  </si>
  <si>
    <t>FUNDACION - FUNDACOBA</t>
  </si>
  <si>
    <t>CORPORACION MULTIACTIVA REVICE TU ESPERANZA - COMULRES</t>
  </si>
  <si>
    <t>FUNDACION MI ABUELO Y YO</t>
  </si>
  <si>
    <t>ASOCIACION FREPAEN</t>
  </si>
  <si>
    <t>ARAUCA</t>
  </si>
  <si>
    <t>COOPERATIVA DE SERVICIOS DE MADRES COMUNITARIAS DE CERETE - COOTRADEMACOOC</t>
  </si>
  <si>
    <t>CORDOBA</t>
  </si>
  <si>
    <t>TOTALES</t>
  </si>
  <si>
    <t>FUNDACOL</t>
  </si>
  <si>
    <t>ASOMUJERES</t>
  </si>
  <si>
    <t xml:space="preserve">CONSORCIO ARCO IRIS </t>
  </si>
  <si>
    <t xml:space="preserve">EL PROPONENTE CUMPLE ____X__ NO CUMPLE _______ 
CON LA CAPACIDAD FINANCIERA </t>
  </si>
  <si>
    <t>TOLIMA -SEDE NACIONAL</t>
  </si>
  <si>
    <t>FUNDACION LOS PEQUEÑO PITUFOS</t>
  </si>
  <si>
    <t xml:space="preserve">PROPUESTA No                                </t>
  </si>
  <si>
    <t>6-7</t>
  </si>
  <si>
    <t>CORPORACIÓN INCATE</t>
  </si>
  <si>
    <t>MAGDALENA  -SEDE NACIONAL</t>
  </si>
  <si>
    <t>CORPORACION CORAZON PAIS</t>
  </si>
  <si>
    <t xml:space="preserve">CESAR -SEDE NACIONAL </t>
  </si>
  <si>
    <t xml:space="preserve">PROPUESTA No     </t>
  </si>
  <si>
    <t>SANTANDER</t>
  </si>
  <si>
    <t>FUNDACION POR UN MUNDO NUEVO</t>
  </si>
  <si>
    <t xml:space="preserve">REGIONAL  </t>
  </si>
  <si>
    <t xml:space="preserve">FUNDACIÓN LAS GOLONDRINAS </t>
  </si>
  <si>
    <t>SANTANDER -SEDE NACIONAL</t>
  </si>
  <si>
    <t>PROSERVCO</t>
  </si>
  <si>
    <t>NARIÑO -SEDE NACIONAL</t>
  </si>
  <si>
    <t>CORPORACION EDUCATIVA PARA EÑ DESARROLLO INTEGRAL COREDI</t>
  </si>
  <si>
    <t>ANTIOQUIA -SEDE NACIONAL</t>
  </si>
  <si>
    <t xml:space="preserve">EL PROPONENTE CUMPLE ______ NO CUMPLE ____X___ 
CON LA CAPACIDAD FINANCIERA </t>
  </si>
  <si>
    <t>DAMOS AMOR RECIPROCO DE GESTION SOCIAL</t>
  </si>
  <si>
    <t>GUAJIRA -SEDE NACIONAL</t>
  </si>
  <si>
    <t>UNION TEMPORAL FAMILIA MI NUEVO HOGAR BOLIVAR</t>
  </si>
  <si>
    <t xml:space="preserve">BOLIVAR- SEDE NACIONAL </t>
  </si>
  <si>
    <t>FUNDACION MULTIACTIVA LAS MORAS-SIGLA:FUNLAMOR</t>
  </si>
  <si>
    <t>CORPORACION DESARROLLO SOCIAL JAIME URQUIJO BARRIOS</t>
  </si>
  <si>
    <t>FUNDACION POR UNA COMUNIDAD DIGNA-FUNPOCODIG</t>
  </si>
  <si>
    <t xml:space="preserve">UNION TEMPORAL LA GUAJIRA </t>
  </si>
  <si>
    <t xml:space="preserve">GUAJIRA </t>
  </si>
  <si>
    <t xml:space="preserve">FUNDACION UN MEJOR VIVIR </t>
  </si>
  <si>
    <t xml:space="preserve">FUNDACION GUAJIRA NACIENTE </t>
  </si>
  <si>
    <t>CESAR</t>
  </si>
  <si>
    <t xml:space="preserve">CORPORACION  DESARROLLO   SOCIAL JAIME  URQUIJO BARRIOS </t>
  </si>
  <si>
    <t>FUNDACION  ASOCIACION CREANDO FUTURO</t>
  </si>
  <si>
    <t>UNION  TEMPORAL NUTRIENDO LA PRIMERA INFANCIA DEL CESAR</t>
  </si>
  <si>
    <t xml:space="preserve">FUNDACION AMIGOS POR  LA INFANCIA </t>
  </si>
  <si>
    <t>FUNDACION CAMINO A LA PROSPERIDAD</t>
  </si>
  <si>
    <t>UNION TEMPORAL  PRIMERA INFANCIA</t>
  </si>
  <si>
    <t xml:space="preserve">FUNDACION GERARDO VALENCIA CANO </t>
  </si>
  <si>
    <t xml:space="preserve">FUNDACION EL ENCUENTRO </t>
  </si>
  <si>
    <t>FUNDACION SAN JUAN BOSCO</t>
  </si>
  <si>
    <t>EL PROPONENTE EN  LA  PROPUESTA ECONOMICA  SU  VALOR  TOTAL  ES  DE $ 1.420.031.821 Y  EN  LA  CARTA  DE PRESENTACION DE LA OFERTA  EL TOTAL  ES  DE $ 1.420.031.080</t>
  </si>
  <si>
    <t>SEDE NACIONAL</t>
  </si>
  <si>
    <t>FUNDACION FE Y ALEGREIA DE COLOMBIA</t>
  </si>
  <si>
    <t>860031909-2</t>
  </si>
  <si>
    <t xml:space="preserve">VALLE DEL CAUCA </t>
  </si>
  <si>
    <t>CALDAS</t>
  </si>
  <si>
    <r>
      <t xml:space="preserve">EL PROPONENTE CUMPLE_____   NO CUMPLE   </t>
    </r>
    <r>
      <rPr>
        <b/>
        <u/>
        <sz val="10"/>
        <color theme="1"/>
        <rFont val="Arial Narrow"/>
        <family val="2"/>
      </rPr>
      <t>X</t>
    </r>
    <r>
      <rPr>
        <b/>
        <sz val="10"/>
        <color theme="1"/>
        <rFont val="Arial Narrow"/>
        <family val="2"/>
      </rPr>
      <t xml:space="preserve">
CON LA CAPACIDAD FINANCIERA </t>
    </r>
  </si>
  <si>
    <t>900285727-3</t>
  </si>
  <si>
    <r>
      <t xml:space="preserve">EL PROPONENTE CUMPLE_________  NO CUMPLE </t>
    </r>
    <r>
      <rPr>
        <b/>
        <u/>
        <sz val="10"/>
        <color theme="1"/>
        <rFont val="Arial Narrow"/>
        <family val="2"/>
      </rPr>
      <t xml:space="preserve"> X</t>
    </r>
    <r>
      <rPr>
        <b/>
        <sz val="10"/>
        <color theme="1"/>
        <rFont val="Arial Narrow"/>
        <family val="2"/>
      </rPr>
      <t xml:space="preserve">
CON LA CAPACIDAD FINANCIERA </t>
    </r>
  </si>
  <si>
    <t>814003006-0</t>
  </si>
  <si>
    <t>NARIÑO</t>
  </si>
  <si>
    <r>
      <t xml:space="preserve">EL PROPONENTE CUMPLE   </t>
    </r>
    <r>
      <rPr>
        <b/>
        <u/>
        <sz val="10"/>
        <color theme="1"/>
        <rFont val="Arial Narrow"/>
        <family val="2"/>
      </rPr>
      <t xml:space="preserve"> X</t>
    </r>
    <r>
      <rPr>
        <b/>
        <sz val="10"/>
        <color theme="1"/>
        <rFont val="Arial Narrow"/>
        <family val="2"/>
      </rPr>
      <t xml:space="preserve">    NO CUMPLE _______
CON LA CAPACIDAD FINANCIERA </t>
    </r>
  </si>
  <si>
    <t>UNION TEMPORAL SUEÑOS DE INFANCIA</t>
  </si>
  <si>
    <t xml:space="preserve">FUNDACION EDUCATIVA GELVER </t>
  </si>
  <si>
    <t>FUNDACION EDUCATIVA NUEVO SIGLO</t>
  </si>
  <si>
    <t>805020868-1</t>
  </si>
  <si>
    <t>900233258-8</t>
  </si>
  <si>
    <t>UNION TEMPORAL POR LOS NIÑOS Y NIÑAS DE BOLIVAR</t>
  </si>
  <si>
    <t>PROPUESTA No.</t>
  </si>
  <si>
    <t xml:space="preserve">FUNDACION HIJOS DE BOLIVAR </t>
  </si>
  <si>
    <t xml:space="preserve">CORPORACION EDUCATIVA COLEGIO GRAN COLOMBIA </t>
  </si>
  <si>
    <t>CORPOR.  INS. EDUCATIVA SANTA MAGDALENA DE LINZ</t>
  </si>
  <si>
    <t>800197044-1</t>
  </si>
  <si>
    <t>806014866-6</t>
  </si>
  <si>
    <t>806015490-5</t>
  </si>
  <si>
    <r>
      <t xml:space="preserve">EL PROPONENTE CUMPLE   </t>
    </r>
    <r>
      <rPr>
        <b/>
        <u/>
        <sz val="10"/>
        <color theme="1"/>
        <rFont val="Arial Narrow"/>
        <family val="2"/>
      </rPr>
      <t xml:space="preserve"> X </t>
    </r>
    <r>
      <rPr>
        <b/>
        <sz val="10"/>
        <color theme="1"/>
        <rFont val="Arial Narrow"/>
        <family val="2"/>
      </rPr>
      <t xml:space="preserve">          NO CUMPLE _______ CON LA CAPACIDAD FINANCIERA </t>
    </r>
  </si>
  <si>
    <t xml:space="preserve">BOLIVAR </t>
  </si>
  <si>
    <t xml:space="preserve"> CONSORCIO FAMILIAS LATINAS POR UNA INFANCIA FELIZ EN ANTIOQUIA - FAMILATINA</t>
  </si>
  <si>
    <t>FUNDACION SOCIAL Y CULTURAL SAN ANTONIO DE PADUA</t>
  </si>
  <si>
    <t xml:space="preserve">CORPORACION LATINA </t>
  </si>
  <si>
    <t>FUNDACION SOCIAL PARA LA FORMACION Y EL MEJORAMIENTO DEL DESEMPEÑO EMPRESARIAL, LABORAL, CIVICO Y ACADEMICO - FUNIMEDES</t>
  </si>
  <si>
    <t>TOLIMA</t>
  </si>
  <si>
    <t>FUNDACION OCTAVIANA DEL C VIVES C</t>
  </si>
  <si>
    <t xml:space="preserve">EL PROPONENTE CUMPLE _____ NO CUMPLE __X___ 
CON LA CAPACIDAD FINANCIERA </t>
  </si>
  <si>
    <t xml:space="preserve">EL PROPONENTE CUMPLE __X___ NO CUMPLE _____ 
CON LA CAPACIDAD FINANCIERA </t>
  </si>
  <si>
    <t xml:space="preserve">FUNDACION BIEN ESTAR </t>
  </si>
  <si>
    <t>SEDE GENERAL META</t>
  </si>
  <si>
    <t>FUNDACION MANOS UNIDAS CONSTRUYENDO PAIS</t>
  </si>
  <si>
    <t>27-28</t>
  </si>
  <si>
    <t>ATLÁNTICO</t>
  </si>
  <si>
    <t xml:space="preserve">EL PROPONENTE CUMPLE _____ NO CUMPLE __x___ 
CON LA CAPACIDAD FINANCIERA </t>
  </si>
  <si>
    <t>CENTRO DE DESARROLLO COMUNITARIO VERSALLES</t>
  </si>
  <si>
    <t>5-11</t>
  </si>
  <si>
    <t>CHOCÓ</t>
  </si>
  <si>
    <t xml:space="preserve">EL PROPONENTE CUMPLE __X___ NO CUMPLE ____ 
CON LA CAPACIDAD FINANCIERA </t>
  </si>
  <si>
    <t>NUEVA ERA ECOLOGICA</t>
  </si>
  <si>
    <t>16-42</t>
  </si>
  <si>
    <t>13-14</t>
  </si>
  <si>
    <t>CONSORCIO AMOR RECIPROCO</t>
  </si>
  <si>
    <t xml:space="preserve">FUNDACION REVIVIR POR LA VIDA </t>
  </si>
  <si>
    <t>FUNDACION APOYO SOCIAL FUNAS</t>
  </si>
  <si>
    <t>COOPERATIVA MULTIACTIVA DE SAN ANTONIO DE PRADO - COOMULSAP</t>
  </si>
  <si>
    <t>20-21</t>
  </si>
  <si>
    <t>14-17</t>
  </si>
  <si>
    <t>1-2-13</t>
  </si>
  <si>
    <t>11-3-21-32-33</t>
  </si>
  <si>
    <t>VALLE DEL CAUCA - SEDE NACIONAL</t>
  </si>
  <si>
    <t>CESAR SEDE NACIONAL</t>
  </si>
  <si>
    <t>BOLIVAR - SEDE NACIONAL</t>
  </si>
  <si>
    <t>TOLIMA - SEDE NACIONAL</t>
  </si>
  <si>
    <t>SEDE NACIONAL BOLIVAR</t>
  </si>
  <si>
    <t>6-7-8-23-24-32-34</t>
  </si>
  <si>
    <t>CAUCA - SEDE NACIONAL</t>
  </si>
  <si>
    <t>SEDE NACIONAL - RISARALDA</t>
  </si>
  <si>
    <t>SEDE NACIONAL - CHOCO</t>
  </si>
  <si>
    <t>NARIÑO - SEDE NACIONAL</t>
  </si>
  <si>
    <t>2-4-10-11-12-16-20-29-30</t>
  </si>
  <si>
    <t xml:space="preserve">FUNDACION RED COLOMBIANA DE COMERCIALIZACION Y DESARROLLO COMUNITARIO - REDCOM </t>
  </si>
  <si>
    <t>CORPORACION DE PROFESIONALES PARA EL DESARROLLO INTEGRAL COMUNITARIO - CORPRODINCO</t>
  </si>
  <si>
    <t xml:space="preserve">NORTE DE SANTANDER - SEDE NACIONAL </t>
  </si>
  <si>
    <t xml:space="preserve">SANTANDER - SEDE NACIONAL </t>
  </si>
  <si>
    <t>4-5-6-14-15-16-18-19-23-27</t>
  </si>
  <si>
    <t xml:space="preserve">CALDAS - SEDE NACIONAL </t>
  </si>
  <si>
    <t>COOPERATIVA MULTIACTIVA DE ASESORIAS, SERVICIOS DE SALUD Y TRABAJO COMUNITARIO - COOPSALUDCOM</t>
  </si>
  <si>
    <t>RISARALDA</t>
  </si>
  <si>
    <t>9-10-11</t>
  </si>
  <si>
    <t>11-12-13</t>
  </si>
  <si>
    <t>SEDE NACIONAL -  ANTIOQUIA</t>
  </si>
  <si>
    <t>CALDAS -SEDE NACIONAL</t>
  </si>
  <si>
    <t>ARAUCA - SEDE NACIONAL</t>
  </si>
  <si>
    <t>1-4</t>
  </si>
  <si>
    <t>SEDE NACIONAL - CUNDINAMARCA</t>
  </si>
  <si>
    <t>CÓRDOBA</t>
  </si>
  <si>
    <t>UNION TEMPORAL CREANDO LA PRIMERA INFANCIA DEL CESAR</t>
  </si>
  <si>
    <t>UNION TEMPORAL INFANCIA CARIBE 2015</t>
  </si>
  <si>
    <t xml:space="preserve">CORPORACION PARA EL DESARROLLO DE LAS CIENCIAS LA INVESTIGACION E INNOVACION - CODECIN </t>
  </si>
  <si>
    <t>CAQUETA - SEDE NACIONAL</t>
  </si>
  <si>
    <t>LA GUAJIRA - SEDE NACIONAL</t>
  </si>
  <si>
    <t>GUAJIRA</t>
  </si>
  <si>
    <t>6-20-2-1-4-30-8-19</t>
  </si>
  <si>
    <t>META</t>
  </si>
  <si>
    <t>7-8-9-13</t>
  </si>
  <si>
    <t xml:space="preserve">CESAR   </t>
  </si>
  <si>
    <t>14-15-16-17-19-20-7</t>
  </si>
  <si>
    <t>PUTUMAYO</t>
  </si>
  <si>
    <t>16-10-11</t>
  </si>
  <si>
    <t>5-6-7-9</t>
  </si>
  <si>
    <t>UNION TEMPORAL MI PRIMERA INFANCIA</t>
  </si>
  <si>
    <t>LA  PROPUESTA ES  PARCIAL AL  GRUPO  23 DE  LA  REGIONAL  VALLE DEL  CAUCA</t>
  </si>
  <si>
    <t>LA CARTA DE PRESENTACION DE LA PROPUESTA EL PROPONENTE MANIFIESTA QUE SE PRESTENTA PARA EL GRUPO (8) CESAR, AGUACHICA, REGIONAL CESAR</t>
  </si>
  <si>
    <t>SANTANDER - SEDE NACIONAL</t>
  </si>
  <si>
    <t xml:space="preserve">CORDOBA - SEDE NACIONAL </t>
  </si>
  <si>
    <t>8-9-10-11-12-13-14-15</t>
  </si>
  <si>
    <t xml:space="preserve">CORDOBA </t>
  </si>
  <si>
    <t>CUNDINAMARCA - SEDE NACIONAL</t>
  </si>
  <si>
    <t>BOYACA - SEDE NACIONAL</t>
  </si>
  <si>
    <t>ATLANTICO - SEDE NACIONAL</t>
  </si>
  <si>
    <t>EL DICTAMEN DE LOS ESTADOS FINANCIEROS NO ESTA FIRMADO POR EL REVISOR FISCAL</t>
  </si>
  <si>
    <t>SEDE NACIONAL - CESAR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</si>
</sst>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5" formatCode="&quot;$&quot;#,##0;\-&quot;$&quot;#,##0"/>
    <numFmt numFmtId="6" formatCode="&quot;$&quot;#,##0;[Red]\-&quot;$&quot;#,##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"/>
    <numFmt numFmtId="165" formatCode="[$$-240A]\ #,##0.00"/>
    <numFmt numFmtId="166" formatCode="_-&quot;$&quot;* #,##0_-;\-&quot;$&quot;* #,##0_-;_-&quot;$&quot;* &quot;-&quot;??_-;_-@_-"/>
    <numFmt numFmtId="167" formatCode="#,##0\ _€"/>
    <numFmt numFmtId="168" formatCode="0.0%"/>
    <numFmt numFmtId="170" formatCode="&quot;$&quot;#,##0.000;\-&quot;$&quot;#,##0.000"/>
    <numFmt numFmtId="171" formatCode="&quot;$&quot;#,##0.00000;\-&quot;$&quot;#,##0.0000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 Narrow"/>
      <family val="2"/>
    </font>
    <font>
      <sz val="12"/>
      <color theme="1"/>
      <name val="Calibri"/>
      <family val="2"/>
      <scheme val="minor"/>
    </font>
    <font>
      <b/>
      <sz val="16"/>
      <color theme="1"/>
      <name val="Arial Narrow"/>
      <family val="2"/>
    </font>
    <font>
      <sz val="9"/>
      <color theme="1"/>
      <name val="Arial Narrow"/>
      <family val="2"/>
    </font>
    <font>
      <b/>
      <sz val="10"/>
      <color theme="1"/>
      <name val="Arial Narrow"/>
      <family val="2"/>
    </font>
    <font>
      <b/>
      <sz val="10"/>
      <color theme="1"/>
      <name val="Calibri"/>
      <family val="2"/>
      <scheme val="minor"/>
    </font>
    <font>
      <sz val="10"/>
      <color theme="1"/>
      <name val="Arial Narrow"/>
      <family val="2"/>
    </font>
    <font>
      <sz val="11"/>
      <color theme="1"/>
      <name val="Calibri"/>
      <family val="2"/>
    </font>
    <font>
      <b/>
      <sz val="11"/>
      <color theme="1"/>
      <name val="Arial Narrow"/>
      <family val="2"/>
    </font>
    <font>
      <b/>
      <sz val="9"/>
      <color theme="1"/>
      <name val="Arial Narrow"/>
      <family val="2"/>
    </font>
    <font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0"/>
      <color rgb="FF000000"/>
      <name val="Calibri"/>
      <family val="2"/>
    </font>
    <font>
      <b/>
      <u/>
      <sz val="10"/>
      <color theme="1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FF"/>
        <bgColor rgb="FF000000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40">
    <xf numFmtId="0" fontId="0" fillId="0" borderId="0" xfId="0"/>
    <xf numFmtId="0" fontId="5" fillId="0" borderId="0" xfId="0" applyFont="1"/>
    <xf numFmtId="0" fontId="2" fillId="2" borderId="4" xfId="0" applyFont="1" applyFill="1" applyBorder="1" applyAlignment="1">
      <alignment horizontal="center" vertical="center" wrapText="1"/>
    </xf>
    <xf numFmtId="0" fontId="5" fillId="2" borderId="4" xfId="0" applyFont="1" applyFill="1" applyBorder="1"/>
    <xf numFmtId="0" fontId="5" fillId="2" borderId="0" xfId="0" applyFont="1" applyFill="1" applyBorder="1"/>
    <xf numFmtId="0" fontId="5" fillId="2" borderId="5" xfId="0" applyFont="1" applyFill="1" applyBorder="1"/>
    <xf numFmtId="0" fontId="6" fillId="2" borderId="6" xfId="0" applyFont="1" applyFill="1" applyBorder="1" applyAlignment="1">
      <alignment horizontal="left" vertical="center"/>
    </xf>
    <xf numFmtId="1" fontId="7" fillId="2" borderId="7" xfId="0" applyNumberFormat="1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vertical="center"/>
    </xf>
    <xf numFmtId="165" fontId="6" fillId="2" borderId="0" xfId="0" applyNumberFormat="1" applyFont="1" applyFill="1" applyBorder="1" applyAlignment="1">
      <alignment horizontal="center"/>
    </xf>
    <xf numFmtId="0" fontId="8" fillId="2" borderId="1" xfId="0" applyFont="1" applyFill="1" applyBorder="1" applyAlignment="1">
      <alignment horizontal="left" vertical="center"/>
    </xf>
    <xf numFmtId="164" fontId="8" fillId="3" borderId="2" xfId="0" applyNumberFormat="1" applyFont="1" applyFill="1" applyBorder="1" applyAlignment="1">
      <alignment horizontal="center"/>
    </xf>
    <xf numFmtId="0" fontId="8" fillId="2" borderId="4" xfId="0" applyFont="1" applyFill="1" applyBorder="1" applyAlignment="1">
      <alignment horizontal="left" vertical="center"/>
    </xf>
    <xf numFmtId="164" fontId="8" fillId="3" borderId="0" xfId="0" applyNumberFormat="1" applyFont="1" applyFill="1" applyBorder="1" applyAlignment="1">
      <alignment horizontal="center"/>
    </xf>
    <xf numFmtId="0" fontId="8" fillId="2" borderId="9" xfId="0" applyFont="1" applyFill="1" applyBorder="1" applyAlignment="1">
      <alignment horizontal="left" vertical="center"/>
    </xf>
    <xf numFmtId="164" fontId="8" fillId="3" borderId="10" xfId="0" applyNumberFormat="1" applyFont="1" applyFill="1" applyBorder="1" applyAlignment="1">
      <alignment horizontal="center"/>
    </xf>
    <xf numFmtId="0" fontId="6" fillId="2" borderId="1" xfId="0" applyFont="1" applyFill="1" applyBorder="1"/>
    <xf numFmtId="0" fontId="6" fillId="2" borderId="9" xfId="0" applyFont="1" applyFill="1" applyBorder="1"/>
    <xf numFmtId="0" fontId="6" fillId="2" borderId="0" xfId="0" applyFont="1" applyFill="1" applyBorder="1"/>
    <xf numFmtId="0" fontId="8" fillId="2" borderId="0" xfId="0" applyFont="1" applyFill="1" applyBorder="1"/>
    <xf numFmtId="0" fontId="5" fillId="0" borderId="0" xfId="0" applyFont="1" applyBorder="1"/>
    <xf numFmtId="0" fontId="5" fillId="2" borderId="11" xfId="0" applyFont="1" applyFill="1" applyBorder="1"/>
    <xf numFmtId="0" fontId="5" fillId="2" borderId="0" xfId="0" applyFont="1" applyFill="1"/>
    <xf numFmtId="164" fontId="11" fillId="2" borderId="0" xfId="0" applyNumberFormat="1" applyFont="1" applyFill="1" applyAlignment="1">
      <alignment horizontal="center"/>
    </xf>
    <xf numFmtId="44" fontId="5" fillId="2" borderId="0" xfId="1" applyFont="1" applyFill="1"/>
    <xf numFmtId="0" fontId="5" fillId="2" borderId="10" xfId="0" applyFont="1" applyFill="1" applyBorder="1"/>
    <xf numFmtId="0" fontId="6" fillId="2" borderId="1" xfId="0" applyFont="1" applyFill="1" applyBorder="1" applyAlignment="1">
      <alignment horizontal="left" vertical="center"/>
    </xf>
    <xf numFmtId="164" fontId="7" fillId="2" borderId="2" xfId="0" applyNumberFormat="1" applyFont="1" applyFill="1" applyBorder="1" applyAlignment="1">
      <alignment horizontal="center" vertical="center" wrapText="1"/>
    </xf>
    <xf numFmtId="164" fontId="12" fillId="2" borderId="2" xfId="0" applyNumberFormat="1" applyFont="1" applyFill="1" applyBorder="1" applyAlignment="1">
      <alignment vertical="center" wrapText="1"/>
    </xf>
    <xf numFmtId="0" fontId="5" fillId="2" borderId="2" xfId="0" applyFont="1" applyFill="1" applyBorder="1"/>
    <xf numFmtId="0" fontId="5" fillId="2" borderId="3" xfId="0" applyFont="1" applyFill="1" applyBorder="1"/>
    <xf numFmtId="0" fontId="6" fillId="2" borderId="9" xfId="0" applyFont="1" applyFill="1" applyBorder="1" applyAlignment="1">
      <alignment horizontal="left" vertical="center"/>
    </xf>
    <xf numFmtId="1" fontId="7" fillId="2" borderId="10" xfId="0" applyNumberFormat="1" applyFont="1" applyFill="1" applyBorder="1" applyAlignment="1">
      <alignment horizontal="center" vertical="center" wrapText="1"/>
    </xf>
    <xf numFmtId="1" fontId="12" fillId="2" borderId="10" xfId="0" applyNumberFormat="1" applyFont="1" applyFill="1" applyBorder="1" applyAlignment="1">
      <alignment vertical="center" wrapText="1"/>
    </xf>
    <xf numFmtId="0" fontId="5" fillId="2" borderId="7" xfId="0" applyFont="1" applyFill="1" applyBorder="1"/>
    <xf numFmtId="0" fontId="5" fillId="2" borderId="8" xfId="0" applyFont="1" applyFill="1" applyBorder="1"/>
    <xf numFmtId="0" fontId="12" fillId="2" borderId="7" xfId="0" applyFont="1" applyFill="1" applyBorder="1" applyAlignment="1">
      <alignment vertical="center" wrapText="1"/>
    </xf>
    <xf numFmtId="164" fontId="8" fillId="2" borderId="2" xfId="0" applyNumberFormat="1" applyFont="1" applyFill="1" applyBorder="1" applyAlignment="1"/>
    <xf numFmtId="164" fontId="8" fillId="2" borderId="0" xfId="0" applyNumberFormat="1" applyFont="1" applyFill="1" applyBorder="1" applyAlignment="1"/>
    <xf numFmtId="165" fontId="6" fillId="2" borderId="2" xfId="0" applyNumberFormat="1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10" fontId="8" fillId="3" borderId="10" xfId="2" applyNumberFormat="1" applyFont="1" applyFill="1" applyBorder="1" applyAlignment="1">
      <alignment horizontal="center"/>
    </xf>
    <xf numFmtId="10" fontId="6" fillId="2" borderId="10" xfId="2" applyNumberFormat="1" applyFont="1" applyFill="1" applyBorder="1" applyAlignment="1">
      <alignment horizontal="center"/>
    </xf>
    <xf numFmtId="10" fontId="5" fillId="2" borderId="10" xfId="2" applyNumberFormat="1" applyFont="1" applyFill="1" applyBorder="1"/>
    <xf numFmtId="0" fontId="6" fillId="2" borderId="11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left" wrapText="1"/>
    </xf>
    <xf numFmtId="0" fontId="0" fillId="2" borderId="0" xfId="0" applyFill="1"/>
    <xf numFmtId="0" fontId="6" fillId="2" borderId="4" xfId="0" applyFont="1" applyFill="1" applyBorder="1" applyAlignment="1">
      <alignment horizontal="left" vertical="center"/>
    </xf>
    <xf numFmtId="0" fontId="5" fillId="0" borderId="8" xfId="0" applyFont="1" applyBorder="1"/>
    <xf numFmtId="0" fontId="8" fillId="2" borderId="1" xfId="0" applyFont="1" applyFill="1" applyBorder="1" applyAlignment="1">
      <alignment vertical="center"/>
    </xf>
    <xf numFmtId="164" fontId="8" fillId="2" borderId="10" xfId="0" applyNumberFormat="1" applyFont="1" applyFill="1" applyBorder="1" applyAlignment="1"/>
    <xf numFmtId="0" fontId="6" fillId="2" borderId="6" xfId="0" applyFont="1" applyFill="1" applyBorder="1" applyAlignment="1">
      <alignment horizontal="right"/>
    </xf>
    <xf numFmtId="0" fontId="6" fillId="2" borderId="7" xfId="0" applyFont="1" applyFill="1" applyBorder="1"/>
    <xf numFmtId="0" fontId="8" fillId="2" borderId="7" xfId="0" applyFont="1" applyFill="1" applyBorder="1"/>
    <xf numFmtId="0" fontId="5" fillId="0" borderId="7" xfId="0" applyFont="1" applyBorder="1"/>
    <xf numFmtId="3" fontId="5" fillId="2" borderId="12" xfId="0" applyNumberFormat="1" applyFont="1" applyFill="1" applyBorder="1" applyAlignment="1">
      <alignment horizontal="center"/>
    </xf>
    <xf numFmtId="1" fontId="12" fillId="2" borderId="0" xfId="0" applyNumberFormat="1" applyFont="1" applyFill="1" applyBorder="1" applyAlignment="1">
      <alignment vertical="center" wrapText="1"/>
    </xf>
    <xf numFmtId="0" fontId="6" fillId="2" borderId="4" xfId="0" applyFont="1" applyFill="1" applyBorder="1"/>
    <xf numFmtId="0" fontId="5" fillId="2" borderId="2" xfId="0" applyFont="1" applyFill="1" applyBorder="1" applyAlignment="1">
      <alignment horizontal="center" vertical="center"/>
    </xf>
    <xf numFmtId="1" fontId="7" fillId="3" borderId="7" xfId="0" applyNumberFormat="1" applyFont="1" applyFill="1" applyBorder="1" applyAlignment="1">
      <alignment horizontal="center" vertical="center" wrapText="1"/>
    </xf>
    <xf numFmtId="0" fontId="11" fillId="2" borderId="7" xfId="0" applyFont="1" applyFill="1" applyBorder="1"/>
    <xf numFmtId="164" fontId="8" fillId="2" borderId="2" xfId="0" applyNumberFormat="1" applyFont="1" applyFill="1" applyBorder="1" applyAlignment="1">
      <alignment horizontal="center"/>
    </xf>
    <xf numFmtId="164" fontId="8" fillId="2" borderId="0" xfId="0" applyNumberFormat="1" applyFont="1" applyFill="1" applyBorder="1" applyAlignment="1">
      <alignment horizontal="center"/>
    </xf>
    <xf numFmtId="164" fontId="8" fillId="2" borderId="10" xfId="0" applyNumberFormat="1" applyFont="1" applyFill="1" applyBorder="1" applyAlignment="1">
      <alignment horizontal="center"/>
    </xf>
    <xf numFmtId="1" fontId="7" fillId="2" borderId="2" xfId="0" applyNumberFormat="1" applyFont="1" applyFill="1" applyBorder="1" applyAlignment="1">
      <alignment horizontal="center" vertical="center" wrapText="1"/>
    </xf>
    <xf numFmtId="1" fontId="12" fillId="2" borderId="2" xfId="0" applyNumberFormat="1" applyFont="1" applyFill="1" applyBorder="1" applyAlignment="1">
      <alignment vertical="center" wrapText="1"/>
    </xf>
    <xf numFmtId="0" fontId="11" fillId="2" borderId="1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9" fontId="6" fillId="2" borderId="11" xfId="0" applyNumberFormat="1" applyFont="1" applyFill="1" applyBorder="1" applyAlignment="1">
      <alignment horizontal="center" vertical="center"/>
    </xf>
    <xf numFmtId="0" fontId="5" fillId="0" borderId="2" xfId="0" applyFont="1" applyBorder="1"/>
    <xf numFmtId="0" fontId="5" fillId="2" borderId="0" xfId="0" applyFont="1" applyFill="1" applyBorder="1" applyProtection="1">
      <protection locked="0"/>
    </xf>
    <xf numFmtId="0" fontId="5" fillId="2" borderId="11" xfId="0" applyFont="1" applyFill="1" applyBorder="1" applyProtection="1">
      <protection locked="0"/>
    </xf>
    <xf numFmtId="0" fontId="6" fillId="2" borderId="6" xfId="0" applyFont="1" applyFill="1" applyBorder="1" applyAlignment="1" applyProtection="1">
      <alignment horizontal="left" vertical="center"/>
      <protection locked="0"/>
    </xf>
    <xf numFmtId="0" fontId="6" fillId="2" borderId="1" xfId="0" applyFont="1" applyFill="1" applyBorder="1" applyAlignment="1" applyProtection="1">
      <alignment horizontal="left" vertical="center"/>
      <protection locked="0"/>
    </xf>
    <xf numFmtId="0" fontId="6" fillId="2" borderId="4" xfId="0" applyFont="1" applyFill="1" applyBorder="1" applyAlignment="1" applyProtection="1">
      <alignment horizontal="left" vertical="center"/>
      <protection locked="0"/>
    </xf>
    <xf numFmtId="0" fontId="5" fillId="2" borderId="5" xfId="0" applyFont="1" applyFill="1" applyBorder="1" applyProtection="1">
      <protection locked="0"/>
    </xf>
    <xf numFmtId="0" fontId="8" fillId="2" borderId="0" xfId="0" applyFont="1" applyFill="1" applyBorder="1" applyProtection="1">
      <protection locked="0"/>
    </xf>
    <xf numFmtId="0" fontId="6" fillId="2" borderId="1" xfId="0" applyFont="1" applyFill="1" applyBorder="1" applyProtection="1">
      <protection locked="0"/>
    </xf>
    <xf numFmtId="0" fontId="6" fillId="2" borderId="9" xfId="0" applyFont="1" applyFill="1" applyBorder="1" applyProtection="1">
      <protection locked="0"/>
    </xf>
    <xf numFmtId="0" fontId="6" fillId="2" borderId="6" xfId="0" applyFont="1" applyFill="1" applyBorder="1" applyAlignment="1" applyProtection="1">
      <alignment vertical="center"/>
      <protection locked="0"/>
    </xf>
    <xf numFmtId="0" fontId="8" fillId="2" borderId="1" xfId="0" applyFont="1" applyFill="1" applyBorder="1" applyAlignment="1" applyProtection="1">
      <alignment horizontal="left" vertical="center"/>
      <protection locked="0"/>
    </xf>
    <xf numFmtId="0" fontId="8" fillId="2" borderId="4" xfId="0" applyFont="1" applyFill="1" applyBorder="1" applyAlignment="1" applyProtection="1">
      <alignment horizontal="left" vertical="center"/>
      <protection locked="0"/>
    </xf>
    <xf numFmtId="0" fontId="8" fillId="2" borderId="9" xfId="0" applyFont="1" applyFill="1" applyBorder="1" applyAlignment="1" applyProtection="1">
      <alignment horizontal="left" vertical="center"/>
      <protection locked="0"/>
    </xf>
    <xf numFmtId="0" fontId="5" fillId="2" borderId="0" xfId="0" applyFont="1" applyFill="1" applyBorder="1" applyAlignment="1" applyProtection="1">
      <alignment horizontal="left" wrapText="1"/>
      <protection locked="0"/>
    </xf>
    <xf numFmtId="0" fontId="5" fillId="2" borderId="0" xfId="0" applyFont="1" applyFill="1" applyProtection="1">
      <protection locked="0"/>
    </xf>
    <xf numFmtId="0" fontId="6" fillId="2" borderId="3" xfId="0" applyFont="1" applyFill="1" applyBorder="1" applyAlignment="1" applyProtection="1">
      <alignment horizontal="center" vertical="center"/>
    </xf>
    <xf numFmtId="9" fontId="6" fillId="2" borderId="11" xfId="0" applyNumberFormat="1" applyFont="1" applyFill="1" applyBorder="1" applyAlignment="1" applyProtection="1">
      <alignment horizontal="center" vertical="center"/>
    </xf>
    <xf numFmtId="0" fontId="5" fillId="2" borderId="0" xfId="0" applyFont="1" applyFill="1" applyProtection="1"/>
    <xf numFmtId="44" fontId="5" fillId="2" borderId="0" xfId="1" applyFont="1" applyFill="1" applyProtection="1"/>
    <xf numFmtId="0" fontId="11" fillId="2" borderId="12" xfId="0" applyFont="1" applyFill="1" applyBorder="1" applyAlignment="1" applyProtection="1">
      <alignment horizontal="center" vertical="center"/>
    </xf>
    <xf numFmtId="3" fontId="5" fillId="2" borderId="12" xfId="0" applyNumberFormat="1" applyFont="1" applyFill="1" applyBorder="1" applyAlignment="1" applyProtection="1">
      <alignment horizontal="center"/>
    </xf>
    <xf numFmtId="0" fontId="8" fillId="2" borderId="2" xfId="0" applyFont="1" applyFill="1" applyBorder="1"/>
    <xf numFmtId="0" fontId="8" fillId="2" borderId="10" xfId="0" applyFont="1" applyFill="1" applyBorder="1"/>
    <xf numFmtId="0" fontId="5" fillId="0" borderId="0" xfId="0" applyFont="1" applyProtection="1">
      <protection locked="0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3" fillId="0" borderId="5" xfId="0" applyFont="1" applyBorder="1" applyAlignment="1" applyProtection="1">
      <alignment vertical="center" wrapText="1"/>
      <protection locked="0"/>
    </xf>
    <xf numFmtId="0" fontId="5" fillId="0" borderId="4" xfId="0" applyFont="1" applyBorder="1" applyProtection="1">
      <protection locked="0"/>
    </xf>
    <xf numFmtId="0" fontId="4" fillId="2" borderId="5" xfId="0" applyFont="1" applyFill="1" applyBorder="1" applyAlignment="1" applyProtection="1">
      <protection locked="0"/>
    </xf>
    <xf numFmtId="0" fontId="5" fillId="2" borderId="4" xfId="0" applyFont="1" applyFill="1" applyBorder="1" applyProtection="1">
      <protection locked="0"/>
    </xf>
    <xf numFmtId="0" fontId="7" fillId="2" borderId="5" xfId="0" applyFont="1" applyFill="1" applyBorder="1" applyAlignment="1" applyProtection="1">
      <alignment horizontal="center" vertical="center" wrapText="1"/>
      <protection locked="0"/>
    </xf>
    <xf numFmtId="0" fontId="6" fillId="2" borderId="0" xfId="0" applyFont="1" applyFill="1" applyBorder="1" applyProtection="1">
      <protection locked="0"/>
    </xf>
    <xf numFmtId="0" fontId="8" fillId="2" borderId="0" xfId="0" applyFont="1" applyFill="1" applyBorder="1" applyAlignment="1" applyProtection="1">
      <alignment vertical="center"/>
      <protection locked="0"/>
    </xf>
    <xf numFmtId="165" fontId="6" fillId="2" borderId="0" xfId="0" applyNumberFormat="1" applyFont="1" applyFill="1" applyBorder="1" applyAlignment="1" applyProtection="1">
      <alignment horizontal="center"/>
      <protection locked="0"/>
    </xf>
    <xf numFmtId="165" fontId="6" fillId="2" borderId="5" xfId="0" applyNumberFormat="1" applyFont="1" applyFill="1" applyBorder="1" applyAlignment="1" applyProtection="1">
      <alignment horizontal="center"/>
      <protection locked="0"/>
    </xf>
    <xf numFmtId="164" fontId="8" fillId="2" borderId="3" xfId="0" applyNumberFormat="1" applyFont="1" applyFill="1" applyBorder="1" applyAlignment="1" applyProtection="1">
      <protection locked="0"/>
    </xf>
    <xf numFmtId="164" fontId="8" fillId="2" borderId="5" xfId="0" applyNumberFormat="1" applyFont="1" applyFill="1" applyBorder="1" applyAlignment="1" applyProtection="1">
      <protection locked="0"/>
    </xf>
    <xf numFmtId="3" fontId="9" fillId="0" borderId="0" xfId="0" applyNumberFormat="1" applyFont="1" applyFill="1" applyBorder="1" applyAlignment="1" applyProtection="1">
      <alignment horizontal="center"/>
      <protection locked="0"/>
    </xf>
    <xf numFmtId="164" fontId="8" fillId="2" borderId="11" xfId="0" applyNumberFormat="1" applyFont="1" applyFill="1" applyBorder="1" applyAlignment="1" applyProtection="1">
      <protection locked="0"/>
    </xf>
    <xf numFmtId="0" fontId="6" fillId="2" borderId="0" xfId="0" applyFont="1" applyFill="1" applyBorder="1" applyAlignment="1" applyProtection="1">
      <alignment horizontal="right"/>
      <protection locked="0"/>
    </xf>
    <xf numFmtId="0" fontId="5" fillId="0" borderId="5" xfId="0" applyFont="1" applyBorder="1" applyProtection="1">
      <protection locked="0"/>
    </xf>
    <xf numFmtId="0" fontId="5" fillId="0" borderId="0" xfId="0" applyFont="1" applyBorder="1" applyProtection="1">
      <protection locked="0"/>
    </xf>
    <xf numFmtId="0" fontId="5" fillId="2" borderId="9" xfId="0" applyFont="1" applyFill="1" applyBorder="1" applyProtection="1">
      <protection locked="0"/>
    </xf>
    <xf numFmtId="0" fontId="5" fillId="2" borderId="10" xfId="0" applyFont="1" applyFill="1" applyBorder="1" applyAlignment="1" applyProtection="1">
      <alignment horizontal="left" wrapText="1"/>
      <protection locked="0"/>
    </xf>
    <xf numFmtId="0" fontId="6" fillId="5" borderId="12" xfId="0" applyFont="1" applyFill="1" applyBorder="1" applyAlignment="1" applyProtection="1">
      <alignment horizontal="center" vertical="center" wrapText="1"/>
    </xf>
    <xf numFmtId="0" fontId="8" fillId="0" borderId="12" xfId="0" applyFont="1" applyBorder="1" applyAlignment="1" applyProtection="1">
      <alignment horizontal="center" vertical="center" wrapText="1"/>
    </xf>
    <xf numFmtId="9" fontId="8" fillId="0" borderId="12" xfId="0" applyNumberFormat="1" applyFont="1" applyBorder="1" applyAlignment="1" applyProtection="1">
      <alignment horizontal="center" vertical="center"/>
    </xf>
    <xf numFmtId="0" fontId="8" fillId="0" borderId="12" xfId="0" applyFont="1" applyBorder="1" applyAlignment="1" applyProtection="1">
      <alignment vertical="center" wrapText="1"/>
    </xf>
    <xf numFmtId="166" fontId="8" fillId="0" borderId="12" xfId="0" applyNumberFormat="1" applyFont="1" applyBorder="1" applyAlignment="1" applyProtection="1">
      <alignment vertical="center" wrapText="1"/>
    </xf>
    <xf numFmtId="165" fontId="10" fillId="2" borderId="3" xfId="0" applyNumberFormat="1" applyFont="1" applyFill="1" applyBorder="1" applyAlignment="1" applyProtection="1">
      <alignment horizontal="center"/>
    </xf>
    <xf numFmtId="165" fontId="10" fillId="2" borderId="11" xfId="0" applyNumberFormat="1" applyFont="1" applyFill="1" applyBorder="1" applyAlignment="1" applyProtection="1">
      <alignment horizontal="center"/>
    </xf>
    <xf numFmtId="9" fontId="8" fillId="3" borderId="10" xfId="2" applyNumberFormat="1" applyFont="1" applyFill="1" applyBorder="1" applyAlignment="1" applyProtection="1">
      <alignment horizontal="center"/>
    </xf>
    <xf numFmtId="2" fontId="8" fillId="3" borderId="2" xfId="0" applyNumberFormat="1" applyFont="1" applyFill="1" applyBorder="1" applyAlignment="1">
      <alignment horizontal="center"/>
    </xf>
    <xf numFmtId="2" fontId="6" fillId="2" borderId="2" xfId="0" applyNumberFormat="1" applyFont="1" applyFill="1" applyBorder="1" applyAlignment="1">
      <alignment horizontal="center"/>
    </xf>
    <xf numFmtId="2" fontId="5" fillId="2" borderId="2" xfId="0" applyNumberFormat="1" applyFont="1" applyFill="1" applyBorder="1"/>
    <xf numFmtId="2" fontId="8" fillId="3" borderId="2" xfId="0" applyNumberFormat="1" applyFont="1" applyFill="1" applyBorder="1" applyAlignment="1">
      <alignment horizontal="center" vertical="center"/>
    </xf>
    <xf numFmtId="2" fontId="6" fillId="2" borderId="2" xfId="0" applyNumberFormat="1" applyFont="1" applyFill="1" applyBorder="1" applyAlignment="1">
      <alignment horizontal="center" vertical="center"/>
    </xf>
    <xf numFmtId="2" fontId="8" fillId="3" borderId="2" xfId="0" applyNumberFormat="1" applyFont="1" applyFill="1" applyBorder="1" applyAlignment="1" applyProtection="1">
      <alignment horizontal="center"/>
    </xf>
    <xf numFmtId="5" fontId="13" fillId="6" borderId="2" xfId="3" applyNumberFormat="1" applyFont="1" applyFill="1" applyBorder="1" applyAlignment="1" applyProtection="1">
      <alignment horizontal="center" vertical="center"/>
      <protection locked="0"/>
    </xf>
    <xf numFmtId="5" fontId="13" fillId="6" borderId="10" xfId="3" applyNumberFormat="1" applyFont="1" applyFill="1" applyBorder="1" applyAlignment="1" applyProtection="1">
      <alignment horizontal="center" vertical="center"/>
      <protection locked="0"/>
    </xf>
    <xf numFmtId="5" fontId="13" fillId="6" borderId="0" xfId="3" applyNumberFormat="1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7" fillId="2" borderId="2" xfId="0" applyFont="1" applyFill="1" applyBorder="1" applyAlignment="1" applyProtection="1">
      <alignment horizontal="center" vertical="center" wrapText="1"/>
      <protection locked="0"/>
    </xf>
    <xf numFmtId="0" fontId="7" fillId="2" borderId="3" xfId="0" applyFont="1" applyFill="1" applyBorder="1" applyAlignment="1" applyProtection="1">
      <alignment horizontal="center" vertical="center" wrapText="1"/>
      <protection locked="0"/>
    </xf>
    <xf numFmtId="0" fontId="6" fillId="2" borderId="4" xfId="0" applyFont="1" applyFill="1" applyBorder="1" applyAlignment="1" applyProtection="1">
      <alignment horizontal="center" vertical="center"/>
      <protection locked="0"/>
    </xf>
    <xf numFmtId="164" fontId="7" fillId="2" borderId="5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0" xfId="0" applyFont="1" applyFill="1" applyBorder="1" applyAlignment="1" applyProtection="1">
      <alignment horizontal="center" vertical="center" wrapText="1"/>
      <protection locked="0"/>
    </xf>
    <xf numFmtId="0" fontId="6" fillId="2" borderId="2" xfId="0" applyFont="1" applyFill="1" applyBorder="1" applyAlignment="1">
      <alignment horizontal="left" vertical="center"/>
    </xf>
    <xf numFmtId="0" fontId="6" fillId="2" borderId="10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right"/>
    </xf>
    <xf numFmtId="0" fontId="7" fillId="2" borderId="2" xfId="0" applyFont="1" applyFill="1" applyBorder="1" applyAlignment="1">
      <alignment horizontal="center" vertical="center" wrapText="1"/>
    </xf>
    <xf numFmtId="0" fontId="11" fillId="2" borderId="14" xfId="0" applyFont="1" applyFill="1" applyBorder="1" applyAlignment="1">
      <alignment horizontal="center" vertical="center"/>
    </xf>
    <xf numFmtId="3" fontId="5" fillId="2" borderId="14" xfId="0" applyNumberFormat="1" applyFont="1" applyFill="1" applyBorder="1" applyAlignment="1">
      <alignment horizontal="center"/>
    </xf>
    <xf numFmtId="0" fontId="0" fillId="2" borderId="0" xfId="0" applyFill="1" applyBorder="1"/>
    <xf numFmtId="0" fontId="7" fillId="2" borderId="0" xfId="0" applyFont="1" applyFill="1" applyBorder="1" applyAlignment="1">
      <alignment horizontal="center" vertical="center" wrapText="1"/>
    </xf>
    <xf numFmtId="0" fontId="8" fillId="0" borderId="13" xfId="0" applyFont="1" applyBorder="1" applyAlignment="1">
      <alignment vertical="center" wrapText="1"/>
    </xf>
    <xf numFmtId="166" fontId="8" fillId="0" borderId="13" xfId="0" applyNumberFormat="1" applyFont="1" applyBorder="1" applyAlignment="1">
      <alignment vertical="center" wrapText="1"/>
    </xf>
    <xf numFmtId="166" fontId="8" fillId="0" borderId="0" xfId="0" applyNumberFormat="1" applyFont="1" applyBorder="1" applyAlignment="1">
      <alignment vertical="center" wrapText="1"/>
    </xf>
    <xf numFmtId="0" fontId="6" fillId="2" borderId="9" xfId="0" applyFont="1" applyFill="1" applyBorder="1" applyAlignment="1">
      <alignment vertical="center"/>
    </xf>
    <xf numFmtId="0" fontId="7" fillId="2" borderId="10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5" fillId="2" borderId="1" xfId="0" applyFont="1" applyFill="1" applyBorder="1"/>
    <xf numFmtId="0" fontId="2" fillId="2" borderId="4" xfId="0" applyFont="1" applyFill="1" applyBorder="1" applyAlignment="1">
      <alignment wrapText="1"/>
    </xf>
    <xf numFmtId="0" fontId="0" fillId="2" borderId="4" xfId="0" applyFill="1" applyBorder="1"/>
    <xf numFmtId="0" fontId="0" fillId="2" borderId="9" xfId="0" applyFill="1" applyBorder="1"/>
    <xf numFmtId="0" fontId="0" fillId="2" borderId="10" xfId="0" applyFill="1" applyBorder="1"/>
    <xf numFmtId="164" fontId="11" fillId="2" borderId="10" xfId="0" applyNumberFormat="1" applyFont="1" applyFill="1" applyBorder="1" applyAlignment="1">
      <alignment horizontal="center"/>
    </xf>
    <xf numFmtId="1" fontId="11" fillId="3" borderId="7" xfId="0" applyNumberFormat="1" applyFont="1" applyFill="1" applyBorder="1" applyAlignment="1">
      <alignment horizontal="center" vertical="center"/>
    </xf>
    <xf numFmtId="1" fontId="11" fillId="2" borderId="7" xfId="0" applyNumberFormat="1" applyFont="1" applyFill="1" applyBorder="1"/>
    <xf numFmtId="0" fontId="11" fillId="3" borderId="7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/>
    </xf>
    <xf numFmtId="164" fontId="7" fillId="2" borderId="7" xfId="0" applyNumberFormat="1" applyFont="1" applyFill="1" applyBorder="1" applyAlignment="1">
      <alignment vertical="center" wrapText="1"/>
    </xf>
    <xf numFmtId="3" fontId="7" fillId="2" borderId="10" xfId="0" applyNumberFormat="1" applyFont="1" applyFill="1" applyBorder="1" applyAlignment="1">
      <alignment vertical="center" wrapText="1"/>
    </xf>
    <xf numFmtId="0" fontId="7" fillId="2" borderId="2" xfId="0" applyFont="1" applyFill="1" applyBorder="1" applyAlignment="1" applyProtection="1">
      <alignment horizontal="center" vertical="center" wrapText="1"/>
      <protection locked="0"/>
    </xf>
    <xf numFmtId="0" fontId="7" fillId="2" borderId="3" xfId="0" applyFont="1" applyFill="1" applyBorder="1" applyAlignment="1" applyProtection="1">
      <alignment horizontal="center" vertical="center" wrapText="1"/>
      <protection locked="0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6" fillId="5" borderId="12" xfId="0" applyFont="1" applyFill="1" applyBorder="1" applyAlignment="1" applyProtection="1">
      <alignment horizontal="center" vertical="center" wrapText="1"/>
    </xf>
    <xf numFmtId="0" fontId="8" fillId="0" borderId="12" xfId="0" applyFont="1" applyBorder="1" applyAlignment="1" applyProtection="1">
      <alignment horizontal="center" vertical="center" wrapText="1"/>
    </xf>
    <xf numFmtId="9" fontId="8" fillId="0" borderId="12" xfId="0" applyNumberFormat="1" applyFont="1" applyBorder="1" applyAlignment="1" applyProtection="1">
      <alignment horizontal="center" vertical="center"/>
    </xf>
    <xf numFmtId="0" fontId="7" fillId="2" borderId="2" xfId="0" applyFont="1" applyFill="1" applyBorder="1" applyAlignment="1" applyProtection="1">
      <alignment horizontal="center" vertical="center" wrapText="1"/>
      <protection locked="0"/>
    </xf>
    <xf numFmtId="0" fontId="7" fillId="2" borderId="3" xfId="0" applyFont="1" applyFill="1" applyBorder="1" applyAlignment="1" applyProtection="1">
      <alignment horizontal="center" vertical="center" wrapText="1"/>
      <protection locked="0"/>
    </xf>
    <xf numFmtId="0" fontId="7" fillId="2" borderId="0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9" fontId="8" fillId="0" borderId="12" xfId="0" applyNumberFormat="1" applyFont="1" applyBorder="1" applyAlignment="1" applyProtection="1">
      <alignment horizontal="center" vertical="center"/>
    </xf>
    <xf numFmtId="0" fontId="8" fillId="0" borderId="12" xfId="0" applyFont="1" applyBorder="1" applyAlignment="1" applyProtection="1">
      <alignment horizontal="center" vertical="center" wrapText="1"/>
    </xf>
    <xf numFmtId="0" fontId="6" fillId="5" borderId="12" xfId="0" applyFont="1" applyFill="1" applyBorder="1" applyAlignment="1" applyProtection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7" fillId="2" borderId="2" xfId="0" applyFont="1" applyFill="1" applyBorder="1" applyAlignment="1" applyProtection="1">
      <alignment horizontal="center" vertical="center" wrapText="1"/>
      <protection locked="0"/>
    </xf>
    <xf numFmtId="0" fontId="7" fillId="2" borderId="3" xfId="0" applyFont="1" applyFill="1" applyBorder="1" applyAlignment="1" applyProtection="1">
      <alignment horizontal="center" vertical="center" wrapText="1"/>
      <protection locked="0"/>
    </xf>
    <xf numFmtId="0" fontId="7" fillId="2" borderId="0" xfId="0" applyFont="1" applyFill="1" applyBorder="1" applyAlignment="1">
      <alignment horizontal="center" vertical="center" wrapText="1"/>
    </xf>
    <xf numFmtId="0" fontId="6" fillId="5" borderId="12" xfId="0" applyFont="1" applyFill="1" applyBorder="1" applyAlignment="1" applyProtection="1">
      <alignment horizontal="center" vertical="center" wrapText="1"/>
    </xf>
    <xf numFmtId="0" fontId="8" fillId="0" borderId="12" xfId="0" applyFont="1" applyBorder="1" applyAlignment="1" applyProtection="1">
      <alignment horizontal="center" vertical="center" wrapText="1"/>
    </xf>
    <xf numFmtId="9" fontId="8" fillId="0" borderId="12" xfId="0" applyNumberFormat="1" applyFont="1" applyBorder="1" applyAlignment="1" applyProtection="1">
      <alignment horizontal="center" vertical="center"/>
    </xf>
    <xf numFmtId="6" fontId="7" fillId="2" borderId="5" xfId="0" applyNumberFormat="1" applyFont="1" applyFill="1" applyBorder="1" applyAlignment="1" applyProtection="1">
      <alignment horizontal="center" vertical="center" wrapText="1"/>
      <protection locked="0"/>
    </xf>
    <xf numFmtId="3" fontId="7" fillId="2" borderId="5" xfId="0" applyNumberFormat="1" applyFont="1" applyFill="1" applyBorder="1" applyAlignment="1" applyProtection="1">
      <alignment horizontal="center" vertical="center" wrapText="1"/>
      <protection locked="0"/>
    </xf>
    <xf numFmtId="49" fontId="6" fillId="2" borderId="4" xfId="0" applyNumberFormat="1" applyFont="1" applyFill="1" applyBorder="1" applyAlignment="1" applyProtection="1">
      <alignment horizontal="center" vertical="center"/>
      <protection locked="0"/>
    </xf>
    <xf numFmtId="164" fontId="14" fillId="7" borderId="5" xfId="0" applyNumberFormat="1" applyFont="1" applyFill="1" applyBorder="1" applyAlignment="1" applyProtection="1">
      <alignment horizontal="center" vertical="center" wrapText="1"/>
      <protection locked="0"/>
    </xf>
    <xf numFmtId="167" fontId="7" fillId="2" borderId="5" xfId="0" applyNumberFormat="1" applyFont="1" applyFill="1" applyBorder="1" applyAlignment="1" applyProtection="1">
      <alignment horizontal="center" vertical="center" wrapText="1"/>
      <protection locked="0"/>
    </xf>
    <xf numFmtId="168" fontId="8" fillId="3" borderId="10" xfId="2" applyNumberFormat="1" applyFont="1" applyFill="1" applyBorder="1" applyAlignment="1" applyProtection="1">
      <alignment horizontal="center"/>
    </xf>
    <xf numFmtId="0" fontId="11" fillId="2" borderId="7" xfId="0" applyFont="1" applyFill="1" applyBorder="1" applyAlignment="1">
      <alignment horizontal="center" vertical="center" wrapText="1"/>
    </xf>
    <xf numFmtId="1" fontId="11" fillId="2" borderId="7" xfId="0" applyNumberFormat="1" applyFont="1" applyFill="1" applyBorder="1" applyAlignment="1">
      <alignment horizontal="center" vertical="center"/>
    </xf>
    <xf numFmtId="166" fontId="8" fillId="2" borderId="0" xfId="0" applyNumberFormat="1" applyFont="1" applyFill="1" applyBorder="1" applyAlignment="1">
      <alignment vertical="center" wrapText="1"/>
    </xf>
    <xf numFmtId="0" fontId="7" fillId="2" borderId="2" xfId="0" applyFont="1" applyFill="1" applyBorder="1" applyAlignment="1" applyProtection="1">
      <alignment vertical="center" wrapText="1"/>
      <protection locked="0"/>
    </xf>
    <xf numFmtId="0" fontId="0" fillId="2" borderId="5" xfId="0" applyFill="1" applyBorder="1"/>
    <xf numFmtId="0" fontId="0" fillId="2" borderId="11" xfId="0" applyFill="1" applyBorder="1"/>
    <xf numFmtId="0" fontId="7" fillId="2" borderId="0" xfId="0" applyFont="1" applyFill="1" applyBorder="1" applyAlignment="1">
      <alignment vertical="center" wrapText="1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7" fillId="2" borderId="2" xfId="0" applyFont="1" applyFill="1" applyBorder="1" applyAlignment="1" applyProtection="1">
      <alignment horizontal="center" vertical="center" wrapText="1"/>
      <protection locked="0"/>
    </xf>
    <xf numFmtId="0" fontId="7" fillId="2" borderId="0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 applyProtection="1">
      <alignment horizontal="center" vertical="center" wrapText="1"/>
      <protection locked="0"/>
    </xf>
    <xf numFmtId="0" fontId="6" fillId="5" borderId="12" xfId="0" applyFont="1" applyFill="1" applyBorder="1" applyAlignment="1" applyProtection="1">
      <alignment horizontal="center" vertical="center" wrapText="1"/>
    </xf>
    <xf numFmtId="0" fontId="8" fillId="0" borderId="12" xfId="0" applyFont="1" applyBorder="1" applyAlignment="1" applyProtection="1">
      <alignment horizontal="center" vertical="center" wrapText="1"/>
    </xf>
    <xf numFmtId="9" fontId="8" fillId="0" borderId="12" xfId="0" applyNumberFormat="1" applyFont="1" applyBorder="1" applyAlignment="1" applyProtection="1">
      <alignment horizontal="center" vertical="center"/>
    </xf>
    <xf numFmtId="0" fontId="7" fillId="2" borderId="0" xfId="0" applyFont="1" applyFill="1" applyBorder="1" applyAlignment="1">
      <alignment horizontal="center" vertical="center" wrapText="1"/>
    </xf>
    <xf numFmtId="3" fontId="8" fillId="3" borderId="2" xfId="0" applyNumberFormat="1" applyFont="1" applyFill="1" applyBorder="1" applyAlignment="1">
      <alignment horizontal="center"/>
    </xf>
    <xf numFmtId="3" fontId="8" fillId="2" borderId="2" xfId="0" applyNumberFormat="1" applyFont="1" applyFill="1" applyBorder="1" applyAlignment="1"/>
    <xf numFmtId="3" fontId="8" fillId="2" borderId="2" xfId="0" applyNumberFormat="1" applyFont="1" applyFill="1" applyBorder="1"/>
    <xf numFmtId="3" fontId="8" fillId="3" borderId="0" xfId="0" applyNumberFormat="1" applyFont="1" applyFill="1" applyBorder="1" applyAlignment="1">
      <alignment horizontal="center"/>
    </xf>
    <xf numFmtId="3" fontId="8" fillId="2" borderId="0" xfId="0" applyNumberFormat="1" applyFont="1" applyFill="1" applyBorder="1" applyAlignment="1"/>
    <xf numFmtId="3" fontId="8" fillId="2" borderId="0" xfId="0" applyNumberFormat="1" applyFont="1" applyFill="1" applyBorder="1"/>
    <xf numFmtId="3" fontId="8" fillId="3" borderId="10" xfId="0" applyNumberFormat="1" applyFont="1" applyFill="1" applyBorder="1" applyAlignment="1">
      <alignment horizontal="center"/>
    </xf>
    <xf numFmtId="3" fontId="8" fillId="2" borderId="10" xfId="0" applyNumberFormat="1" applyFont="1" applyFill="1" applyBorder="1" applyAlignment="1"/>
    <xf numFmtId="3" fontId="8" fillId="2" borderId="10" xfId="0" applyNumberFormat="1" applyFont="1" applyFill="1" applyBorder="1"/>
    <xf numFmtId="0" fontId="6" fillId="2" borderId="9" xfId="0" applyFont="1" applyFill="1" applyBorder="1" applyAlignment="1" applyProtection="1">
      <alignment horizontal="center" vertical="center"/>
      <protection locked="0"/>
    </xf>
    <xf numFmtId="0" fontId="7" fillId="2" borderId="10" xfId="0" applyFont="1" applyFill="1" applyBorder="1" applyAlignment="1" applyProtection="1">
      <alignment horizontal="center" vertical="center" wrapText="1"/>
      <protection locked="0"/>
    </xf>
    <xf numFmtId="3" fontId="7" fillId="2" borderId="11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0" xfId="0" applyFont="1" applyFill="1" applyBorder="1" applyAlignment="1" applyProtection="1">
      <alignment horizontal="center" vertical="center"/>
      <protection locked="0"/>
    </xf>
    <xf numFmtId="164" fontId="7" fillId="2" borderId="0" xfId="0" applyNumberFormat="1" applyFont="1" applyFill="1" applyBorder="1" applyAlignment="1" applyProtection="1">
      <alignment horizontal="center" vertical="center" wrapText="1"/>
      <protection locked="0"/>
    </xf>
    <xf numFmtId="3" fontId="7" fillId="2" borderId="0" xfId="0" applyNumberFormat="1" applyFont="1" applyFill="1" applyBorder="1" applyAlignment="1" applyProtection="1">
      <alignment horizontal="center" vertical="center" wrapText="1"/>
      <protection locked="0"/>
    </xf>
    <xf numFmtId="3" fontId="5" fillId="0" borderId="0" xfId="0" applyNumberFormat="1" applyFont="1" applyProtection="1">
      <protection locked="0"/>
    </xf>
    <xf numFmtId="170" fontId="5" fillId="0" borderId="0" xfId="0" applyNumberFormat="1" applyFont="1" applyProtection="1">
      <protection locked="0"/>
    </xf>
    <xf numFmtId="171" fontId="5" fillId="0" borderId="0" xfId="0" applyNumberFormat="1" applyFont="1" applyProtection="1">
      <protection locked="0"/>
    </xf>
    <xf numFmtId="0" fontId="11" fillId="3" borderId="7" xfId="0" applyFont="1" applyFill="1" applyBorder="1" applyAlignment="1">
      <alignment horizontal="center" wrapText="1"/>
    </xf>
    <xf numFmtId="0" fontId="5" fillId="3" borderId="0" xfId="0" applyFont="1" applyFill="1" applyBorder="1"/>
    <xf numFmtId="0" fontId="0" fillId="0" borderId="5" xfId="0" applyBorder="1" applyAlignment="1">
      <alignment horizontal="center" vertical="center" wrapText="1"/>
    </xf>
    <xf numFmtId="10" fontId="8" fillId="3" borderId="10" xfId="2" applyNumberFormat="1" applyFont="1" applyFill="1" applyBorder="1" applyAlignment="1" applyProtection="1">
      <alignment horizontal="center"/>
    </xf>
    <xf numFmtId="0" fontId="7" fillId="2" borderId="2" xfId="0" applyFon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3" fontId="7" fillId="2" borderId="7" xfId="0" applyNumberFormat="1" applyFont="1" applyFill="1" applyBorder="1" applyAlignment="1">
      <alignment horizontal="center" vertical="center" wrapText="1"/>
    </xf>
    <xf numFmtId="1" fontId="12" fillId="2" borderId="7" xfId="0" applyNumberFormat="1" applyFont="1" applyFill="1" applyBorder="1" applyAlignment="1">
      <alignment vertical="center" wrapText="1"/>
    </xf>
    <xf numFmtId="9" fontId="6" fillId="2" borderId="0" xfId="0" applyNumberFormat="1" applyFont="1" applyFill="1" applyBorder="1" applyAlignment="1">
      <alignment horizontal="center" vertical="center"/>
    </xf>
    <xf numFmtId="0" fontId="11" fillId="3" borderId="7" xfId="0" applyFont="1" applyFill="1" applyBorder="1" applyAlignment="1">
      <alignment horizontal="center" vertical="center" wrapText="1"/>
    </xf>
    <xf numFmtId="0" fontId="12" fillId="3" borderId="7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10" fontId="8" fillId="3" borderId="10" xfId="2" applyNumberFormat="1" applyFont="1" applyFill="1" applyBorder="1" applyAlignment="1">
      <alignment horizontal="center" vertical="center"/>
    </xf>
    <xf numFmtId="0" fontId="6" fillId="5" borderId="0" xfId="0" applyFont="1" applyFill="1" applyBorder="1" applyAlignment="1">
      <alignment horizontal="center" vertical="center" wrapText="1"/>
    </xf>
    <xf numFmtId="9" fontId="8" fillId="0" borderId="13" xfId="0" applyNumberFormat="1" applyFont="1" applyBorder="1" applyAlignment="1">
      <alignment horizontal="center" vertical="center"/>
    </xf>
    <xf numFmtId="5" fontId="5" fillId="0" borderId="0" xfId="0" applyNumberFormat="1" applyFont="1" applyProtection="1">
      <protection locked="0"/>
    </xf>
    <xf numFmtId="1" fontId="6" fillId="2" borderId="4" xfId="0" applyNumberFormat="1" applyFont="1" applyFill="1" applyBorder="1" applyAlignment="1" applyProtection="1">
      <alignment horizontal="center" vertical="center"/>
      <protection locked="0"/>
    </xf>
    <xf numFmtId="0" fontId="6" fillId="4" borderId="6" xfId="0" applyFont="1" applyFill="1" applyBorder="1" applyAlignment="1" applyProtection="1">
      <alignment horizontal="center" vertical="center"/>
      <protection locked="0"/>
    </xf>
    <xf numFmtId="0" fontId="6" fillId="4" borderId="7" xfId="0" applyFont="1" applyFill="1" applyBorder="1" applyAlignment="1" applyProtection="1">
      <alignment horizontal="center" vertical="center"/>
      <protection locked="0"/>
    </xf>
    <xf numFmtId="0" fontId="6" fillId="4" borderId="8" xfId="0" applyFont="1" applyFill="1" applyBorder="1" applyAlignment="1" applyProtection="1">
      <alignment horizontal="center" vertical="center"/>
      <protection locked="0"/>
    </xf>
    <xf numFmtId="0" fontId="6" fillId="2" borderId="7" xfId="0" applyFont="1" applyFill="1" applyBorder="1" applyAlignment="1" applyProtection="1">
      <alignment horizontal="left" vertical="center" wrapText="1"/>
      <protection locked="0"/>
    </xf>
    <xf numFmtId="0" fontId="6" fillId="2" borderId="8" xfId="0" applyFont="1" applyFill="1" applyBorder="1" applyAlignment="1" applyProtection="1">
      <alignment horizontal="left" vertical="center" wrapText="1"/>
      <protection locked="0"/>
    </xf>
    <xf numFmtId="0" fontId="6" fillId="2" borderId="0" xfId="0" applyFont="1" applyFill="1" applyBorder="1" applyAlignment="1" applyProtection="1">
      <alignment horizontal="center" vertical="center" wrapText="1"/>
    </xf>
    <xf numFmtId="0" fontId="7" fillId="2" borderId="7" xfId="0" applyFont="1" applyFill="1" applyBorder="1" applyAlignment="1" applyProtection="1">
      <alignment horizontal="center" vertical="center" wrapText="1"/>
      <protection locked="0"/>
    </xf>
    <xf numFmtId="0" fontId="7" fillId="2" borderId="8" xfId="0" applyFont="1" applyFill="1" applyBorder="1" applyAlignment="1" applyProtection="1">
      <alignment horizontal="center" vertical="center" wrapText="1"/>
      <protection locked="0"/>
    </xf>
    <xf numFmtId="164" fontId="7" fillId="2" borderId="7" xfId="0" applyNumberFormat="1" applyFont="1" applyFill="1" applyBorder="1" applyAlignment="1" applyProtection="1">
      <alignment horizontal="center" vertical="center" wrapText="1"/>
      <protection locked="0"/>
    </xf>
    <xf numFmtId="164" fontId="7" fillId="2" borderId="8" xfId="0" applyNumberFormat="1" applyFont="1" applyFill="1" applyBorder="1" applyAlignment="1" applyProtection="1">
      <alignment horizontal="center" vertical="center" wrapText="1"/>
      <protection locked="0"/>
    </xf>
    <xf numFmtId="1" fontId="7" fillId="2" borderId="7" xfId="0" applyNumberFormat="1" applyFont="1" applyFill="1" applyBorder="1" applyAlignment="1" applyProtection="1">
      <alignment horizontal="center" vertical="center" wrapText="1"/>
    </xf>
    <xf numFmtId="1" fontId="7" fillId="2" borderId="8" xfId="0" applyNumberFormat="1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2" fillId="2" borderId="0" xfId="0" applyFont="1" applyFill="1" applyBorder="1" applyAlignment="1" applyProtection="1">
      <alignment horizontal="center" vertical="center" wrapText="1"/>
      <protection locked="0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2" fillId="2" borderId="4" xfId="0" applyFont="1" applyFill="1" applyBorder="1" applyAlignment="1" applyProtection="1">
      <alignment horizontal="center" wrapText="1"/>
      <protection locked="0"/>
    </xf>
    <xf numFmtId="0" fontId="2" fillId="2" borderId="0" xfId="0" applyFont="1" applyFill="1" applyBorder="1" applyAlignment="1" applyProtection="1">
      <alignment horizontal="center" wrapText="1"/>
      <protection locked="0"/>
    </xf>
    <xf numFmtId="0" fontId="2" fillId="2" borderId="5" xfId="0" applyFont="1" applyFill="1" applyBorder="1" applyAlignment="1" applyProtection="1">
      <alignment horizontal="center" wrapText="1"/>
      <protection locked="0"/>
    </xf>
    <xf numFmtId="9" fontId="8" fillId="0" borderId="12" xfId="0" applyNumberFormat="1" applyFont="1" applyBorder="1" applyAlignment="1">
      <alignment horizontal="center" vertical="center"/>
    </xf>
    <xf numFmtId="0" fontId="2" fillId="2" borderId="0" xfId="0" applyFont="1" applyFill="1" applyBorder="1" applyAlignment="1">
      <alignment horizontal="center" wrapText="1"/>
    </xf>
    <xf numFmtId="0" fontId="2" fillId="2" borderId="10" xfId="0" applyFont="1" applyFill="1" applyBorder="1" applyAlignment="1">
      <alignment horizontal="center" wrapText="1"/>
    </xf>
    <xf numFmtId="0" fontId="6" fillId="5" borderId="12" xfId="0" applyFont="1" applyFill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 applyProtection="1">
      <alignment horizontal="center" vertical="center"/>
      <protection locked="0"/>
    </xf>
    <xf numFmtId="0" fontId="6" fillId="2" borderId="8" xfId="0" applyFont="1" applyFill="1" applyBorder="1" applyAlignment="1" applyProtection="1">
      <alignment horizontal="center" vertical="center"/>
      <protection locked="0"/>
    </xf>
    <xf numFmtId="0" fontId="7" fillId="2" borderId="0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7" fillId="2" borderId="2" xfId="0" applyFont="1" applyFill="1" applyBorder="1" applyAlignment="1" applyProtection="1">
      <alignment horizontal="center" vertical="center" wrapText="1"/>
      <protection locked="0"/>
    </xf>
    <xf numFmtId="0" fontId="7" fillId="2" borderId="3" xfId="0" applyFont="1" applyFill="1" applyBorder="1" applyAlignment="1" applyProtection="1">
      <alignment horizontal="center" vertical="center" wrapText="1"/>
      <protection locked="0"/>
    </xf>
    <xf numFmtId="164" fontId="7" fillId="2" borderId="0" xfId="0" applyNumberFormat="1" applyFont="1" applyFill="1" applyBorder="1" applyAlignment="1">
      <alignment horizontal="center" vertical="center" wrapText="1"/>
    </xf>
    <xf numFmtId="164" fontId="7" fillId="2" borderId="5" xfId="0" applyNumberFormat="1" applyFont="1" applyFill="1" applyBorder="1" applyAlignment="1">
      <alignment horizontal="center" vertical="center" wrapText="1"/>
    </xf>
    <xf numFmtId="164" fontId="7" fillId="2" borderId="7" xfId="0" applyNumberFormat="1" applyFont="1" applyFill="1" applyBorder="1" applyAlignment="1">
      <alignment horizontal="center" vertical="center" wrapText="1"/>
    </xf>
    <xf numFmtId="164" fontId="7" fillId="2" borderId="8" xfId="0" applyNumberFormat="1" applyFont="1" applyFill="1" applyBorder="1" applyAlignment="1">
      <alignment horizontal="center" vertical="center" wrapText="1"/>
    </xf>
    <xf numFmtId="3" fontId="7" fillId="2" borderId="10" xfId="0" applyNumberFormat="1" applyFont="1" applyFill="1" applyBorder="1" applyAlignment="1">
      <alignment horizontal="center" vertical="center" wrapText="1"/>
    </xf>
    <xf numFmtId="3" fontId="7" fillId="2" borderId="11" xfId="0" applyNumberFormat="1" applyFont="1" applyFill="1" applyBorder="1" applyAlignment="1">
      <alignment horizontal="center" vertical="center" wrapText="1"/>
    </xf>
    <xf numFmtId="0" fontId="6" fillId="4" borderId="9" xfId="0" applyFont="1" applyFill="1" applyBorder="1" applyAlignment="1" applyProtection="1">
      <alignment horizontal="center" vertical="center"/>
      <protection locked="0"/>
    </xf>
    <xf numFmtId="0" fontId="6" fillId="4" borderId="10" xfId="0" applyFont="1" applyFill="1" applyBorder="1" applyAlignment="1" applyProtection="1">
      <alignment horizontal="center" vertical="center"/>
      <protection locked="0"/>
    </xf>
    <xf numFmtId="0" fontId="6" fillId="4" borderId="11" xfId="0" applyFont="1" applyFill="1" applyBorder="1" applyAlignment="1" applyProtection="1">
      <alignment horizontal="center" vertical="center"/>
      <protection locked="0"/>
    </xf>
    <xf numFmtId="49" fontId="7" fillId="2" borderId="7" xfId="0" applyNumberFormat="1" applyFont="1" applyFill="1" applyBorder="1" applyAlignment="1" applyProtection="1">
      <alignment horizontal="center" vertical="center" wrapText="1"/>
      <protection locked="0"/>
    </xf>
    <xf numFmtId="49" fontId="7" fillId="2" borderId="8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6" xfId="0" applyFont="1" applyFill="1" applyBorder="1" applyAlignment="1" applyProtection="1">
      <alignment horizontal="center" vertical="center"/>
      <protection locked="0"/>
    </xf>
    <xf numFmtId="0" fontId="7" fillId="2" borderId="8" xfId="0" applyFont="1" applyFill="1" applyBorder="1" applyAlignment="1" applyProtection="1">
      <alignment horizontal="center" vertical="center"/>
      <protection locked="0"/>
    </xf>
    <xf numFmtId="0" fontId="6" fillId="4" borderId="9" xfId="0" applyFont="1" applyFill="1" applyBorder="1" applyAlignment="1">
      <alignment horizontal="center" vertical="center"/>
    </xf>
    <xf numFmtId="0" fontId="6" fillId="4" borderId="10" xfId="0" applyFont="1" applyFill="1" applyBorder="1" applyAlignment="1">
      <alignment horizontal="center" vertical="center"/>
    </xf>
    <xf numFmtId="0" fontId="6" fillId="4" borderId="1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49" fontId="7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7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7" xfId="0" applyFont="1" applyFill="1" applyBorder="1" applyAlignment="1" applyProtection="1">
      <alignment horizontal="center" vertical="center"/>
      <protection locked="0"/>
    </xf>
    <xf numFmtId="0" fontId="11" fillId="3" borderId="7" xfId="0" applyFont="1" applyFill="1" applyBorder="1" applyAlignment="1">
      <alignment horizontal="center" vertical="center" wrapText="1"/>
    </xf>
    <xf numFmtId="3" fontId="7" fillId="2" borderId="7" xfId="0" applyNumberFormat="1" applyFont="1" applyFill="1" applyBorder="1" applyAlignment="1" applyProtection="1">
      <alignment horizontal="center" vertical="center" wrapText="1"/>
    </xf>
    <xf numFmtId="3" fontId="7" fillId="2" borderId="8" xfId="0" applyNumberFormat="1" applyFont="1" applyFill="1" applyBorder="1" applyAlignment="1" applyProtection="1">
      <alignment horizontal="center" vertical="center" wrapText="1"/>
    </xf>
    <xf numFmtId="164" fontId="8" fillId="3" borderId="2" xfId="0" applyNumberFormat="1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164" fontId="8" fillId="3" borderId="0" xfId="0" applyNumberFormat="1" applyFont="1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164" fontId="8" fillId="3" borderId="10" xfId="0" applyNumberFormat="1" applyFont="1" applyFill="1" applyBorder="1" applyAlignment="1">
      <alignment horizontal="center" vertical="center" wrapText="1"/>
    </xf>
    <xf numFmtId="0" fontId="0" fillId="3" borderId="10" xfId="0" applyFill="1" applyBorder="1" applyAlignment="1">
      <alignment horizontal="center" vertical="center" wrapText="1"/>
    </xf>
    <xf numFmtId="0" fontId="0" fillId="3" borderId="11" xfId="0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2" fillId="2" borderId="4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2" fillId="2" borderId="4" xfId="0" applyFont="1" applyFill="1" applyBorder="1" applyAlignment="1">
      <alignment horizontal="center" wrapText="1"/>
    </xf>
    <xf numFmtId="0" fontId="0" fillId="0" borderId="0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0" xfId="0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top" wrapText="1"/>
    </xf>
    <xf numFmtId="0" fontId="0" fillId="0" borderId="0" xfId="0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164" fontId="5" fillId="0" borderId="0" xfId="0" applyNumberFormat="1" applyFont="1" applyProtection="1">
      <protection locked="0"/>
    </xf>
    <xf numFmtId="0" fontId="6" fillId="2" borderId="9" xfId="0" applyFont="1" applyFill="1" applyBorder="1" applyAlignment="1" applyProtection="1">
      <alignment horizontal="left" vertical="center"/>
      <protection locked="0"/>
    </xf>
    <xf numFmtId="3" fontId="7" fillId="2" borderId="10" xfId="0" applyNumberFormat="1" applyFont="1" applyFill="1" applyBorder="1" applyAlignment="1" applyProtection="1">
      <alignment horizontal="center" vertical="center" wrapText="1"/>
    </xf>
    <xf numFmtId="3" fontId="7" fillId="2" borderId="11" xfId="0" applyNumberFormat="1" applyFont="1" applyFill="1" applyBorder="1" applyAlignment="1" applyProtection="1">
      <alignment horizontal="center" vertical="center" wrapText="1"/>
    </xf>
    <xf numFmtId="0" fontId="11" fillId="3" borderId="8" xfId="0" applyFont="1" applyFill="1" applyBorder="1" applyAlignment="1">
      <alignment vertical="center" wrapText="1"/>
    </xf>
    <xf numFmtId="0" fontId="7" fillId="2" borderId="0" xfId="0" applyFont="1" applyFill="1" applyBorder="1" applyAlignment="1" applyProtection="1">
      <alignment vertical="center" wrapText="1"/>
      <protection locked="0"/>
    </xf>
    <xf numFmtId="0" fontId="6" fillId="2" borderId="0" xfId="0" applyFont="1" applyFill="1" applyBorder="1" applyAlignment="1">
      <alignment horizontal="center" vertical="center"/>
    </xf>
    <xf numFmtId="1" fontId="12" fillId="2" borderId="15" xfId="0" applyNumberFormat="1" applyFont="1" applyFill="1" applyBorder="1" applyAlignment="1">
      <alignment vertical="center" wrapText="1"/>
    </xf>
    <xf numFmtId="0" fontId="6" fillId="2" borderId="6" xfId="0" applyFont="1" applyFill="1" applyBorder="1"/>
  </cellXfs>
  <cellStyles count="4">
    <cellStyle name="Millares" xfId="3" builtinId="3"/>
    <cellStyle name="Moneda" xfId="1" builtinId="4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eg"/><Relationship Id="rId1" Type="http://schemas.openxmlformats.org/officeDocument/2006/relationships/image" Target="../media/image5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eg"/><Relationship Id="rId1" Type="http://schemas.openxmlformats.org/officeDocument/2006/relationships/image" Target="../media/image5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jpe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eg"/><Relationship Id="rId1" Type="http://schemas.openxmlformats.org/officeDocument/2006/relationships/image" Target="../media/image5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jpeg"/><Relationship Id="rId1" Type="http://schemas.openxmlformats.org/officeDocument/2006/relationships/image" Target="../media/image7.png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9.jpeg"/><Relationship Id="rId1" Type="http://schemas.openxmlformats.org/officeDocument/2006/relationships/image" Target="../media/image5.png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9.jpeg"/><Relationship Id="rId1" Type="http://schemas.openxmlformats.org/officeDocument/2006/relationships/image" Target="../media/image5.png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jpeg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9.jpeg"/><Relationship Id="rId1" Type="http://schemas.openxmlformats.org/officeDocument/2006/relationships/image" Target="../media/image5.png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0.jpeg"/><Relationship Id="rId1" Type="http://schemas.openxmlformats.org/officeDocument/2006/relationships/image" Target="../media/image5.png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jpeg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jpeg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jpeg"/></Relationships>
</file>

<file path=xl/drawings/_rels/drawing28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jpeg"/></Relationships>
</file>

<file path=xl/drawings/_rels/drawing29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0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eg"/><Relationship Id="rId1" Type="http://schemas.openxmlformats.org/officeDocument/2006/relationships/image" Target="../media/image5.png"/></Relationships>
</file>

<file path=xl/drawings/_rels/drawing3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jpeg"/></Relationships>
</file>

<file path=xl/drawings/_rels/drawing3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6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jpeg"/></Relationships>
</file>

<file path=xl/drawings/_rels/drawing3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8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eg"/><Relationship Id="rId1" Type="http://schemas.openxmlformats.org/officeDocument/2006/relationships/image" Target="../media/image5.png"/></Relationships>
</file>

<file path=xl/drawings/_rels/drawing39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40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jpeg"/><Relationship Id="rId1" Type="http://schemas.openxmlformats.org/officeDocument/2006/relationships/image" Target="../media/image7.png"/></Relationships>
</file>

<file path=xl/drawings/_rels/drawing4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2.jpeg"/><Relationship Id="rId1" Type="http://schemas.openxmlformats.org/officeDocument/2006/relationships/image" Target="../media/image11.png"/></Relationships>
</file>

<file path=xl/drawings/_rels/drawing4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jpeg"/></Relationships>
</file>

<file path=xl/drawings/_rels/drawing4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2.jpeg"/><Relationship Id="rId1" Type="http://schemas.openxmlformats.org/officeDocument/2006/relationships/image" Target="../media/image11.png"/></Relationships>
</file>

<file path=xl/drawings/_rels/drawing44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eg"/><Relationship Id="rId1" Type="http://schemas.openxmlformats.org/officeDocument/2006/relationships/image" Target="../media/image5.png"/></Relationships>
</file>

<file path=xl/drawings/_rels/drawing45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jpeg"/></Relationships>
</file>

<file path=xl/drawings/_rels/drawing4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4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791864</xdr:colOff>
      <xdr:row>0</xdr:row>
      <xdr:rowOff>43296</xdr:rowOff>
    </xdr:from>
    <xdr:to>
      <xdr:col>4</xdr:col>
      <xdr:colOff>224847</xdr:colOff>
      <xdr:row>1</xdr:row>
      <xdr:rowOff>173182</xdr:rowOff>
    </xdr:to>
    <xdr:pic>
      <xdr:nvPicPr>
        <xdr:cNvPr id="2" name="2 Imagen" descr="Captura de pantalla 2014-10-23 a las 14 36 0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3339" y="43296"/>
          <a:ext cx="880783" cy="3870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77932</xdr:colOff>
      <xdr:row>0</xdr:row>
      <xdr:rowOff>25980</xdr:rowOff>
    </xdr:from>
    <xdr:to>
      <xdr:col>1</xdr:col>
      <xdr:colOff>363682</xdr:colOff>
      <xdr:row>3</xdr:row>
      <xdr:rowOff>51955</xdr:rowOff>
    </xdr:to>
    <xdr:pic>
      <xdr:nvPicPr>
        <xdr:cNvPr id="3" name="1 Imagen" descr="LOGO-ICB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932" y="25980"/>
          <a:ext cx="495300" cy="68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791864</xdr:colOff>
      <xdr:row>0</xdr:row>
      <xdr:rowOff>43296</xdr:rowOff>
    </xdr:from>
    <xdr:to>
      <xdr:col>4</xdr:col>
      <xdr:colOff>224847</xdr:colOff>
      <xdr:row>1</xdr:row>
      <xdr:rowOff>173182</xdr:rowOff>
    </xdr:to>
    <xdr:pic>
      <xdr:nvPicPr>
        <xdr:cNvPr id="2" name="2 Imagen" descr="Captura de pantalla 2014-10-23 a las 14 36 0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25714" y="43296"/>
          <a:ext cx="880783" cy="3870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77932</xdr:colOff>
      <xdr:row>0</xdr:row>
      <xdr:rowOff>25980</xdr:rowOff>
    </xdr:from>
    <xdr:to>
      <xdr:col>1</xdr:col>
      <xdr:colOff>363682</xdr:colOff>
      <xdr:row>3</xdr:row>
      <xdr:rowOff>51955</xdr:rowOff>
    </xdr:to>
    <xdr:pic>
      <xdr:nvPicPr>
        <xdr:cNvPr id="3" name="1 Imagen" descr="LOGO-ICB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932" y="25980"/>
          <a:ext cx="495300" cy="68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791864</xdr:colOff>
      <xdr:row>0</xdr:row>
      <xdr:rowOff>43296</xdr:rowOff>
    </xdr:from>
    <xdr:to>
      <xdr:col>4</xdr:col>
      <xdr:colOff>224847</xdr:colOff>
      <xdr:row>1</xdr:row>
      <xdr:rowOff>173182</xdr:rowOff>
    </xdr:to>
    <xdr:pic>
      <xdr:nvPicPr>
        <xdr:cNvPr id="2" name="2 Imagen" descr="Captura de pantalla 2014-10-23 a las 14 36 0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25714" y="43296"/>
          <a:ext cx="880783" cy="3870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77932</xdr:colOff>
      <xdr:row>0</xdr:row>
      <xdr:rowOff>25980</xdr:rowOff>
    </xdr:from>
    <xdr:to>
      <xdr:col>1</xdr:col>
      <xdr:colOff>363682</xdr:colOff>
      <xdr:row>3</xdr:row>
      <xdr:rowOff>51955</xdr:rowOff>
    </xdr:to>
    <xdr:pic>
      <xdr:nvPicPr>
        <xdr:cNvPr id="3" name="1 Imagen" descr="LOGO-ICB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932" y="25980"/>
          <a:ext cx="495300" cy="68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50799</xdr:colOff>
      <xdr:row>0</xdr:row>
      <xdr:rowOff>23811</xdr:rowOff>
    </xdr:from>
    <xdr:to>
      <xdr:col>1</xdr:col>
      <xdr:colOff>638175</xdr:colOff>
      <xdr:row>2</xdr:row>
      <xdr:rowOff>254285</xdr:rowOff>
    </xdr:to>
    <xdr:pic>
      <xdr:nvPicPr>
        <xdr:cNvPr id="2" name="1 Imagen" descr="LOGO-ICB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799" y="23811"/>
          <a:ext cx="739776" cy="5733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19050</xdr:colOff>
      <xdr:row>0</xdr:row>
      <xdr:rowOff>28575</xdr:rowOff>
    </xdr:from>
    <xdr:to>
      <xdr:col>8</xdr:col>
      <xdr:colOff>242248</xdr:colOff>
      <xdr:row>2</xdr:row>
      <xdr:rowOff>104775</xdr:rowOff>
    </xdr:to>
    <xdr:pic>
      <xdr:nvPicPr>
        <xdr:cNvPr id="3" name="2 Imagen" descr="Captura de pantalla 2014-10-23 a las 14 36 0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72300" y="28575"/>
          <a:ext cx="1156648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791864</xdr:colOff>
      <xdr:row>0</xdr:row>
      <xdr:rowOff>43296</xdr:rowOff>
    </xdr:from>
    <xdr:to>
      <xdr:col>4</xdr:col>
      <xdr:colOff>224847</xdr:colOff>
      <xdr:row>1</xdr:row>
      <xdr:rowOff>173182</xdr:rowOff>
    </xdr:to>
    <xdr:pic>
      <xdr:nvPicPr>
        <xdr:cNvPr id="2" name="2 Imagen" descr="Captura de pantalla 2014-10-23 a las 14 36 0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25714" y="43296"/>
          <a:ext cx="880783" cy="3870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77932</xdr:colOff>
      <xdr:row>0</xdr:row>
      <xdr:rowOff>25980</xdr:rowOff>
    </xdr:from>
    <xdr:to>
      <xdr:col>1</xdr:col>
      <xdr:colOff>363682</xdr:colOff>
      <xdr:row>3</xdr:row>
      <xdr:rowOff>51955</xdr:rowOff>
    </xdr:to>
    <xdr:pic>
      <xdr:nvPicPr>
        <xdr:cNvPr id="3" name="1 Imagen" descr="LOGO-ICB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932" y="25980"/>
          <a:ext cx="495300" cy="68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791864</xdr:colOff>
      <xdr:row>0</xdr:row>
      <xdr:rowOff>43296</xdr:rowOff>
    </xdr:from>
    <xdr:to>
      <xdr:col>4</xdr:col>
      <xdr:colOff>224847</xdr:colOff>
      <xdr:row>1</xdr:row>
      <xdr:rowOff>173182</xdr:rowOff>
    </xdr:to>
    <xdr:pic>
      <xdr:nvPicPr>
        <xdr:cNvPr id="2" name="2 Imagen" descr="Captura de pantalla 2014-10-23 a las 14 36 0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3339" y="43296"/>
          <a:ext cx="880783" cy="3870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77932</xdr:colOff>
      <xdr:row>0</xdr:row>
      <xdr:rowOff>25980</xdr:rowOff>
    </xdr:from>
    <xdr:to>
      <xdr:col>1</xdr:col>
      <xdr:colOff>363682</xdr:colOff>
      <xdr:row>3</xdr:row>
      <xdr:rowOff>51955</xdr:rowOff>
    </xdr:to>
    <xdr:pic>
      <xdr:nvPicPr>
        <xdr:cNvPr id="3" name="1 Imagen" descr="LOGO-ICB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932" y="25980"/>
          <a:ext cx="495300" cy="68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791864</xdr:colOff>
      <xdr:row>0</xdr:row>
      <xdr:rowOff>43296</xdr:rowOff>
    </xdr:from>
    <xdr:to>
      <xdr:col>4</xdr:col>
      <xdr:colOff>224847</xdr:colOff>
      <xdr:row>1</xdr:row>
      <xdr:rowOff>173182</xdr:rowOff>
    </xdr:to>
    <xdr:pic>
      <xdr:nvPicPr>
        <xdr:cNvPr id="2" name="2 Imagen" descr="Captura de pantalla 2014-10-23 a las 14 36 0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25714" y="43296"/>
          <a:ext cx="880783" cy="3870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77932</xdr:colOff>
      <xdr:row>0</xdr:row>
      <xdr:rowOff>25980</xdr:rowOff>
    </xdr:from>
    <xdr:to>
      <xdr:col>1</xdr:col>
      <xdr:colOff>363682</xdr:colOff>
      <xdr:row>3</xdr:row>
      <xdr:rowOff>51955</xdr:rowOff>
    </xdr:to>
    <xdr:pic>
      <xdr:nvPicPr>
        <xdr:cNvPr id="3" name="1 Imagen" descr="LOGO-ICB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932" y="25980"/>
          <a:ext cx="495300" cy="68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791864</xdr:colOff>
      <xdr:row>0</xdr:row>
      <xdr:rowOff>43296</xdr:rowOff>
    </xdr:from>
    <xdr:to>
      <xdr:col>4</xdr:col>
      <xdr:colOff>224847</xdr:colOff>
      <xdr:row>2</xdr:row>
      <xdr:rowOff>51955</xdr:rowOff>
    </xdr:to>
    <xdr:pic>
      <xdr:nvPicPr>
        <xdr:cNvPr id="2" name="2 Imagen" descr="Captura de pantalla 2014-10-23 a las 14 36 0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22250" y="43296"/>
          <a:ext cx="879052" cy="406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77932</xdr:colOff>
      <xdr:row>0</xdr:row>
      <xdr:rowOff>25980</xdr:rowOff>
    </xdr:from>
    <xdr:to>
      <xdr:col>1</xdr:col>
      <xdr:colOff>363682</xdr:colOff>
      <xdr:row>3</xdr:row>
      <xdr:rowOff>51955</xdr:rowOff>
    </xdr:to>
    <xdr:pic>
      <xdr:nvPicPr>
        <xdr:cNvPr id="3" name="1 Imagen" descr="LOGO-ICB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932" y="25980"/>
          <a:ext cx="495300" cy="626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791864</xdr:colOff>
      <xdr:row>0</xdr:row>
      <xdr:rowOff>43296</xdr:rowOff>
    </xdr:from>
    <xdr:to>
      <xdr:col>4</xdr:col>
      <xdr:colOff>224847</xdr:colOff>
      <xdr:row>1</xdr:row>
      <xdr:rowOff>173182</xdr:rowOff>
    </xdr:to>
    <xdr:pic>
      <xdr:nvPicPr>
        <xdr:cNvPr id="2" name="2 Imagen" descr="Captura de pantalla 2014-10-23 a las 14 36 0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59114" y="43296"/>
          <a:ext cx="880783" cy="3299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77932</xdr:colOff>
      <xdr:row>0</xdr:row>
      <xdr:rowOff>25980</xdr:rowOff>
    </xdr:from>
    <xdr:to>
      <xdr:col>1</xdr:col>
      <xdr:colOff>363682</xdr:colOff>
      <xdr:row>3</xdr:row>
      <xdr:rowOff>51955</xdr:rowOff>
    </xdr:to>
    <xdr:pic>
      <xdr:nvPicPr>
        <xdr:cNvPr id="3" name="1 Imagen" descr="LOGO-ICB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932" y="25980"/>
          <a:ext cx="495300" cy="626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791864</xdr:colOff>
      <xdr:row>0</xdr:row>
      <xdr:rowOff>43296</xdr:rowOff>
    </xdr:from>
    <xdr:to>
      <xdr:col>4</xdr:col>
      <xdr:colOff>224847</xdr:colOff>
      <xdr:row>1</xdr:row>
      <xdr:rowOff>173182</xdr:rowOff>
    </xdr:to>
    <xdr:pic>
      <xdr:nvPicPr>
        <xdr:cNvPr id="2" name="2 Imagen" descr="Captura de pantalla 2014-10-23 a las 14 36 0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25714" y="43296"/>
          <a:ext cx="880783" cy="3299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77932</xdr:colOff>
      <xdr:row>0</xdr:row>
      <xdr:rowOff>25980</xdr:rowOff>
    </xdr:from>
    <xdr:to>
      <xdr:col>1</xdr:col>
      <xdr:colOff>363682</xdr:colOff>
      <xdr:row>3</xdr:row>
      <xdr:rowOff>51955</xdr:rowOff>
    </xdr:to>
    <xdr:pic>
      <xdr:nvPicPr>
        <xdr:cNvPr id="3" name="1 Imagen" descr="LOGO-ICB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932" y="25980"/>
          <a:ext cx="495300" cy="626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50799</xdr:colOff>
      <xdr:row>0</xdr:row>
      <xdr:rowOff>23811</xdr:rowOff>
    </xdr:from>
    <xdr:to>
      <xdr:col>1</xdr:col>
      <xdr:colOff>638175</xdr:colOff>
      <xdr:row>2</xdr:row>
      <xdr:rowOff>254285</xdr:rowOff>
    </xdr:to>
    <xdr:pic>
      <xdr:nvPicPr>
        <xdr:cNvPr id="2" name="1 Imagen" descr="LOGO-ICB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799" y="23811"/>
          <a:ext cx="739776" cy="6305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19050</xdr:colOff>
      <xdr:row>0</xdr:row>
      <xdr:rowOff>28575</xdr:rowOff>
    </xdr:from>
    <xdr:to>
      <xdr:col>8</xdr:col>
      <xdr:colOff>242248</xdr:colOff>
      <xdr:row>2</xdr:row>
      <xdr:rowOff>104775</xdr:rowOff>
    </xdr:to>
    <xdr:pic>
      <xdr:nvPicPr>
        <xdr:cNvPr id="3" name="2 Imagen" descr="Captura de pantalla 2014-10-23 a las 14 36 0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72300" y="28575"/>
          <a:ext cx="1156648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50799</xdr:colOff>
      <xdr:row>0</xdr:row>
      <xdr:rowOff>23811</xdr:rowOff>
    </xdr:from>
    <xdr:to>
      <xdr:col>1</xdr:col>
      <xdr:colOff>638175</xdr:colOff>
      <xdr:row>2</xdr:row>
      <xdr:rowOff>254285</xdr:rowOff>
    </xdr:to>
    <xdr:pic>
      <xdr:nvPicPr>
        <xdr:cNvPr id="2" name="1 Imagen" descr="LOGO-ICB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799" y="23811"/>
          <a:ext cx="739776" cy="6305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19050</xdr:colOff>
      <xdr:row>0</xdr:row>
      <xdr:rowOff>28575</xdr:rowOff>
    </xdr:from>
    <xdr:to>
      <xdr:col>8</xdr:col>
      <xdr:colOff>242248</xdr:colOff>
      <xdr:row>2</xdr:row>
      <xdr:rowOff>104775</xdr:rowOff>
    </xdr:to>
    <xdr:pic>
      <xdr:nvPicPr>
        <xdr:cNvPr id="3" name="2 Imagen" descr="Captura de pantalla 2014-10-23 a las 14 36 0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91350" y="28575"/>
          <a:ext cx="1156648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791864</xdr:colOff>
      <xdr:row>0</xdr:row>
      <xdr:rowOff>43296</xdr:rowOff>
    </xdr:from>
    <xdr:to>
      <xdr:col>4</xdr:col>
      <xdr:colOff>224847</xdr:colOff>
      <xdr:row>1</xdr:row>
      <xdr:rowOff>173182</xdr:rowOff>
    </xdr:to>
    <xdr:pic>
      <xdr:nvPicPr>
        <xdr:cNvPr id="2" name="2 Imagen" descr="Captura de pantalla 2014-10-23 a las 14 36 0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25714" y="43296"/>
          <a:ext cx="880783" cy="3299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77932</xdr:colOff>
      <xdr:row>0</xdr:row>
      <xdr:rowOff>25980</xdr:rowOff>
    </xdr:from>
    <xdr:to>
      <xdr:col>1</xdr:col>
      <xdr:colOff>363682</xdr:colOff>
      <xdr:row>3</xdr:row>
      <xdr:rowOff>51955</xdr:rowOff>
    </xdr:to>
    <xdr:pic>
      <xdr:nvPicPr>
        <xdr:cNvPr id="3" name="1 Imagen" descr="LOGO-ICB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932" y="25980"/>
          <a:ext cx="495300" cy="626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791864</xdr:colOff>
      <xdr:row>0</xdr:row>
      <xdr:rowOff>43296</xdr:rowOff>
    </xdr:from>
    <xdr:to>
      <xdr:col>4</xdr:col>
      <xdr:colOff>224847</xdr:colOff>
      <xdr:row>1</xdr:row>
      <xdr:rowOff>173182</xdr:rowOff>
    </xdr:to>
    <xdr:pic>
      <xdr:nvPicPr>
        <xdr:cNvPr id="2" name="2 Imagen" descr="Captura de pantalla 2014-10-23 a las 14 36 0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25714" y="43296"/>
          <a:ext cx="880783" cy="3870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77932</xdr:colOff>
      <xdr:row>0</xdr:row>
      <xdr:rowOff>25980</xdr:rowOff>
    </xdr:from>
    <xdr:to>
      <xdr:col>1</xdr:col>
      <xdr:colOff>363682</xdr:colOff>
      <xdr:row>3</xdr:row>
      <xdr:rowOff>51955</xdr:rowOff>
    </xdr:to>
    <xdr:pic>
      <xdr:nvPicPr>
        <xdr:cNvPr id="3" name="1 Imagen" descr="LOGO-ICB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932" y="25980"/>
          <a:ext cx="495300" cy="68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791864</xdr:colOff>
      <xdr:row>0</xdr:row>
      <xdr:rowOff>43296</xdr:rowOff>
    </xdr:from>
    <xdr:to>
      <xdr:col>4</xdr:col>
      <xdr:colOff>224847</xdr:colOff>
      <xdr:row>1</xdr:row>
      <xdr:rowOff>173182</xdr:rowOff>
    </xdr:to>
    <xdr:pic>
      <xdr:nvPicPr>
        <xdr:cNvPr id="2" name="2 Imagen" descr="Captura de pantalla 2014-10-23 a las 14 36 0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25714" y="43296"/>
          <a:ext cx="880783" cy="3870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77932</xdr:colOff>
      <xdr:row>0</xdr:row>
      <xdr:rowOff>25980</xdr:rowOff>
    </xdr:from>
    <xdr:to>
      <xdr:col>1</xdr:col>
      <xdr:colOff>363682</xdr:colOff>
      <xdr:row>3</xdr:row>
      <xdr:rowOff>51955</xdr:rowOff>
    </xdr:to>
    <xdr:pic>
      <xdr:nvPicPr>
        <xdr:cNvPr id="3" name="1 Imagen" descr="LOGO-ICB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932" y="25980"/>
          <a:ext cx="495300" cy="68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791864</xdr:colOff>
      <xdr:row>0</xdr:row>
      <xdr:rowOff>43296</xdr:rowOff>
    </xdr:from>
    <xdr:to>
      <xdr:col>4</xdr:col>
      <xdr:colOff>224847</xdr:colOff>
      <xdr:row>1</xdr:row>
      <xdr:rowOff>173182</xdr:rowOff>
    </xdr:to>
    <xdr:pic>
      <xdr:nvPicPr>
        <xdr:cNvPr id="2" name="2 Imagen" descr="Captura de pantalla 2014-10-23 a las 14 36 0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25714" y="43296"/>
          <a:ext cx="880783" cy="3870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77932</xdr:colOff>
      <xdr:row>0</xdr:row>
      <xdr:rowOff>25980</xdr:rowOff>
    </xdr:from>
    <xdr:to>
      <xdr:col>1</xdr:col>
      <xdr:colOff>363682</xdr:colOff>
      <xdr:row>3</xdr:row>
      <xdr:rowOff>51955</xdr:rowOff>
    </xdr:to>
    <xdr:pic>
      <xdr:nvPicPr>
        <xdr:cNvPr id="3" name="1 Imagen" descr="LOGO-ICB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932" y="25980"/>
          <a:ext cx="495300" cy="68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50799</xdr:colOff>
      <xdr:row>0</xdr:row>
      <xdr:rowOff>23811</xdr:rowOff>
    </xdr:from>
    <xdr:to>
      <xdr:col>1</xdr:col>
      <xdr:colOff>638175</xdr:colOff>
      <xdr:row>2</xdr:row>
      <xdr:rowOff>254285</xdr:rowOff>
    </xdr:to>
    <xdr:pic>
      <xdr:nvPicPr>
        <xdr:cNvPr id="2" name="1 Imagen" descr="LOGO-ICB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799" y="23811"/>
          <a:ext cx="739776" cy="5733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19050</xdr:colOff>
      <xdr:row>0</xdr:row>
      <xdr:rowOff>28575</xdr:rowOff>
    </xdr:from>
    <xdr:to>
      <xdr:col>8</xdr:col>
      <xdr:colOff>242248</xdr:colOff>
      <xdr:row>2</xdr:row>
      <xdr:rowOff>104775</xdr:rowOff>
    </xdr:to>
    <xdr:pic>
      <xdr:nvPicPr>
        <xdr:cNvPr id="3" name="2 Imagen" descr="Captura de pantalla 2014-10-23 a las 14 36 0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72300" y="28575"/>
          <a:ext cx="1156648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50799</xdr:colOff>
      <xdr:row>0</xdr:row>
      <xdr:rowOff>23811</xdr:rowOff>
    </xdr:from>
    <xdr:to>
      <xdr:col>1</xdr:col>
      <xdr:colOff>638175</xdr:colOff>
      <xdr:row>2</xdr:row>
      <xdr:rowOff>254285</xdr:rowOff>
    </xdr:to>
    <xdr:pic>
      <xdr:nvPicPr>
        <xdr:cNvPr id="2" name="1 Imagen" descr="LOGO-ICB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799" y="23811"/>
          <a:ext cx="739776" cy="6305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1065069</xdr:colOff>
      <xdr:row>0</xdr:row>
      <xdr:rowOff>8659</xdr:rowOff>
    </xdr:from>
    <xdr:to>
      <xdr:col>10</xdr:col>
      <xdr:colOff>312124</xdr:colOff>
      <xdr:row>2</xdr:row>
      <xdr:rowOff>112568</xdr:rowOff>
    </xdr:to>
    <xdr:pic>
      <xdr:nvPicPr>
        <xdr:cNvPr id="3" name="2 Imagen" descr="Captura de pantalla 2014-10-23 a las 14 36 0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04069" y="8659"/>
          <a:ext cx="1237780" cy="5039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791864</xdr:colOff>
      <xdr:row>0</xdr:row>
      <xdr:rowOff>43296</xdr:rowOff>
    </xdr:from>
    <xdr:to>
      <xdr:col>4</xdr:col>
      <xdr:colOff>224847</xdr:colOff>
      <xdr:row>1</xdr:row>
      <xdr:rowOff>173182</xdr:rowOff>
    </xdr:to>
    <xdr:pic>
      <xdr:nvPicPr>
        <xdr:cNvPr id="2" name="2 Imagen" descr="Captura de pantalla 2014-10-23 a las 14 36 0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3339" y="43296"/>
          <a:ext cx="880783" cy="3870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77932</xdr:colOff>
      <xdr:row>0</xdr:row>
      <xdr:rowOff>25980</xdr:rowOff>
    </xdr:from>
    <xdr:to>
      <xdr:col>1</xdr:col>
      <xdr:colOff>363682</xdr:colOff>
      <xdr:row>3</xdr:row>
      <xdr:rowOff>51955</xdr:rowOff>
    </xdr:to>
    <xdr:pic>
      <xdr:nvPicPr>
        <xdr:cNvPr id="3" name="1 Imagen" descr="LOGO-ICB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932" y="25980"/>
          <a:ext cx="495300" cy="68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50799</xdr:colOff>
      <xdr:row>0</xdr:row>
      <xdr:rowOff>23811</xdr:rowOff>
    </xdr:from>
    <xdr:to>
      <xdr:col>1</xdr:col>
      <xdr:colOff>638175</xdr:colOff>
      <xdr:row>2</xdr:row>
      <xdr:rowOff>254285</xdr:rowOff>
    </xdr:to>
    <xdr:pic>
      <xdr:nvPicPr>
        <xdr:cNvPr id="2" name="1 Imagen" descr="LOGO-ICB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799" y="23811"/>
          <a:ext cx="739776" cy="6305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19050</xdr:colOff>
      <xdr:row>0</xdr:row>
      <xdr:rowOff>28575</xdr:rowOff>
    </xdr:from>
    <xdr:to>
      <xdr:col>8</xdr:col>
      <xdr:colOff>242248</xdr:colOff>
      <xdr:row>2</xdr:row>
      <xdr:rowOff>104775</xdr:rowOff>
    </xdr:to>
    <xdr:pic>
      <xdr:nvPicPr>
        <xdr:cNvPr id="3" name="2 Imagen" descr="Captura de pantalla 2014-10-23 a las 14 36 0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72300" y="28575"/>
          <a:ext cx="1156648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50799</xdr:colOff>
      <xdr:row>0</xdr:row>
      <xdr:rowOff>23811</xdr:rowOff>
    </xdr:from>
    <xdr:to>
      <xdr:col>1</xdr:col>
      <xdr:colOff>638175</xdr:colOff>
      <xdr:row>2</xdr:row>
      <xdr:rowOff>254285</xdr:rowOff>
    </xdr:to>
    <xdr:pic>
      <xdr:nvPicPr>
        <xdr:cNvPr id="2" name="1 Imagen" descr="LOGO-ICB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799" y="23811"/>
          <a:ext cx="739776" cy="5733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19050</xdr:colOff>
      <xdr:row>0</xdr:row>
      <xdr:rowOff>28575</xdr:rowOff>
    </xdr:from>
    <xdr:to>
      <xdr:col>10</xdr:col>
      <xdr:colOff>242248</xdr:colOff>
      <xdr:row>2</xdr:row>
      <xdr:rowOff>104775</xdr:rowOff>
    </xdr:to>
    <xdr:pic>
      <xdr:nvPicPr>
        <xdr:cNvPr id="3" name="2 Imagen" descr="Captura de pantalla 2014-10-23 a las 14 36 0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05775" y="28575"/>
          <a:ext cx="1156648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50799</xdr:colOff>
      <xdr:row>0</xdr:row>
      <xdr:rowOff>23811</xdr:rowOff>
    </xdr:from>
    <xdr:to>
      <xdr:col>1</xdr:col>
      <xdr:colOff>638175</xdr:colOff>
      <xdr:row>2</xdr:row>
      <xdr:rowOff>254285</xdr:rowOff>
    </xdr:to>
    <xdr:pic>
      <xdr:nvPicPr>
        <xdr:cNvPr id="2" name="1 Imagen" descr="LOGO-ICB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799" y="23811"/>
          <a:ext cx="739776" cy="6305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19050</xdr:colOff>
      <xdr:row>0</xdr:row>
      <xdr:rowOff>28575</xdr:rowOff>
    </xdr:from>
    <xdr:to>
      <xdr:col>8</xdr:col>
      <xdr:colOff>242248</xdr:colOff>
      <xdr:row>2</xdr:row>
      <xdr:rowOff>104775</xdr:rowOff>
    </xdr:to>
    <xdr:pic>
      <xdr:nvPicPr>
        <xdr:cNvPr id="3" name="2 Imagen" descr="Captura de pantalla 2014-10-23 a las 14 36 0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72300" y="28575"/>
          <a:ext cx="1156648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791864</xdr:colOff>
      <xdr:row>0</xdr:row>
      <xdr:rowOff>43296</xdr:rowOff>
    </xdr:from>
    <xdr:to>
      <xdr:col>4</xdr:col>
      <xdr:colOff>224847</xdr:colOff>
      <xdr:row>1</xdr:row>
      <xdr:rowOff>173182</xdr:rowOff>
    </xdr:to>
    <xdr:pic>
      <xdr:nvPicPr>
        <xdr:cNvPr id="2" name="2 Imagen" descr="Captura de pantalla 2014-10-23 a las 14 36 0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3339" y="43296"/>
          <a:ext cx="880783" cy="3870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77932</xdr:colOff>
      <xdr:row>0</xdr:row>
      <xdr:rowOff>25980</xdr:rowOff>
    </xdr:from>
    <xdr:to>
      <xdr:col>1</xdr:col>
      <xdr:colOff>363682</xdr:colOff>
      <xdr:row>3</xdr:row>
      <xdr:rowOff>51955</xdr:rowOff>
    </xdr:to>
    <xdr:pic>
      <xdr:nvPicPr>
        <xdr:cNvPr id="3" name="1 Imagen" descr="LOGO-ICB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932" y="25980"/>
          <a:ext cx="495300" cy="68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791864</xdr:colOff>
      <xdr:row>0</xdr:row>
      <xdr:rowOff>43296</xdr:rowOff>
    </xdr:from>
    <xdr:to>
      <xdr:col>4</xdr:col>
      <xdr:colOff>224847</xdr:colOff>
      <xdr:row>1</xdr:row>
      <xdr:rowOff>173182</xdr:rowOff>
    </xdr:to>
    <xdr:pic>
      <xdr:nvPicPr>
        <xdr:cNvPr id="2" name="2 Imagen" descr="Captura de pantalla 2014-10-23 a las 14 36 0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25714" y="43296"/>
          <a:ext cx="880783" cy="3870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77932</xdr:colOff>
      <xdr:row>0</xdr:row>
      <xdr:rowOff>25980</xdr:rowOff>
    </xdr:from>
    <xdr:to>
      <xdr:col>1</xdr:col>
      <xdr:colOff>363682</xdr:colOff>
      <xdr:row>3</xdr:row>
      <xdr:rowOff>51955</xdr:rowOff>
    </xdr:to>
    <xdr:pic>
      <xdr:nvPicPr>
        <xdr:cNvPr id="3" name="1 Imagen" descr="LOGO-ICB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932" y="25980"/>
          <a:ext cx="495300" cy="68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791864</xdr:colOff>
      <xdr:row>0</xdr:row>
      <xdr:rowOff>43296</xdr:rowOff>
    </xdr:from>
    <xdr:to>
      <xdr:col>4</xdr:col>
      <xdr:colOff>224847</xdr:colOff>
      <xdr:row>1</xdr:row>
      <xdr:rowOff>173182</xdr:rowOff>
    </xdr:to>
    <xdr:pic>
      <xdr:nvPicPr>
        <xdr:cNvPr id="2" name="2 Imagen" descr="Captura de pantalla 2014-10-23 a las 14 36 0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25714" y="43296"/>
          <a:ext cx="880783" cy="3870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77932</xdr:colOff>
      <xdr:row>0</xdr:row>
      <xdr:rowOff>25980</xdr:rowOff>
    </xdr:from>
    <xdr:to>
      <xdr:col>1</xdr:col>
      <xdr:colOff>363682</xdr:colOff>
      <xdr:row>3</xdr:row>
      <xdr:rowOff>51955</xdr:rowOff>
    </xdr:to>
    <xdr:pic>
      <xdr:nvPicPr>
        <xdr:cNvPr id="3" name="1 Imagen" descr="LOGO-ICB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932" y="25980"/>
          <a:ext cx="495300" cy="68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8659</xdr:colOff>
      <xdr:row>0</xdr:row>
      <xdr:rowOff>95250</xdr:rowOff>
    </xdr:from>
    <xdr:to>
      <xdr:col>1</xdr:col>
      <xdr:colOff>917863</xdr:colOff>
      <xdr:row>4</xdr:row>
      <xdr:rowOff>138545</xdr:rowOff>
    </xdr:to>
    <xdr:pic>
      <xdr:nvPicPr>
        <xdr:cNvPr id="2" name="1 Imagen" descr="LOGO-ICB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059" y="95250"/>
          <a:ext cx="909204" cy="795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703119</xdr:colOff>
      <xdr:row>0</xdr:row>
      <xdr:rowOff>89188</xdr:rowOff>
    </xdr:from>
    <xdr:to>
      <xdr:col>10</xdr:col>
      <xdr:colOff>496826</xdr:colOff>
      <xdr:row>2</xdr:row>
      <xdr:rowOff>165388</xdr:rowOff>
    </xdr:to>
    <xdr:pic>
      <xdr:nvPicPr>
        <xdr:cNvPr id="3" name="2 Imagen" descr="Captura de pantalla 2014-10-23 a las 14 36 0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6769" y="89188"/>
          <a:ext cx="1374857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791864</xdr:colOff>
      <xdr:row>0</xdr:row>
      <xdr:rowOff>43296</xdr:rowOff>
    </xdr:from>
    <xdr:to>
      <xdr:col>4</xdr:col>
      <xdr:colOff>224847</xdr:colOff>
      <xdr:row>1</xdr:row>
      <xdr:rowOff>173182</xdr:rowOff>
    </xdr:to>
    <xdr:pic>
      <xdr:nvPicPr>
        <xdr:cNvPr id="2" name="2 Imagen" descr="Captura de pantalla 2014-10-23 a las 14 36 0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25714" y="43296"/>
          <a:ext cx="880783" cy="3870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77932</xdr:colOff>
      <xdr:row>0</xdr:row>
      <xdr:rowOff>25980</xdr:rowOff>
    </xdr:from>
    <xdr:to>
      <xdr:col>1</xdr:col>
      <xdr:colOff>363682</xdr:colOff>
      <xdr:row>3</xdr:row>
      <xdr:rowOff>51955</xdr:rowOff>
    </xdr:to>
    <xdr:pic>
      <xdr:nvPicPr>
        <xdr:cNvPr id="3" name="1 Imagen" descr="LOGO-ICB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932" y="25980"/>
          <a:ext cx="495300" cy="68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791864</xdr:colOff>
      <xdr:row>0</xdr:row>
      <xdr:rowOff>43296</xdr:rowOff>
    </xdr:from>
    <xdr:to>
      <xdr:col>4</xdr:col>
      <xdr:colOff>224847</xdr:colOff>
      <xdr:row>1</xdr:row>
      <xdr:rowOff>173182</xdr:rowOff>
    </xdr:to>
    <xdr:pic>
      <xdr:nvPicPr>
        <xdr:cNvPr id="2" name="2 Imagen" descr="Captura de pantalla 2014-10-23 a las 14 36 0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3339" y="43296"/>
          <a:ext cx="880783" cy="3870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77932</xdr:colOff>
      <xdr:row>0</xdr:row>
      <xdr:rowOff>25980</xdr:rowOff>
    </xdr:from>
    <xdr:to>
      <xdr:col>1</xdr:col>
      <xdr:colOff>363682</xdr:colOff>
      <xdr:row>3</xdr:row>
      <xdr:rowOff>51955</xdr:rowOff>
    </xdr:to>
    <xdr:pic>
      <xdr:nvPicPr>
        <xdr:cNvPr id="3" name="1 Imagen" descr="LOGO-ICB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932" y="25980"/>
          <a:ext cx="495300" cy="68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791864</xdr:colOff>
      <xdr:row>0</xdr:row>
      <xdr:rowOff>43296</xdr:rowOff>
    </xdr:from>
    <xdr:to>
      <xdr:col>4</xdr:col>
      <xdr:colOff>224847</xdr:colOff>
      <xdr:row>1</xdr:row>
      <xdr:rowOff>173182</xdr:rowOff>
    </xdr:to>
    <xdr:pic>
      <xdr:nvPicPr>
        <xdr:cNvPr id="2" name="2 Imagen" descr="Captura de pantalla 2014-10-23 a las 14 36 0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25714" y="43296"/>
          <a:ext cx="880783" cy="3870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77932</xdr:colOff>
      <xdr:row>0</xdr:row>
      <xdr:rowOff>25980</xdr:rowOff>
    </xdr:from>
    <xdr:to>
      <xdr:col>1</xdr:col>
      <xdr:colOff>363682</xdr:colOff>
      <xdr:row>3</xdr:row>
      <xdr:rowOff>51955</xdr:rowOff>
    </xdr:to>
    <xdr:pic>
      <xdr:nvPicPr>
        <xdr:cNvPr id="3" name="1 Imagen" descr="LOGO-ICB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932" y="25980"/>
          <a:ext cx="495300" cy="68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50799</xdr:colOff>
      <xdr:row>0</xdr:row>
      <xdr:rowOff>23811</xdr:rowOff>
    </xdr:from>
    <xdr:to>
      <xdr:col>1</xdr:col>
      <xdr:colOff>638175</xdr:colOff>
      <xdr:row>2</xdr:row>
      <xdr:rowOff>254285</xdr:rowOff>
    </xdr:to>
    <xdr:pic>
      <xdr:nvPicPr>
        <xdr:cNvPr id="2" name="1 Imagen" descr="LOGO-ICB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799" y="23811"/>
          <a:ext cx="739776" cy="6305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19050</xdr:colOff>
      <xdr:row>0</xdr:row>
      <xdr:rowOff>28575</xdr:rowOff>
    </xdr:from>
    <xdr:to>
      <xdr:col>8</xdr:col>
      <xdr:colOff>242248</xdr:colOff>
      <xdr:row>2</xdr:row>
      <xdr:rowOff>104775</xdr:rowOff>
    </xdr:to>
    <xdr:pic>
      <xdr:nvPicPr>
        <xdr:cNvPr id="3" name="2 Imagen" descr="Captura de pantalla 2014-10-23 a las 14 36 0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72300" y="28575"/>
          <a:ext cx="1156648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791864</xdr:colOff>
      <xdr:row>0</xdr:row>
      <xdr:rowOff>43296</xdr:rowOff>
    </xdr:from>
    <xdr:to>
      <xdr:col>4</xdr:col>
      <xdr:colOff>224847</xdr:colOff>
      <xdr:row>1</xdr:row>
      <xdr:rowOff>173182</xdr:rowOff>
    </xdr:to>
    <xdr:pic>
      <xdr:nvPicPr>
        <xdr:cNvPr id="2" name="2 Imagen" descr="Captura de pantalla 2014-10-23 a las 14 36 0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3339" y="43296"/>
          <a:ext cx="880783" cy="3870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77932</xdr:colOff>
      <xdr:row>0</xdr:row>
      <xdr:rowOff>25980</xdr:rowOff>
    </xdr:from>
    <xdr:to>
      <xdr:col>1</xdr:col>
      <xdr:colOff>363682</xdr:colOff>
      <xdr:row>3</xdr:row>
      <xdr:rowOff>51955</xdr:rowOff>
    </xdr:to>
    <xdr:pic>
      <xdr:nvPicPr>
        <xdr:cNvPr id="3" name="1 Imagen" descr="LOGO-ICB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932" y="25980"/>
          <a:ext cx="495300" cy="68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791864</xdr:colOff>
      <xdr:row>0</xdr:row>
      <xdr:rowOff>43296</xdr:rowOff>
    </xdr:from>
    <xdr:to>
      <xdr:col>4</xdr:col>
      <xdr:colOff>224847</xdr:colOff>
      <xdr:row>1</xdr:row>
      <xdr:rowOff>173182</xdr:rowOff>
    </xdr:to>
    <xdr:pic>
      <xdr:nvPicPr>
        <xdr:cNvPr id="2" name="2 Imagen" descr="Captura de pantalla 2014-10-23 a las 14 36 0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25714" y="43296"/>
          <a:ext cx="880783" cy="3870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77932</xdr:colOff>
      <xdr:row>0</xdr:row>
      <xdr:rowOff>25980</xdr:rowOff>
    </xdr:from>
    <xdr:to>
      <xdr:col>1</xdr:col>
      <xdr:colOff>363682</xdr:colOff>
      <xdr:row>3</xdr:row>
      <xdr:rowOff>51955</xdr:rowOff>
    </xdr:to>
    <xdr:pic>
      <xdr:nvPicPr>
        <xdr:cNvPr id="3" name="1 Imagen" descr="LOGO-ICB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932" y="25980"/>
          <a:ext cx="495300" cy="68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50799</xdr:colOff>
      <xdr:row>0</xdr:row>
      <xdr:rowOff>23811</xdr:rowOff>
    </xdr:from>
    <xdr:to>
      <xdr:col>1</xdr:col>
      <xdr:colOff>638175</xdr:colOff>
      <xdr:row>2</xdr:row>
      <xdr:rowOff>254285</xdr:rowOff>
    </xdr:to>
    <xdr:pic>
      <xdr:nvPicPr>
        <xdr:cNvPr id="2" name="1 Imagen" descr="LOGO-ICB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799" y="23811"/>
          <a:ext cx="1349376" cy="54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19050</xdr:colOff>
      <xdr:row>0</xdr:row>
      <xdr:rowOff>28575</xdr:rowOff>
    </xdr:from>
    <xdr:to>
      <xdr:col>8</xdr:col>
      <xdr:colOff>242248</xdr:colOff>
      <xdr:row>2</xdr:row>
      <xdr:rowOff>104775</xdr:rowOff>
    </xdr:to>
    <xdr:pic>
      <xdr:nvPicPr>
        <xdr:cNvPr id="3" name="2 Imagen" descr="Captura de pantalla 2014-10-23 a las 14 36 0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53050" y="28575"/>
          <a:ext cx="985198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791864</xdr:colOff>
      <xdr:row>0</xdr:row>
      <xdr:rowOff>43296</xdr:rowOff>
    </xdr:from>
    <xdr:to>
      <xdr:col>4</xdr:col>
      <xdr:colOff>224847</xdr:colOff>
      <xdr:row>1</xdr:row>
      <xdr:rowOff>173182</xdr:rowOff>
    </xdr:to>
    <xdr:pic>
      <xdr:nvPicPr>
        <xdr:cNvPr id="2" name="2 Imagen" descr="Captura de pantalla 2014-10-23 a las 14 36 0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25714" y="43296"/>
          <a:ext cx="880783" cy="3870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77932</xdr:colOff>
      <xdr:row>0</xdr:row>
      <xdr:rowOff>25980</xdr:rowOff>
    </xdr:from>
    <xdr:to>
      <xdr:col>1</xdr:col>
      <xdr:colOff>363682</xdr:colOff>
      <xdr:row>3</xdr:row>
      <xdr:rowOff>51955</xdr:rowOff>
    </xdr:to>
    <xdr:pic>
      <xdr:nvPicPr>
        <xdr:cNvPr id="3" name="1 Imagen" descr="LOGO-ICB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932" y="25980"/>
          <a:ext cx="495300" cy="68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791864</xdr:colOff>
      <xdr:row>0</xdr:row>
      <xdr:rowOff>43296</xdr:rowOff>
    </xdr:from>
    <xdr:to>
      <xdr:col>4</xdr:col>
      <xdr:colOff>224847</xdr:colOff>
      <xdr:row>1</xdr:row>
      <xdr:rowOff>173182</xdr:rowOff>
    </xdr:to>
    <xdr:pic>
      <xdr:nvPicPr>
        <xdr:cNvPr id="2" name="2 Imagen" descr="Captura de pantalla 2014-10-23 a las 14 36 0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25714" y="43296"/>
          <a:ext cx="880783" cy="3299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77932</xdr:colOff>
      <xdr:row>0</xdr:row>
      <xdr:rowOff>25980</xdr:rowOff>
    </xdr:from>
    <xdr:to>
      <xdr:col>1</xdr:col>
      <xdr:colOff>363682</xdr:colOff>
      <xdr:row>3</xdr:row>
      <xdr:rowOff>51955</xdr:rowOff>
    </xdr:to>
    <xdr:pic>
      <xdr:nvPicPr>
        <xdr:cNvPr id="3" name="1 Imagen" descr="LOGO-ICB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932" y="25980"/>
          <a:ext cx="495300" cy="626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791864</xdr:colOff>
      <xdr:row>0</xdr:row>
      <xdr:rowOff>43296</xdr:rowOff>
    </xdr:from>
    <xdr:to>
      <xdr:col>4</xdr:col>
      <xdr:colOff>224847</xdr:colOff>
      <xdr:row>1</xdr:row>
      <xdr:rowOff>173182</xdr:rowOff>
    </xdr:to>
    <xdr:pic>
      <xdr:nvPicPr>
        <xdr:cNvPr id="2" name="2 Imagen" descr="Captura de pantalla 2014-10-23 a las 14 36 0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25714" y="43296"/>
          <a:ext cx="880783" cy="3299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77932</xdr:colOff>
      <xdr:row>0</xdr:row>
      <xdr:rowOff>25980</xdr:rowOff>
    </xdr:from>
    <xdr:to>
      <xdr:col>1</xdr:col>
      <xdr:colOff>363682</xdr:colOff>
      <xdr:row>3</xdr:row>
      <xdr:rowOff>51955</xdr:rowOff>
    </xdr:to>
    <xdr:pic>
      <xdr:nvPicPr>
        <xdr:cNvPr id="3" name="1 Imagen" descr="LOGO-ICB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932" y="25980"/>
          <a:ext cx="495300" cy="626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50799</xdr:colOff>
      <xdr:row>0</xdr:row>
      <xdr:rowOff>23811</xdr:rowOff>
    </xdr:from>
    <xdr:to>
      <xdr:col>1</xdr:col>
      <xdr:colOff>638175</xdr:colOff>
      <xdr:row>2</xdr:row>
      <xdr:rowOff>254285</xdr:rowOff>
    </xdr:to>
    <xdr:pic>
      <xdr:nvPicPr>
        <xdr:cNvPr id="2" name="1 Imagen" descr="LOGO-ICB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799" y="23811"/>
          <a:ext cx="739776" cy="6305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19050</xdr:colOff>
      <xdr:row>0</xdr:row>
      <xdr:rowOff>28575</xdr:rowOff>
    </xdr:from>
    <xdr:to>
      <xdr:col>8</xdr:col>
      <xdr:colOff>242248</xdr:colOff>
      <xdr:row>2</xdr:row>
      <xdr:rowOff>104775</xdr:rowOff>
    </xdr:to>
    <xdr:pic>
      <xdr:nvPicPr>
        <xdr:cNvPr id="3" name="2 Imagen" descr="Captura de pantalla 2014-10-23 a las 14 36 0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72300" y="28575"/>
          <a:ext cx="1156648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791864</xdr:colOff>
      <xdr:row>0</xdr:row>
      <xdr:rowOff>43296</xdr:rowOff>
    </xdr:from>
    <xdr:to>
      <xdr:col>4</xdr:col>
      <xdr:colOff>224847</xdr:colOff>
      <xdr:row>1</xdr:row>
      <xdr:rowOff>173182</xdr:rowOff>
    </xdr:to>
    <xdr:pic>
      <xdr:nvPicPr>
        <xdr:cNvPr id="2" name="2 Imagen" descr="Captura de pantalla 2014-10-23 a las 14 36 0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25714" y="43296"/>
          <a:ext cx="880783" cy="3299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77932</xdr:colOff>
      <xdr:row>0</xdr:row>
      <xdr:rowOff>25980</xdr:rowOff>
    </xdr:from>
    <xdr:to>
      <xdr:col>1</xdr:col>
      <xdr:colOff>363682</xdr:colOff>
      <xdr:row>3</xdr:row>
      <xdr:rowOff>51955</xdr:rowOff>
    </xdr:to>
    <xdr:pic>
      <xdr:nvPicPr>
        <xdr:cNvPr id="3" name="1 Imagen" descr="LOGO-ICB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932" y="25980"/>
          <a:ext cx="495300" cy="626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791864</xdr:colOff>
      <xdr:row>0</xdr:row>
      <xdr:rowOff>43296</xdr:rowOff>
    </xdr:from>
    <xdr:to>
      <xdr:col>4</xdr:col>
      <xdr:colOff>224847</xdr:colOff>
      <xdr:row>1</xdr:row>
      <xdr:rowOff>173182</xdr:rowOff>
    </xdr:to>
    <xdr:pic>
      <xdr:nvPicPr>
        <xdr:cNvPr id="2" name="2 Imagen" descr="Captura de pantalla 2014-10-23 a las 14 36 0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25714" y="43296"/>
          <a:ext cx="880783" cy="3870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77932</xdr:colOff>
      <xdr:row>0</xdr:row>
      <xdr:rowOff>25980</xdr:rowOff>
    </xdr:from>
    <xdr:to>
      <xdr:col>1</xdr:col>
      <xdr:colOff>363682</xdr:colOff>
      <xdr:row>3</xdr:row>
      <xdr:rowOff>51955</xdr:rowOff>
    </xdr:to>
    <xdr:pic>
      <xdr:nvPicPr>
        <xdr:cNvPr id="3" name="1 Imagen" descr="LOGO-ICB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932" y="25980"/>
          <a:ext cx="495300" cy="68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50799</xdr:colOff>
      <xdr:row>0</xdr:row>
      <xdr:rowOff>23811</xdr:rowOff>
    </xdr:from>
    <xdr:to>
      <xdr:col>1</xdr:col>
      <xdr:colOff>638175</xdr:colOff>
      <xdr:row>2</xdr:row>
      <xdr:rowOff>254285</xdr:rowOff>
    </xdr:to>
    <xdr:pic>
      <xdr:nvPicPr>
        <xdr:cNvPr id="2" name="1 Imagen" descr="LOGO-ICB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799" y="23811"/>
          <a:ext cx="739776" cy="6305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19050</xdr:colOff>
      <xdr:row>0</xdr:row>
      <xdr:rowOff>28575</xdr:rowOff>
    </xdr:from>
    <xdr:to>
      <xdr:col>8</xdr:col>
      <xdr:colOff>242248</xdr:colOff>
      <xdr:row>2</xdr:row>
      <xdr:rowOff>104775</xdr:rowOff>
    </xdr:to>
    <xdr:pic>
      <xdr:nvPicPr>
        <xdr:cNvPr id="3" name="2 Imagen" descr="Captura de pantalla 2014-10-23 a las 14 36 0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72300" y="28575"/>
          <a:ext cx="1156648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791864</xdr:colOff>
      <xdr:row>0</xdr:row>
      <xdr:rowOff>43296</xdr:rowOff>
    </xdr:from>
    <xdr:to>
      <xdr:col>4</xdr:col>
      <xdr:colOff>224847</xdr:colOff>
      <xdr:row>1</xdr:row>
      <xdr:rowOff>173182</xdr:rowOff>
    </xdr:to>
    <xdr:pic>
      <xdr:nvPicPr>
        <xdr:cNvPr id="2" name="2 Imagen" descr="Captura de pantalla 2014-10-23 a las 14 36 0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25714" y="43296"/>
          <a:ext cx="880783" cy="3870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77932</xdr:colOff>
      <xdr:row>0</xdr:row>
      <xdr:rowOff>25980</xdr:rowOff>
    </xdr:from>
    <xdr:to>
      <xdr:col>1</xdr:col>
      <xdr:colOff>363682</xdr:colOff>
      <xdr:row>3</xdr:row>
      <xdr:rowOff>51955</xdr:rowOff>
    </xdr:to>
    <xdr:pic>
      <xdr:nvPicPr>
        <xdr:cNvPr id="3" name="1 Imagen" descr="LOGO-ICB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932" y="25980"/>
          <a:ext cx="495300" cy="68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791864</xdr:colOff>
      <xdr:row>0</xdr:row>
      <xdr:rowOff>43296</xdr:rowOff>
    </xdr:from>
    <xdr:to>
      <xdr:col>4</xdr:col>
      <xdr:colOff>224847</xdr:colOff>
      <xdr:row>1</xdr:row>
      <xdr:rowOff>173182</xdr:rowOff>
    </xdr:to>
    <xdr:pic>
      <xdr:nvPicPr>
        <xdr:cNvPr id="2" name="2 Imagen" descr="Captura de pantalla 2014-10-23 a las 14 36 0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25714" y="43296"/>
          <a:ext cx="880783" cy="3870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77932</xdr:colOff>
      <xdr:row>0</xdr:row>
      <xdr:rowOff>25980</xdr:rowOff>
    </xdr:from>
    <xdr:to>
      <xdr:col>1</xdr:col>
      <xdr:colOff>363682</xdr:colOff>
      <xdr:row>3</xdr:row>
      <xdr:rowOff>51955</xdr:rowOff>
    </xdr:to>
    <xdr:pic>
      <xdr:nvPicPr>
        <xdr:cNvPr id="3" name="1 Imagen" descr="LOGO-ICB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932" y="25980"/>
          <a:ext cx="495300" cy="68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791864</xdr:colOff>
      <xdr:row>0</xdr:row>
      <xdr:rowOff>43296</xdr:rowOff>
    </xdr:from>
    <xdr:to>
      <xdr:col>4</xdr:col>
      <xdr:colOff>224847</xdr:colOff>
      <xdr:row>1</xdr:row>
      <xdr:rowOff>173182</xdr:rowOff>
    </xdr:to>
    <xdr:pic>
      <xdr:nvPicPr>
        <xdr:cNvPr id="2" name="2 Imagen" descr="Captura de pantalla 2014-10-23 a las 14 36 0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9289" y="43296"/>
          <a:ext cx="223558" cy="3203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77932</xdr:colOff>
      <xdr:row>0</xdr:row>
      <xdr:rowOff>25980</xdr:rowOff>
    </xdr:from>
    <xdr:to>
      <xdr:col>1</xdr:col>
      <xdr:colOff>363682</xdr:colOff>
      <xdr:row>3</xdr:row>
      <xdr:rowOff>51955</xdr:rowOff>
    </xdr:to>
    <xdr:pic>
      <xdr:nvPicPr>
        <xdr:cNvPr id="3" name="1 Imagen" descr="LOGO-ICB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932" y="25980"/>
          <a:ext cx="1047750" cy="597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791864</xdr:colOff>
      <xdr:row>0</xdr:row>
      <xdr:rowOff>43296</xdr:rowOff>
    </xdr:from>
    <xdr:to>
      <xdr:col>4</xdr:col>
      <xdr:colOff>224847</xdr:colOff>
      <xdr:row>1</xdr:row>
      <xdr:rowOff>173182</xdr:rowOff>
    </xdr:to>
    <xdr:pic>
      <xdr:nvPicPr>
        <xdr:cNvPr id="2" name="2 Imagen" descr="Captura de pantalla 2014-10-23 a las 14 36 0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3339" y="43296"/>
          <a:ext cx="880783" cy="3870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77932</xdr:colOff>
      <xdr:row>0</xdr:row>
      <xdr:rowOff>25980</xdr:rowOff>
    </xdr:from>
    <xdr:to>
      <xdr:col>1</xdr:col>
      <xdr:colOff>363682</xdr:colOff>
      <xdr:row>3</xdr:row>
      <xdr:rowOff>51955</xdr:rowOff>
    </xdr:to>
    <xdr:pic>
      <xdr:nvPicPr>
        <xdr:cNvPr id="3" name="1 Imagen" descr="LOGO-ICB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932" y="25980"/>
          <a:ext cx="495300" cy="68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50799</xdr:colOff>
      <xdr:row>0</xdr:row>
      <xdr:rowOff>23811</xdr:rowOff>
    </xdr:from>
    <xdr:to>
      <xdr:col>1</xdr:col>
      <xdr:colOff>638175</xdr:colOff>
      <xdr:row>2</xdr:row>
      <xdr:rowOff>254285</xdr:rowOff>
    </xdr:to>
    <xdr:pic>
      <xdr:nvPicPr>
        <xdr:cNvPr id="2" name="1 Imagen" descr="LOGO-ICB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799" y="23811"/>
          <a:ext cx="739776" cy="6305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19050</xdr:colOff>
      <xdr:row>0</xdr:row>
      <xdr:rowOff>28575</xdr:rowOff>
    </xdr:from>
    <xdr:to>
      <xdr:col>8</xdr:col>
      <xdr:colOff>242248</xdr:colOff>
      <xdr:row>2</xdr:row>
      <xdr:rowOff>104775</xdr:rowOff>
    </xdr:to>
    <xdr:pic>
      <xdr:nvPicPr>
        <xdr:cNvPr id="3" name="2 Imagen" descr="Captura de pantalla 2014-10-23 a las 14 36 0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72300" y="28575"/>
          <a:ext cx="1156648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791864</xdr:colOff>
      <xdr:row>0</xdr:row>
      <xdr:rowOff>43296</xdr:rowOff>
    </xdr:from>
    <xdr:to>
      <xdr:col>4</xdr:col>
      <xdr:colOff>224847</xdr:colOff>
      <xdr:row>1</xdr:row>
      <xdr:rowOff>173182</xdr:rowOff>
    </xdr:to>
    <xdr:pic>
      <xdr:nvPicPr>
        <xdr:cNvPr id="2" name="2 Imagen" descr="Captura de pantalla 2014-10-23 a las 14 36 0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25714" y="43296"/>
          <a:ext cx="880783" cy="3870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77932</xdr:colOff>
      <xdr:row>0</xdr:row>
      <xdr:rowOff>25980</xdr:rowOff>
    </xdr:from>
    <xdr:to>
      <xdr:col>1</xdr:col>
      <xdr:colOff>363682</xdr:colOff>
      <xdr:row>3</xdr:row>
      <xdr:rowOff>51955</xdr:rowOff>
    </xdr:to>
    <xdr:pic>
      <xdr:nvPicPr>
        <xdr:cNvPr id="3" name="1 Imagen" descr="LOGO-ICB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932" y="25980"/>
          <a:ext cx="495300" cy="68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791864</xdr:colOff>
      <xdr:row>0</xdr:row>
      <xdr:rowOff>43296</xdr:rowOff>
    </xdr:from>
    <xdr:to>
      <xdr:col>4</xdr:col>
      <xdr:colOff>224847</xdr:colOff>
      <xdr:row>1</xdr:row>
      <xdr:rowOff>173182</xdr:rowOff>
    </xdr:to>
    <xdr:pic>
      <xdr:nvPicPr>
        <xdr:cNvPr id="2" name="2 Imagen" descr="Captura de pantalla 2014-10-23 a las 14 36 0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9289" y="43296"/>
          <a:ext cx="223558" cy="3203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77932</xdr:colOff>
      <xdr:row>0</xdr:row>
      <xdr:rowOff>25980</xdr:rowOff>
    </xdr:from>
    <xdr:to>
      <xdr:col>1</xdr:col>
      <xdr:colOff>363682</xdr:colOff>
      <xdr:row>3</xdr:row>
      <xdr:rowOff>51955</xdr:rowOff>
    </xdr:to>
    <xdr:pic>
      <xdr:nvPicPr>
        <xdr:cNvPr id="3" name="1 Imagen" descr="LOGO-ICB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932" y="25980"/>
          <a:ext cx="1047750" cy="597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47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I49"/>
  <sheetViews>
    <sheetView view="pageBreakPreview" zoomScale="130" zoomScaleNormal="100" zoomScaleSheetLayoutView="130" workbookViewId="0">
      <selection activeCell="C12" sqref="C12"/>
    </sheetView>
  </sheetViews>
  <sheetFormatPr baseColWidth="10" defaultRowHeight="13.5" x14ac:dyDescent="0.25"/>
  <cols>
    <col min="1" max="1" width="3.140625" style="84" customWidth="1"/>
    <col min="2" max="2" width="31.85546875" style="84" customWidth="1"/>
    <col min="3" max="3" width="27.7109375" style="84" customWidth="1"/>
    <col min="4" max="4" width="21.7109375" style="84" customWidth="1"/>
    <col min="5" max="5" width="3.5703125" style="84" customWidth="1"/>
    <col min="6" max="6" width="16.5703125" style="84" customWidth="1"/>
    <col min="7" max="7" width="3.140625" style="84" customWidth="1"/>
    <col min="8" max="8" width="18.140625" style="84" customWidth="1"/>
    <col min="9" max="9" width="12.7109375" style="84" bestFit="1" customWidth="1"/>
    <col min="10" max="16384" width="11.42578125" style="84"/>
  </cols>
  <sheetData>
    <row r="1" spans="1:5" s="93" customFormat="1" ht="20.25" customHeight="1" x14ac:dyDescent="0.25">
      <c r="A1" s="253" t="s">
        <v>0</v>
      </c>
      <c r="B1" s="254"/>
      <c r="C1" s="254"/>
      <c r="D1" s="254"/>
      <c r="E1" s="255"/>
    </row>
    <row r="2" spans="1:5" s="93" customFormat="1" ht="15.75" customHeight="1" x14ac:dyDescent="0.25">
      <c r="A2" s="196"/>
      <c r="B2" s="256" t="s">
        <v>1</v>
      </c>
      <c r="C2" s="256"/>
      <c r="D2" s="256"/>
      <c r="E2" s="95"/>
    </row>
    <row r="3" spans="1:5" s="93" customFormat="1" ht="15.75" customHeight="1" x14ac:dyDescent="0.25">
      <c r="A3" s="257" t="s">
        <v>27</v>
      </c>
      <c r="B3" s="256"/>
      <c r="C3" s="256"/>
      <c r="D3" s="256"/>
      <c r="E3" s="258"/>
    </row>
    <row r="4" spans="1:5" s="93" customFormat="1" ht="20.25" x14ac:dyDescent="0.3">
      <c r="A4" s="96"/>
      <c r="B4" s="256" t="s">
        <v>2</v>
      </c>
      <c r="C4" s="256"/>
      <c r="D4" s="256"/>
      <c r="E4" s="97"/>
    </row>
    <row r="5" spans="1:5" s="93" customFormat="1" ht="20.25" customHeight="1" x14ac:dyDescent="0.25">
      <c r="A5" s="257" t="s">
        <v>28</v>
      </c>
      <c r="B5" s="256"/>
      <c r="C5" s="256"/>
      <c r="D5" s="256"/>
      <c r="E5" s="258"/>
    </row>
    <row r="6" spans="1:5" s="93" customFormat="1" ht="96" customHeight="1" x14ac:dyDescent="0.25">
      <c r="A6" s="259" t="s">
        <v>29</v>
      </c>
      <c r="B6" s="260"/>
      <c r="C6" s="260"/>
      <c r="D6" s="260"/>
      <c r="E6" s="261"/>
    </row>
    <row r="7" spans="1:5" s="93" customFormat="1" ht="14.25" thickBot="1" x14ac:dyDescent="0.3">
      <c r="A7" s="98"/>
      <c r="B7" s="70"/>
      <c r="C7" s="70"/>
      <c r="D7" s="70"/>
      <c r="E7" s="75"/>
    </row>
    <row r="8" spans="1:5" s="93" customFormat="1" ht="37.5" customHeight="1" thickBot="1" x14ac:dyDescent="0.3">
      <c r="A8" s="98"/>
      <c r="B8" s="72" t="s">
        <v>3</v>
      </c>
      <c r="C8" s="247" t="s">
        <v>159</v>
      </c>
      <c r="D8" s="248"/>
      <c r="E8" s="75"/>
    </row>
    <row r="9" spans="1:5" s="93" customFormat="1" ht="14.25" thickBot="1" x14ac:dyDescent="0.3">
      <c r="A9" s="98"/>
      <c r="B9" s="72" t="s">
        <v>38</v>
      </c>
      <c r="C9" s="247">
        <v>1</v>
      </c>
      <c r="D9" s="248"/>
      <c r="E9" s="75"/>
    </row>
    <row r="10" spans="1:5" s="93" customFormat="1" ht="14.25" thickBot="1" x14ac:dyDescent="0.3">
      <c r="A10" s="98"/>
      <c r="B10" s="79" t="s">
        <v>6</v>
      </c>
      <c r="C10" s="247">
        <v>900686998</v>
      </c>
      <c r="D10" s="248"/>
      <c r="E10" s="75"/>
    </row>
    <row r="11" spans="1:5" s="93" customFormat="1" ht="26.25" customHeight="1" x14ac:dyDescent="0.25">
      <c r="A11" s="98"/>
      <c r="B11" s="130" t="s">
        <v>23</v>
      </c>
      <c r="C11" s="197" t="s">
        <v>24</v>
      </c>
      <c r="D11" s="199" t="s">
        <v>25</v>
      </c>
      <c r="E11" s="75"/>
    </row>
    <row r="12" spans="1:5" s="93" customFormat="1" x14ac:dyDescent="0.25">
      <c r="A12" s="98"/>
      <c r="B12" s="133">
        <v>7</v>
      </c>
      <c r="C12" s="135" t="s">
        <v>187</v>
      </c>
      <c r="D12" s="134">
        <v>7818524064</v>
      </c>
      <c r="E12" s="75"/>
    </row>
    <row r="13" spans="1:5" s="93" customFormat="1" ht="14.25" thickBot="1" x14ac:dyDescent="0.3">
      <c r="A13" s="98"/>
      <c r="B13" s="74"/>
      <c r="C13" s="135"/>
      <c r="D13" s="99"/>
      <c r="E13" s="75"/>
    </row>
    <row r="14" spans="1:5" s="93" customFormat="1" ht="14.25" thickBot="1" x14ac:dyDescent="0.3">
      <c r="A14" s="98"/>
      <c r="B14" s="72" t="s">
        <v>30</v>
      </c>
      <c r="C14" s="249">
        <f>+SUM(D12:D12)</f>
        <v>7818524064</v>
      </c>
      <c r="D14" s="250"/>
      <c r="E14" s="75"/>
    </row>
    <row r="15" spans="1:5" s="93" customFormat="1" ht="14.25" thickBot="1" x14ac:dyDescent="0.3">
      <c r="A15" s="98"/>
      <c r="B15" s="72" t="s">
        <v>5</v>
      </c>
      <c r="C15" s="302">
        <f>+ROUND(C14/616000,0)</f>
        <v>12692</v>
      </c>
      <c r="D15" s="303"/>
      <c r="E15" s="75"/>
    </row>
    <row r="16" spans="1:5" s="93" customFormat="1" x14ac:dyDescent="0.25">
      <c r="A16" s="98"/>
      <c r="B16" s="70"/>
      <c r="C16" s="70"/>
      <c r="D16" s="99"/>
      <c r="E16" s="75"/>
    </row>
    <row r="17" spans="1:8" s="93" customFormat="1" ht="14.25" thickBot="1" x14ac:dyDescent="0.3">
      <c r="A17" s="98"/>
      <c r="B17" s="100" t="s">
        <v>19</v>
      </c>
      <c r="C17" s="76"/>
      <c r="D17" s="99"/>
      <c r="E17" s="75"/>
    </row>
    <row r="18" spans="1:8" s="93" customFormat="1" x14ac:dyDescent="0.25">
      <c r="A18" s="98"/>
      <c r="B18" s="77" t="s">
        <v>13</v>
      </c>
      <c r="C18" s="85">
        <f>+IF($C$15&gt;$B$49,$D$49,IF(AND($C$15&gt;=$B$48,$C$15&lt;=$C$48),$D$48,IF(AND($C$15&gt;=$B$46,$C$15&lt;=$C$47),$D$46,IF(AND($C$15&gt;=$B$44,$C$15&lt;=$C$45),$D$44,IF(AND($C$15&gt;$B$42,$C$15&lt;=$C$43),$D$42)))))</f>
        <v>1.2</v>
      </c>
      <c r="D18" s="99"/>
      <c r="E18" s="75"/>
    </row>
    <row r="19" spans="1:8" s="93" customFormat="1" ht="14.25" thickBot="1" x14ac:dyDescent="0.3">
      <c r="A19" s="98"/>
      <c r="B19" s="78" t="s">
        <v>14</v>
      </c>
      <c r="C19" s="86">
        <f>+IF($C$15&gt;$B$49,$F$49,IF(AND($C$15&gt;=$B$47,$C$15&lt;=$C$48),$F$47,IF(AND($C$15&gt;=$B$45,$C$15&lt;=$C$46),$F$45,IF(AND($C$15&gt;=$B$43,$C$15&lt;=$C$44),$F$43,IF(AND($C$15&gt;$B$42,$C$15&lt;=$C$42),$F$42)))))</f>
        <v>0.65</v>
      </c>
      <c r="D19" s="99"/>
      <c r="E19" s="75"/>
    </row>
    <row r="20" spans="1:8" s="93" customFormat="1" ht="14.25" thickBot="1" x14ac:dyDescent="0.3">
      <c r="A20" s="98"/>
      <c r="B20" s="101"/>
      <c r="C20" s="102"/>
      <c r="D20" s="103"/>
      <c r="E20" s="75"/>
    </row>
    <row r="21" spans="1:8" s="93" customFormat="1" x14ac:dyDescent="0.25">
      <c r="A21" s="98"/>
      <c r="B21" s="80" t="s">
        <v>7</v>
      </c>
      <c r="C21" s="127">
        <v>1500000</v>
      </c>
      <c r="D21" s="104"/>
      <c r="E21" s="75"/>
    </row>
    <row r="22" spans="1:8" s="93" customFormat="1" x14ac:dyDescent="0.25">
      <c r="A22" s="98"/>
      <c r="B22" s="81" t="s">
        <v>8</v>
      </c>
      <c r="C22" s="129">
        <v>33443000</v>
      </c>
      <c r="D22" s="105"/>
      <c r="E22" s="75"/>
    </row>
    <row r="23" spans="1:8" s="93" customFormat="1" ht="15" x14ac:dyDescent="0.25">
      <c r="A23" s="98"/>
      <c r="B23" s="81" t="s">
        <v>9</v>
      </c>
      <c r="C23" s="129">
        <v>1600000</v>
      </c>
      <c r="D23" s="105"/>
      <c r="E23" s="75"/>
      <c r="F23" s="106"/>
      <c r="H23" s="239"/>
    </row>
    <row r="24" spans="1:8" s="93" customFormat="1" ht="15.75" thickBot="1" x14ac:dyDescent="0.3">
      <c r="A24" s="98"/>
      <c r="B24" s="81" t="s">
        <v>10</v>
      </c>
      <c r="C24" s="129">
        <v>1600000</v>
      </c>
      <c r="D24" s="105"/>
      <c r="E24" s="75"/>
      <c r="F24" s="106"/>
    </row>
    <row r="25" spans="1:8" s="93" customFormat="1" ht="14.25" thickBot="1" x14ac:dyDescent="0.3">
      <c r="A25" s="98"/>
      <c r="B25" s="241" t="s">
        <v>11</v>
      </c>
      <c r="C25" s="242"/>
      <c r="D25" s="243"/>
      <c r="E25" s="75"/>
    </row>
    <row r="26" spans="1:8" s="93" customFormat="1" ht="14.25" thickBot="1" x14ac:dyDescent="0.3">
      <c r="A26" s="98"/>
      <c r="B26" s="241" t="s">
        <v>12</v>
      </c>
      <c r="C26" s="242"/>
      <c r="D26" s="243"/>
      <c r="E26" s="75"/>
    </row>
    <row r="27" spans="1:8" s="93" customFormat="1" ht="16.5" x14ac:dyDescent="0.3">
      <c r="A27" s="98"/>
      <c r="B27" s="77" t="s">
        <v>13</v>
      </c>
      <c r="C27" s="126">
        <f>+IFERROR(C21/C23,"INDETERMINADO")</f>
        <v>0.9375</v>
      </c>
      <c r="D27" s="118" t="str">
        <f>+IF(C27&gt;=C18,"CUMPLE","NO CUMPLE")</f>
        <v>NO CUMPLE</v>
      </c>
      <c r="E27" s="75"/>
    </row>
    <row r="28" spans="1:8" s="93" customFormat="1" ht="17.25" thickBot="1" x14ac:dyDescent="0.35">
      <c r="A28" s="98"/>
      <c r="B28" s="78" t="s">
        <v>14</v>
      </c>
      <c r="C28" s="120">
        <f>+C24/C22</f>
        <v>4.7842597853063419E-2</v>
      </c>
      <c r="D28" s="119" t="str">
        <f>+IF(C28&lt;=C19,"CUMPLE","NO CUMPLE")</f>
        <v>CUMPLE</v>
      </c>
      <c r="E28" s="75"/>
    </row>
    <row r="29" spans="1:8" s="110" customFormat="1" ht="14.25" thickBot="1" x14ac:dyDescent="0.3">
      <c r="A29" s="98"/>
      <c r="B29" s="108"/>
      <c r="C29" s="100"/>
      <c r="D29" s="76"/>
      <c r="E29" s="109"/>
    </row>
    <row r="30" spans="1:8" s="93" customFormat="1" ht="41.25" customHeight="1" thickBot="1" x14ac:dyDescent="0.3">
      <c r="A30" s="98"/>
      <c r="B30" s="72" t="s">
        <v>15</v>
      </c>
      <c r="C30" s="244" t="s">
        <v>160</v>
      </c>
      <c r="D30" s="245"/>
      <c r="E30" s="75"/>
    </row>
    <row r="31" spans="1:8" s="70" customFormat="1" ht="14.25" thickBot="1" x14ac:dyDescent="0.3">
      <c r="A31" s="98"/>
      <c r="B31" s="83"/>
      <c r="C31" s="83"/>
      <c r="D31" s="83"/>
      <c r="E31" s="75"/>
    </row>
    <row r="32" spans="1:8" s="70" customFormat="1" ht="45.75" customHeight="1" thickBot="1" x14ac:dyDescent="0.3">
      <c r="A32" s="98"/>
      <c r="B32" s="72" t="s">
        <v>26</v>
      </c>
      <c r="C32" s="244" t="s">
        <v>234</v>
      </c>
      <c r="D32" s="245"/>
      <c r="E32" s="75"/>
    </row>
    <row r="33" spans="1:9" s="70" customFormat="1" ht="14.25" thickBot="1" x14ac:dyDescent="0.3">
      <c r="A33" s="111"/>
      <c r="B33" s="112"/>
      <c r="C33" s="112"/>
      <c r="D33" s="112"/>
      <c r="E33" s="71"/>
    </row>
    <row r="34" spans="1:9" s="70" customFormat="1" x14ac:dyDescent="0.25">
      <c r="B34" s="83"/>
      <c r="C34" s="83"/>
      <c r="D34" s="83"/>
    </row>
    <row r="35" spans="1:9" s="70" customFormat="1" x14ac:dyDescent="0.25">
      <c r="B35" s="83"/>
      <c r="C35" s="83"/>
      <c r="D35" s="83"/>
    </row>
    <row r="36" spans="1:9" s="70" customFormat="1" x14ac:dyDescent="0.25">
      <c r="B36" s="83"/>
      <c r="C36" s="83"/>
      <c r="D36" s="83"/>
    </row>
    <row r="37" spans="1:9" s="70" customFormat="1" x14ac:dyDescent="0.25">
      <c r="B37" s="83"/>
      <c r="C37" s="83"/>
      <c r="D37" s="83"/>
    </row>
    <row r="39" spans="1:9" x14ac:dyDescent="0.25">
      <c r="B39" s="100"/>
      <c r="C39" s="70"/>
    </row>
    <row r="40" spans="1:9" x14ac:dyDescent="0.25">
      <c r="B40" s="88">
        <v>616000</v>
      </c>
      <c r="C40" s="87"/>
      <c r="D40" s="87"/>
      <c r="E40" s="87"/>
      <c r="F40" s="87"/>
      <c r="G40" s="87"/>
      <c r="H40" s="87"/>
      <c r="I40" s="87"/>
    </row>
    <row r="41" spans="1:9" ht="25.5" x14ac:dyDescent="0.25">
      <c r="B41" s="89" t="s">
        <v>21</v>
      </c>
      <c r="C41" s="89" t="s">
        <v>20</v>
      </c>
      <c r="D41" s="200" t="s">
        <v>16</v>
      </c>
      <c r="E41" s="87"/>
      <c r="F41" s="200" t="s">
        <v>17</v>
      </c>
      <c r="G41" s="87"/>
      <c r="H41" s="246"/>
      <c r="I41" s="246"/>
    </row>
    <row r="42" spans="1:9" x14ac:dyDescent="0.25">
      <c r="B42" s="90">
        <v>0</v>
      </c>
      <c r="C42" s="90">
        <v>250</v>
      </c>
      <c r="D42" s="201">
        <v>0.8</v>
      </c>
      <c r="E42" s="87"/>
      <c r="F42" s="202">
        <v>0.8</v>
      </c>
      <c r="G42" s="87"/>
      <c r="H42" s="116"/>
      <c r="I42" s="117">
        <f t="shared" ref="I42:I49" si="0">+C42*$B$40</f>
        <v>154000000</v>
      </c>
    </row>
    <row r="43" spans="1:9" x14ac:dyDescent="0.25">
      <c r="B43" s="90">
        <v>251</v>
      </c>
      <c r="C43" s="90">
        <v>1000</v>
      </c>
      <c r="D43" s="201">
        <v>0.8</v>
      </c>
      <c r="E43" s="87"/>
      <c r="F43" s="202">
        <v>0.75</v>
      </c>
      <c r="G43" s="87"/>
      <c r="H43" s="117">
        <f t="shared" ref="H43:H49" si="1">+B43*$B$40</f>
        <v>154616000</v>
      </c>
      <c r="I43" s="117">
        <f t="shared" si="0"/>
        <v>616000000</v>
      </c>
    </row>
    <row r="44" spans="1:9" x14ac:dyDescent="0.25">
      <c r="B44" s="90">
        <v>1001</v>
      </c>
      <c r="C44" s="90">
        <v>1500</v>
      </c>
      <c r="D44" s="201">
        <v>0.9</v>
      </c>
      <c r="E44" s="87"/>
      <c r="F44" s="202">
        <v>0.75</v>
      </c>
      <c r="G44" s="87"/>
      <c r="H44" s="117">
        <f t="shared" si="1"/>
        <v>616616000</v>
      </c>
      <c r="I44" s="117">
        <f t="shared" si="0"/>
        <v>924000000</v>
      </c>
    </row>
    <row r="45" spans="1:9" x14ac:dyDescent="0.25">
      <c r="B45" s="90">
        <v>1501</v>
      </c>
      <c r="C45" s="90">
        <v>2500</v>
      </c>
      <c r="D45" s="201">
        <v>0.9</v>
      </c>
      <c r="E45" s="87"/>
      <c r="F45" s="202">
        <v>0.7</v>
      </c>
      <c r="G45" s="87"/>
      <c r="H45" s="117">
        <f t="shared" si="1"/>
        <v>924616000</v>
      </c>
      <c r="I45" s="117">
        <f t="shared" si="0"/>
        <v>1540000000</v>
      </c>
    </row>
    <row r="46" spans="1:9" x14ac:dyDescent="0.25">
      <c r="B46" s="90">
        <v>2501</v>
      </c>
      <c r="C46" s="90">
        <v>3000</v>
      </c>
      <c r="D46" s="201">
        <v>1</v>
      </c>
      <c r="E46" s="87"/>
      <c r="F46" s="202">
        <v>0.7</v>
      </c>
      <c r="G46" s="87"/>
      <c r="H46" s="117">
        <f t="shared" si="1"/>
        <v>1540616000</v>
      </c>
      <c r="I46" s="117">
        <f t="shared" si="0"/>
        <v>1848000000</v>
      </c>
    </row>
    <row r="47" spans="1:9" x14ac:dyDescent="0.25">
      <c r="B47" s="90">
        <v>3001</v>
      </c>
      <c r="C47" s="90">
        <v>3500</v>
      </c>
      <c r="D47" s="201">
        <v>1</v>
      </c>
      <c r="E47" s="87"/>
      <c r="F47" s="202">
        <v>0.68</v>
      </c>
      <c r="G47" s="87"/>
      <c r="H47" s="117">
        <f t="shared" si="1"/>
        <v>1848616000</v>
      </c>
      <c r="I47" s="117">
        <f t="shared" si="0"/>
        <v>2156000000</v>
      </c>
    </row>
    <row r="48" spans="1:9" x14ac:dyDescent="0.25">
      <c r="B48" s="90">
        <v>3501</v>
      </c>
      <c r="C48" s="90">
        <v>4500</v>
      </c>
      <c r="D48" s="201">
        <v>1.1000000000000001</v>
      </c>
      <c r="E48" s="87"/>
      <c r="F48" s="202">
        <v>0.68</v>
      </c>
      <c r="G48" s="87"/>
      <c r="H48" s="117">
        <f t="shared" si="1"/>
        <v>2156616000</v>
      </c>
      <c r="I48" s="117">
        <f t="shared" si="0"/>
        <v>2772000000</v>
      </c>
    </row>
    <row r="49" spans="1:9" x14ac:dyDescent="0.25">
      <c r="A49" s="84" t="s">
        <v>22</v>
      </c>
      <c r="B49" s="90">
        <v>4501</v>
      </c>
      <c r="C49" s="90"/>
      <c r="D49" s="201">
        <v>1.2</v>
      </c>
      <c r="E49" s="87"/>
      <c r="F49" s="202">
        <v>0.65</v>
      </c>
      <c r="G49" s="87"/>
      <c r="H49" s="117">
        <f t="shared" si="1"/>
        <v>2772616000</v>
      </c>
      <c r="I49" s="117">
        <f t="shared" si="0"/>
        <v>0</v>
      </c>
    </row>
  </sheetData>
  <mergeCells count="16">
    <mergeCell ref="A6:E6"/>
    <mergeCell ref="A1:E1"/>
    <mergeCell ref="B2:D2"/>
    <mergeCell ref="A3:E3"/>
    <mergeCell ref="B4:D4"/>
    <mergeCell ref="A5:E5"/>
    <mergeCell ref="B26:D26"/>
    <mergeCell ref="C30:D30"/>
    <mergeCell ref="C32:D32"/>
    <mergeCell ref="H41:I41"/>
    <mergeCell ref="C8:D8"/>
    <mergeCell ref="C9:D9"/>
    <mergeCell ref="C10:D10"/>
    <mergeCell ref="C14:D14"/>
    <mergeCell ref="C15:D15"/>
    <mergeCell ref="B25:D25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1"/>
  <sheetViews>
    <sheetView view="pageBreakPreview" topLeftCell="A4" zoomScale="110" zoomScaleNormal="100" zoomScaleSheetLayoutView="110" workbookViewId="0">
      <selection activeCell="C16" sqref="C16:D16"/>
    </sheetView>
  </sheetViews>
  <sheetFormatPr baseColWidth="10" defaultRowHeight="13.5" x14ac:dyDescent="0.25"/>
  <cols>
    <col min="1" max="1" width="3.140625" style="84" customWidth="1"/>
    <col min="2" max="2" width="31.140625" style="84" bestFit="1" customWidth="1"/>
    <col min="3" max="3" width="27.7109375" style="84" customWidth="1"/>
    <col min="4" max="4" width="21.7109375" style="84" customWidth="1"/>
    <col min="5" max="5" width="3.5703125" style="84" customWidth="1"/>
    <col min="6" max="6" width="16.5703125" style="84" customWidth="1"/>
    <col min="7" max="7" width="3.140625" style="84" customWidth="1"/>
    <col min="8" max="8" width="18.140625" style="84" customWidth="1"/>
    <col min="9" max="9" width="12.7109375" style="84" bestFit="1" customWidth="1"/>
    <col min="10" max="16384" width="11.42578125" style="84"/>
  </cols>
  <sheetData>
    <row r="1" spans="1:5" s="93" customFormat="1" ht="20.25" customHeight="1" x14ac:dyDescent="0.25">
      <c r="A1" s="253" t="s">
        <v>0</v>
      </c>
      <c r="B1" s="254"/>
      <c r="C1" s="254"/>
      <c r="D1" s="254"/>
      <c r="E1" s="255"/>
    </row>
    <row r="2" spans="1:5" s="93" customFormat="1" ht="15.75" customHeight="1" x14ac:dyDescent="0.25">
      <c r="A2" s="172"/>
      <c r="B2" s="256" t="s">
        <v>1</v>
      </c>
      <c r="C2" s="256"/>
      <c r="D2" s="256"/>
      <c r="E2" s="95"/>
    </row>
    <row r="3" spans="1:5" s="93" customFormat="1" ht="15.75" customHeight="1" x14ac:dyDescent="0.25">
      <c r="A3" s="257" t="s">
        <v>27</v>
      </c>
      <c r="B3" s="256"/>
      <c r="C3" s="256"/>
      <c r="D3" s="256"/>
      <c r="E3" s="258"/>
    </row>
    <row r="4" spans="1:5" s="93" customFormat="1" ht="20.25" x14ac:dyDescent="0.3">
      <c r="A4" s="96"/>
      <c r="B4" s="256" t="s">
        <v>2</v>
      </c>
      <c r="C4" s="256"/>
      <c r="D4" s="256"/>
      <c r="E4" s="97"/>
    </row>
    <row r="5" spans="1:5" s="93" customFormat="1" ht="20.25" customHeight="1" x14ac:dyDescent="0.25">
      <c r="A5" s="257" t="s">
        <v>28</v>
      </c>
      <c r="B5" s="256"/>
      <c r="C5" s="256"/>
      <c r="D5" s="256"/>
      <c r="E5" s="258"/>
    </row>
    <row r="6" spans="1:5" s="93" customFormat="1" ht="96" customHeight="1" x14ac:dyDescent="0.25">
      <c r="A6" s="259" t="s">
        <v>29</v>
      </c>
      <c r="B6" s="260"/>
      <c r="C6" s="260"/>
      <c r="D6" s="260"/>
      <c r="E6" s="261"/>
    </row>
    <row r="7" spans="1:5" s="93" customFormat="1" ht="14.25" thickBot="1" x14ac:dyDescent="0.3">
      <c r="A7" s="98"/>
      <c r="B7" s="70"/>
      <c r="C7" s="70"/>
      <c r="D7" s="70"/>
      <c r="E7" s="75"/>
    </row>
    <row r="8" spans="1:5" s="93" customFormat="1" ht="25.5" customHeight="1" thickBot="1" x14ac:dyDescent="0.3">
      <c r="A8" s="98"/>
      <c r="B8" s="72" t="s">
        <v>3</v>
      </c>
      <c r="C8" s="247" t="s">
        <v>50</v>
      </c>
      <c r="D8" s="248"/>
      <c r="E8" s="75"/>
    </row>
    <row r="9" spans="1:5" s="93" customFormat="1" ht="14.25" thickBot="1" x14ac:dyDescent="0.3">
      <c r="A9" s="98"/>
      <c r="B9" s="72" t="s">
        <v>38</v>
      </c>
      <c r="C9" s="247">
        <v>12</v>
      </c>
      <c r="D9" s="248"/>
      <c r="E9" s="75"/>
    </row>
    <row r="10" spans="1:5" s="93" customFormat="1" ht="14.25" thickBot="1" x14ac:dyDescent="0.3">
      <c r="A10" s="98"/>
      <c r="B10" s="79" t="s">
        <v>6</v>
      </c>
      <c r="C10" s="247">
        <v>890327635</v>
      </c>
      <c r="D10" s="248"/>
      <c r="E10" s="75"/>
    </row>
    <row r="11" spans="1:5" s="93" customFormat="1" ht="26.25" customHeight="1" x14ac:dyDescent="0.25">
      <c r="A11" s="98"/>
      <c r="B11" s="130" t="s">
        <v>23</v>
      </c>
      <c r="C11" s="169" t="s">
        <v>24</v>
      </c>
      <c r="D11" s="170" t="s">
        <v>25</v>
      </c>
      <c r="E11" s="75"/>
    </row>
    <row r="12" spans="1:5" s="93" customFormat="1" x14ac:dyDescent="0.25">
      <c r="A12" s="98"/>
      <c r="B12" s="133"/>
      <c r="C12" s="135"/>
      <c r="D12" s="99"/>
      <c r="E12" s="75"/>
    </row>
    <row r="13" spans="1:5" s="93" customFormat="1" ht="25.5" x14ac:dyDescent="0.25">
      <c r="A13" s="98"/>
      <c r="B13" s="133">
        <v>23</v>
      </c>
      <c r="C13" s="135" t="s">
        <v>183</v>
      </c>
      <c r="D13" s="183">
        <v>9248996549</v>
      </c>
      <c r="E13" s="75"/>
    </row>
    <row r="14" spans="1:5" s="93" customFormat="1" x14ac:dyDescent="0.25">
      <c r="A14" s="98"/>
      <c r="B14" s="133" t="s">
        <v>188</v>
      </c>
      <c r="C14" s="135" t="s">
        <v>51</v>
      </c>
      <c r="D14" s="183">
        <f>2088772709+1925395082+2247433660+2525484722+271763129+1775038850+1498014201</f>
        <v>12331902353</v>
      </c>
      <c r="E14" s="75"/>
    </row>
    <row r="15" spans="1:5" s="93" customFormat="1" ht="14.25" thickBot="1" x14ac:dyDescent="0.3">
      <c r="A15" s="98"/>
      <c r="B15" s="133"/>
      <c r="C15" s="135"/>
      <c r="D15" s="99"/>
      <c r="E15" s="75"/>
    </row>
    <row r="16" spans="1:5" s="93" customFormat="1" ht="14.25" thickBot="1" x14ac:dyDescent="0.3">
      <c r="A16" s="98"/>
      <c r="B16" s="72" t="s">
        <v>30</v>
      </c>
      <c r="C16" s="249">
        <f>+SUM(D13:D15)</f>
        <v>21580898902</v>
      </c>
      <c r="D16" s="250"/>
      <c r="E16" s="75"/>
    </row>
    <row r="17" spans="1:6" s="93" customFormat="1" ht="14.25" thickBot="1" x14ac:dyDescent="0.3">
      <c r="A17" s="98"/>
      <c r="B17" s="72" t="s">
        <v>5</v>
      </c>
      <c r="C17" s="302">
        <f>+ROUND(C16/616000,0)</f>
        <v>35034</v>
      </c>
      <c r="D17" s="303"/>
      <c r="E17" s="75"/>
    </row>
    <row r="18" spans="1:6" s="93" customFormat="1" x14ac:dyDescent="0.25">
      <c r="A18" s="98"/>
      <c r="B18" s="70"/>
      <c r="C18" s="70"/>
      <c r="D18" s="99"/>
      <c r="E18" s="75"/>
    </row>
    <row r="19" spans="1:6" s="93" customFormat="1" ht="14.25" thickBot="1" x14ac:dyDescent="0.3">
      <c r="A19" s="98"/>
      <c r="B19" s="100" t="s">
        <v>19</v>
      </c>
      <c r="C19" s="76"/>
      <c r="D19" s="99"/>
      <c r="E19" s="75"/>
    </row>
    <row r="20" spans="1:6" s="93" customFormat="1" x14ac:dyDescent="0.25">
      <c r="A20" s="98"/>
      <c r="B20" s="77" t="s">
        <v>13</v>
      </c>
      <c r="C20" s="85">
        <f>+IF($C$17&gt;$B$51,$D$51,IF(AND($C$17&gt;=$B$50,$C$17&lt;=$C$50),$D$50,IF(AND($C$17&gt;=$B$48,$C$17&lt;=$C$49),$D$48,IF(AND($C$17&gt;=$B$46,$C$17&lt;=$C$47),$D$46,IF(AND($C$17&gt;$B$44,$C$17&lt;=$C$45),$D$44)))))</f>
        <v>1.2</v>
      </c>
      <c r="D20" s="99"/>
      <c r="E20" s="75"/>
    </row>
    <row r="21" spans="1:6" s="93" customFormat="1" ht="14.25" thickBot="1" x14ac:dyDescent="0.3">
      <c r="A21" s="98"/>
      <c r="B21" s="78" t="s">
        <v>14</v>
      </c>
      <c r="C21" s="86">
        <f>+IF($C$17&gt;$B$51,$F$51,IF(AND($C$17&gt;=$B$49,$C$17&lt;=$C$50),$F$49,IF(AND($C$17&gt;=$B$47,$C$17&lt;=$C$48),$F$47,IF(AND($C$17&gt;=$B$45,$C$17&lt;=$C$46),$F$45,IF(AND($C$17&gt;$B$44,$C$17&lt;=$C$44),$F$44)))))</f>
        <v>0.65</v>
      </c>
      <c r="D21" s="99"/>
      <c r="E21" s="75"/>
    </row>
    <row r="22" spans="1:6" s="93" customFormat="1" ht="14.25" thickBot="1" x14ac:dyDescent="0.3">
      <c r="A22" s="98"/>
      <c r="B22" s="101"/>
      <c r="C22" s="102"/>
      <c r="D22" s="103"/>
      <c r="E22" s="75"/>
    </row>
    <row r="23" spans="1:6" s="93" customFormat="1" x14ac:dyDescent="0.25">
      <c r="A23" s="98"/>
      <c r="B23" s="80" t="s">
        <v>7</v>
      </c>
      <c r="C23" s="127">
        <v>2517728934</v>
      </c>
      <c r="D23" s="104"/>
      <c r="E23" s="75"/>
    </row>
    <row r="24" spans="1:6" s="93" customFormat="1" x14ac:dyDescent="0.25">
      <c r="A24" s="98"/>
      <c r="B24" s="81" t="s">
        <v>8</v>
      </c>
      <c r="C24" s="129">
        <v>2808484267</v>
      </c>
      <c r="D24" s="105"/>
      <c r="E24" s="75"/>
    </row>
    <row r="25" spans="1:6" s="93" customFormat="1" ht="15" x14ac:dyDescent="0.25">
      <c r="A25" s="98"/>
      <c r="B25" s="81" t="s">
        <v>9</v>
      </c>
      <c r="C25" s="129">
        <v>1823626306</v>
      </c>
      <c r="D25" s="105"/>
      <c r="E25" s="75"/>
      <c r="F25" s="106"/>
    </row>
    <row r="26" spans="1:6" s="93" customFormat="1" ht="15.75" thickBot="1" x14ac:dyDescent="0.3">
      <c r="A26" s="98"/>
      <c r="B26" s="81" t="s">
        <v>10</v>
      </c>
      <c r="C26" s="129">
        <v>1823626306</v>
      </c>
      <c r="D26" s="105"/>
      <c r="E26" s="75"/>
      <c r="F26" s="106"/>
    </row>
    <row r="27" spans="1:6" s="93" customFormat="1" ht="14.25" thickBot="1" x14ac:dyDescent="0.3">
      <c r="A27" s="98"/>
      <c r="B27" s="241" t="s">
        <v>11</v>
      </c>
      <c r="C27" s="242"/>
      <c r="D27" s="243"/>
      <c r="E27" s="75"/>
    </row>
    <row r="28" spans="1:6" s="93" customFormat="1" ht="14.25" thickBot="1" x14ac:dyDescent="0.3">
      <c r="A28" s="98"/>
      <c r="B28" s="241" t="s">
        <v>12</v>
      </c>
      <c r="C28" s="242"/>
      <c r="D28" s="243"/>
      <c r="E28" s="75"/>
    </row>
    <row r="29" spans="1:6" s="93" customFormat="1" ht="16.5" x14ac:dyDescent="0.3">
      <c r="A29" s="98"/>
      <c r="B29" s="77" t="s">
        <v>13</v>
      </c>
      <c r="C29" s="126">
        <f>+IFERROR(C23/C25,"INDETERMINADO")</f>
        <v>1.3806167007551382</v>
      </c>
      <c r="D29" s="118" t="str">
        <f>+IF(C29&gt;=C20,"CUMPLE","NO CUMPLE")</f>
        <v>CUMPLE</v>
      </c>
      <c r="E29" s="75"/>
    </row>
    <row r="30" spans="1:6" s="93" customFormat="1" ht="17.25" thickBot="1" x14ac:dyDescent="0.35">
      <c r="A30" s="98"/>
      <c r="B30" s="78" t="s">
        <v>14</v>
      </c>
      <c r="C30" s="120">
        <f>+C26/C24</f>
        <v>0.64932758478579011</v>
      </c>
      <c r="D30" s="119" t="str">
        <f>+IF(C30&lt;=C21,"CUMPLE","NO CUMPLE")</f>
        <v>CUMPLE</v>
      </c>
      <c r="E30" s="75"/>
    </row>
    <row r="31" spans="1:6" s="110" customFormat="1" ht="14.25" thickBot="1" x14ac:dyDescent="0.3">
      <c r="A31" s="98"/>
      <c r="B31" s="108"/>
      <c r="C31" s="100"/>
      <c r="D31" s="76"/>
      <c r="E31" s="109"/>
    </row>
    <row r="32" spans="1:6" s="93" customFormat="1" ht="41.25" customHeight="1" thickBot="1" x14ac:dyDescent="0.3">
      <c r="A32" s="98"/>
      <c r="B32" s="72" t="s">
        <v>15</v>
      </c>
      <c r="C32" s="244" t="s">
        <v>43</v>
      </c>
      <c r="D32" s="245"/>
      <c r="E32" s="75"/>
    </row>
    <row r="33" spans="1:9" s="70" customFormat="1" ht="14.25" thickBot="1" x14ac:dyDescent="0.3">
      <c r="A33" s="98"/>
      <c r="B33" s="83"/>
      <c r="C33" s="83"/>
      <c r="D33" s="83"/>
      <c r="E33" s="75"/>
    </row>
    <row r="34" spans="1:9" s="70" customFormat="1" ht="45.75" customHeight="1" thickBot="1" x14ac:dyDescent="0.3">
      <c r="A34" s="98"/>
      <c r="B34" s="72" t="s">
        <v>26</v>
      </c>
      <c r="C34" s="244"/>
      <c r="D34" s="245"/>
      <c r="E34" s="75"/>
    </row>
    <row r="35" spans="1:9" s="70" customFormat="1" ht="14.25" thickBot="1" x14ac:dyDescent="0.3">
      <c r="A35" s="111"/>
      <c r="B35" s="112"/>
      <c r="C35" s="112"/>
      <c r="D35" s="112"/>
      <c r="E35" s="71"/>
    </row>
    <row r="36" spans="1:9" s="70" customFormat="1" x14ac:dyDescent="0.25">
      <c r="B36" s="83"/>
      <c r="C36" s="83"/>
      <c r="D36" s="83"/>
    </row>
    <row r="37" spans="1:9" s="70" customFormat="1" x14ac:dyDescent="0.25">
      <c r="B37" s="83"/>
      <c r="C37" s="83"/>
      <c r="D37" s="83"/>
    </row>
    <row r="38" spans="1:9" s="70" customFormat="1" x14ac:dyDescent="0.25">
      <c r="B38" s="83"/>
      <c r="C38" s="83"/>
      <c r="D38" s="83"/>
    </row>
    <row r="39" spans="1:9" s="70" customFormat="1" x14ac:dyDescent="0.25">
      <c r="B39" s="83"/>
      <c r="C39" s="83"/>
      <c r="D39" s="83"/>
    </row>
    <row r="41" spans="1:9" x14ac:dyDescent="0.25">
      <c r="B41" s="100"/>
      <c r="C41" s="70"/>
    </row>
    <row r="42" spans="1:9" x14ac:dyDescent="0.25">
      <c r="B42" s="88">
        <v>616000</v>
      </c>
      <c r="C42" s="87"/>
      <c r="D42" s="87"/>
      <c r="E42" s="87"/>
      <c r="F42" s="87"/>
      <c r="G42" s="87"/>
      <c r="H42" s="87"/>
      <c r="I42" s="87"/>
    </row>
    <row r="43" spans="1:9" ht="25.5" x14ac:dyDescent="0.25">
      <c r="B43" s="89" t="s">
        <v>21</v>
      </c>
      <c r="C43" s="89" t="s">
        <v>20</v>
      </c>
      <c r="D43" s="175" t="s">
        <v>16</v>
      </c>
      <c r="E43" s="87"/>
      <c r="F43" s="175" t="s">
        <v>17</v>
      </c>
      <c r="G43" s="87"/>
      <c r="H43" s="246"/>
      <c r="I43" s="246"/>
    </row>
    <row r="44" spans="1:9" x14ac:dyDescent="0.25">
      <c r="B44" s="90">
        <v>0</v>
      </c>
      <c r="C44" s="90">
        <v>250</v>
      </c>
      <c r="D44" s="174">
        <v>0.8</v>
      </c>
      <c r="E44" s="87"/>
      <c r="F44" s="173">
        <v>0.8</v>
      </c>
      <c r="G44" s="87"/>
      <c r="H44" s="116"/>
      <c r="I44" s="117">
        <f t="shared" ref="I44:I51" si="0">+C44*$B$42</f>
        <v>154000000</v>
      </c>
    </row>
    <row r="45" spans="1:9" x14ac:dyDescent="0.25">
      <c r="B45" s="90">
        <v>251</v>
      </c>
      <c r="C45" s="90">
        <v>1000</v>
      </c>
      <c r="D45" s="174">
        <v>0.8</v>
      </c>
      <c r="E45" s="87"/>
      <c r="F45" s="173">
        <v>0.75</v>
      </c>
      <c r="G45" s="87"/>
      <c r="H45" s="117">
        <f t="shared" ref="H45:H51" si="1">+B45*$B$42</f>
        <v>154616000</v>
      </c>
      <c r="I45" s="117">
        <f t="shared" si="0"/>
        <v>616000000</v>
      </c>
    </row>
    <row r="46" spans="1:9" x14ac:dyDescent="0.25">
      <c r="B46" s="90">
        <v>1001</v>
      </c>
      <c r="C46" s="90">
        <v>1500</v>
      </c>
      <c r="D46" s="174">
        <v>0.9</v>
      </c>
      <c r="E46" s="87"/>
      <c r="F46" s="173">
        <v>0.75</v>
      </c>
      <c r="G46" s="87"/>
      <c r="H46" s="117">
        <f t="shared" si="1"/>
        <v>616616000</v>
      </c>
      <c r="I46" s="117">
        <f t="shared" si="0"/>
        <v>924000000</v>
      </c>
    </row>
    <row r="47" spans="1:9" x14ac:dyDescent="0.25">
      <c r="B47" s="90">
        <v>1501</v>
      </c>
      <c r="C47" s="90">
        <v>2500</v>
      </c>
      <c r="D47" s="174">
        <v>0.9</v>
      </c>
      <c r="E47" s="87"/>
      <c r="F47" s="173">
        <v>0.7</v>
      </c>
      <c r="G47" s="87"/>
      <c r="H47" s="117">
        <f t="shared" si="1"/>
        <v>924616000</v>
      </c>
      <c r="I47" s="117">
        <f t="shared" si="0"/>
        <v>1540000000</v>
      </c>
    </row>
    <row r="48" spans="1:9" x14ac:dyDescent="0.25">
      <c r="B48" s="90">
        <v>2501</v>
      </c>
      <c r="C48" s="90">
        <v>3000</v>
      </c>
      <c r="D48" s="174">
        <v>1</v>
      </c>
      <c r="E48" s="87"/>
      <c r="F48" s="173">
        <v>0.7</v>
      </c>
      <c r="G48" s="87"/>
      <c r="H48" s="117">
        <f t="shared" si="1"/>
        <v>1540616000</v>
      </c>
      <c r="I48" s="117">
        <f t="shared" si="0"/>
        <v>1848000000</v>
      </c>
    </row>
    <row r="49" spans="1:9" x14ac:dyDescent="0.25">
      <c r="B49" s="90">
        <v>3001</v>
      </c>
      <c r="C49" s="90">
        <v>3500</v>
      </c>
      <c r="D49" s="174">
        <v>1</v>
      </c>
      <c r="E49" s="87"/>
      <c r="F49" s="173">
        <v>0.68</v>
      </c>
      <c r="G49" s="87"/>
      <c r="H49" s="117">
        <f t="shared" si="1"/>
        <v>1848616000</v>
      </c>
      <c r="I49" s="117">
        <f t="shared" si="0"/>
        <v>2156000000</v>
      </c>
    </row>
    <row r="50" spans="1:9" x14ac:dyDescent="0.25">
      <c r="B50" s="90">
        <v>3501</v>
      </c>
      <c r="C50" s="90">
        <v>4500</v>
      </c>
      <c r="D50" s="174">
        <v>1.1000000000000001</v>
      </c>
      <c r="E50" s="87"/>
      <c r="F50" s="173">
        <v>0.68</v>
      </c>
      <c r="G50" s="87"/>
      <c r="H50" s="117">
        <f t="shared" si="1"/>
        <v>2156616000</v>
      </c>
      <c r="I50" s="117">
        <f t="shared" si="0"/>
        <v>2772000000</v>
      </c>
    </row>
    <row r="51" spans="1:9" x14ac:dyDescent="0.25">
      <c r="A51" s="84" t="s">
        <v>22</v>
      </c>
      <c r="B51" s="90">
        <v>4501</v>
      </c>
      <c r="C51" s="90"/>
      <c r="D51" s="174">
        <v>1.2</v>
      </c>
      <c r="E51" s="87"/>
      <c r="F51" s="173">
        <v>0.65</v>
      </c>
      <c r="G51" s="87"/>
      <c r="H51" s="117">
        <f t="shared" si="1"/>
        <v>2772616000</v>
      </c>
      <c r="I51" s="117">
        <f t="shared" si="0"/>
        <v>0</v>
      </c>
    </row>
  </sheetData>
  <mergeCells count="16">
    <mergeCell ref="B28:D28"/>
    <mergeCell ref="C32:D32"/>
    <mergeCell ref="C34:D34"/>
    <mergeCell ref="H43:I43"/>
    <mergeCell ref="C8:D8"/>
    <mergeCell ref="C9:D9"/>
    <mergeCell ref="C10:D10"/>
    <mergeCell ref="C16:D16"/>
    <mergeCell ref="C17:D17"/>
    <mergeCell ref="B27:D27"/>
    <mergeCell ref="A6:E6"/>
    <mergeCell ref="A1:E1"/>
    <mergeCell ref="B2:D2"/>
    <mergeCell ref="A3:E3"/>
    <mergeCell ref="B4:D4"/>
    <mergeCell ref="A5:E5"/>
  </mergeCells>
  <pageMargins left="0.7" right="0.7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7"/>
  <sheetViews>
    <sheetView view="pageBreakPreview" topLeftCell="A7" zoomScale="110" zoomScaleNormal="100" zoomScaleSheetLayoutView="110" workbookViewId="0">
      <selection activeCell="E23" sqref="E23"/>
    </sheetView>
  </sheetViews>
  <sheetFormatPr baseColWidth="10" defaultRowHeight="13.5" x14ac:dyDescent="0.25"/>
  <cols>
    <col min="1" max="1" width="3.140625" style="84" customWidth="1"/>
    <col min="2" max="2" width="36.28515625" style="84" customWidth="1"/>
    <col min="3" max="3" width="27.7109375" style="84" customWidth="1"/>
    <col min="4" max="4" width="21.7109375" style="84" customWidth="1"/>
    <col min="5" max="5" width="3.5703125" style="84" customWidth="1"/>
    <col min="6" max="6" width="16.5703125" style="84" customWidth="1"/>
    <col min="7" max="7" width="3.140625" style="84" customWidth="1"/>
    <col min="8" max="8" width="18.140625" style="84" customWidth="1"/>
    <col min="9" max="9" width="12.7109375" style="84" bestFit="1" customWidth="1"/>
    <col min="10" max="16384" width="11.42578125" style="84"/>
  </cols>
  <sheetData>
    <row r="1" spans="1:5" s="93" customFormat="1" ht="20.25" customHeight="1" x14ac:dyDescent="0.25">
      <c r="A1" s="253" t="s">
        <v>0</v>
      </c>
      <c r="B1" s="254"/>
      <c r="C1" s="254"/>
      <c r="D1" s="254"/>
      <c r="E1" s="255"/>
    </row>
    <row r="2" spans="1:5" s="93" customFormat="1" ht="15.75" customHeight="1" x14ac:dyDescent="0.25">
      <c r="A2" s="165"/>
      <c r="B2" s="256" t="s">
        <v>1</v>
      </c>
      <c r="C2" s="256"/>
      <c r="D2" s="256"/>
      <c r="E2" s="95"/>
    </row>
    <row r="3" spans="1:5" s="93" customFormat="1" ht="15.75" customHeight="1" x14ac:dyDescent="0.25">
      <c r="A3" s="257" t="s">
        <v>27</v>
      </c>
      <c r="B3" s="256"/>
      <c r="C3" s="256"/>
      <c r="D3" s="256"/>
      <c r="E3" s="258"/>
    </row>
    <row r="4" spans="1:5" s="93" customFormat="1" ht="20.25" x14ac:dyDescent="0.3">
      <c r="A4" s="96"/>
      <c r="B4" s="256" t="s">
        <v>2</v>
      </c>
      <c r="C4" s="256"/>
      <c r="D4" s="256"/>
      <c r="E4" s="97"/>
    </row>
    <row r="5" spans="1:5" s="93" customFormat="1" ht="20.25" customHeight="1" x14ac:dyDescent="0.25">
      <c r="A5" s="257" t="s">
        <v>28</v>
      </c>
      <c r="B5" s="256"/>
      <c r="C5" s="256"/>
      <c r="D5" s="256"/>
      <c r="E5" s="258"/>
    </row>
    <row r="6" spans="1:5" s="93" customFormat="1" ht="96" customHeight="1" x14ac:dyDescent="0.25">
      <c r="A6" s="259" t="s">
        <v>29</v>
      </c>
      <c r="B6" s="260"/>
      <c r="C6" s="260"/>
      <c r="D6" s="260"/>
      <c r="E6" s="261"/>
    </row>
    <row r="7" spans="1:5" s="93" customFormat="1" ht="14.25" thickBot="1" x14ac:dyDescent="0.3">
      <c r="A7" s="98"/>
      <c r="B7" s="70"/>
      <c r="C7" s="70"/>
      <c r="D7" s="70"/>
      <c r="E7" s="75"/>
    </row>
    <row r="8" spans="1:5" s="93" customFormat="1" ht="14.25" thickBot="1" x14ac:dyDescent="0.3">
      <c r="A8" s="98"/>
      <c r="B8" s="72" t="s">
        <v>3</v>
      </c>
      <c r="C8" s="247" t="s">
        <v>41</v>
      </c>
      <c r="D8" s="248"/>
      <c r="E8" s="75"/>
    </row>
    <row r="9" spans="1:5" s="93" customFormat="1" ht="14.25" thickBot="1" x14ac:dyDescent="0.3">
      <c r="A9" s="98"/>
      <c r="B9" s="72" t="s">
        <v>38</v>
      </c>
      <c r="C9" s="247">
        <v>14</v>
      </c>
      <c r="D9" s="248"/>
      <c r="E9" s="75"/>
    </row>
    <row r="10" spans="1:5" s="93" customFormat="1" ht="14.25" thickBot="1" x14ac:dyDescent="0.3">
      <c r="A10" s="98"/>
      <c r="B10" s="79" t="s">
        <v>6</v>
      </c>
      <c r="C10" s="247">
        <v>900071005</v>
      </c>
      <c r="D10" s="248"/>
      <c r="E10" s="75"/>
    </row>
    <row r="11" spans="1:5" s="93" customFormat="1" ht="26.25" customHeight="1" x14ac:dyDescent="0.25">
      <c r="A11" s="98"/>
      <c r="B11" s="130" t="s">
        <v>23</v>
      </c>
      <c r="C11" s="163" t="s">
        <v>24</v>
      </c>
      <c r="D11" s="164" t="s">
        <v>25</v>
      </c>
      <c r="E11" s="75"/>
    </row>
    <row r="12" spans="1:5" s="93" customFormat="1" x14ac:dyDescent="0.25">
      <c r="A12" s="98"/>
      <c r="B12" s="133">
        <v>19</v>
      </c>
      <c r="C12" s="135" t="s">
        <v>189</v>
      </c>
      <c r="D12" s="183">
        <v>3268159765</v>
      </c>
      <c r="E12" s="75"/>
    </row>
    <row r="13" spans="1:5" s="93" customFormat="1" x14ac:dyDescent="0.25">
      <c r="A13" s="98"/>
      <c r="B13" s="133">
        <v>28</v>
      </c>
      <c r="C13" s="135" t="s">
        <v>42</v>
      </c>
      <c r="D13" s="134">
        <v>2088281000</v>
      </c>
      <c r="E13" s="75"/>
    </row>
    <row r="14" spans="1:5" s="93" customFormat="1" x14ac:dyDescent="0.25">
      <c r="A14" s="98"/>
      <c r="B14" s="133">
        <v>13</v>
      </c>
      <c r="C14" s="135" t="s">
        <v>42</v>
      </c>
      <c r="D14" s="134">
        <v>1869011495</v>
      </c>
      <c r="E14" s="75"/>
    </row>
    <row r="15" spans="1:5" s="93" customFormat="1" x14ac:dyDescent="0.25">
      <c r="A15" s="98"/>
      <c r="B15" s="133">
        <v>1</v>
      </c>
      <c r="C15" s="135" t="s">
        <v>42</v>
      </c>
      <c r="D15" s="134">
        <v>3195069930</v>
      </c>
      <c r="E15" s="75"/>
    </row>
    <row r="16" spans="1:5" s="93" customFormat="1" x14ac:dyDescent="0.25">
      <c r="A16" s="98"/>
      <c r="B16" s="133">
        <v>15</v>
      </c>
      <c r="C16" s="135" t="s">
        <v>42</v>
      </c>
      <c r="D16" s="134">
        <v>1973425545</v>
      </c>
      <c r="E16" s="75"/>
    </row>
    <row r="17" spans="1:6" s="93" customFormat="1" x14ac:dyDescent="0.25">
      <c r="A17" s="98"/>
      <c r="B17" s="133">
        <v>34</v>
      </c>
      <c r="C17" s="135" t="s">
        <v>42</v>
      </c>
      <c r="D17" s="134">
        <v>1344852964</v>
      </c>
      <c r="E17" s="75"/>
    </row>
    <row r="18" spans="1:6" s="93" customFormat="1" x14ac:dyDescent="0.25">
      <c r="A18" s="98"/>
      <c r="B18" s="133">
        <v>14</v>
      </c>
      <c r="C18" s="135" t="s">
        <v>42</v>
      </c>
      <c r="D18" s="134">
        <v>835312400</v>
      </c>
      <c r="E18" s="75"/>
    </row>
    <row r="19" spans="1:6" s="93" customFormat="1" x14ac:dyDescent="0.25">
      <c r="A19" s="98"/>
      <c r="B19" s="133">
        <v>8</v>
      </c>
      <c r="C19" s="135" t="s">
        <v>42</v>
      </c>
      <c r="D19" s="134">
        <v>2409876274</v>
      </c>
      <c r="E19" s="75"/>
    </row>
    <row r="20" spans="1:6" s="93" customFormat="1" x14ac:dyDescent="0.25">
      <c r="A20" s="98"/>
      <c r="B20" s="133">
        <v>2</v>
      </c>
      <c r="C20" s="135" t="s">
        <v>42</v>
      </c>
      <c r="D20" s="134">
        <v>2088281000</v>
      </c>
      <c r="E20" s="75"/>
    </row>
    <row r="21" spans="1:6" s="93" customFormat="1" ht="14.25" thickBot="1" x14ac:dyDescent="0.3">
      <c r="A21" s="98"/>
      <c r="B21" s="74"/>
      <c r="C21" s="135"/>
      <c r="D21" s="99"/>
      <c r="E21" s="75"/>
    </row>
    <row r="22" spans="1:6" s="93" customFormat="1" ht="14.25" thickBot="1" x14ac:dyDescent="0.3">
      <c r="A22" s="98"/>
      <c r="B22" s="72" t="s">
        <v>30</v>
      </c>
      <c r="C22" s="249">
        <f>+SUM(D12:D20)</f>
        <v>19072270373</v>
      </c>
      <c r="D22" s="250"/>
      <c r="E22" s="75"/>
    </row>
    <row r="23" spans="1:6" s="93" customFormat="1" ht="14.25" thickBot="1" x14ac:dyDescent="0.3">
      <c r="A23" s="98"/>
      <c r="B23" s="72" t="s">
        <v>5</v>
      </c>
      <c r="C23" s="302">
        <f>+ROUND(C22/616000,0)</f>
        <v>30961</v>
      </c>
      <c r="D23" s="303"/>
      <c r="E23" s="75"/>
    </row>
    <row r="24" spans="1:6" s="93" customFormat="1" x14ac:dyDescent="0.25">
      <c r="A24" s="98"/>
      <c r="B24" s="70"/>
      <c r="C24" s="70"/>
      <c r="D24" s="99"/>
      <c r="E24" s="75"/>
    </row>
    <row r="25" spans="1:6" s="93" customFormat="1" ht="14.25" thickBot="1" x14ac:dyDescent="0.3">
      <c r="A25" s="98"/>
      <c r="B25" s="100" t="s">
        <v>19</v>
      </c>
      <c r="C25" s="76"/>
      <c r="D25" s="99"/>
      <c r="E25" s="75"/>
    </row>
    <row r="26" spans="1:6" s="93" customFormat="1" x14ac:dyDescent="0.25">
      <c r="A26" s="98"/>
      <c r="B26" s="77" t="s">
        <v>13</v>
      </c>
      <c r="C26" s="85">
        <f>+IF($C$23&gt;$B$57,$D$57,IF(AND($C$23&gt;=$B$56,$C$23&lt;=$C$56),$D$56,IF(AND($C$23&gt;=$B$54,$C$23&lt;=$C$55),$D$54,IF(AND($C$23&gt;=$B$52,$C$23&lt;=$C$53),$D$52,IF(AND($C$23&gt;$B$50,$C$23&lt;=$C$51),$D$50)))))</f>
        <v>1.2</v>
      </c>
      <c r="D26" s="99"/>
      <c r="E26" s="75"/>
    </row>
    <row r="27" spans="1:6" s="93" customFormat="1" ht="14.25" thickBot="1" x14ac:dyDescent="0.3">
      <c r="A27" s="98"/>
      <c r="B27" s="78" t="s">
        <v>14</v>
      </c>
      <c r="C27" s="86">
        <f>+IF($C$23&gt;$B$57,$F$57,IF(AND($C$23&gt;=$B$55,$C$23&lt;=$C$56),$F$55,IF(AND($C$23&gt;=$B$53,$C$23&lt;=$C$54),$F$53,IF(AND($C$23&gt;=$B$51,$C$23&lt;=$C$52),$F$51,IF(AND($C$23&gt;$B$50,$C$23&lt;=$C$50),$F$50)))))</f>
        <v>0.65</v>
      </c>
      <c r="D27" s="99"/>
      <c r="E27" s="75"/>
    </row>
    <row r="28" spans="1:6" s="93" customFormat="1" ht="14.25" thickBot="1" x14ac:dyDescent="0.3">
      <c r="A28" s="98"/>
      <c r="B28" s="101"/>
      <c r="C28" s="102"/>
      <c r="D28" s="103"/>
      <c r="E28" s="75"/>
    </row>
    <row r="29" spans="1:6" s="93" customFormat="1" x14ac:dyDescent="0.25">
      <c r="A29" s="98"/>
      <c r="B29" s="80" t="s">
        <v>7</v>
      </c>
      <c r="C29" s="127">
        <v>1896905221.7</v>
      </c>
      <c r="D29" s="104"/>
      <c r="E29" s="75"/>
    </row>
    <row r="30" spans="1:6" s="93" customFormat="1" x14ac:dyDescent="0.25">
      <c r="A30" s="98"/>
      <c r="B30" s="81" t="s">
        <v>8</v>
      </c>
      <c r="C30" s="129">
        <v>2881322648.52</v>
      </c>
      <c r="D30" s="105"/>
      <c r="E30" s="75"/>
    </row>
    <row r="31" spans="1:6" s="93" customFormat="1" ht="15" x14ac:dyDescent="0.25">
      <c r="A31" s="98"/>
      <c r="B31" s="81" t="s">
        <v>9</v>
      </c>
      <c r="C31" s="129">
        <v>1006267645.7</v>
      </c>
      <c r="D31" s="105"/>
      <c r="E31" s="75"/>
      <c r="F31" s="106"/>
    </row>
    <row r="32" spans="1:6" s="93" customFormat="1" ht="15.75" thickBot="1" x14ac:dyDescent="0.3">
      <c r="A32" s="98"/>
      <c r="B32" s="82" t="s">
        <v>10</v>
      </c>
      <c r="C32" s="128">
        <v>1773634698</v>
      </c>
      <c r="D32" s="107"/>
      <c r="E32" s="75"/>
      <c r="F32" s="106"/>
    </row>
    <row r="33" spans="1:9" s="93" customFormat="1" ht="14.25" thickBot="1" x14ac:dyDescent="0.3">
      <c r="A33" s="98"/>
      <c r="B33" s="286" t="s">
        <v>11</v>
      </c>
      <c r="C33" s="287"/>
      <c r="D33" s="288"/>
      <c r="E33" s="75"/>
    </row>
    <row r="34" spans="1:9" s="93" customFormat="1" ht="14.25" thickBot="1" x14ac:dyDescent="0.3">
      <c r="A34" s="98"/>
      <c r="B34" s="241" t="s">
        <v>12</v>
      </c>
      <c r="C34" s="242"/>
      <c r="D34" s="243"/>
      <c r="E34" s="75"/>
    </row>
    <row r="35" spans="1:9" s="93" customFormat="1" ht="16.5" x14ac:dyDescent="0.3">
      <c r="A35" s="98"/>
      <c r="B35" s="77" t="s">
        <v>13</v>
      </c>
      <c r="C35" s="126">
        <f>+IFERROR(C29/C31,"INDETERMINADO")</f>
        <v>1.8850901445613277</v>
      </c>
      <c r="D35" s="118" t="str">
        <f>+IF(C35&gt;=C26,"CUMPLE","NO CUMPLE")</f>
        <v>CUMPLE</v>
      </c>
      <c r="E35" s="75"/>
    </row>
    <row r="36" spans="1:9" s="93" customFormat="1" ht="17.25" thickBot="1" x14ac:dyDescent="0.35">
      <c r="A36" s="98"/>
      <c r="B36" s="78" t="s">
        <v>14</v>
      </c>
      <c r="C36" s="120">
        <f>+C32/C30</f>
        <v>0.61556268226712918</v>
      </c>
      <c r="D36" s="119" t="str">
        <f>+IF(C36&lt;=C27,"CUMPLE","NO CUMPLE")</f>
        <v>CUMPLE</v>
      </c>
      <c r="E36" s="75"/>
    </row>
    <row r="37" spans="1:9" s="110" customFormat="1" ht="14.25" thickBot="1" x14ac:dyDescent="0.3">
      <c r="A37" s="98"/>
      <c r="B37" s="108"/>
      <c r="C37" s="100"/>
      <c r="D37" s="76"/>
      <c r="E37" s="109"/>
    </row>
    <row r="38" spans="1:9" s="93" customFormat="1" ht="41.25" customHeight="1" thickBot="1" x14ac:dyDescent="0.3">
      <c r="A38" s="98"/>
      <c r="B38" s="72" t="s">
        <v>15</v>
      </c>
      <c r="C38" s="244" t="s">
        <v>43</v>
      </c>
      <c r="D38" s="245"/>
      <c r="E38" s="75"/>
    </row>
    <row r="39" spans="1:9" s="70" customFormat="1" ht="14.25" thickBot="1" x14ac:dyDescent="0.3">
      <c r="A39" s="98"/>
      <c r="B39" s="83"/>
      <c r="C39" s="83"/>
      <c r="D39" s="83"/>
      <c r="E39" s="75"/>
    </row>
    <row r="40" spans="1:9" s="70" customFormat="1" ht="45.75" customHeight="1" thickBot="1" x14ac:dyDescent="0.3">
      <c r="A40" s="98"/>
      <c r="B40" s="72" t="s">
        <v>26</v>
      </c>
      <c r="C40" s="244"/>
      <c r="D40" s="245"/>
      <c r="E40" s="75"/>
    </row>
    <row r="41" spans="1:9" s="70" customFormat="1" ht="14.25" thickBot="1" x14ac:dyDescent="0.3">
      <c r="A41" s="111"/>
      <c r="B41" s="112"/>
      <c r="C41" s="112"/>
      <c r="D41" s="112"/>
      <c r="E41" s="71"/>
    </row>
    <row r="42" spans="1:9" s="70" customFormat="1" x14ac:dyDescent="0.25">
      <c r="B42" s="83"/>
      <c r="C42" s="83"/>
      <c r="D42" s="83"/>
    </row>
    <row r="43" spans="1:9" s="70" customFormat="1" x14ac:dyDescent="0.25">
      <c r="B43" s="83"/>
      <c r="C43" s="83"/>
      <c r="D43" s="83"/>
    </row>
    <row r="44" spans="1:9" s="70" customFormat="1" x14ac:dyDescent="0.25">
      <c r="B44" s="83"/>
      <c r="C44" s="83"/>
      <c r="D44" s="83"/>
    </row>
    <row r="45" spans="1:9" s="70" customFormat="1" x14ac:dyDescent="0.25">
      <c r="B45" s="83"/>
      <c r="C45" s="83"/>
      <c r="D45" s="83"/>
    </row>
    <row r="47" spans="1:9" x14ac:dyDescent="0.25">
      <c r="B47" s="100"/>
      <c r="C47" s="70"/>
    </row>
    <row r="48" spans="1:9" x14ac:dyDescent="0.25">
      <c r="B48" s="88">
        <v>616000</v>
      </c>
      <c r="C48" s="87"/>
      <c r="D48" s="87"/>
      <c r="E48" s="87"/>
      <c r="F48" s="87"/>
      <c r="G48" s="87"/>
      <c r="H48" s="87"/>
      <c r="I48" s="87"/>
    </row>
    <row r="49" spans="1:9" ht="25.5" x14ac:dyDescent="0.25">
      <c r="B49" s="89" t="s">
        <v>21</v>
      </c>
      <c r="C49" s="89" t="s">
        <v>20</v>
      </c>
      <c r="D49" s="166" t="s">
        <v>16</v>
      </c>
      <c r="E49" s="87"/>
      <c r="F49" s="166" t="s">
        <v>17</v>
      </c>
      <c r="G49" s="87"/>
      <c r="H49" s="246"/>
      <c r="I49" s="246"/>
    </row>
    <row r="50" spans="1:9" x14ac:dyDescent="0.25">
      <c r="B50" s="90">
        <v>0</v>
      </c>
      <c r="C50" s="90">
        <v>250</v>
      </c>
      <c r="D50" s="167">
        <v>0.8</v>
      </c>
      <c r="E50" s="87"/>
      <c r="F50" s="168">
        <v>0.8</v>
      </c>
      <c r="G50" s="87"/>
      <c r="H50" s="116"/>
      <c r="I50" s="117">
        <f t="shared" ref="I50:I57" si="0">+C50*$B$48</f>
        <v>154000000</v>
      </c>
    </row>
    <row r="51" spans="1:9" x14ac:dyDescent="0.25">
      <c r="B51" s="90">
        <v>251</v>
      </c>
      <c r="C51" s="90">
        <v>1000</v>
      </c>
      <c r="D51" s="167">
        <v>0.8</v>
      </c>
      <c r="E51" s="87"/>
      <c r="F51" s="168">
        <v>0.75</v>
      </c>
      <c r="G51" s="87"/>
      <c r="H51" s="117">
        <f t="shared" ref="H51:H57" si="1">+B51*$B$48</f>
        <v>154616000</v>
      </c>
      <c r="I51" s="117">
        <f t="shared" si="0"/>
        <v>616000000</v>
      </c>
    </row>
    <row r="52" spans="1:9" x14ac:dyDescent="0.25">
      <c r="B52" s="90">
        <v>1001</v>
      </c>
      <c r="C52" s="90">
        <v>1500</v>
      </c>
      <c r="D52" s="167">
        <v>0.9</v>
      </c>
      <c r="E52" s="87"/>
      <c r="F52" s="168">
        <v>0.75</v>
      </c>
      <c r="G52" s="87"/>
      <c r="H52" s="117">
        <f t="shared" si="1"/>
        <v>616616000</v>
      </c>
      <c r="I52" s="117">
        <f t="shared" si="0"/>
        <v>924000000</v>
      </c>
    </row>
    <row r="53" spans="1:9" x14ac:dyDescent="0.25">
      <c r="B53" s="90">
        <v>1501</v>
      </c>
      <c r="C53" s="90">
        <v>2500</v>
      </c>
      <c r="D53" s="167">
        <v>0.9</v>
      </c>
      <c r="E53" s="87"/>
      <c r="F53" s="168">
        <v>0.7</v>
      </c>
      <c r="G53" s="87"/>
      <c r="H53" s="117">
        <f t="shared" si="1"/>
        <v>924616000</v>
      </c>
      <c r="I53" s="117">
        <f t="shared" si="0"/>
        <v>1540000000</v>
      </c>
    </row>
    <row r="54" spans="1:9" x14ac:dyDescent="0.25">
      <c r="B54" s="90">
        <v>2501</v>
      </c>
      <c r="C54" s="90">
        <v>3000</v>
      </c>
      <c r="D54" s="167">
        <v>1</v>
      </c>
      <c r="E54" s="87"/>
      <c r="F54" s="168">
        <v>0.7</v>
      </c>
      <c r="G54" s="87"/>
      <c r="H54" s="117">
        <f t="shared" si="1"/>
        <v>1540616000</v>
      </c>
      <c r="I54" s="117">
        <f t="shared" si="0"/>
        <v>1848000000</v>
      </c>
    </row>
    <row r="55" spans="1:9" x14ac:dyDescent="0.25">
      <c r="B55" s="90">
        <v>3001</v>
      </c>
      <c r="C55" s="90">
        <v>3500</v>
      </c>
      <c r="D55" s="167">
        <v>1</v>
      </c>
      <c r="E55" s="87"/>
      <c r="F55" s="168">
        <v>0.68</v>
      </c>
      <c r="G55" s="87"/>
      <c r="H55" s="117">
        <f t="shared" si="1"/>
        <v>1848616000</v>
      </c>
      <c r="I55" s="117">
        <f t="shared" si="0"/>
        <v>2156000000</v>
      </c>
    </row>
    <row r="56" spans="1:9" x14ac:dyDescent="0.25">
      <c r="B56" s="90">
        <v>3501</v>
      </c>
      <c r="C56" s="90">
        <v>4500</v>
      </c>
      <c r="D56" s="167">
        <v>1.1000000000000001</v>
      </c>
      <c r="E56" s="87"/>
      <c r="F56" s="168">
        <v>0.68</v>
      </c>
      <c r="G56" s="87"/>
      <c r="H56" s="117">
        <f t="shared" si="1"/>
        <v>2156616000</v>
      </c>
      <c r="I56" s="117">
        <f t="shared" si="0"/>
        <v>2772000000</v>
      </c>
    </row>
    <row r="57" spans="1:9" x14ac:dyDescent="0.25">
      <c r="A57" s="84" t="s">
        <v>22</v>
      </c>
      <c r="B57" s="90">
        <v>4501</v>
      </c>
      <c r="C57" s="90"/>
      <c r="D57" s="167">
        <v>1.2</v>
      </c>
      <c r="E57" s="87"/>
      <c r="F57" s="168">
        <v>0.65</v>
      </c>
      <c r="G57" s="87"/>
      <c r="H57" s="117">
        <f t="shared" si="1"/>
        <v>2772616000</v>
      </c>
      <c r="I57" s="117">
        <f t="shared" si="0"/>
        <v>0</v>
      </c>
    </row>
  </sheetData>
  <mergeCells count="16">
    <mergeCell ref="A6:E6"/>
    <mergeCell ref="A1:E1"/>
    <mergeCell ref="B2:D2"/>
    <mergeCell ref="A3:E3"/>
    <mergeCell ref="B4:D4"/>
    <mergeCell ref="A5:E5"/>
    <mergeCell ref="B34:D34"/>
    <mergeCell ref="C38:D38"/>
    <mergeCell ref="C40:D40"/>
    <mergeCell ref="H49:I49"/>
    <mergeCell ref="C8:D8"/>
    <mergeCell ref="C9:D9"/>
    <mergeCell ref="C10:D10"/>
    <mergeCell ref="C22:D22"/>
    <mergeCell ref="C23:D23"/>
    <mergeCell ref="B33:D33"/>
  </mergeCells>
  <pageMargins left="0.7" right="0.7" top="0.75" bottom="0.75" header="0.3" footer="0.3"/>
  <pageSetup scale="93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0"/>
  <sheetViews>
    <sheetView view="pageBreakPreview" zoomScale="120" zoomScaleNormal="100" zoomScaleSheetLayoutView="120" workbookViewId="0">
      <selection activeCell="H22" sqref="H22"/>
    </sheetView>
  </sheetViews>
  <sheetFormatPr baseColWidth="10" defaultRowHeight="15" x14ac:dyDescent="0.25"/>
  <cols>
    <col min="1" max="1" width="2.28515625" style="143" customWidth="1"/>
    <col min="2" max="2" width="31.140625" bestFit="1" customWidth="1"/>
    <col min="3" max="3" width="24.5703125" customWidth="1"/>
    <col min="4" max="4" width="4.42578125" customWidth="1"/>
    <col min="5" max="5" width="18.85546875" customWidth="1"/>
    <col min="6" max="6" width="4" style="46" customWidth="1"/>
    <col min="7" max="7" width="19" customWidth="1"/>
    <col min="8" max="8" width="14" style="46" customWidth="1"/>
    <col min="9" max="9" width="4.140625" style="143" customWidth="1"/>
    <col min="10" max="10" width="12.5703125" bestFit="1" customWidth="1"/>
  </cols>
  <sheetData>
    <row r="1" spans="1:9" s="1" customFormat="1" ht="15.75" x14ac:dyDescent="0.25">
      <c r="A1" s="151"/>
      <c r="B1" s="272" t="s">
        <v>0</v>
      </c>
      <c r="C1" s="272"/>
      <c r="D1" s="272"/>
      <c r="E1" s="272"/>
      <c r="F1" s="272"/>
      <c r="G1" s="272"/>
      <c r="H1" s="272"/>
      <c r="I1" s="30"/>
    </row>
    <row r="2" spans="1:9" s="1" customFormat="1" ht="15.75" x14ac:dyDescent="0.25">
      <c r="A2" s="2"/>
      <c r="B2" s="263" t="s">
        <v>1</v>
      </c>
      <c r="C2" s="263"/>
      <c r="D2" s="263"/>
      <c r="E2" s="263"/>
      <c r="F2" s="263"/>
      <c r="G2" s="263"/>
      <c r="H2" s="263"/>
      <c r="I2" s="5"/>
    </row>
    <row r="3" spans="1:9" s="1" customFormat="1" ht="15.75" x14ac:dyDescent="0.25">
      <c r="A3" s="98"/>
      <c r="B3" s="263" t="s">
        <v>2</v>
      </c>
      <c r="C3" s="263"/>
      <c r="D3" s="263"/>
      <c r="E3" s="263"/>
      <c r="F3" s="263"/>
      <c r="G3" s="263"/>
      <c r="H3" s="263"/>
      <c r="I3" s="5"/>
    </row>
    <row r="4" spans="1:9" s="1" customFormat="1" ht="15.75" x14ac:dyDescent="0.25">
      <c r="A4" s="152"/>
      <c r="B4" s="263" t="s">
        <v>28</v>
      </c>
      <c r="C4" s="263"/>
      <c r="D4" s="263"/>
      <c r="E4" s="263"/>
      <c r="F4" s="263"/>
      <c r="G4" s="263"/>
      <c r="H4" s="263"/>
      <c r="I4" s="5"/>
    </row>
    <row r="5" spans="1:9" s="1" customFormat="1" ht="16.5" thickBot="1" x14ac:dyDescent="0.3">
      <c r="A5" s="3"/>
      <c r="B5" s="264" t="s">
        <v>29</v>
      </c>
      <c r="C5" s="264"/>
      <c r="D5" s="264"/>
      <c r="E5" s="264"/>
      <c r="F5" s="264"/>
      <c r="G5" s="264"/>
      <c r="H5" s="264"/>
      <c r="I5" s="5"/>
    </row>
    <row r="6" spans="1:9" s="1" customFormat="1" ht="14.25" thickBot="1" x14ac:dyDescent="0.3">
      <c r="A6" s="3"/>
      <c r="B6" s="6" t="s">
        <v>3</v>
      </c>
      <c r="C6" s="273" t="s">
        <v>113</v>
      </c>
      <c r="D6" s="273"/>
      <c r="E6" s="273"/>
      <c r="F6" s="273"/>
      <c r="G6" s="273"/>
      <c r="H6" s="274"/>
      <c r="I6" s="5"/>
    </row>
    <row r="7" spans="1:9" s="1" customFormat="1" ht="14.25" thickBot="1" x14ac:dyDescent="0.3">
      <c r="A7" s="3"/>
      <c r="B7" s="26" t="s">
        <v>37</v>
      </c>
      <c r="C7" s="273">
        <v>16</v>
      </c>
      <c r="D7" s="273"/>
      <c r="E7" s="273"/>
      <c r="F7" s="273"/>
      <c r="G7" s="273"/>
      <c r="H7" s="274"/>
      <c r="I7" s="5"/>
    </row>
    <row r="8" spans="1:9" s="1" customFormat="1" ht="13.5" x14ac:dyDescent="0.25">
      <c r="A8" s="3"/>
      <c r="B8" s="130" t="s">
        <v>23</v>
      </c>
      <c r="C8" s="278" t="s">
        <v>24</v>
      </c>
      <c r="D8" s="278"/>
      <c r="E8" s="278"/>
      <c r="F8" s="140"/>
      <c r="G8" s="278" t="s">
        <v>25</v>
      </c>
      <c r="H8" s="279"/>
      <c r="I8" s="5"/>
    </row>
    <row r="9" spans="1:9" s="1" customFormat="1" ht="13.5" x14ac:dyDescent="0.25">
      <c r="A9" s="3"/>
      <c r="B9" s="133"/>
      <c r="C9" s="135"/>
      <c r="D9" s="135"/>
      <c r="E9" s="135"/>
      <c r="F9" s="203"/>
      <c r="G9" s="135"/>
      <c r="H9" s="99"/>
      <c r="I9" s="5"/>
    </row>
    <row r="10" spans="1:9" s="20" customFormat="1" ht="13.5" x14ac:dyDescent="0.25">
      <c r="A10" s="3"/>
      <c r="B10" s="160">
        <v>9</v>
      </c>
      <c r="C10" s="271" t="s">
        <v>114</v>
      </c>
      <c r="D10" s="271"/>
      <c r="E10" s="271"/>
      <c r="F10" s="198"/>
      <c r="G10" s="280">
        <v>8528539604</v>
      </c>
      <c r="H10" s="281"/>
      <c r="I10" s="5"/>
    </row>
    <row r="11" spans="1:9" s="20" customFormat="1" ht="14.25" thickBot="1" x14ac:dyDescent="0.3">
      <c r="A11" s="3"/>
      <c r="B11" s="160"/>
      <c r="C11" s="271"/>
      <c r="D11" s="271"/>
      <c r="E11" s="271"/>
      <c r="F11" s="198"/>
      <c r="G11" s="280"/>
      <c r="H11" s="281"/>
      <c r="I11" s="5"/>
    </row>
    <row r="12" spans="1:9" s="1" customFormat="1" ht="14.25" thickBot="1" x14ac:dyDescent="0.3">
      <c r="A12" s="3"/>
      <c r="B12" s="6" t="s">
        <v>4</v>
      </c>
      <c r="C12" s="54"/>
      <c r="D12" s="161"/>
      <c r="E12" s="161"/>
      <c r="F12" s="161"/>
      <c r="G12" s="282">
        <f>+SUM(G10:H11)</f>
        <v>8528539604</v>
      </c>
      <c r="H12" s="283"/>
      <c r="I12" s="5"/>
    </row>
    <row r="13" spans="1:9" s="1" customFormat="1" ht="14.25" thickBot="1" x14ac:dyDescent="0.3">
      <c r="A13" s="3"/>
      <c r="B13" s="31" t="s">
        <v>5</v>
      </c>
      <c r="D13" s="162"/>
      <c r="E13" s="162"/>
      <c r="F13" s="162"/>
      <c r="G13" s="284">
        <f>ROUND(G12/616000,0)</f>
        <v>13845</v>
      </c>
      <c r="H13" s="285"/>
      <c r="I13" s="5"/>
    </row>
    <row r="14" spans="1:9" s="1" customFormat="1" ht="13.5" x14ac:dyDescent="0.25">
      <c r="A14" s="3"/>
      <c r="B14" s="136"/>
      <c r="C14" s="64"/>
      <c r="D14" s="65"/>
      <c r="E14" s="69"/>
      <c r="F14" s="29"/>
      <c r="G14" s="69"/>
      <c r="H14" s="29"/>
      <c r="I14" s="5"/>
    </row>
    <row r="15" spans="1:9" s="4" customFormat="1" ht="14.25" thickBot="1" x14ac:dyDescent="0.3">
      <c r="A15" s="3"/>
      <c r="B15" s="18" t="s">
        <v>19</v>
      </c>
      <c r="C15" s="19"/>
      <c r="D15" s="56"/>
      <c r="I15" s="5"/>
    </row>
    <row r="16" spans="1:9" s="4" customFormat="1" ht="13.5" x14ac:dyDescent="0.25">
      <c r="A16" s="3"/>
      <c r="B16" s="16" t="s">
        <v>13</v>
      </c>
      <c r="C16" s="67">
        <f>+IF($G$13&gt;$B$50,$D$50,IF(AND($G$13&gt;=$B$49,$G$13&lt;=$C$49),$D$49,IF(AND($G$13&gt;=$B$47,$G$13&lt;=$C$48),$D$47,IF(AND($G$13&gt;=$B$45,$G$13&lt;=$C$46),$D$45,IF(AND($G$13&gt;$B$43,$G$13&lt;=$C$44),$D$43)))))</f>
        <v>1.2</v>
      </c>
      <c r="D16" s="56"/>
      <c r="I16" s="5"/>
    </row>
    <row r="17" spans="1:9" s="4" customFormat="1" ht="14.25" thickBot="1" x14ac:dyDescent="0.3">
      <c r="A17" s="3"/>
      <c r="B17" s="17" t="s">
        <v>14</v>
      </c>
      <c r="C17" s="68">
        <f>+IF($G$13&gt;$B$50,$F$50,IF(AND($G$13&gt;=$B$48,$G$13&lt;=$C$49),$F$48,IF(AND($G$13&gt;=$B$46,$G$13&lt;=$C$47),$F$46,IF(AND($G$13&gt;=$B$44,$G$13&lt;=$C$45),$F$44,IF(AND($G$13&gt;$B$43,$G$13&lt;=$C$43),$F$43)))))</f>
        <v>0.65</v>
      </c>
      <c r="D17" s="56"/>
      <c r="I17" s="5"/>
    </row>
    <row r="18" spans="1:9" s="4" customFormat="1" ht="14.25" thickBot="1" x14ac:dyDescent="0.3">
      <c r="A18" s="3"/>
      <c r="B18" s="137"/>
      <c r="C18" s="32"/>
      <c r="D18" s="33"/>
      <c r="E18" s="25"/>
      <c r="F18" s="25"/>
      <c r="G18" s="25"/>
      <c r="H18" s="25"/>
      <c r="I18" s="5"/>
    </row>
    <row r="19" spans="1:9" s="22" customFormat="1" ht="27.75" thickBot="1" x14ac:dyDescent="0.3">
      <c r="A19" s="3"/>
      <c r="B19" s="6" t="s">
        <v>18</v>
      </c>
      <c r="C19" s="232" t="s">
        <v>115</v>
      </c>
      <c r="D19" s="7"/>
      <c r="E19" s="159" t="s">
        <v>116</v>
      </c>
      <c r="F19" s="60"/>
      <c r="G19" s="159" t="s">
        <v>82</v>
      </c>
      <c r="H19" s="35"/>
      <c r="I19" s="5"/>
    </row>
    <row r="20" spans="1:9" s="22" customFormat="1" ht="14.25" thickBot="1" x14ac:dyDescent="0.3">
      <c r="A20" s="3"/>
      <c r="B20" s="6" t="s">
        <v>31</v>
      </c>
      <c r="C20" s="59">
        <v>825001399</v>
      </c>
      <c r="D20" s="7"/>
      <c r="E20" s="157">
        <v>825002112</v>
      </c>
      <c r="F20" s="158"/>
      <c r="G20" s="157"/>
      <c r="H20" s="35"/>
      <c r="I20" s="5"/>
    </row>
    <row r="21" spans="1:9" s="22" customFormat="1" ht="14.25" thickBot="1" x14ac:dyDescent="0.3">
      <c r="A21" s="3"/>
      <c r="B21" s="138"/>
      <c r="C21" s="9"/>
      <c r="D21" s="9"/>
      <c r="E21" s="4"/>
      <c r="F21" s="4"/>
      <c r="G21" s="4"/>
      <c r="H21" s="4"/>
      <c r="I21" s="5"/>
    </row>
    <row r="22" spans="1:9" s="1" customFormat="1" ht="13.5" x14ac:dyDescent="0.25">
      <c r="A22" s="3"/>
      <c r="B22" s="10" t="s">
        <v>7</v>
      </c>
      <c r="C22" s="11">
        <v>185717344</v>
      </c>
      <c r="D22" s="37"/>
      <c r="E22" s="11">
        <v>3707323749.4099998</v>
      </c>
      <c r="F22" s="91"/>
      <c r="G22" s="11">
        <f>+C22+E22</f>
        <v>3893041093.4099998</v>
      </c>
      <c r="H22" s="30"/>
      <c r="I22" s="5"/>
    </row>
    <row r="23" spans="1:9" s="1" customFormat="1" ht="13.5" x14ac:dyDescent="0.25">
      <c r="A23" s="3"/>
      <c r="B23" s="12" t="s">
        <v>8</v>
      </c>
      <c r="C23" s="13">
        <v>356434688</v>
      </c>
      <c r="D23" s="38"/>
      <c r="E23" s="13">
        <v>4667980164</v>
      </c>
      <c r="F23" s="19"/>
      <c r="G23" s="13">
        <f t="shared" ref="G23:G25" si="0">+C23+E23</f>
        <v>5024414852</v>
      </c>
      <c r="H23" s="5"/>
      <c r="I23" s="5"/>
    </row>
    <row r="24" spans="1:9" s="1" customFormat="1" ht="13.5" x14ac:dyDescent="0.25">
      <c r="A24" s="3"/>
      <c r="B24" s="12" t="s">
        <v>9</v>
      </c>
      <c r="C24" s="13">
        <v>1000000</v>
      </c>
      <c r="D24" s="38"/>
      <c r="E24" s="13">
        <v>23456790</v>
      </c>
      <c r="F24" s="19"/>
      <c r="G24" s="13">
        <f t="shared" si="0"/>
        <v>24456790</v>
      </c>
      <c r="H24" s="5"/>
      <c r="I24" s="5"/>
    </row>
    <row r="25" spans="1:9" s="1" customFormat="1" ht="14.25" thickBot="1" x14ac:dyDescent="0.3">
      <c r="A25" s="3"/>
      <c r="B25" s="14" t="s">
        <v>10</v>
      </c>
      <c r="C25" s="15">
        <v>179217344</v>
      </c>
      <c r="D25" s="50"/>
      <c r="E25" s="15">
        <v>358967897</v>
      </c>
      <c r="F25" s="92"/>
      <c r="G25" s="15">
        <f t="shared" si="0"/>
        <v>538185241</v>
      </c>
      <c r="H25" s="21"/>
      <c r="I25" s="5"/>
    </row>
    <row r="26" spans="1:9" s="1" customFormat="1" ht="14.25" thickBot="1" x14ac:dyDescent="0.3">
      <c r="A26" s="3"/>
      <c r="B26" s="293" t="s">
        <v>11</v>
      </c>
      <c r="C26" s="294"/>
      <c r="D26" s="294"/>
      <c r="E26" s="294"/>
      <c r="F26" s="294"/>
      <c r="G26" s="294"/>
      <c r="H26" s="295"/>
      <c r="I26" s="5"/>
    </row>
    <row r="27" spans="1:9" s="1" customFormat="1" ht="14.25" thickBot="1" x14ac:dyDescent="0.3">
      <c r="A27" s="3"/>
      <c r="B27" s="275" t="s">
        <v>12</v>
      </c>
      <c r="C27" s="276"/>
      <c r="D27" s="276"/>
      <c r="E27" s="276"/>
      <c r="F27" s="276"/>
      <c r="G27" s="276"/>
      <c r="H27" s="277"/>
      <c r="I27" s="5"/>
    </row>
    <row r="28" spans="1:9" s="1" customFormat="1" ht="13.5" x14ac:dyDescent="0.25">
      <c r="A28" s="3"/>
      <c r="B28" s="16" t="s">
        <v>13</v>
      </c>
      <c r="C28" s="124">
        <f>+IFERROR(C22/C24,"INDETERMINADO")</f>
        <v>185.717344</v>
      </c>
      <c r="D28" s="125"/>
      <c r="E28" s="124">
        <f>+IFERROR(E22/E24,"INDETERMINADO")</f>
        <v>158.04906593826351</v>
      </c>
      <c r="F28" s="58"/>
      <c r="G28" s="124">
        <f>+IFERROR(G22/G24,"INDETERMINADO")</f>
        <v>159.18037867643301</v>
      </c>
      <c r="H28" s="40" t="str">
        <f>+IF(G28&gt;=C15,"CUMPLE","NO CUMPLE")</f>
        <v>CUMPLE</v>
      </c>
      <c r="I28" s="5"/>
    </row>
    <row r="29" spans="1:9" s="1" customFormat="1" ht="14.25" thickBot="1" x14ac:dyDescent="0.3">
      <c r="A29" s="3"/>
      <c r="B29" s="17" t="s">
        <v>14</v>
      </c>
      <c r="C29" s="41">
        <f>+C25/C23</f>
        <v>0.50280556307695845</v>
      </c>
      <c r="D29" s="42"/>
      <c r="E29" s="41">
        <f>+E25/E23</f>
        <v>7.690004764124786E-2</v>
      </c>
      <c r="F29" s="43"/>
      <c r="G29" s="41">
        <f>+G25/G23</f>
        <v>0.1071140136419611</v>
      </c>
      <c r="H29" s="44" t="str">
        <f>+IF(G29&lt;=C16,"CUMPLE","NO CUMPLE")</f>
        <v>CUMPLE</v>
      </c>
      <c r="I29" s="5"/>
    </row>
    <row r="30" spans="1:9" s="20" customFormat="1" ht="14.25" thickBot="1" x14ac:dyDescent="0.3">
      <c r="A30" s="3"/>
      <c r="B30" s="139"/>
      <c r="C30" s="18"/>
      <c r="D30" s="19"/>
      <c r="F30" s="4"/>
      <c r="H30" s="4"/>
      <c r="I30" s="5"/>
    </row>
    <row r="31" spans="1:9" s="1" customFormat="1" ht="20.25" customHeight="1" thickBot="1" x14ac:dyDescent="0.3">
      <c r="A31" s="3"/>
      <c r="B31" s="6" t="s">
        <v>15</v>
      </c>
      <c r="C31" s="267" t="s">
        <v>36</v>
      </c>
      <c r="D31" s="267"/>
      <c r="E31" s="267"/>
      <c r="F31" s="267"/>
      <c r="G31" s="267"/>
      <c r="H31" s="268"/>
      <c r="I31" s="5"/>
    </row>
    <row r="32" spans="1:9" s="4" customFormat="1" ht="14.25" thickBot="1" x14ac:dyDescent="0.3">
      <c r="A32" s="3"/>
      <c r="B32" s="45"/>
      <c r="C32" s="45"/>
      <c r="D32" s="45"/>
      <c r="I32" s="5"/>
    </row>
    <row r="33" spans="1:10" s="46" customFormat="1" ht="36.75" customHeight="1" thickBot="1" x14ac:dyDescent="0.3">
      <c r="A33" s="153"/>
      <c r="B33" s="79" t="s">
        <v>26</v>
      </c>
      <c r="C33" s="269"/>
      <c r="D33" s="269"/>
      <c r="E33" s="269"/>
      <c r="F33" s="269"/>
      <c r="G33" s="269"/>
      <c r="H33" s="270"/>
      <c r="I33" s="5"/>
    </row>
    <row r="34" spans="1:10" s="46" customFormat="1" ht="15.75" thickBot="1" x14ac:dyDescent="0.3">
      <c r="A34" s="154"/>
      <c r="B34" s="155"/>
      <c r="C34" s="155"/>
      <c r="D34" s="25"/>
      <c r="E34" s="25"/>
      <c r="F34" s="25"/>
      <c r="G34" s="25"/>
      <c r="H34" s="156"/>
      <c r="I34" s="21"/>
    </row>
    <row r="35" spans="1:10" x14ac:dyDescent="0.25">
      <c r="D35" s="22"/>
      <c r="E35" s="22"/>
      <c r="F35" s="22"/>
      <c r="G35" s="22"/>
      <c r="H35" s="23"/>
      <c r="I35" s="4"/>
    </row>
    <row r="36" spans="1:10" x14ac:dyDescent="0.25">
      <c r="D36" s="22"/>
      <c r="E36" s="22"/>
      <c r="F36" s="22"/>
      <c r="G36" s="22"/>
      <c r="H36" s="23"/>
      <c r="I36" s="4"/>
    </row>
    <row r="37" spans="1:10" x14ac:dyDescent="0.25">
      <c r="D37" s="22"/>
      <c r="E37" s="22"/>
      <c r="F37" s="22"/>
      <c r="G37" s="22"/>
      <c r="H37" s="23"/>
      <c r="I37" s="4"/>
    </row>
    <row r="38" spans="1:10" x14ac:dyDescent="0.25">
      <c r="D38" s="22"/>
      <c r="E38" s="22"/>
      <c r="F38" s="22"/>
      <c r="G38" s="22"/>
      <c r="H38" s="23"/>
      <c r="I38" s="4"/>
    </row>
    <row r="39" spans="1:10" x14ac:dyDescent="0.25">
      <c r="D39" s="22"/>
      <c r="E39" s="22"/>
      <c r="F39" s="22"/>
      <c r="G39" s="22"/>
      <c r="H39" s="23"/>
      <c r="I39" s="4"/>
    </row>
    <row r="40" spans="1:10" x14ac:dyDescent="0.25">
      <c r="D40" s="22"/>
      <c r="E40" s="22"/>
      <c r="F40" s="22"/>
      <c r="G40" s="22"/>
      <c r="H40" s="22"/>
      <c r="I40" s="4"/>
    </row>
    <row r="41" spans="1:10" x14ac:dyDescent="0.25">
      <c r="B41" s="24">
        <v>616000</v>
      </c>
      <c r="D41" s="22"/>
      <c r="E41" s="22"/>
      <c r="F41" s="22"/>
      <c r="G41" s="22"/>
      <c r="H41" s="22"/>
      <c r="I41" s="4"/>
    </row>
    <row r="42" spans="1:10" x14ac:dyDescent="0.25">
      <c r="B42" s="141" t="s">
        <v>21</v>
      </c>
      <c r="C42" s="66" t="s">
        <v>20</v>
      </c>
      <c r="D42" s="265" t="s">
        <v>16</v>
      </c>
      <c r="E42" s="265"/>
      <c r="F42" s="265" t="s">
        <v>17</v>
      </c>
      <c r="G42" s="265"/>
    </row>
    <row r="43" spans="1:10" x14ac:dyDescent="0.25">
      <c r="B43" s="142">
        <v>0</v>
      </c>
      <c r="C43" s="55">
        <v>250</v>
      </c>
      <c r="D43" s="266">
        <v>0.8</v>
      </c>
      <c r="E43" s="266"/>
      <c r="F43" s="262">
        <v>0.8</v>
      </c>
      <c r="G43" s="262"/>
      <c r="H43" s="145"/>
      <c r="J43" s="147">
        <f t="shared" ref="J43:J50" si="1">+C43*$B$41</f>
        <v>154000000</v>
      </c>
    </row>
    <row r="44" spans="1:10" x14ac:dyDescent="0.25">
      <c r="B44" s="142">
        <v>251</v>
      </c>
      <c r="C44" s="55">
        <v>1000</v>
      </c>
      <c r="D44" s="266">
        <v>0.8</v>
      </c>
      <c r="E44" s="266"/>
      <c r="F44" s="262">
        <v>0.75</v>
      </c>
      <c r="G44" s="262"/>
      <c r="H44" s="146">
        <f t="shared" ref="H44:H50" si="2">+B44*$B$41</f>
        <v>154616000</v>
      </c>
      <c r="J44" s="147">
        <f t="shared" si="1"/>
        <v>616000000</v>
      </c>
    </row>
    <row r="45" spans="1:10" x14ac:dyDescent="0.25">
      <c r="B45" s="142">
        <v>1001</v>
      </c>
      <c r="C45" s="55">
        <v>1500</v>
      </c>
      <c r="D45" s="266">
        <v>0.9</v>
      </c>
      <c r="E45" s="266"/>
      <c r="F45" s="262">
        <v>0.75</v>
      </c>
      <c r="G45" s="262"/>
      <c r="H45" s="146">
        <f t="shared" si="2"/>
        <v>616616000</v>
      </c>
      <c r="J45" s="147">
        <f t="shared" si="1"/>
        <v>924000000</v>
      </c>
    </row>
    <row r="46" spans="1:10" x14ac:dyDescent="0.25">
      <c r="B46" s="142">
        <v>1501</v>
      </c>
      <c r="C46" s="55">
        <v>2500</v>
      </c>
      <c r="D46" s="266">
        <v>0.9</v>
      </c>
      <c r="E46" s="266"/>
      <c r="F46" s="262">
        <v>0.7</v>
      </c>
      <c r="G46" s="262"/>
      <c r="H46" s="146">
        <f t="shared" si="2"/>
        <v>924616000</v>
      </c>
      <c r="J46" s="147">
        <f t="shared" si="1"/>
        <v>1540000000</v>
      </c>
    </row>
    <row r="47" spans="1:10" x14ac:dyDescent="0.25">
      <c r="A47"/>
      <c r="B47" s="142">
        <v>2501</v>
      </c>
      <c r="C47" s="55">
        <v>3000</v>
      </c>
      <c r="D47" s="266">
        <v>1</v>
      </c>
      <c r="E47" s="266"/>
      <c r="F47" s="262">
        <v>0.7</v>
      </c>
      <c r="G47" s="262"/>
      <c r="H47" s="146">
        <f t="shared" si="2"/>
        <v>1540616000</v>
      </c>
      <c r="J47" s="147">
        <f t="shared" si="1"/>
        <v>1848000000</v>
      </c>
    </row>
    <row r="48" spans="1:10" x14ac:dyDescent="0.25">
      <c r="A48"/>
      <c r="B48" s="142">
        <v>3001</v>
      </c>
      <c r="C48" s="55">
        <v>3500</v>
      </c>
      <c r="D48" s="266">
        <v>1</v>
      </c>
      <c r="E48" s="266"/>
      <c r="F48" s="262">
        <v>0.68</v>
      </c>
      <c r="G48" s="262"/>
      <c r="H48" s="146">
        <f t="shared" si="2"/>
        <v>1848616000</v>
      </c>
      <c r="J48" s="147">
        <f t="shared" si="1"/>
        <v>2156000000</v>
      </c>
    </row>
    <row r="49" spans="1:10" x14ac:dyDescent="0.25">
      <c r="A49"/>
      <c r="B49" s="142">
        <v>3501</v>
      </c>
      <c r="C49" s="55">
        <v>4500</v>
      </c>
      <c r="D49" s="266">
        <v>1.1000000000000001</v>
      </c>
      <c r="E49" s="266"/>
      <c r="F49" s="262">
        <v>0.68</v>
      </c>
      <c r="G49" s="262"/>
      <c r="H49" s="146">
        <f t="shared" si="2"/>
        <v>2156616000</v>
      </c>
      <c r="J49" s="147">
        <f t="shared" si="1"/>
        <v>2772000000</v>
      </c>
    </row>
    <row r="50" spans="1:10" x14ac:dyDescent="0.25">
      <c r="A50"/>
      <c r="B50" s="142">
        <v>4501</v>
      </c>
      <c r="C50" s="55"/>
      <c r="D50" s="266">
        <v>1.2</v>
      </c>
      <c r="E50" s="266"/>
      <c r="F50" s="262">
        <v>0.65</v>
      </c>
      <c r="G50" s="262"/>
      <c r="H50" s="146">
        <f t="shared" si="2"/>
        <v>2772616000</v>
      </c>
      <c r="J50" s="147">
        <f t="shared" si="1"/>
        <v>0</v>
      </c>
    </row>
  </sheetData>
  <mergeCells count="37">
    <mergeCell ref="C6:H6"/>
    <mergeCell ref="B1:H1"/>
    <mergeCell ref="B2:H2"/>
    <mergeCell ref="B3:H3"/>
    <mergeCell ref="B4:H4"/>
    <mergeCell ref="B5:H5"/>
    <mergeCell ref="G12:H12"/>
    <mergeCell ref="G13:H13"/>
    <mergeCell ref="B26:H26"/>
    <mergeCell ref="B27:H27"/>
    <mergeCell ref="C7:H7"/>
    <mergeCell ref="C8:E8"/>
    <mergeCell ref="G8:H8"/>
    <mergeCell ref="C10:E10"/>
    <mergeCell ref="G10:H10"/>
    <mergeCell ref="C11:E11"/>
    <mergeCell ref="G11:H11"/>
    <mergeCell ref="C31:H31"/>
    <mergeCell ref="C33:H33"/>
    <mergeCell ref="D42:E42"/>
    <mergeCell ref="F42:G42"/>
    <mergeCell ref="D43:E43"/>
    <mergeCell ref="F43:G43"/>
    <mergeCell ref="D44:E44"/>
    <mergeCell ref="F44:G44"/>
    <mergeCell ref="D45:E45"/>
    <mergeCell ref="F45:G45"/>
    <mergeCell ref="D46:E46"/>
    <mergeCell ref="F46:G46"/>
    <mergeCell ref="D50:E50"/>
    <mergeCell ref="F50:G50"/>
    <mergeCell ref="D47:E47"/>
    <mergeCell ref="F47:G47"/>
    <mergeCell ref="D48:E48"/>
    <mergeCell ref="F48:G48"/>
    <mergeCell ref="D49:E49"/>
    <mergeCell ref="F49:G49"/>
  </mergeCells>
  <pageMargins left="0.7" right="0.7" top="0.75" bottom="0.75" header="0.3" footer="0.3"/>
  <pageSetup scale="73" orientation="portrait" r:id="rId1"/>
  <colBreaks count="1" manualBreakCount="1">
    <brk id="9" max="1048575" man="1"/>
  </col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0"/>
  <sheetViews>
    <sheetView view="pageBreakPreview" zoomScale="110" zoomScaleNormal="100" zoomScaleSheetLayoutView="110" workbookViewId="0">
      <selection activeCell="C13" sqref="C13"/>
    </sheetView>
  </sheetViews>
  <sheetFormatPr baseColWidth="10" defaultRowHeight="13.5" x14ac:dyDescent="0.25"/>
  <cols>
    <col min="1" max="1" width="3.140625" style="84" customWidth="1"/>
    <col min="2" max="2" width="31.140625" style="84" bestFit="1" customWidth="1"/>
    <col min="3" max="3" width="27.7109375" style="84" customWidth="1"/>
    <col min="4" max="4" width="21.7109375" style="84" customWidth="1"/>
    <col min="5" max="5" width="3.5703125" style="84" customWidth="1"/>
    <col min="6" max="6" width="16.5703125" style="84" customWidth="1"/>
    <col min="7" max="7" width="3.140625" style="84" customWidth="1"/>
    <col min="8" max="8" width="18.140625" style="84" customWidth="1"/>
    <col min="9" max="9" width="12.7109375" style="84" bestFit="1" customWidth="1"/>
    <col min="10" max="16384" width="11.42578125" style="84"/>
  </cols>
  <sheetData>
    <row r="1" spans="1:5" s="93" customFormat="1" ht="20.25" customHeight="1" x14ac:dyDescent="0.25">
      <c r="A1" s="253" t="s">
        <v>0</v>
      </c>
      <c r="B1" s="254"/>
      <c r="C1" s="254"/>
      <c r="D1" s="254"/>
      <c r="E1" s="255"/>
    </row>
    <row r="2" spans="1:5" s="93" customFormat="1" ht="15.75" customHeight="1" x14ac:dyDescent="0.25">
      <c r="A2" s="176"/>
      <c r="B2" s="256" t="s">
        <v>1</v>
      </c>
      <c r="C2" s="256"/>
      <c r="D2" s="256"/>
      <c r="E2" s="95"/>
    </row>
    <row r="3" spans="1:5" s="93" customFormat="1" ht="15.75" customHeight="1" x14ac:dyDescent="0.25">
      <c r="A3" s="257" t="s">
        <v>27</v>
      </c>
      <c r="B3" s="256"/>
      <c r="C3" s="256"/>
      <c r="D3" s="256"/>
      <c r="E3" s="258"/>
    </row>
    <row r="4" spans="1:5" s="93" customFormat="1" ht="20.25" x14ac:dyDescent="0.3">
      <c r="A4" s="96"/>
      <c r="B4" s="256" t="s">
        <v>2</v>
      </c>
      <c r="C4" s="256"/>
      <c r="D4" s="256"/>
      <c r="E4" s="97"/>
    </row>
    <row r="5" spans="1:5" s="93" customFormat="1" ht="20.25" customHeight="1" x14ac:dyDescent="0.25">
      <c r="A5" s="257" t="s">
        <v>28</v>
      </c>
      <c r="B5" s="256"/>
      <c r="C5" s="256"/>
      <c r="D5" s="256"/>
      <c r="E5" s="258"/>
    </row>
    <row r="6" spans="1:5" s="93" customFormat="1" ht="96" customHeight="1" x14ac:dyDescent="0.25">
      <c r="A6" s="259" t="s">
        <v>29</v>
      </c>
      <c r="B6" s="260"/>
      <c r="C6" s="260"/>
      <c r="D6" s="260"/>
      <c r="E6" s="261"/>
    </row>
    <row r="7" spans="1:5" s="93" customFormat="1" ht="14.25" thickBot="1" x14ac:dyDescent="0.3">
      <c r="A7" s="98"/>
      <c r="B7" s="70"/>
      <c r="C7" s="70"/>
      <c r="D7" s="70"/>
      <c r="E7" s="75"/>
    </row>
    <row r="8" spans="1:5" s="93" customFormat="1" ht="14.25" thickBot="1" x14ac:dyDescent="0.3">
      <c r="A8" s="98"/>
      <c r="B8" s="72" t="s">
        <v>3</v>
      </c>
      <c r="C8" s="247" t="s">
        <v>61</v>
      </c>
      <c r="D8" s="248"/>
      <c r="E8" s="75"/>
    </row>
    <row r="9" spans="1:5" s="93" customFormat="1" ht="14.25" thickBot="1" x14ac:dyDescent="0.3">
      <c r="A9" s="98"/>
      <c r="B9" s="72" t="s">
        <v>38</v>
      </c>
      <c r="C9" s="247">
        <v>17</v>
      </c>
      <c r="D9" s="248"/>
      <c r="E9" s="75"/>
    </row>
    <row r="10" spans="1:5" s="93" customFormat="1" ht="14.25" thickBot="1" x14ac:dyDescent="0.3">
      <c r="A10" s="98"/>
      <c r="B10" s="79" t="s">
        <v>6</v>
      </c>
      <c r="C10" s="247">
        <v>820002498</v>
      </c>
      <c r="D10" s="248"/>
      <c r="E10" s="75"/>
    </row>
    <row r="11" spans="1:5" s="93" customFormat="1" ht="26.25" customHeight="1" x14ac:dyDescent="0.25">
      <c r="A11" s="98"/>
      <c r="B11" s="130" t="s">
        <v>23</v>
      </c>
      <c r="C11" s="177" t="s">
        <v>24</v>
      </c>
      <c r="D11" s="178" t="s">
        <v>25</v>
      </c>
      <c r="E11" s="75"/>
    </row>
    <row r="12" spans="1:5" s="93" customFormat="1" x14ac:dyDescent="0.25">
      <c r="A12" s="98"/>
      <c r="B12" s="133"/>
      <c r="C12" s="135"/>
      <c r="D12" s="99"/>
      <c r="E12" s="75"/>
    </row>
    <row r="13" spans="1:5" s="93" customFormat="1" x14ac:dyDescent="0.25">
      <c r="A13" s="98"/>
      <c r="B13" s="133">
        <v>14</v>
      </c>
      <c r="C13" s="135" t="s">
        <v>48</v>
      </c>
      <c r="D13" s="187">
        <v>5682212601</v>
      </c>
      <c r="E13" s="75"/>
    </row>
    <row r="14" spans="1:5" s="93" customFormat="1" ht="14.25" thickBot="1" x14ac:dyDescent="0.3">
      <c r="A14" s="98"/>
      <c r="B14" s="133"/>
      <c r="C14" s="135"/>
      <c r="D14" s="99"/>
      <c r="E14" s="75"/>
    </row>
    <row r="15" spans="1:5" s="93" customFormat="1" ht="14.25" thickBot="1" x14ac:dyDescent="0.3">
      <c r="A15" s="98"/>
      <c r="B15" s="72" t="s">
        <v>30</v>
      </c>
      <c r="C15" s="249">
        <f>+SUM(D13:D14)</f>
        <v>5682212601</v>
      </c>
      <c r="D15" s="250"/>
      <c r="E15" s="75"/>
    </row>
    <row r="16" spans="1:5" s="93" customFormat="1" ht="14.25" thickBot="1" x14ac:dyDescent="0.3">
      <c r="A16" s="98"/>
      <c r="B16" s="72" t="s">
        <v>5</v>
      </c>
      <c r="C16" s="302">
        <f>+ROUND(C15/616000,0)</f>
        <v>9224</v>
      </c>
      <c r="D16" s="303"/>
      <c r="E16" s="75"/>
    </row>
    <row r="17" spans="1:6" s="93" customFormat="1" x14ac:dyDescent="0.25">
      <c r="A17" s="98"/>
      <c r="B17" s="70"/>
      <c r="C17" s="70"/>
      <c r="D17" s="99"/>
      <c r="E17" s="75"/>
    </row>
    <row r="18" spans="1:6" s="93" customFormat="1" ht="14.25" thickBot="1" x14ac:dyDescent="0.3">
      <c r="A18" s="98"/>
      <c r="B18" s="100" t="s">
        <v>19</v>
      </c>
      <c r="C18" s="76"/>
      <c r="D18" s="99"/>
      <c r="E18" s="75"/>
    </row>
    <row r="19" spans="1:6" s="93" customFormat="1" x14ac:dyDescent="0.25">
      <c r="A19" s="98"/>
      <c r="B19" s="77" t="s">
        <v>13</v>
      </c>
      <c r="C19" s="85">
        <f>+IF($C$16&gt;$B$50,$D$50,IF(AND($C$16&gt;=$B$49,$C$16&lt;=$C$49),$D$49,IF(AND($C$16&gt;=$B$47,$C$16&lt;=$C$48),$D$47,IF(AND($C$16&gt;=$B$45,$C$16&lt;=$C$46),$D$45,IF(AND($C$16&gt;$B$43,$C$16&lt;=$C$44),$D$43)))))</f>
        <v>1.2</v>
      </c>
      <c r="D19" s="99"/>
      <c r="E19" s="75"/>
    </row>
    <row r="20" spans="1:6" s="93" customFormat="1" ht="14.25" thickBot="1" x14ac:dyDescent="0.3">
      <c r="A20" s="98"/>
      <c r="B20" s="78" t="s">
        <v>14</v>
      </c>
      <c r="C20" s="86">
        <f>+IF($C$16&gt;$B$50,$F$50,IF(AND($C$16&gt;=$B$48,$C$16&lt;=$C$49),$F$48,IF(AND($C$16&gt;=$B$46,$C$16&lt;=$C$47),$F$46,IF(AND($C$16&gt;=$B$44,$C$16&lt;=$C$45),$F$44,IF(AND($C$16&gt;$B$43,$C$16&lt;=$C$43),$F$43)))))</f>
        <v>0.65</v>
      </c>
      <c r="D20" s="99"/>
      <c r="E20" s="75"/>
    </row>
    <row r="21" spans="1:6" s="93" customFormat="1" ht="14.25" thickBot="1" x14ac:dyDescent="0.3">
      <c r="A21" s="98"/>
      <c r="B21" s="101"/>
      <c r="C21" s="102"/>
      <c r="D21" s="103"/>
      <c r="E21" s="75"/>
    </row>
    <row r="22" spans="1:6" s="93" customFormat="1" x14ac:dyDescent="0.25">
      <c r="A22" s="98"/>
      <c r="B22" s="80" t="s">
        <v>7</v>
      </c>
      <c r="C22" s="127">
        <v>285011103</v>
      </c>
      <c r="D22" s="104"/>
      <c r="E22" s="75"/>
    </row>
    <row r="23" spans="1:6" s="93" customFormat="1" x14ac:dyDescent="0.25">
      <c r="A23" s="98"/>
      <c r="B23" s="81" t="s">
        <v>8</v>
      </c>
      <c r="C23" s="129">
        <v>404776622</v>
      </c>
      <c r="D23" s="105"/>
      <c r="E23" s="75"/>
    </row>
    <row r="24" spans="1:6" s="93" customFormat="1" ht="15" x14ac:dyDescent="0.25">
      <c r="A24" s="98"/>
      <c r="B24" s="81" t="s">
        <v>9</v>
      </c>
      <c r="C24" s="129">
        <v>160770</v>
      </c>
      <c r="D24" s="105"/>
      <c r="E24" s="75"/>
      <c r="F24" s="106"/>
    </row>
    <row r="25" spans="1:6" s="93" customFormat="1" ht="15.75" thickBot="1" x14ac:dyDescent="0.3">
      <c r="A25" s="98"/>
      <c r="B25" s="81" t="s">
        <v>10</v>
      </c>
      <c r="C25" s="129">
        <v>160770</v>
      </c>
      <c r="D25" s="105"/>
      <c r="E25" s="75"/>
      <c r="F25" s="106"/>
    </row>
    <row r="26" spans="1:6" s="93" customFormat="1" ht="14.25" thickBot="1" x14ac:dyDescent="0.3">
      <c r="A26" s="98"/>
      <c r="B26" s="241" t="s">
        <v>11</v>
      </c>
      <c r="C26" s="242"/>
      <c r="D26" s="243"/>
      <c r="E26" s="75"/>
    </row>
    <row r="27" spans="1:6" s="93" customFormat="1" ht="14.25" thickBot="1" x14ac:dyDescent="0.3">
      <c r="A27" s="98"/>
      <c r="B27" s="241" t="s">
        <v>12</v>
      </c>
      <c r="C27" s="242"/>
      <c r="D27" s="243"/>
      <c r="E27" s="75"/>
    </row>
    <row r="28" spans="1:6" s="93" customFormat="1" ht="16.5" x14ac:dyDescent="0.3">
      <c r="A28" s="98"/>
      <c r="B28" s="77" t="s">
        <v>13</v>
      </c>
      <c r="C28" s="126">
        <f>+IFERROR(C22/C24,"INDETERMINADO")</f>
        <v>1772.7878522112335</v>
      </c>
      <c r="D28" s="118" t="str">
        <f>+IF(C28&gt;=C19,"CUMPLE","NO CUMPLE")</f>
        <v>CUMPLE</v>
      </c>
      <c r="E28" s="75"/>
    </row>
    <row r="29" spans="1:6" s="93" customFormat="1" ht="17.25" thickBot="1" x14ac:dyDescent="0.35">
      <c r="A29" s="98"/>
      <c r="B29" s="78" t="s">
        <v>14</v>
      </c>
      <c r="C29" s="120">
        <f>+C25/C23</f>
        <v>3.9718202895620787E-4</v>
      </c>
      <c r="D29" s="119" t="str">
        <f>+IF(C29&lt;=C20,"CUMPLE","NO CUMPLE")</f>
        <v>CUMPLE</v>
      </c>
      <c r="E29" s="75"/>
    </row>
    <row r="30" spans="1:6" s="110" customFormat="1" ht="14.25" thickBot="1" x14ac:dyDescent="0.3">
      <c r="A30" s="98"/>
      <c r="B30" s="108"/>
      <c r="C30" s="100"/>
      <c r="D30" s="76"/>
      <c r="E30" s="109"/>
    </row>
    <row r="31" spans="1:6" s="93" customFormat="1" ht="41.25" customHeight="1" thickBot="1" x14ac:dyDescent="0.3">
      <c r="A31" s="98"/>
      <c r="B31" s="72" t="s">
        <v>15</v>
      </c>
      <c r="C31" s="244" t="s">
        <v>49</v>
      </c>
      <c r="D31" s="245"/>
      <c r="E31" s="75"/>
    </row>
    <row r="32" spans="1:6" s="70" customFormat="1" ht="14.25" thickBot="1" x14ac:dyDescent="0.3">
      <c r="A32" s="98"/>
      <c r="B32" s="83"/>
      <c r="C32" s="83"/>
      <c r="D32" s="83"/>
      <c r="E32" s="75"/>
    </row>
    <row r="33" spans="1:9" s="70" customFormat="1" ht="45.75" customHeight="1" thickBot="1" x14ac:dyDescent="0.3">
      <c r="A33" s="98"/>
      <c r="B33" s="72" t="s">
        <v>26</v>
      </c>
      <c r="C33" s="244"/>
      <c r="D33" s="245"/>
      <c r="E33" s="75"/>
    </row>
    <row r="34" spans="1:9" s="70" customFormat="1" ht="14.25" thickBot="1" x14ac:dyDescent="0.3">
      <c r="A34" s="111"/>
      <c r="B34" s="112"/>
      <c r="C34" s="112"/>
      <c r="D34" s="112"/>
      <c r="E34" s="71"/>
    </row>
    <row r="35" spans="1:9" s="70" customFormat="1" x14ac:dyDescent="0.25">
      <c r="B35" s="83"/>
      <c r="C35" s="83"/>
      <c r="D35" s="83"/>
    </row>
    <row r="36" spans="1:9" s="70" customFormat="1" x14ac:dyDescent="0.25">
      <c r="B36" s="83"/>
      <c r="C36" s="83"/>
      <c r="D36" s="83"/>
    </row>
    <row r="37" spans="1:9" s="70" customFormat="1" x14ac:dyDescent="0.25">
      <c r="B37" s="83"/>
      <c r="C37" s="83"/>
      <c r="D37" s="83"/>
    </row>
    <row r="38" spans="1:9" s="70" customFormat="1" x14ac:dyDescent="0.25">
      <c r="B38" s="83"/>
      <c r="C38" s="83"/>
      <c r="D38" s="83"/>
    </row>
    <row r="40" spans="1:9" x14ac:dyDescent="0.25">
      <c r="B40" s="100"/>
      <c r="C40" s="70"/>
    </row>
    <row r="41" spans="1:9" x14ac:dyDescent="0.25">
      <c r="B41" s="88">
        <v>616000</v>
      </c>
      <c r="C41" s="87"/>
      <c r="D41" s="87"/>
      <c r="E41" s="87"/>
      <c r="F41" s="87"/>
      <c r="G41" s="87"/>
      <c r="H41" s="87"/>
      <c r="I41" s="87"/>
    </row>
    <row r="42" spans="1:9" ht="25.5" x14ac:dyDescent="0.25">
      <c r="B42" s="89" t="s">
        <v>21</v>
      </c>
      <c r="C42" s="89" t="s">
        <v>20</v>
      </c>
      <c r="D42" s="180" t="s">
        <v>16</v>
      </c>
      <c r="E42" s="87"/>
      <c r="F42" s="180" t="s">
        <v>17</v>
      </c>
      <c r="G42" s="87"/>
      <c r="H42" s="246"/>
      <c r="I42" s="246"/>
    </row>
    <row r="43" spans="1:9" x14ac:dyDescent="0.25">
      <c r="B43" s="90">
        <v>0</v>
      </c>
      <c r="C43" s="90">
        <v>250</v>
      </c>
      <c r="D43" s="181">
        <v>0.8</v>
      </c>
      <c r="E43" s="87"/>
      <c r="F43" s="182">
        <v>0.8</v>
      </c>
      <c r="G43" s="87"/>
      <c r="H43" s="116"/>
      <c r="I43" s="117">
        <f t="shared" ref="I43:I50" si="0">+C43*$B$41</f>
        <v>154000000</v>
      </c>
    </row>
    <row r="44" spans="1:9" x14ac:dyDescent="0.25">
      <c r="B44" s="90">
        <v>251</v>
      </c>
      <c r="C44" s="90">
        <v>1000</v>
      </c>
      <c r="D44" s="181">
        <v>0.8</v>
      </c>
      <c r="E44" s="87"/>
      <c r="F44" s="182">
        <v>0.75</v>
      </c>
      <c r="G44" s="87"/>
      <c r="H44" s="117">
        <f t="shared" ref="H44:H50" si="1">+B44*$B$41</f>
        <v>154616000</v>
      </c>
      <c r="I44" s="117">
        <f t="shared" si="0"/>
        <v>616000000</v>
      </c>
    </row>
    <row r="45" spans="1:9" x14ac:dyDescent="0.25">
      <c r="B45" s="90">
        <v>1001</v>
      </c>
      <c r="C45" s="90">
        <v>1500</v>
      </c>
      <c r="D45" s="181">
        <v>0.9</v>
      </c>
      <c r="E45" s="87"/>
      <c r="F45" s="182">
        <v>0.75</v>
      </c>
      <c r="G45" s="87"/>
      <c r="H45" s="117">
        <f t="shared" si="1"/>
        <v>616616000</v>
      </c>
      <c r="I45" s="117">
        <f t="shared" si="0"/>
        <v>924000000</v>
      </c>
    </row>
    <row r="46" spans="1:9" x14ac:dyDescent="0.25">
      <c r="B46" s="90">
        <v>1501</v>
      </c>
      <c r="C46" s="90">
        <v>2500</v>
      </c>
      <c r="D46" s="181">
        <v>0.9</v>
      </c>
      <c r="E46" s="87"/>
      <c r="F46" s="182">
        <v>0.7</v>
      </c>
      <c r="G46" s="87"/>
      <c r="H46" s="117">
        <f t="shared" si="1"/>
        <v>924616000</v>
      </c>
      <c r="I46" s="117">
        <f t="shared" si="0"/>
        <v>1540000000</v>
      </c>
    </row>
    <row r="47" spans="1:9" x14ac:dyDescent="0.25">
      <c r="B47" s="90">
        <v>2501</v>
      </c>
      <c r="C47" s="90">
        <v>3000</v>
      </c>
      <c r="D47" s="181">
        <v>1</v>
      </c>
      <c r="E47" s="87"/>
      <c r="F47" s="182">
        <v>0.7</v>
      </c>
      <c r="G47" s="87"/>
      <c r="H47" s="117">
        <f t="shared" si="1"/>
        <v>1540616000</v>
      </c>
      <c r="I47" s="117">
        <f t="shared" si="0"/>
        <v>1848000000</v>
      </c>
    </row>
    <row r="48" spans="1:9" x14ac:dyDescent="0.25">
      <c r="B48" s="90">
        <v>3001</v>
      </c>
      <c r="C48" s="90">
        <v>3500</v>
      </c>
      <c r="D48" s="181">
        <v>1</v>
      </c>
      <c r="E48" s="87"/>
      <c r="F48" s="182">
        <v>0.68</v>
      </c>
      <c r="G48" s="87"/>
      <c r="H48" s="117">
        <f t="shared" si="1"/>
        <v>1848616000</v>
      </c>
      <c r="I48" s="117">
        <f t="shared" si="0"/>
        <v>2156000000</v>
      </c>
    </row>
    <row r="49" spans="1:9" x14ac:dyDescent="0.25">
      <c r="B49" s="90">
        <v>3501</v>
      </c>
      <c r="C49" s="90">
        <v>4500</v>
      </c>
      <c r="D49" s="181">
        <v>1.1000000000000001</v>
      </c>
      <c r="E49" s="87"/>
      <c r="F49" s="182">
        <v>0.68</v>
      </c>
      <c r="G49" s="87"/>
      <c r="H49" s="117">
        <f t="shared" si="1"/>
        <v>2156616000</v>
      </c>
      <c r="I49" s="117">
        <f t="shared" si="0"/>
        <v>2772000000</v>
      </c>
    </row>
    <row r="50" spans="1:9" x14ac:dyDescent="0.25">
      <c r="A50" s="84" t="s">
        <v>22</v>
      </c>
      <c r="B50" s="90">
        <v>4501</v>
      </c>
      <c r="C50" s="90"/>
      <c r="D50" s="181">
        <v>1.2</v>
      </c>
      <c r="E50" s="87"/>
      <c r="F50" s="182">
        <v>0.65</v>
      </c>
      <c r="G50" s="87"/>
      <c r="H50" s="117">
        <f t="shared" si="1"/>
        <v>2772616000</v>
      </c>
      <c r="I50" s="117">
        <f t="shared" si="0"/>
        <v>0</v>
      </c>
    </row>
  </sheetData>
  <mergeCells count="16">
    <mergeCell ref="A6:E6"/>
    <mergeCell ref="A1:E1"/>
    <mergeCell ref="B2:D2"/>
    <mergeCell ref="A3:E3"/>
    <mergeCell ref="B4:D4"/>
    <mergeCell ref="A5:E5"/>
    <mergeCell ref="B27:D27"/>
    <mergeCell ref="C31:D31"/>
    <mergeCell ref="C33:D33"/>
    <mergeCell ref="H42:I42"/>
    <mergeCell ref="C8:D8"/>
    <mergeCell ref="C9:D9"/>
    <mergeCell ref="C10:D10"/>
    <mergeCell ref="C15:D15"/>
    <mergeCell ref="C16:D16"/>
    <mergeCell ref="B26:D26"/>
  </mergeCells>
  <pageMargins left="0.7" right="0.7" top="0.75" bottom="0.75" header="0.3" footer="0.3"/>
  <pageSetup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I52"/>
  <sheetViews>
    <sheetView view="pageBreakPreview" topLeftCell="A4" zoomScale="130" zoomScaleNormal="100" zoomScaleSheetLayoutView="130" workbookViewId="0">
      <selection activeCell="C17" sqref="C17:D17"/>
    </sheetView>
  </sheetViews>
  <sheetFormatPr baseColWidth="10" defaultRowHeight="13.5" x14ac:dyDescent="0.25"/>
  <cols>
    <col min="1" max="1" width="3.140625" style="84" customWidth="1"/>
    <col min="2" max="2" width="31.85546875" style="84" customWidth="1"/>
    <col min="3" max="3" width="27.7109375" style="84" customWidth="1"/>
    <col min="4" max="4" width="21.7109375" style="84" customWidth="1"/>
    <col min="5" max="5" width="3.5703125" style="84" customWidth="1"/>
    <col min="6" max="6" width="16.5703125" style="84" customWidth="1"/>
    <col min="7" max="7" width="3.140625" style="84" customWidth="1"/>
    <col min="8" max="8" width="18.140625" style="84" customWidth="1"/>
    <col min="9" max="9" width="12.7109375" style="84" bestFit="1" customWidth="1"/>
    <col min="10" max="16384" width="11.42578125" style="84"/>
  </cols>
  <sheetData>
    <row r="1" spans="1:6" s="93" customFormat="1" ht="20.25" customHeight="1" x14ac:dyDescent="0.25">
      <c r="A1" s="253" t="s">
        <v>0</v>
      </c>
      <c r="B1" s="254"/>
      <c r="C1" s="254"/>
      <c r="D1" s="254"/>
      <c r="E1" s="255"/>
    </row>
    <row r="2" spans="1:6" s="93" customFormat="1" ht="15.75" customHeight="1" x14ac:dyDescent="0.25">
      <c r="A2" s="196"/>
      <c r="B2" s="256" t="s">
        <v>1</v>
      </c>
      <c r="C2" s="256"/>
      <c r="D2" s="256"/>
      <c r="E2" s="95"/>
    </row>
    <row r="3" spans="1:6" s="93" customFormat="1" ht="15.75" customHeight="1" x14ac:dyDescent="0.25">
      <c r="A3" s="257" t="s">
        <v>27</v>
      </c>
      <c r="B3" s="256"/>
      <c r="C3" s="256"/>
      <c r="D3" s="256"/>
      <c r="E3" s="258"/>
    </row>
    <row r="4" spans="1:6" s="93" customFormat="1" ht="20.25" x14ac:dyDescent="0.3">
      <c r="A4" s="96"/>
      <c r="B4" s="256" t="s">
        <v>2</v>
      </c>
      <c r="C4" s="256"/>
      <c r="D4" s="256"/>
      <c r="E4" s="97"/>
    </row>
    <row r="5" spans="1:6" s="93" customFormat="1" ht="20.25" customHeight="1" x14ac:dyDescent="0.25">
      <c r="A5" s="257" t="s">
        <v>28</v>
      </c>
      <c r="B5" s="256"/>
      <c r="C5" s="256"/>
      <c r="D5" s="256"/>
      <c r="E5" s="258"/>
    </row>
    <row r="6" spans="1:6" s="93" customFormat="1" ht="96" customHeight="1" x14ac:dyDescent="0.25">
      <c r="A6" s="259" t="s">
        <v>29</v>
      </c>
      <c r="B6" s="260"/>
      <c r="C6" s="260"/>
      <c r="D6" s="260"/>
      <c r="E6" s="261"/>
    </row>
    <row r="7" spans="1:6" s="93" customFormat="1" ht="14.25" thickBot="1" x14ac:dyDescent="0.3">
      <c r="A7" s="98"/>
      <c r="B7" s="70"/>
      <c r="C7" s="70"/>
      <c r="D7" s="70"/>
      <c r="E7" s="75"/>
    </row>
    <row r="8" spans="1:6" s="93" customFormat="1" ht="37.5" customHeight="1" thickBot="1" x14ac:dyDescent="0.3">
      <c r="A8" s="98"/>
      <c r="B8" s="72" t="s">
        <v>3</v>
      </c>
      <c r="C8" s="247" t="s">
        <v>168</v>
      </c>
      <c r="D8" s="248"/>
      <c r="E8" s="75"/>
    </row>
    <row r="9" spans="1:6" s="93" customFormat="1" ht="14.25" thickBot="1" x14ac:dyDescent="0.3">
      <c r="A9" s="98"/>
      <c r="B9" s="72" t="s">
        <v>38</v>
      </c>
      <c r="C9" s="247">
        <v>18</v>
      </c>
      <c r="D9" s="248"/>
      <c r="E9" s="75"/>
    </row>
    <row r="10" spans="1:6" s="93" customFormat="1" ht="14.25" thickBot="1" x14ac:dyDescent="0.3">
      <c r="A10" s="98"/>
      <c r="B10" s="79" t="s">
        <v>6</v>
      </c>
      <c r="C10" s="247">
        <v>800180234</v>
      </c>
      <c r="D10" s="248"/>
      <c r="E10" s="75"/>
    </row>
    <row r="11" spans="1:6" s="93" customFormat="1" ht="26.25" customHeight="1" x14ac:dyDescent="0.25">
      <c r="A11" s="98"/>
      <c r="B11" s="130" t="s">
        <v>23</v>
      </c>
      <c r="C11" s="197" t="s">
        <v>24</v>
      </c>
      <c r="D11" s="199" t="s">
        <v>25</v>
      </c>
      <c r="E11" s="75"/>
    </row>
    <row r="12" spans="1:6" s="93" customFormat="1" x14ac:dyDescent="0.25">
      <c r="A12" s="98"/>
      <c r="B12" s="133">
        <v>4</v>
      </c>
      <c r="C12" s="135" t="s">
        <v>190</v>
      </c>
      <c r="D12" s="134">
        <v>1426295923</v>
      </c>
      <c r="E12" s="75"/>
    </row>
    <row r="13" spans="1:6" s="93" customFormat="1" x14ac:dyDescent="0.25">
      <c r="A13" s="98"/>
      <c r="B13" s="133">
        <v>20</v>
      </c>
      <c r="C13" s="135" t="s">
        <v>191</v>
      </c>
      <c r="D13" s="134">
        <v>3550077700</v>
      </c>
      <c r="E13" s="75"/>
      <c r="F13" s="331"/>
    </row>
    <row r="14" spans="1:6" s="93" customFormat="1" x14ac:dyDescent="0.25">
      <c r="A14" s="98"/>
      <c r="B14" s="240">
        <v>13</v>
      </c>
      <c r="C14" s="135" t="s">
        <v>132</v>
      </c>
      <c r="D14" s="134">
        <v>5164318913</v>
      </c>
      <c r="E14" s="75"/>
    </row>
    <row r="15" spans="1:6" s="93" customFormat="1" x14ac:dyDescent="0.25">
      <c r="A15" s="98"/>
      <c r="B15" s="185" t="s">
        <v>169</v>
      </c>
      <c r="C15" s="135" t="s">
        <v>170</v>
      </c>
      <c r="D15" s="134">
        <v>6776592381</v>
      </c>
      <c r="E15" s="75"/>
    </row>
    <row r="16" spans="1:6" s="93" customFormat="1" ht="14.25" thickBot="1" x14ac:dyDescent="0.3">
      <c r="A16" s="98"/>
      <c r="B16" s="133"/>
      <c r="C16" s="135"/>
      <c r="D16" s="134"/>
      <c r="E16" s="75"/>
    </row>
    <row r="17" spans="1:8" s="93" customFormat="1" ht="14.25" thickBot="1" x14ac:dyDescent="0.3">
      <c r="A17" s="98"/>
      <c r="B17" s="72" t="s">
        <v>30</v>
      </c>
      <c r="C17" s="249">
        <f>+SUM(D12:D15)</f>
        <v>16917284917</v>
      </c>
      <c r="D17" s="250"/>
      <c r="E17" s="75"/>
    </row>
    <row r="18" spans="1:8" s="93" customFormat="1" ht="14.25" thickBot="1" x14ac:dyDescent="0.3">
      <c r="A18" s="98"/>
      <c r="B18" s="72" t="s">
        <v>5</v>
      </c>
      <c r="C18" s="302">
        <f>+ROUND(C17/616000,0)</f>
        <v>27463</v>
      </c>
      <c r="D18" s="303"/>
      <c r="E18" s="75"/>
    </row>
    <row r="19" spans="1:8" s="93" customFormat="1" x14ac:dyDescent="0.25">
      <c r="A19" s="98"/>
      <c r="B19" s="70"/>
      <c r="C19" s="70"/>
      <c r="D19" s="99"/>
      <c r="E19" s="75"/>
    </row>
    <row r="20" spans="1:8" s="93" customFormat="1" ht="14.25" thickBot="1" x14ac:dyDescent="0.3">
      <c r="A20" s="98"/>
      <c r="B20" s="100" t="s">
        <v>19</v>
      </c>
      <c r="C20" s="76"/>
      <c r="D20" s="99"/>
      <c r="E20" s="75"/>
    </row>
    <row r="21" spans="1:8" s="93" customFormat="1" x14ac:dyDescent="0.25">
      <c r="A21" s="98"/>
      <c r="B21" s="77" t="s">
        <v>13</v>
      </c>
      <c r="C21" s="85">
        <f>+IF($C$18&gt;$B$52,$D$52,IF(AND($C$18&gt;=$B$51,$C$18&lt;=$C$51),$D$51,IF(AND($C$18&gt;=$B$49,$C$18&lt;=$C$50),$D$49,IF(AND($C$18&gt;=$B$47,$C$18&lt;=$C$48),$D$47,IF(AND($C$18&gt;$B$45,$C$18&lt;=$C$46),$D$45)))))</f>
        <v>1.2</v>
      </c>
      <c r="D21" s="99"/>
      <c r="E21" s="75"/>
    </row>
    <row r="22" spans="1:8" s="93" customFormat="1" ht="14.25" thickBot="1" x14ac:dyDescent="0.3">
      <c r="A22" s="98"/>
      <c r="B22" s="78" t="s">
        <v>14</v>
      </c>
      <c r="C22" s="86">
        <f>+IF($C$18&gt;$B$52,$F$52,IF(AND($C$18&gt;=$B$50,$C$18&lt;=$C$51),$F$50,IF(AND($C$18&gt;=$B$48,$C$18&lt;=$C$49),$F$48,IF(AND($C$18&gt;=$B$46,$C$18&lt;=$C$47),$F$46,IF(AND($C$18&gt;$B$45,$C$18&lt;=$C$45),$F$45)))))</f>
        <v>0.65</v>
      </c>
      <c r="D22" s="99"/>
      <c r="E22" s="75"/>
    </row>
    <row r="23" spans="1:8" s="93" customFormat="1" ht="14.25" thickBot="1" x14ac:dyDescent="0.3">
      <c r="A23" s="98"/>
      <c r="B23" s="101"/>
      <c r="C23" s="102"/>
      <c r="D23" s="103"/>
      <c r="E23" s="75"/>
    </row>
    <row r="24" spans="1:8" s="93" customFormat="1" x14ac:dyDescent="0.25">
      <c r="A24" s="98"/>
      <c r="B24" s="80" t="s">
        <v>7</v>
      </c>
      <c r="C24" s="127">
        <v>603238924</v>
      </c>
      <c r="D24" s="104"/>
      <c r="E24" s="75"/>
    </row>
    <row r="25" spans="1:8" s="93" customFormat="1" x14ac:dyDescent="0.25">
      <c r="A25" s="98"/>
      <c r="B25" s="81" t="s">
        <v>8</v>
      </c>
      <c r="C25" s="129">
        <v>770968322</v>
      </c>
      <c r="D25" s="105"/>
      <c r="E25" s="75"/>
    </row>
    <row r="26" spans="1:8" s="93" customFormat="1" ht="15" x14ac:dyDescent="0.25">
      <c r="A26" s="98"/>
      <c r="B26" s="81" t="s">
        <v>9</v>
      </c>
      <c r="C26" s="129">
        <v>90626310</v>
      </c>
      <c r="D26" s="105"/>
      <c r="E26" s="75"/>
      <c r="F26" s="106"/>
      <c r="H26" s="239"/>
    </row>
    <row r="27" spans="1:8" s="93" customFormat="1" ht="15.75" thickBot="1" x14ac:dyDescent="0.3">
      <c r="A27" s="98"/>
      <c r="B27" s="81" t="s">
        <v>10</v>
      </c>
      <c r="C27" s="129">
        <v>90626310</v>
      </c>
      <c r="D27" s="105"/>
      <c r="E27" s="75"/>
      <c r="F27" s="106"/>
    </row>
    <row r="28" spans="1:8" s="93" customFormat="1" ht="14.25" thickBot="1" x14ac:dyDescent="0.3">
      <c r="A28" s="98"/>
      <c r="B28" s="241" t="s">
        <v>11</v>
      </c>
      <c r="C28" s="242"/>
      <c r="D28" s="243"/>
      <c r="E28" s="75"/>
    </row>
    <row r="29" spans="1:8" s="93" customFormat="1" ht="14.25" thickBot="1" x14ac:dyDescent="0.3">
      <c r="A29" s="98"/>
      <c r="B29" s="241" t="s">
        <v>12</v>
      </c>
      <c r="C29" s="242"/>
      <c r="D29" s="243"/>
      <c r="E29" s="75"/>
    </row>
    <row r="30" spans="1:8" s="93" customFormat="1" ht="16.5" x14ac:dyDescent="0.3">
      <c r="A30" s="98"/>
      <c r="B30" s="77" t="s">
        <v>13</v>
      </c>
      <c r="C30" s="126">
        <f>+IFERROR(C24/C26,"INDETERMINADO")</f>
        <v>6.6563332877615782</v>
      </c>
      <c r="D30" s="118" t="str">
        <f>+IF(C30&gt;=C21,"CUMPLE","NO CUMPLE")</f>
        <v>CUMPLE</v>
      </c>
      <c r="E30" s="75"/>
    </row>
    <row r="31" spans="1:8" s="93" customFormat="1" ht="17.25" thickBot="1" x14ac:dyDescent="0.35">
      <c r="A31" s="98"/>
      <c r="B31" s="78" t="s">
        <v>14</v>
      </c>
      <c r="C31" s="120">
        <f>+C27/C25</f>
        <v>0.11754868185102942</v>
      </c>
      <c r="D31" s="119" t="str">
        <f>+IF(C31&lt;=C22,"CUMPLE","NO CUMPLE")</f>
        <v>CUMPLE</v>
      </c>
      <c r="E31" s="75"/>
    </row>
    <row r="32" spans="1:8" s="110" customFormat="1" ht="14.25" thickBot="1" x14ac:dyDescent="0.3">
      <c r="A32" s="98"/>
      <c r="B32" s="108"/>
      <c r="C32" s="100"/>
      <c r="D32" s="76"/>
      <c r="E32" s="109"/>
    </row>
    <row r="33" spans="1:9" s="93" customFormat="1" ht="41.25" customHeight="1" thickBot="1" x14ac:dyDescent="0.3">
      <c r="A33" s="98"/>
      <c r="B33" s="72" t="s">
        <v>15</v>
      </c>
      <c r="C33" s="244" t="s">
        <v>171</v>
      </c>
      <c r="D33" s="245"/>
      <c r="E33" s="75"/>
    </row>
    <row r="34" spans="1:9" s="70" customFormat="1" ht="14.25" thickBot="1" x14ac:dyDescent="0.3">
      <c r="A34" s="98"/>
      <c r="B34" s="83"/>
      <c r="C34" s="83"/>
      <c r="D34" s="83"/>
      <c r="E34" s="75"/>
    </row>
    <row r="35" spans="1:9" s="70" customFormat="1" ht="45.75" customHeight="1" thickBot="1" x14ac:dyDescent="0.3">
      <c r="A35" s="98"/>
      <c r="B35" s="72" t="s">
        <v>26</v>
      </c>
      <c r="C35" s="244"/>
      <c r="D35" s="245"/>
      <c r="E35" s="75"/>
    </row>
    <row r="36" spans="1:9" s="70" customFormat="1" ht="14.25" thickBot="1" x14ac:dyDescent="0.3">
      <c r="A36" s="111"/>
      <c r="B36" s="112"/>
      <c r="C36" s="112"/>
      <c r="D36" s="112"/>
      <c r="E36" s="71"/>
    </row>
    <row r="37" spans="1:9" s="70" customFormat="1" x14ac:dyDescent="0.25">
      <c r="B37" s="83"/>
      <c r="C37" s="83"/>
      <c r="D37" s="83"/>
    </row>
    <row r="38" spans="1:9" s="70" customFormat="1" x14ac:dyDescent="0.25">
      <c r="B38" s="83"/>
      <c r="C38" s="83"/>
      <c r="D38" s="83"/>
    </row>
    <row r="39" spans="1:9" s="70" customFormat="1" x14ac:dyDescent="0.25">
      <c r="B39" s="83"/>
      <c r="C39" s="83"/>
      <c r="D39" s="83"/>
    </row>
    <row r="40" spans="1:9" s="70" customFormat="1" x14ac:dyDescent="0.25">
      <c r="B40" s="83"/>
      <c r="C40" s="83"/>
      <c r="D40" s="83"/>
    </row>
    <row r="42" spans="1:9" x14ac:dyDescent="0.25">
      <c r="B42" s="100"/>
      <c r="C42" s="70"/>
    </row>
    <row r="43" spans="1:9" x14ac:dyDescent="0.25">
      <c r="B43" s="88">
        <v>616000</v>
      </c>
      <c r="C43" s="87"/>
      <c r="D43" s="87"/>
      <c r="E43" s="87"/>
      <c r="F43" s="87"/>
      <c r="G43" s="87"/>
      <c r="H43" s="87"/>
      <c r="I43" s="87"/>
    </row>
    <row r="44" spans="1:9" ht="25.5" x14ac:dyDescent="0.25">
      <c r="B44" s="89" t="s">
        <v>21</v>
      </c>
      <c r="C44" s="89" t="s">
        <v>20</v>
      </c>
      <c r="D44" s="200" t="s">
        <v>16</v>
      </c>
      <c r="E44" s="87"/>
      <c r="F44" s="200" t="s">
        <v>17</v>
      </c>
      <c r="G44" s="87"/>
      <c r="H44" s="246"/>
      <c r="I44" s="246"/>
    </row>
    <row r="45" spans="1:9" x14ac:dyDescent="0.25">
      <c r="B45" s="90">
        <v>0</v>
      </c>
      <c r="C45" s="90">
        <v>250</v>
      </c>
      <c r="D45" s="201">
        <v>0.8</v>
      </c>
      <c r="E45" s="87"/>
      <c r="F45" s="202">
        <v>0.8</v>
      </c>
      <c r="G45" s="87"/>
      <c r="H45" s="116"/>
      <c r="I45" s="117">
        <f t="shared" ref="I45:I52" si="0">+C45*$B$43</f>
        <v>154000000</v>
      </c>
    </row>
    <row r="46" spans="1:9" x14ac:dyDescent="0.25">
      <c r="B46" s="90">
        <v>251</v>
      </c>
      <c r="C46" s="90">
        <v>1000</v>
      </c>
      <c r="D46" s="201">
        <v>0.8</v>
      </c>
      <c r="E46" s="87"/>
      <c r="F46" s="202">
        <v>0.75</v>
      </c>
      <c r="G46" s="87"/>
      <c r="H46" s="117">
        <f t="shared" ref="H46:H52" si="1">+B46*$B$43</f>
        <v>154616000</v>
      </c>
      <c r="I46" s="117">
        <f t="shared" si="0"/>
        <v>616000000</v>
      </c>
    </row>
    <row r="47" spans="1:9" x14ac:dyDescent="0.25">
      <c r="B47" s="90">
        <v>1001</v>
      </c>
      <c r="C47" s="90">
        <v>1500</v>
      </c>
      <c r="D47" s="201">
        <v>0.9</v>
      </c>
      <c r="E47" s="87"/>
      <c r="F47" s="202">
        <v>0.75</v>
      </c>
      <c r="G47" s="87"/>
      <c r="H47" s="117">
        <f t="shared" si="1"/>
        <v>616616000</v>
      </c>
      <c r="I47" s="117">
        <f t="shared" si="0"/>
        <v>924000000</v>
      </c>
    </row>
    <row r="48" spans="1:9" x14ac:dyDescent="0.25">
      <c r="B48" s="90">
        <v>1501</v>
      </c>
      <c r="C48" s="90">
        <v>2500</v>
      </c>
      <c r="D48" s="201">
        <v>0.9</v>
      </c>
      <c r="E48" s="87"/>
      <c r="F48" s="202">
        <v>0.7</v>
      </c>
      <c r="G48" s="87"/>
      <c r="H48" s="117">
        <f t="shared" si="1"/>
        <v>924616000</v>
      </c>
      <c r="I48" s="117">
        <f t="shared" si="0"/>
        <v>1540000000</v>
      </c>
    </row>
    <row r="49" spans="1:9" x14ac:dyDescent="0.25">
      <c r="B49" s="90">
        <v>2501</v>
      </c>
      <c r="C49" s="90">
        <v>3000</v>
      </c>
      <c r="D49" s="201">
        <v>1</v>
      </c>
      <c r="E49" s="87"/>
      <c r="F49" s="202">
        <v>0.7</v>
      </c>
      <c r="G49" s="87"/>
      <c r="H49" s="117">
        <f t="shared" si="1"/>
        <v>1540616000</v>
      </c>
      <c r="I49" s="117">
        <f t="shared" si="0"/>
        <v>1848000000</v>
      </c>
    </row>
    <row r="50" spans="1:9" x14ac:dyDescent="0.25">
      <c r="B50" s="90">
        <v>3001</v>
      </c>
      <c r="C50" s="90">
        <v>3500</v>
      </c>
      <c r="D50" s="201">
        <v>1</v>
      </c>
      <c r="E50" s="87"/>
      <c r="F50" s="202">
        <v>0.68</v>
      </c>
      <c r="G50" s="87"/>
      <c r="H50" s="117">
        <f t="shared" si="1"/>
        <v>1848616000</v>
      </c>
      <c r="I50" s="117">
        <f t="shared" si="0"/>
        <v>2156000000</v>
      </c>
    </row>
    <row r="51" spans="1:9" x14ac:dyDescent="0.25">
      <c r="B51" s="90">
        <v>3501</v>
      </c>
      <c r="C51" s="90">
        <v>4500</v>
      </c>
      <c r="D51" s="201">
        <v>1.1000000000000001</v>
      </c>
      <c r="E51" s="87"/>
      <c r="F51" s="202">
        <v>0.68</v>
      </c>
      <c r="G51" s="87"/>
      <c r="H51" s="117">
        <f t="shared" si="1"/>
        <v>2156616000</v>
      </c>
      <c r="I51" s="117">
        <f t="shared" si="0"/>
        <v>2772000000</v>
      </c>
    </row>
    <row r="52" spans="1:9" x14ac:dyDescent="0.25">
      <c r="A52" s="84" t="s">
        <v>22</v>
      </c>
      <c r="B52" s="90">
        <v>4501</v>
      </c>
      <c r="C52" s="90"/>
      <c r="D52" s="201">
        <v>1.2</v>
      </c>
      <c r="E52" s="87"/>
      <c r="F52" s="202">
        <v>0.65</v>
      </c>
      <c r="G52" s="87"/>
      <c r="H52" s="117">
        <f t="shared" si="1"/>
        <v>2772616000</v>
      </c>
      <c r="I52" s="117">
        <f t="shared" si="0"/>
        <v>0</v>
      </c>
    </row>
  </sheetData>
  <mergeCells count="16">
    <mergeCell ref="A6:E6"/>
    <mergeCell ref="A1:E1"/>
    <mergeCell ref="B2:D2"/>
    <mergeCell ref="A3:E3"/>
    <mergeCell ref="B4:D4"/>
    <mergeCell ref="A5:E5"/>
    <mergeCell ref="B29:D29"/>
    <mergeCell ref="C33:D33"/>
    <mergeCell ref="C35:D35"/>
    <mergeCell ref="H44:I44"/>
    <mergeCell ref="C8:D8"/>
    <mergeCell ref="C9:D9"/>
    <mergeCell ref="C10:D10"/>
    <mergeCell ref="C17:D17"/>
    <mergeCell ref="C18:D18"/>
    <mergeCell ref="B28:D28"/>
  </mergeCells>
  <pageMargins left="0.7" right="0.7" top="0.75" bottom="0.75" header="0.3" footer="0.3"/>
  <pageSetup scale="9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2"/>
  <sheetViews>
    <sheetView view="pageBreakPreview" topLeftCell="A5" zoomScale="130" zoomScaleNormal="100" zoomScaleSheetLayoutView="130" workbookViewId="0">
      <selection activeCell="C9" sqref="C9:D9"/>
    </sheetView>
  </sheetViews>
  <sheetFormatPr baseColWidth="10" defaultRowHeight="13.5" x14ac:dyDescent="0.25"/>
  <cols>
    <col min="1" max="1" width="3.140625" style="84" customWidth="1"/>
    <col min="2" max="2" width="31.140625" style="84" bestFit="1" customWidth="1"/>
    <col min="3" max="3" width="27.7109375" style="84" customWidth="1"/>
    <col min="4" max="4" width="21.7109375" style="84" customWidth="1"/>
    <col min="5" max="5" width="3.5703125" style="84" customWidth="1"/>
    <col min="6" max="6" width="16.5703125" style="84" customWidth="1"/>
    <col min="7" max="7" width="3.140625" style="84" customWidth="1"/>
    <col min="8" max="8" width="18.140625" style="84" customWidth="1"/>
    <col min="9" max="9" width="12.7109375" style="84" bestFit="1" customWidth="1"/>
    <col min="10" max="16384" width="11.42578125" style="84"/>
  </cols>
  <sheetData>
    <row r="1" spans="1:5" s="93" customFormat="1" ht="20.25" customHeight="1" x14ac:dyDescent="0.25">
      <c r="A1" s="253" t="s">
        <v>0</v>
      </c>
      <c r="B1" s="254"/>
      <c r="C1" s="254"/>
      <c r="D1" s="254"/>
      <c r="E1" s="255"/>
    </row>
    <row r="2" spans="1:5" s="93" customFormat="1" ht="15.75" customHeight="1" x14ac:dyDescent="0.25">
      <c r="A2" s="196"/>
      <c r="B2" s="256" t="s">
        <v>1</v>
      </c>
      <c r="C2" s="256"/>
      <c r="D2" s="256"/>
      <c r="E2" s="95"/>
    </row>
    <row r="3" spans="1:5" s="93" customFormat="1" ht="15.75" customHeight="1" x14ac:dyDescent="0.25">
      <c r="A3" s="257" t="s">
        <v>27</v>
      </c>
      <c r="B3" s="256"/>
      <c r="C3" s="256"/>
      <c r="D3" s="256"/>
      <c r="E3" s="258"/>
    </row>
    <row r="4" spans="1:5" s="93" customFormat="1" ht="20.25" x14ac:dyDescent="0.3">
      <c r="A4" s="96"/>
      <c r="B4" s="256" t="s">
        <v>2</v>
      </c>
      <c r="C4" s="256"/>
      <c r="D4" s="256"/>
      <c r="E4" s="97"/>
    </row>
    <row r="5" spans="1:5" s="93" customFormat="1" ht="15" x14ac:dyDescent="0.25">
      <c r="A5" s="96"/>
      <c r="B5" s="256" t="s">
        <v>128</v>
      </c>
      <c r="C5" s="296"/>
      <c r="D5" s="296"/>
      <c r="E5" s="297"/>
    </row>
    <row r="6" spans="1:5" s="93" customFormat="1" ht="20.25" customHeight="1" x14ac:dyDescent="0.25">
      <c r="A6" s="257" t="s">
        <v>28</v>
      </c>
      <c r="B6" s="256"/>
      <c r="C6" s="256"/>
      <c r="D6" s="256"/>
      <c r="E6" s="258"/>
    </row>
    <row r="7" spans="1:5" s="93" customFormat="1" ht="79.5" customHeight="1" x14ac:dyDescent="0.25">
      <c r="A7" s="259" t="s">
        <v>29</v>
      </c>
      <c r="B7" s="260"/>
      <c r="C7" s="260"/>
      <c r="D7" s="260"/>
      <c r="E7" s="261"/>
    </row>
    <row r="8" spans="1:5" s="93" customFormat="1" ht="14.25" thickBot="1" x14ac:dyDescent="0.3">
      <c r="A8" s="98"/>
      <c r="B8" s="70"/>
      <c r="C8" s="70"/>
      <c r="D8" s="70"/>
      <c r="E8" s="75"/>
    </row>
    <row r="9" spans="1:5" s="93" customFormat="1" ht="26.25" customHeight="1" thickBot="1" x14ac:dyDescent="0.3">
      <c r="A9" s="98"/>
      <c r="B9" s="72" t="s">
        <v>3</v>
      </c>
      <c r="C9" s="247" t="s">
        <v>194</v>
      </c>
      <c r="D9" s="248"/>
      <c r="E9" s="75"/>
    </row>
    <row r="10" spans="1:5" s="93" customFormat="1" ht="14.25" thickBot="1" x14ac:dyDescent="0.3">
      <c r="A10" s="98"/>
      <c r="B10" s="72" t="s">
        <v>38</v>
      </c>
      <c r="C10" s="247">
        <v>19</v>
      </c>
      <c r="D10" s="248"/>
      <c r="E10" s="75"/>
    </row>
    <row r="11" spans="1:5" s="93" customFormat="1" ht="14.25" thickBot="1" x14ac:dyDescent="0.3">
      <c r="A11" s="98"/>
      <c r="B11" s="79" t="s">
        <v>6</v>
      </c>
      <c r="C11" s="247" t="s">
        <v>136</v>
      </c>
      <c r="D11" s="248"/>
      <c r="E11" s="75"/>
    </row>
    <row r="12" spans="1:5" s="93" customFormat="1" ht="26.25" customHeight="1" x14ac:dyDescent="0.25">
      <c r="A12" s="98"/>
      <c r="B12" s="130" t="s">
        <v>23</v>
      </c>
      <c r="C12" s="197" t="s">
        <v>24</v>
      </c>
      <c r="D12" s="199" t="s">
        <v>25</v>
      </c>
      <c r="E12" s="75"/>
    </row>
    <row r="13" spans="1:5" s="93" customFormat="1" x14ac:dyDescent="0.25">
      <c r="A13" s="98"/>
      <c r="B13" s="133"/>
      <c r="C13" s="135"/>
      <c r="D13" s="99"/>
      <c r="E13" s="75"/>
    </row>
    <row r="14" spans="1:5" s="93" customFormat="1" x14ac:dyDescent="0.25">
      <c r="A14" s="98"/>
      <c r="B14" s="133">
        <v>22</v>
      </c>
      <c r="C14" s="135" t="s">
        <v>192</v>
      </c>
      <c r="D14" s="134">
        <v>2842150441</v>
      </c>
      <c r="E14" s="75"/>
    </row>
    <row r="15" spans="1:5" s="93" customFormat="1" x14ac:dyDescent="0.25">
      <c r="A15" s="98"/>
      <c r="B15" s="133" t="s">
        <v>193</v>
      </c>
      <c r="C15" s="135" t="s">
        <v>137</v>
      </c>
      <c r="D15" s="134">
        <v>18796617288</v>
      </c>
      <c r="E15" s="75"/>
    </row>
    <row r="16" spans="1:5" s="93" customFormat="1" ht="14.25" thickBot="1" x14ac:dyDescent="0.3">
      <c r="A16" s="98"/>
      <c r="B16" s="133"/>
      <c r="C16" s="135"/>
      <c r="D16" s="134"/>
      <c r="E16" s="75"/>
    </row>
    <row r="17" spans="1:6" s="93" customFormat="1" ht="14.25" thickBot="1" x14ac:dyDescent="0.3">
      <c r="A17" s="98"/>
      <c r="B17" s="72" t="s">
        <v>30</v>
      </c>
      <c r="C17" s="249">
        <f>+SUM(D14:D16)</f>
        <v>21638767729</v>
      </c>
      <c r="D17" s="250"/>
      <c r="E17" s="75"/>
    </row>
    <row r="18" spans="1:6" s="93" customFormat="1" ht="14.25" thickBot="1" x14ac:dyDescent="0.3">
      <c r="A18" s="98"/>
      <c r="B18" s="72" t="s">
        <v>5</v>
      </c>
      <c r="C18" s="251">
        <f>+ROUND(C17/616000,0)</f>
        <v>35128</v>
      </c>
      <c r="D18" s="252"/>
      <c r="E18" s="75"/>
    </row>
    <row r="19" spans="1:6" s="93" customFormat="1" x14ac:dyDescent="0.25">
      <c r="A19" s="98"/>
      <c r="B19" s="70"/>
      <c r="C19" s="70"/>
      <c r="D19" s="99"/>
      <c r="E19" s="75"/>
    </row>
    <row r="20" spans="1:6" s="93" customFormat="1" ht="14.25" thickBot="1" x14ac:dyDescent="0.3">
      <c r="A20" s="98"/>
      <c r="B20" s="100" t="s">
        <v>19</v>
      </c>
      <c r="C20" s="76"/>
      <c r="D20" s="99"/>
      <c r="E20" s="75"/>
    </row>
    <row r="21" spans="1:6" s="93" customFormat="1" x14ac:dyDescent="0.25">
      <c r="A21" s="98"/>
      <c r="B21" s="77" t="s">
        <v>13</v>
      </c>
      <c r="C21" s="85">
        <f>+IF($C$18&gt;$B$52,$D$52,IF(AND($C$18&gt;=$B$51,$C$18&lt;=$C$51),$D$51,IF(AND($C$18&gt;=$B$49,$C$18&lt;=$C$50),$D$49,IF(AND($C$18&gt;=$B$47,$C$18&lt;=$C$48),$D$47,IF(AND($C$18&gt;$B$45,$C$18&lt;=$C$46),$D$45)))))</f>
        <v>1.2</v>
      </c>
      <c r="D21" s="99"/>
      <c r="E21" s="75"/>
    </row>
    <row r="22" spans="1:6" s="93" customFormat="1" ht="14.25" thickBot="1" x14ac:dyDescent="0.3">
      <c r="A22" s="98"/>
      <c r="B22" s="78" t="s">
        <v>14</v>
      </c>
      <c r="C22" s="86">
        <f>+IF($C$18&gt;$B$52,$F$52,IF(AND($C$18&gt;=$B$50,$C$18&lt;=$C$51),$F$50,IF(AND($C$18&gt;=$B$48,$C$18&lt;=$C$49),$F$48,IF(AND($C$18&gt;=$B$46,$C$18&lt;=$C$47),$F$46,IF(AND($C$18&gt;$B$45,$C$18&lt;=$C$45),$F$45)))))</f>
        <v>0.65</v>
      </c>
      <c r="D22" s="99"/>
      <c r="E22" s="75"/>
    </row>
    <row r="23" spans="1:6" s="93" customFormat="1" ht="11.25" customHeight="1" thickBot="1" x14ac:dyDescent="0.3">
      <c r="A23" s="98"/>
      <c r="B23" s="101"/>
      <c r="C23" s="102"/>
      <c r="D23" s="103"/>
      <c r="E23" s="75"/>
    </row>
    <row r="24" spans="1:6" s="93" customFormat="1" x14ac:dyDescent="0.25">
      <c r="A24" s="98"/>
      <c r="B24" s="80" t="s">
        <v>7</v>
      </c>
      <c r="C24" s="127">
        <v>509821320</v>
      </c>
      <c r="D24" s="104"/>
      <c r="E24" s="75"/>
    </row>
    <row r="25" spans="1:6" s="93" customFormat="1" x14ac:dyDescent="0.25">
      <c r="A25" s="98"/>
      <c r="B25" s="81" t="s">
        <v>8</v>
      </c>
      <c r="C25" s="129">
        <v>524817653</v>
      </c>
      <c r="D25" s="105"/>
      <c r="E25" s="75"/>
    </row>
    <row r="26" spans="1:6" s="93" customFormat="1" ht="15" x14ac:dyDescent="0.25">
      <c r="A26" s="98"/>
      <c r="B26" s="81" t="s">
        <v>9</v>
      </c>
      <c r="C26" s="129">
        <v>24927509</v>
      </c>
      <c r="D26" s="105"/>
      <c r="E26" s="75"/>
      <c r="F26" s="106"/>
    </row>
    <row r="27" spans="1:6" s="93" customFormat="1" ht="15.75" thickBot="1" x14ac:dyDescent="0.3">
      <c r="A27" s="98"/>
      <c r="B27" s="82" t="s">
        <v>10</v>
      </c>
      <c r="C27" s="128">
        <v>311927509</v>
      </c>
      <c r="D27" s="107"/>
      <c r="E27" s="75"/>
      <c r="F27" s="106"/>
    </row>
    <row r="28" spans="1:6" s="93" customFormat="1" ht="14.25" thickBot="1" x14ac:dyDescent="0.3">
      <c r="A28" s="98"/>
      <c r="B28" s="286" t="s">
        <v>11</v>
      </c>
      <c r="C28" s="287"/>
      <c r="D28" s="288"/>
      <c r="E28" s="75"/>
    </row>
    <row r="29" spans="1:6" s="93" customFormat="1" ht="14.25" thickBot="1" x14ac:dyDescent="0.3">
      <c r="A29" s="98"/>
      <c r="B29" s="241" t="s">
        <v>12</v>
      </c>
      <c r="C29" s="242"/>
      <c r="D29" s="243"/>
      <c r="E29" s="75"/>
    </row>
    <row r="30" spans="1:6" s="93" customFormat="1" ht="16.5" x14ac:dyDescent="0.3">
      <c r="A30" s="98"/>
      <c r="B30" s="77" t="s">
        <v>13</v>
      </c>
      <c r="C30" s="126">
        <f>+IFERROR(C24/C26,"INDETERMINADO")</f>
        <v>20.452156691629316</v>
      </c>
      <c r="D30" s="118" t="str">
        <f>+IF(C30&gt;=C21,"CUMPLE","NO CUMPLE")</f>
        <v>CUMPLE</v>
      </c>
      <c r="E30" s="75"/>
    </row>
    <row r="31" spans="1:6" s="93" customFormat="1" ht="17.25" thickBot="1" x14ac:dyDescent="0.35">
      <c r="A31" s="98"/>
      <c r="B31" s="78" t="s">
        <v>14</v>
      </c>
      <c r="C31" s="225">
        <f>+C27/C25</f>
        <v>0.59435407177509714</v>
      </c>
      <c r="D31" s="119" t="str">
        <f>+IF(C31&lt;=C22,"CUMPLE","NO CUMPLE")</f>
        <v>CUMPLE</v>
      </c>
      <c r="E31" s="75"/>
    </row>
    <row r="32" spans="1:6" s="110" customFormat="1" ht="8.25" customHeight="1" thickBot="1" x14ac:dyDescent="0.3">
      <c r="A32" s="98"/>
      <c r="B32" s="108"/>
      <c r="C32" s="100"/>
      <c r="D32" s="76"/>
      <c r="E32" s="109"/>
    </row>
    <row r="33" spans="1:9" s="93" customFormat="1" ht="41.25" customHeight="1" thickBot="1" x14ac:dyDescent="0.3">
      <c r="A33" s="98"/>
      <c r="B33" s="72" t="s">
        <v>15</v>
      </c>
      <c r="C33" s="244" t="s">
        <v>138</v>
      </c>
      <c r="D33" s="245"/>
      <c r="E33" s="75"/>
    </row>
    <row r="34" spans="1:9" s="70" customFormat="1" ht="7.5" customHeight="1" thickBot="1" x14ac:dyDescent="0.3">
      <c r="A34" s="98"/>
      <c r="B34" s="83"/>
      <c r="C34" s="83"/>
      <c r="D34" s="83"/>
      <c r="E34" s="75"/>
    </row>
    <row r="35" spans="1:9" s="70" customFormat="1" ht="45.75" customHeight="1" thickBot="1" x14ac:dyDescent="0.3">
      <c r="A35" s="98"/>
      <c r="B35" s="72" t="s">
        <v>26</v>
      </c>
      <c r="C35" s="244"/>
      <c r="D35" s="245"/>
      <c r="E35" s="75"/>
    </row>
    <row r="36" spans="1:9" s="70" customFormat="1" ht="14.25" thickBot="1" x14ac:dyDescent="0.3">
      <c r="A36" s="111"/>
      <c r="B36" s="112"/>
      <c r="C36" s="112"/>
      <c r="D36" s="112"/>
      <c r="E36" s="71"/>
    </row>
    <row r="37" spans="1:9" s="70" customFormat="1" x14ac:dyDescent="0.25">
      <c r="B37" s="83"/>
      <c r="C37" s="83"/>
      <c r="D37" s="83"/>
    </row>
    <row r="38" spans="1:9" s="70" customFormat="1" x14ac:dyDescent="0.25">
      <c r="B38" s="83"/>
      <c r="C38" s="83"/>
      <c r="D38" s="83"/>
    </row>
    <row r="39" spans="1:9" s="70" customFormat="1" x14ac:dyDescent="0.25">
      <c r="B39" s="83"/>
      <c r="C39" s="83"/>
      <c r="D39" s="83"/>
    </row>
    <row r="40" spans="1:9" s="70" customFormat="1" x14ac:dyDescent="0.25">
      <c r="B40" s="83"/>
      <c r="C40" s="83"/>
      <c r="D40" s="83"/>
    </row>
    <row r="42" spans="1:9" x14ac:dyDescent="0.25">
      <c r="B42" s="100"/>
      <c r="C42" s="70"/>
    </row>
    <row r="43" spans="1:9" x14ac:dyDescent="0.25">
      <c r="B43" s="88">
        <v>616000</v>
      </c>
      <c r="C43" s="87"/>
      <c r="D43" s="87"/>
      <c r="E43" s="87"/>
      <c r="F43" s="87"/>
      <c r="G43" s="87"/>
      <c r="H43" s="87"/>
      <c r="I43" s="87"/>
    </row>
    <row r="44" spans="1:9" ht="25.5" x14ac:dyDescent="0.25">
      <c r="B44" s="89" t="s">
        <v>21</v>
      </c>
      <c r="C44" s="89" t="s">
        <v>20</v>
      </c>
      <c r="D44" s="200" t="s">
        <v>16</v>
      </c>
      <c r="E44" s="87"/>
      <c r="F44" s="200" t="s">
        <v>17</v>
      </c>
      <c r="G44" s="87"/>
      <c r="H44" s="246"/>
      <c r="I44" s="246"/>
    </row>
    <row r="45" spans="1:9" x14ac:dyDescent="0.25">
      <c r="B45" s="90">
        <v>0</v>
      </c>
      <c r="C45" s="90">
        <v>250</v>
      </c>
      <c r="D45" s="201">
        <v>0.8</v>
      </c>
      <c r="E45" s="87"/>
      <c r="F45" s="202">
        <v>0.8</v>
      </c>
      <c r="G45" s="87"/>
      <c r="H45" s="116"/>
      <c r="I45" s="117">
        <f t="shared" ref="I45:I52" si="0">+C45*$B$43</f>
        <v>154000000</v>
      </c>
    </row>
    <row r="46" spans="1:9" x14ac:dyDescent="0.25">
      <c r="B46" s="90">
        <v>251</v>
      </c>
      <c r="C46" s="90">
        <v>1000</v>
      </c>
      <c r="D46" s="201">
        <v>0.8</v>
      </c>
      <c r="E46" s="87"/>
      <c r="F46" s="202">
        <v>0.75</v>
      </c>
      <c r="G46" s="87"/>
      <c r="H46" s="117">
        <f t="shared" ref="H46:H52" si="1">+B46*$B$43</f>
        <v>154616000</v>
      </c>
      <c r="I46" s="117">
        <f t="shared" si="0"/>
        <v>616000000</v>
      </c>
    </row>
    <row r="47" spans="1:9" x14ac:dyDescent="0.25">
      <c r="B47" s="90">
        <v>1001</v>
      </c>
      <c r="C47" s="90">
        <v>1500</v>
      </c>
      <c r="D47" s="201">
        <v>0.9</v>
      </c>
      <c r="E47" s="87"/>
      <c r="F47" s="202">
        <v>0.75</v>
      </c>
      <c r="G47" s="87"/>
      <c r="H47" s="117">
        <f t="shared" si="1"/>
        <v>616616000</v>
      </c>
      <c r="I47" s="117">
        <f t="shared" si="0"/>
        <v>924000000</v>
      </c>
    </row>
    <row r="48" spans="1:9" x14ac:dyDescent="0.25">
      <c r="B48" s="90">
        <v>1501</v>
      </c>
      <c r="C48" s="90">
        <v>2500</v>
      </c>
      <c r="D48" s="201">
        <v>0.9</v>
      </c>
      <c r="E48" s="87"/>
      <c r="F48" s="202">
        <v>0.7</v>
      </c>
      <c r="G48" s="87"/>
      <c r="H48" s="117">
        <f t="shared" si="1"/>
        <v>924616000</v>
      </c>
      <c r="I48" s="117">
        <f t="shared" si="0"/>
        <v>1540000000</v>
      </c>
    </row>
    <row r="49" spans="1:9" x14ac:dyDescent="0.25">
      <c r="B49" s="90">
        <v>2501</v>
      </c>
      <c r="C49" s="90">
        <v>3000</v>
      </c>
      <c r="D49" s="201">
        <v>1</v>
      </c>
      <c r="E49" s="87"/>
      <c r="F49" s="202">
        <v>0.7</v>
      </c>
      <c r="G49" s="87"/>
      <c r="H49" s="117">
        <f t="shared" si="1"/>
        <v>1540616000</v>
      </c>
      <c r="I49" s="117">
        <f t="shared" si="0"/>
        <v>1848000000</v>
      </c>
    </row>
    <row r="50" spans="1:9" x14ac:dyDescent="0.25">
      <c r="B50" s="90">
        <v>3001</v>
      </c>
      <c r="C50" s="90">
        <v>3500</v>
      </c>
      <c r="D50" s="201">
        <v>1</v>
      </c>
      <c r="E50" s="87"/>
      <c r="F50" s="202">
        <v>0.68</v>
      </c>
      <c r="G50" s="87"/>
      <c r="H50" s="117">
        <f t="shared" si="1"/>
        <v>1848616000</v>
      </c>
      <c r="I50" s="117">
        <f t="shared" si="0"/>
        <v>2156000000</v>
      </c>
    </row>
    <row r="51" spans="1:9" x14ac:dyDescent="0.25">
      <c r="B51" s="90">
        <v>3501</v>
      </c>
      <c r="C51" s="90">
        <v>4500</v>
      </c>
      <c r="D51" s="201">
        <v>1.1000000000000001</v>
      </c>
      <c r="E51" s="87"/>
      <c r="F51" s="202">
        <v>0.68</v>
      </c>
      <c r="G51" s="87"/>
      <c r="H51" s="117">
        <f t="shared" si="1"/>
        <v>2156616000</v>
      </c>
      <c r="I51" s="117">
        <f t="shared" si="0"/>
        <v>2772000000</v>
      </c>
    </row>
    <row r="52" spans="1:9" x14ac:dyDescent="0.25">
      <c r="A52" s="84" t="s">
        <v>22</v>
      </c>
      <c r="B52" s="90">
        <v>4501</v>
      </c>
      <c r="C52" s="90"/>
      <c r="D52" s="201">
        <v>1.2</v>
      </c>
      <c r="E52" s="87"/>
      <c r="F52" s="202">
        <v>0.65</v>
      </c>
      <c r="G52" s="87"/>
      <c r="H52" s="117">
        <f t="shared" si="1"/>
        <v>2772616000</v>
      </c>
      <c r="I52" s="117">
        <f t="shared" si="0"/>
        <v>0</v>
      </c>
    </row>
  </sheetData>
  <mergeCells count="17">
    <mergeCell ref="C18:D18"/>
    <mergeCell ref="A1:E1"/>
    <mergeCell ref="B2:D2"/>
    <mergeCell ref="A3:E3"/>
    <mergeCell ref="B4:D4"/>
    <mergeCell ref="B5:E5"/>
    <mergeCell ref="A6:E6"/>
    <mergeCell ref="A7:E7"/>
    <mergeCell ref="C9:D9"/>
    <mergeCell ref="C10:D10"/>
    <mergeCell ref="C11:D11"/>
    <mergeCell ref="C17:D17"/>
    <mergeCell ref="B28:D28"/>
    <mergeCell ref="B29:D29"/>
    <mergeCell ref="C33:D33"/>
    <mergeCell ref="C35:D35"/>
    <mergeCell ref="H44:I44"/>
  </mergeCells>
  <pageMargins left="0.7" right="0.7" top="0.75" bottom="0.75" header="0.3" footer="0.3"/>
  <pageSetup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view="pageBreakPreview" zoomScale="130" zoomScaleNormal="100" zoomScaleSheetLayoutView="130" workbookViewId="0">
      <selection activeCell="D15" sqref="D15"/>
    </sheetView>
  </sheetViews>
  <sheetFormatPr baseColWidth="10" defaultRowHeight="13.5" x14ac:dyDescent="0.25"/>
  <cols>
    <col min="1" max="1" width="3.140625" style="84" customWidth="1"/>
    <col min="2" max="2" width="31.140625" style="84" bestFit="1" customWidth="1"/>
    <col min="3" max="3" width="34.7109375" style="84" customWidth="1"/>
    <col min="4" max="4" width="21.7109375" style="84" customWidth="1"/>
    <col min="5" max="5" width="3.5703125" style="84" customWidth="1"/>
    <col min="6" max="6" width="16.5703125" style="84" customWidth="1"/>
    <col min="7" max="7" width="3.140625" style="84" customWidth="1"/>
    <col min="8" max="8" width="18.140625" style="84" customWidth="1"/>
    <col min="9" max="9" width="12.7109375" style="84" bestFit="1" customWidth="1"/>
    <col min="10" max="10" width="17.140625" style="84" customWidth="1"/>
    <col min="11" max="16384" width="11.42578125" style="84"/>
  </cols>
  <sheetData>
    <row r="1" spans="1:5" s="93" customFormat="1" ht="15.75" x14ac:dyDescent="0.25">
      <c r="A1" s="253" t="s">
        <v>0</v>
      </c>
      <c r="B1" s="254"/>
      <c r="C1" s="254"/>
      <c r="D1" s="254"/>
      <c r="E1" s="255"/>
    </row>
    <row r="2" spans="1:5" s="93" customFormat="1" ht="15.75" x14ac:dyDescent="0.25">
      <c r="A2" s="196"/>
      <c r="B2" s="256" t="s">
        <v>1</v>
      </c>
      <c r="C2" s="256"/>
      <c r="D2" s="256"/>
      <c r="E2" s="95"/>
    </row>
    <row r="3" spans="1:5" s="93" customFormat="1" ht="15.75" x14ac:dyDescent="0.25">
      <c r="A3" s="257" t="s">
        <v>27</v>
      </c>
      <c r="B3" s="256"/>
      <c r="C3" s="256"/>
      <c r="D3" s="256"/>
      <c r="E3" s="258"/>
    </row>
    <row r="4" spans="1:5" s="93" customFormat="1" ht="20.25" x14ac:dyDescent="0.3">
      <c r="A4" s="96"/>
      <c r="B4" s="256" t="s">
        <v>2</v>
      </c>
      <c r="C4" s="256"/>
      <c r="D4" s="256"/>
      <c r="E4" s="97"/>
    </row>
    <row r="5" spans="1:5" s="93" customFormat="1" ht="15.75" x14ac:dyDescent="0.25">
      <c r="A5" s="257" t="s">
        <v>28</v>
      </c>
      <c r="B5" s="256"/>
      <c r="C5" s="256"/>
      <c r="D5" s="256"/>
      <c r="E5" s="258"/>
    </row>
    <row r="6" spans="1:5" s="93" customFormat="1" ht="99.75" customHeight="1" x14ac:dyDescent="0.25">
      <c r="A6" s="259" t="s">
        <v>29</v>
      </c>
      <c r="B6" s="260"/>
      <c r="C6" s="260"/>
      <c r="D6" s="260"/>
      <c r="E6" s="261"/>
    </row>
    <row r="7" spans="1:5" s="93" customFormat="1" ht="14.25" thickBot="1" x14ac:dyDescent="0.3">
      <c r="A7" s="98"/>
      <c r="B7" s="70"/>
      <c r="C7" s="70"/>
      <c r="D7" s="70"/>
      <c r="E7" s="75"/>
    </row>
    <row r="8" spans="1:5" s="93" customFormat="1" ht="53.25" customHeight="1" thickBot="1" x14ac:dyDescent="0.3">
      <c r="A8" s="98"/>
      <c r="B8" s="72" t="s">
        <v>3</v>
      </c>
      <c r="C8" s="247" t="s">
        <v>195</v>
      </c>
      <c r="D8" s="248"/>
      <c r="E8" s="75"/>
    </row>
    <row r="9" spans="1:5" s="93" customFormat="1" ht="14.25" thickBot="1" x14ac:dyDescent="0.3">
      <c r="A9" s="98"/>
      <c r="B9" s="73"/>
      <c r="C9" s="298" t="s">
        <v>179</v>
      </c>
      <c r="D9" s="299"/>
      <c r="E9" s="75"/>
    </row>
    <row r="10" spans="1:5" s="93" customFormat="1" ht="14.25" thickBot="1" x14ac:dyDescent="0.3">
      <c r="A10" s="98"/>
      <c r="B10" s="79" t="s">
        <v>6</v>
      </c>
      <c r="C10" s="300">
        <v>804003003</v>
      </c>
      <c r="D10" s="292"/>
      <c r="E10" s="75"/>
    </row>
    <row r="11" spans="1:5" s="93" customFormat="1" x14ac:dyDescent="0.25">
      <c r="A11" s="98"/>
      <c r="B11" s="133" t="s">
        <v>23</v>
      </c>
      <c r="C11" s="135" t="s">
        <v>24</v>
      </c>
      <c r="D11" s="99" t="s">
        <v>25</v>
      </c>
      <c r="E11" s="75"/>
    </row>
    <row r="12" spans="1:5" s="93" customFormat="1" x14ac:dyDescent="0.25">
      <c r="A12" s="98"/>
      <c r="B12" s="133">
        <v>16</v>
      </c>
      <c r="C12" s="135" t="s">
        <v>196</v>
      </c>
      <c r="D12" s="134">
        <v>4260093240</v>
      </c>
      <c r="E12" s="75"/>
    </row>
    <row r="13" spans="1:5" s="93" customFormat="1" x14ac:dyDescent="0.25">
      <c r="A13" s="98"/>
      <c r="B13" s="133">
        <v>17</v>
      </c>
      <c r="C13" s="135" t="s">
        <v>197</v>
      </c>
      <c r="D13" s="134">
        <v>710015540</v>
      </c>
      <c r="E13" s="75"/>
    </row>
    <row r="14" spans="1:5" s="93" customFormat="1" ht="15" customHeight="1" x14ac:dyDescent="0.25">
      <c r="A14" s="98"/>
      <c r="B14" s="133">
        <v>7</v>
      </c>
      <c r="C14" s="135" t="s">
        <v>56</v>
      </c>
      <c r="D14" s="134">
        <v>2104987248</v>
      </c>
      <c r="E14" s="75"/>
    </row>
    <row r="15" spans="1:5" s="93" customFormat="1" ht="14.25" thickBot="1" x14ac:dyDescent="0.3">
      <c r="A15" s="98"/>
      <c r="B15" s="133">
        <v>17</v>
      </c>
      <c r="C15" s="135" t="s">
        <v>96</v>
      </c>
      <c r="D15" s="134">
        <v>2286667695</v>
      </c>
      <c r="E15" s="75"/>
    </row>
    <row r="16" spans="1:5" s="93" customFormat="1" ht="14.25" thickBot="1" x14ac:dyDescent="0.3">
      <c r="A16" s="98"/>
      <c r="B16" s="72" t="s">
        <v>30</v>
      </c>
      <c r="C16" s="249">
        <f>+SUM(D12:D15)</f>
        <v>9361763723</v>
      </c>
      <c r="D16" s="250"/>
      <c r="E16" s="75"/>
    </row>
    <row r="17" spans="1:10" s="93" customFormat="1" ht="14.25" thickBot="1" x14ac:dyDescent="0.3">
      <c r="A17" s="98"/>
      <c r="B17" s="72" t="s">
        <v>5</v>
      </c>
      <c r="C17" s="251">
        <f>+ROUND(C16/616000,0)</f>
        <v>15198</v>
      </c>
      <c r="D17" s="252"/>
      <c r="E17" s="75"/>
    </row>
    <row r="18" spans="1:10" s="93" customFormat="1" x14ac:dyDescent="0.25">
      <c r="A18" s="98"/>
      <c r="B18" s="70"/>
      <c r="C18" s="70"/>
      <c r="D18" s="99"/>
      <c r="E18" s="75"/>
    </row>
    <row r="19" spans="1:10" s="93" customFormat="1" ht="14.25" thickBot="1" x14ac:dyDescent="0.3">
      <c r="A19" s="98"/>
      <c r="B19" s="100" t="s">
        <v>19</v>
      </c>
      <c r="C19" s="76"/>
      <c r="D19" s="99"/>
      <c r="E19" s="75"/>
    </row>
    <row r="20" spans="1:10" s="93" customFormat="1" x14ac:dyDescent="0.25">
      <c r="A20" s="98"/>
      <c r="B20" s="77" t="s">
        <v>13</v>
      </c>
      <c r="C20" s="85">
        <f>+IF($C$17&gt;$B$51,$D$51,IF(AND($C$17&gt;=$B$50,$C$17&lt;=$C$50),$D$50,IF(AND($C$17&gt;=$B$48,$C$17&lt;=$C$49),$D$48,IF(AND($C$17&gt;=$B$46,$C$17&lt;=$C$47),$D$46,IF(AND($C$17&gt;$B$44,$C$17&lt;=$C$45),$D$44)))))</f>
        <v>1.2</v>
      </c>
      <c r="D20" s="99"/>
      <c r="E20" s="75"/>
    </row>
    <row r="21" spans="1:10" s="93" customFormat="1" ht="14.25" thickBot="1" x14ac:dyDescent="0.3">
      <c r="A21" s="98"/>
      <c r="B21" s="78" t="s">
        <v>14</v>
      </c>
      <c r="C21" s="86">
        <f>+IF($C$17&gt;$B$51,$F$51,IF(AND($C$17&gt;=$B$49,$C$17&lt;=$C$50),$F$49,IF(AND($C$17&gt;=$B$47,$C$17&lt;=$C$48),$F$47,IF(AND($C$17&gt;=$B$45,$C$17&lt;=$C$46),$F$45,IF(AND($C$17&gt;$B$44,$C$17&lt;=$C$44),$F$44)))))</f>
        <v>0.65</v>
      </c>
      <c r="D21" s="99"/>
      <c r="E21" s="75"/>
    </row>
    <row r="22" spans="1:10" s="93" customFormat="1" ht="14.25" thickBot="1" x14ac:dyDescent="0.3">
      <c r="A22" s="98"/>
      <c r="B22" s="101"/>
      <c r="C22" s="102"/>
      <c r="D22" s="103"/>
      <c r="E22" s="75"/>
    </row>
    <row r="23" spans="1:10" s="93" customFormat="1" x14ac:dyDescent="0.25">
      <c r="A23" s="98"/>
      <c r="B23" s="80" t="s">
        <v>7</v>
      </c>
      <c r="C23" s="127">
        <v>4651686733.3900003</v>
      </c>
      <c r="D23" s="104"/>
      <c r="E23" s="75"/>
    </row>
    <row r="24" spans="1:10" s="93" customFormat="1" x14ac:dyDescent="0.25">
      <c r="A24" s="98"/>
      <c r="B24" s="81" t="s">
        <v>8</v>
      </c>
      <c r="C24" s="129">
        <v>5857286179</v>
      </c>
      <c r="D24" s="105"/>
      <c r="E24" s="75"/>
    </row>
    <row r="25" spans="1:10" s="93" customFormat="1" ht="15" x14ac:dyDescent="0.25">
      <c r="A25" s="98"/>
      <c r="B25" s="81" t="s">
        <v>9</v>
      </c>
      <c r="C25" s="129">
        <v>1615492634</v>
      </c>
      <c r="D25" s="105"/>
      <c r="E25" s="75"/>
      <c r="F25" s="106"/>
    </row>
    <row r="26" spans="1:10" s="93" customFormat="1" ht="15.75" thickBot="1" x14ac:dyDescent="0.3">
      <c r="A26" s="98"/>
      <c r="B26" s="82" t="s">
        <v>10</v>
      </c>
      <c r="C26" s="128">
        <v>1641525382</v>
      </c>
      <c r="D26" s="107"/>
      <c r="E26" s="75"/>
      <c r="F26" s="106"/>
    </row>
    <row r="27" spans="1:10" s="93" customFormat="1" ht="14.25" thickBot="1" x14ac:dyDescent="0.3">
      <c r="A27" s="98"/>
      <c r="B27" s="286" t="s">
        <v>11</v>
      </c>
      <c r="C27" s="287"/>
      <c r="D27" s="288"/>
      <c r="E27" s="75"/>
    </row>
    <row r="28" spans="1:10" s="93" customFormat="1" ht="14.25" thickBot="1" x14ac:dyDescent="0.3">
      <c r="A28" s="98"/>
      <c r="B28" s="241" t="s">
        <v>12</v>
      </c>
      <c r="C28" s="242"/>
      <c r="D28" s="243"/>
      <c r="E28" s="75"/>
    </row>
    <row r="29" spans="1:10" s="93" customFormat="1" ht="16.5" x14ac:dyDescent="0.3">
      <c r="A29" s="98"/>
      <c r="B29" s="77" t="s">
        <v>13</v>
      </c>
      <c r="C29" s="126">
        <f>+IFERROR(C23/C25,"INDETERMINADO")</f>
        <v>2.8794230536801075</v>
      </c>
      <c r="D29" s="118" t="str">
        <f>+IF(C29&gt;=C20,"CUMPLE","NO CUMPLE")</f>
        <v>CUMPLE</v>
      </c>
      <c r="E29" s="75"/>
      <c r="H29" s="216"/>
      <c r="I29" s="135"/>
      <c r="J29" s="217"/>
    </row>
    <row r="30" spans="1:10" s="93" customFormat="1" ht="17.25" thickBot="1" x14ac:dyDescent="0.35">
      <c r="A30" s="98"/>
      <c r="B30" s="78" t="s">
        <v>14</v>
      </c>
      <c r="C30" s="120">
        <f>+C26/C24</f>
        <v>0.28025357338443274</v>
      </c>
      <c r="D30" s="119" t="str">
        <f>+IF(C30&lt;=C21,"CUMPLE","NO CUMPLE")</f>
        <v>CUMPLE</v>
      </c>
      <c r="E30" s="75"/>
      <c r="H30" s="216"/>
      <c r="I30" s="135"/>
      <c r="J30" s="217"/>
    </row>
    <row r="31" spans="1:10" s="110" customFormat="1" ht="14.25" thickBot="1" x14ac:dyDescent="0.3">
      <c r="A31" s="98"/>
      <c r="B31" s="108"/>
      <c r="C31" s="100"/>
      <c r="D31" s="76"/>
      <c r="E31" s="109"/>
    </row>
    <row r="32" spans="1:10" s="93" customFormat="1" ht="41.25" customHeight="1" thickBot="1" x14ac:dyDescent="0.3">
      <c r="A32" s="98"/>
      <c r="B32" s="72" t="s">
        <v>15</v>
      </c>
      <c r="C32" s="244" t="s">
        <v>86</v>
      </c>
      <c r="D32" s="245"/>
      <c r="E32" s="75"/>
    </row>
    <row r="33" spans="1:9" s="70" customFormat="1" ht="14.25" thickBot="1" x14ac:dyDescent="0.3">
      <c r="A33" s="98"/>
      <c r="B33" s="83"/>
      <c r="C33" s="83"/>
      <c r="D33" s="83"/>
      <c r="E33" s="75"/>
    </row>
    <row r="34" spans="1:9" s="70" customFormat="1" ht="45.75" customHeight="1" thickBot="1" x14ac:dyDescent="0.3">
      <c r="A34" s="98"/>
      <c r="B34" s="72" t="s">
        <v>26</v>
      </c>
      <c r="C34" s="244"/>
      <c r="D34" s="245"/>
      <c r="E34" s="75"/>
    </row>
    <row r="35" spans="1:9" s="70" customFormat="1" ht="14.25" thickBot="1" x14ac:dyDescent="0.3">
      <c r="A35" s="111"/>
      <c r="B35" s="112"/>
      <c r="C35" s="112"/>
      <c r="D35" s="112"/>
      <c r="E35" s="71"/>
    </row>
    <row r="36" spans="1:9" s="70" customFormat="1" x14ac:dyDescent="0.25">
      <c r="B36" s="83"/>
      <c r="C36" s="83"/>
      <c r="D36" s="83"/>
    </row>
    <row r="37" spans="1:9" s="70" customFormat="1" x14ac:dyDescent="0.25">
      <c r="B37" s="83"/>
      <c r="C37" s="83"/>
      <c r="D37" s="83"/>
    </row>
    <row r="38" spans="1:9" s="70" customFormat="1" x14ac:dyDescent="0.25">
      <c r="B38" s="83"/>
      <c r="C38" s="83"/>
      <c r="D38" s="83"/>
    </row>
    <row r="39" spans="1:9" s="70" customFormat="1" x14ac:dyDescent="0.25">
      <c r="B39" s="83"/>
      <c r="C39" s="83"/>
      <c r="D39" s="83"/>
    </row>
    <row r="41" spans="1:9" x14ac:dyDescent="0.25">
      <c r="B41" s="100"/>
      <c r="C41" s="70"/>
    </row>
    <row r="42" spans="1:9" x14ac:dyDescent="0.25">
      <c r="B42" s="88">
        <v>616000</v>
      </c>
      <c r="C42" s="87"/>
      <c r="D42" s="87"/>
      <c r="E42" s="87"/>
      <c r="F42" s="87"/>
      <c r="G42" s="87"/>
      <c r="H42" s="87"/>
      <c r="I42" s="87"/>
    </row>
    <row r="43" spans="1:9" ht="25.5" x14ac:dyDescent="0.25">
      <c r="B43" s="89" t="s">
        <v>21</v>
      </c>
      <c r="C43" s="89" t="s">
        <v>20</v>
      </c>
      <c r="D43" s="200" t="s">
        <v>16</v>
      </c>
      <c r="E43" s="87"/>
      <c r="F43" s="200" t="s">
        <v>17</v>
      </c>
      <c r="G43" s="87"/>
      <c r="H43" s="246"/>
      <c r="I43" s="246"/>
    </row>
    <row r="44" spans="1:9" x14ac:dyDescent="0.25">
      <c r="B44" s="90">
        <v>0</v>
      </c>
      <c r="C44" s="90">
        <v>250</v>
      </c>
      <c r="D44" s="201">
        <v>0.8</v>
      </c>
      <c r="E44" s="87"/>
      <c r="F44" s="202">
        <v>0.8</v>
      </c>
      <c r="G44" s="87"/>
      <c r="H44" s="116"/>
      <c r="I44" s="117">
        <f t="shared" ref="I44:I51" si="0">+C44*$B$42</f>
        <v>154000000</v>
      </c>
    </row>
    <row r="45" spans="1:9" x14ac:dyDescent="0.25">
      <c r="B45" s="90">
        <v>251</v>
      </c>
      <c r="C45" s="90">
        <v>1000</v>
      </c>
      <c r="D45" s="201">
        <v>0.8</v>
      </c>
      <c r="E45" s="87"/>
      <c r="F45" s="202">
        <v>0.75</v>
      </c>
      <c r="G45" s="87"/>
      <c r="H45" s="117">
        <f t="shared" ref="H45:H51" si="1">+B45*$B$42</f>
        <v>154616000</v>
      </c>
      <c r="I45" s="117">
        <f t="shared" si="0"/>
        <v>616000000</v>
      </c>
    </row>
    <row r="46" spans="1:9" x14ac:dyDescent="0.25">
      <c r="B46" s="90">
        <v>1001</v>
      </c>
      <c r="C46" s="90">
        <v>1500</v>
      </c>
      <c r="D46" s="201">
        <v>0.9</v>
      </c>
      <c r="E46" s="87"/>
      <c r="F46" s="202">
        <v>0.75</v>
      </c>
      <c r="G46" s="87"/>
      <c r="H46" s="117">
        <f t="shared" si="1"/>
        <v>616616000</v>
      </c>
      <c r="I46" s="117">
        <f t="shared" si="0"/>
        <v>924000000</v>
      </c>
    </row>
    <row r="47" spans="1:9" x14ac:dyDescent="0.25">
      <c r="B47" s="90">
        <v>1501</v>
      </c>
      <c r="C47" s="90">
        <v>2500</v>
      </c>
      <c r="D47" s="201">
        <v>0.9</v>
      </c>
      <c r="E47" s="87"/>
      <c r="F47" s="202">
        <v>0.7</v>
      </c>
      <c r="G47" s="87"/>
      <c r="H47" s="117">
        <f t="shared" si="1"/>
        <v>924616000</v>
      </c>
      <c r="I47" s="117">
        <f t="shared" si="0"/>
        <v>1540000000</v>
      </c>
    </row>
    <row r="48" spans="1:9" x14ac:dyDescent="0.25">
      <c r="B48" s="90">
        <v>2501</v>
      </c>
      <c r="C48" s="90">
        <v>3000</v>
      </c>
      <c r="D48" s="201">
        <v>1</v>
      </c>
      <c r="E48" s="87"/>
      <c r="F48" s="202">
        <v>0.7</v>
      </c>
      <c r="G48" s="87"/>
      <c r="H48" s="117">
        <f t="shared" si="1"/>
        <v>1540616000</v>
      </c>
      <c r="I48" s="117">
        <f t="shared" si="0"/>
        <v>1848000000</v>
      </c>
    </row>
    <row r="49" spans="1:9" x14ac:dyDescent="0.25">
      <c r="B49" s="90">
        <v>3001</v>
      </c>
      <c r="C49" s="90">
        <v>3500</v>
      </c>
      <c r="D49" s="201">
        <v>1</v>
      </c>
      <c r="E49" s="87"/>
      <c r="F49" s="202">
        <v>0.68</v>
      </c>
      <c r="G49" s="87"/>
      <c r="H49" s="117">
        <f t="shared" si="1"/>
        <v>1848616000</v>
      </c>
      <c r="I49" s="117">
        <f t="shared" si="0"/>
        <v>2156000000</v>
      </c>
    </row>
    <row r="50" spans="1:9" x14ac:dyDescent="0.25">
      <c r="B50" s="90">
        <v>3501</v>
      </c>
      <c r="C50" s="90">
        <v>4500</v>
      </c>
      <c r="D50" s="201">
        <v>1.1000000000000001</v>
      </c>
      <c r="E50" s="87"/>
      <c r="F50" s="202">
        <v>0.68</v>
      </c>
      <c r="G50" s="87"/>
      <c r="H50" s="117">
        <f t="shared" si="1"/>
        <v>2156616000</v>
      </c>
      <c r="I50" s="117">
        <f t="shared" si="0"/>
        <v>2772000000</v>
      </c>
    </row>
    <row r="51" spans="1:9" x14ac:dyDescent="0.25">
      <c r="A51" s="84" t="s">
        <v>22</v>
      </c>
      <c r="B51" s="90">
        <v>4501</v>
      </c>
      <c r="C51" s="90"/>
      <c r="D51" s="201">
        <v>1.2</v>
      </c>
      <c r="E51" s="87"/>
      <c r="F51" s="202">
        <v>0.65</v>
      </c>
      <c r="G51" s="87"/>
      <c r="H51" s="117">
        <f t="shared" si="1"/>
        <v>2772616000</v>
      </c>
      <c r="I51" s="117">
        <f t="shared" si="0"/>
        <v>0</v>
      </c>
    </row>
  </sheetData>
  <mergeCells count="16">
    <mergeCell ref="A6:E6"/>
    <mergeCell ref="A1:E1"/>
    <mergeCell ref="B2:D2"/>
    <mergeCell ref="A3:E3"/>
    <mergeCell ref="B4:D4"/>
    <mergeCell ref="A5:E5"/>
    <mergeCell ref="B28:D28"/>
    <mergeCell ref="C32:D32"/>
    <mergeCell ref="C34:D34"/>
    <mergeCell ref="H43:I43"/>
    <mergeCell ref="C8:D8"/>
    <mergeCell ref="C9:D9"/>
    <mergeCell ref="C10:D10"/>
    <mergeCell ref="C16:D16"/>
    <mergeCell ref="C17:D17"/>
    <mergeCell ref="B27:D27"/>
  </mergeCells>
  <pageMargins left="0.7" right="0.7" top="0.75" bottom="0.75" header="0.3" footer="0.3"/>
  <pageSetup scale="95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1"/>
  <sheetViews>
    <sheetView view="pageBreakPreview" zoomScale="130" zoomScaleNormal="100" zoomScaleSheetLayoutView="130" workbookViewId="0">
      <selection activeCell="C21" sqref="C21"/>
    </sheetView>
  </sheetViews>
  <sheetFormatPr baseColWidth="10" defaultRowHeight="13.5" x14ac:dyDescent="0.25"/>
  <cols>
    <col min="1" max="1" width="3.140625" style="84" customWidth="1"/>
    <col min="2" max="2" width="39.140625" style="84" customWidth="1"/>
    <col min="3" max="3" width="27.7109375" style="84" customWidth="1"/>
    <col min="4" max="4" width="21.7109375" style="84" customWidth="1"/>
    <col min="5" max="5" width="3.5703125" style="84" customWidth="1"/>
    <col min="6" max="6" width="16.5703125" style="84" customWidth="1"/>
    <col min="7" max="7" width="3.140625" style="84" customWidth="1"/>
    <col min="8" max="8" width="18.140625" style="84" customWidth="1"/>
    <col min="9" max="9" width="12.7109375" style="84" bestFit="1" customWidth="1"/>
    <col min="10" max="16384" width="11.42578125" style="84"/>
  </cols>
  <sheetData>
    <row r="1" spans="1:6" s="93" customFormat="1" ht="15.75" x14ac:dyDescent="0.25">
      <c r="A1" s="253" t="s">
        <v>0</v>
      </c>
      <c r="B1" s="254"/>
      <c r="C1" s="254"/>
      <c r="D1" s="254"/>
      <c r="E1" s="255"/>
    </row>
    <row r="2" spans="1:6" s="93" customFormat="1" ht="15.75" x14ac:dyDescent="0.25">
      <c r="A2" s="196"/>
      <c r="B2" s="256" t="s">
        <v>1</v>
      </c>
      <c r="C2" s="256"/>
      <c r="D2" s="256"/>
      <c r="E2" s="95"/>
    </row>
    <row r="3" spans="1:6" s="93" customFormat="1" ht="15.75" x14ac:dyDescent="0.25">
      <c r="A3" s="257" t="s">
        <v>27</v>
      </c>
      <c r="B3" s="256"/>
      <c r="C3" s="256"/>
      <c r="D3" s="256"/>
      <c r="E3" s="258"/>
    </row>
    <row r="4" spans="1:6" s="93" customFormat="1" ht="20.25" x14ac:dyDescent="0.3">
      <c r="A4" s="96"/>
      <c r="B4" s="256" t="s">
        <v>2</v>
      </c>
      <c r="C4" s="256"/>
      <c r="D4" s="256"/>
      <c r="E4" s="97"/>
    </row>
    <row r="5" spans="1:6" s="93" customFormat="1" ht="15.75" x14ac:dyDescent="0.25">
      <c r="A5" s="257" t="s">
        <v>28</v>
      </c>
      <c r="B5" s="256"/>
      <c r="C5" s="256"/>
      <c r="D5" s="256"/>
      <c r="E5" s="258"/>
    </row>
    <row r="6" spans="1:6" s="93" customFormat="1" ht="100.5" customHeight="1" thickBot="1" x14ac:dyDescent="0.3">
      <c r="A6" s="259" t="s">
        <v>29</v>
      </c>
      <c r="B6" s="260"/>
      <c r="C6" s="260"/>
      <c r="D6" s="260"/>
      <c r="E6" s="261"/>
    </row>
    <row r="7" spans="1:6" s="93" customFormat="1" ht="14.25" thickBot="1" x14ac:dyDescent="0.3">
      <c r="A7" s="98"/>
      <c r="B7" s="72" t="s">
        <v>3</v>
      </c>
      <c r="C7" s="247" t="s">
        <v>99</v>
      </c>
      <c r="D7" s="248"/>
      <c r="E7" s="75"/>
    </row>
    <row r="8" spans="1:6" s="93" customFormat="1" ht="14.25" thickBot="1" x14ac:dyDescent="0.3">
      <c r="A8" s="98"/>
      <c r="B8" s="72" t="s">
        <v>38</v>
      </c>
      <c r="C8" s="247">
        <v>22</v>
      </c>
      <c r="D8" s="248"/>
      <c r="E8" s="75"/>
    </row>
    <row r="9" spans="1:6" s="93" customFormat="1" ht="14.25" thickBot="1" x14ac:dyDescent="0.3">
      <c r="A9" s="98"/>
      <c r="B9" s="79" t="s">
        <v>6</v>
      </c>
      <c r="C9" s="247">
        <v>800009090</v>
      </c>
      <c r="D9" s="248"/>
      <c r="E9" s="75"/>
    </row>
    <row r="10" spans="1:6" s="93" customFormat="1" x14ac:dyDescent="0.25">
      <c r="A10" s="98"/>
      <c r="B10" s="130" t="s">
        <v>23</v>
      </c>
      <c r="C10" s="197" t="s">
        <v>98</v>
      </c>
      <c r="D10" s="199" t="s">
        <v>25</v>
      </c>
      <c r="E10" s="75"/>
    </row>
    <row r="11" spans="1:6" s="93" customFormat="1" x14ac:dyDescent="0.25">
      <c r="A11" s="98"/>
      <c r="B11" s="133"/>
      <c r="C11" s="135"/>
      <c r="D11" s="99"/>
      <c r="E11" s="75"/>
    </row>
    <row r="12" spans="1:6" s="93" customFormat="1" x14ac:dyDescent="0.25">
      <c r="A12" s="98"/>
      <c r="B12" s="133">
        <v>17</v>
      </c>
      <c r="C12" s="135" t="s">
        <v>100</v>
      </c>
      <c r="D12" s="184">
        <v>710015540</v>
      </c>
      <c r="E12" s="75"/>
    </row>
    <row r="13" spans="1:6" s="93" customFormat="1" x14ac:dyDescent="0.25">
      <c r="A13" s="98"/>
      <c r="B13" s="133" t="s">
        <v>198</v>
      </c>
      <c r="C13" s="135" t="s">
        <v>73</v>
      </c>
      <c r="D13" s="184">
        <v>11884479640</v>
      </c>
      <c r="E13" s="75"/>
    </row>
    <row r="14" spans="1:6" s="93" customFormat="1" ht="14.25" thickBot="1" x14ac:dyDescent="0.3">
      <c r="A14" s="98"/>
      <c r="B14" s="133"/>
      <c r="C14" s="218"/>
      <c r="D14" s="184"/>
      <c r="E14" s="75"/>
    </row>
    <row r="15" spans="1:6" s="93" customFormat="1" ht="14.25" thickBot="1" x14ac:dyDescent="0.3">
      <c r="A15" s="98"/>
      <c r="B15" s="72" t="s">
        <v>30</v>
      </c>
      <c r="C15" s="249">
        <f>+SUM(D12:D14)</f>
        <v>12594495180</v>
      </c>
      <c r="D15" s="250"/>
      <c r="E15" s="75"/>
    </row>
    <row r="16" spans="1:6" s="93" customFormat="1" ht="14.25" thickBot="1" x14ac:dyDescent="0.3">
      <c r="A16" s="98"/>
      <c r="B16" s="332" t="s">
        <v>5</v>
      </c>
      <c r="C16" s="333">
        <f>+ROUND(C15/616000,0)</f>
        <v>20446</v>
      </c>
      <c r="D16" s="334"/>
      <c r="E16" s="75"/>
      <c r="F16" s="219"/>
    </row>
    <row r="17" spans="1:9" s="93" customFormat="1" x14ac:dyDescent="0.25">
      <c r="A17" s="98"/>
      <c r="B17" s="70"/>
      <c r="C17" s="70"/>
      <c r="D17" s="99"/>
      <c r="E17" s="75"/>
    </row>
    <row r="18" spans="1:9" s="93" customFormat="1" ht="14.25" thickBot="1" x14ac:dyDescent="0.3">
      <c r="A18" s="98"/>
      <c r="B18" s="100" t="s">
        <v>19</v>
      </c>
      <c r="C18" s="76"/>
      <c r="D18" s="99"/>
      <c r="E18" s="75"/>
    </row>
    <row r="19" spans="1:9" s="93" customFormat="1" x14ac:dyDescent="0.25">
      <c r="A19" s="98"/>
      <c r="B19" s="77" t="s">
        <v>13</v>
      </c>
      <c r="C19" s="85">
        <f>+IF($C$16&gt;$B$50,$D$50,IF(AND($C$16&gt;=$B$49,$C$16&lt;=$C$49),$D$49,IF(AND($C$16&gt;=$B$47,$C$16&lt;=$C$48),$D$47,IF(AND($C$16&gt;=$B$45,$C$16&lt;=$C$46),$D$45,IF(AND($C$16&gt;$B$43,$C$16&lt;=$C$44),$D$43)))))</f>
        <v>1.2</v>
      </c>
      <c r="D19" s="99"/>
      <c r="E19" s="75"/>
      <c r="F19" s="219"/>
    </row>
    <row r="20" spans="1:9" s="93" customFormat="1" ht="14.25" thickBot="1" x14ac:dyDescent="0.3">
      <c r="A20" s="98"/>
      <c r="B20" s="78" t="s">
        <v>14</v>
      </c>
      <c r="C20" s="86">
        <f>+IF($C$16&gt;$B$50,$F$50,IF(AND($C$16&gt;=$B$48,$C$16&lt;=$C$49),$F$48,IF(AND($C$16&gt;=$B$46,$C$16&lt;=$C$47),$F$46,IF(AND($C$16&gt;=$B$44,$C$16&lt;=$C$45),$F$44,IF(AND($C$16&gt;$B$43,$C$16&lt;=$C$43),$F$43)))))</f>
        <v>0.65</v>
      </c>
      <c r="D20" s="99"/>
      <c r="E20" s="75"/>
    </row>
    <row r="21" spans="1:9" s="93" customFormat="1" ht="14.25" thickBot="1" x14ac:dyDescent="0.3">
      <c r="A21" s="98"/>
      <c r="B21" s="101"/>
      <c r="C21" s="102"/>
      <c r="D21" s="103"/>
      <c r="E21" s="75"/>
    </row>
    <row r="22" spans="1:9" s="93" customFormat="1" x14ac:dyDescent="0.25">
      <c r="A22" s="98"/>
      <c r="B22" s="80" t="s">
        <v>7</v>
      </c>
      <c r="C22" s="127">
        <v>7135118000</v>
      </c>
      <c r="D22" s="104"/>
      <c r="E22" s="75"/>
      <c r="F22" s="219"/>
    </row>
    <row r="23" spans="1:9" s="93" customFormat="1" x14ac:dyDescent="0.25">
      <c r="A23" s="98"/>
      <c r="B23" s="81" t="s">
        <v>8</v>
      </c>
      <c r="C23" s="129">
        <v>11771954000</v>
      </c>
      <c r="D23" s="105"/>
      <c r="E23" s="75"/>
    </row>
    <row r="24" spans="1:9" s="93" customFormat="1" x14ac:dyDescent="0.25">
      <c r="A24" s="98"/>
      <c r="B24" s="81" t="s">
        <v>9</v>
      </c>
      <c r="C24" s="129">
        <v>5126410000</v>
      </c>
      <c r="D24" s="105"/>
      <c r="E24" s="75"/>
    </row>
    <row r="25" spans="1:9" s="93" customFormat="1" ht="14.25" thickBot="1" x14ac:dyDescent="0.3">
      <c r="A25" s="98"/>
      <c r="B25" s="82" t="s">
        <v>10</v>
      </c>
      <c r="C25" s="128">
        <v>5126410000</v>
      </c>
      <c r="D25" s="107"/>
      <c r="E25" s="75"/>
      <c r="F25" s="219"/>
    </row>
    <row r="26" spans="1:9" s="93" customFormat="1" ht="14.25" thickBot="1" x14ac:dyDescent="0.3">
      <c r="A26" s="98"/>
      <c r="B26" s="286" t="s">
        <v>11</v>
      </c>
      <c r="C26" s="287"/>
      <c r="D26" s="288"/>
      <c r="E26" s="75"/>
    </row>
    <row r="27" spans="1:9" s="93" customFormat="1" ht="14.25" thickBot="1" x14ac:dyDescent="0.3">
      <c r="A27" s="98"/>
      <c r="B27" s="241" t="s">
        <v>12</v>
      </c>
      <c r="C27" s="242"/>
      <c r="D27" s="243"/>
      <c r="E27" s="75"/>
    </row>
    <row r="28" spans="1:9" s="93" customFormat="1" ht="16.5" x14ac:dyDescent="0.3">
      <c r="A28" s="98"/>
      <c r="B28" s="77" t="s">
        <v>13</v>
      </c>
      <c r="C28" s="126">
        <f>+IFERROR(C22/C24,"INDETERMINADO")</f>
        <v>1.391835221919433</v>
      </c>
      <c r="D28" s="118" t="str">
        <f>+IF(C28&gt;=C19,"CUMPLE","NO CUMPLE")</f>
        <v>CUMPLE</v>
      </c>
      <c r="E28" s="75"/>
      <c r="F28" s="219"/>
    </row>
    <row r="29" spans="1:9" s="93" customFormat="1" ht="17.25" thickBot="1" x14ac:dyDescent="0.35">
      <c r="A29" s="98"/>
      <c r="B29" s="78" t="s">
        <v>14</v>
      </c>
      <c r="C29" s="120">
        <f>+C25/C23</f>
        <v>0.43547655724784518</v>
      </c>
      <c r="D29" s="119" t="str">
        <f>+IF(C29&lt;=C20,"CUMPLE","NO CUMPLE")</f>
        <v>CUMPLE</v>
      </c>
      <c r="E29" s="75"/>
    </row>
    <row r="30" spans="1:9" s="110" customFormat="1" ht="14.25" thickBot="1" x14ac:dyDescent="0.3">
      <c r="A30" s="98"/>
      <c r="B30" s="108"/>
      <c r="C30" s="100"/>
      <c r="D30" s="76"/>
      <c r="E30" s="109"/>
      <c r="G30" s="93"/>
      <c r="H30" s="93"/>
      <c r="I30" s="93"/>
    </row>
    <row r="31" spans="1:9" s="93" customFormat="1" ht="41.25" customHeight="1" thickBot="1" x14ac:dyDescent="0.3">
      <c r="A31" s="98"/>
      <c r="B31" s="72" t="s">
        <v>15</v>
      </c>
      <c r="C31" s="244" t="s">
        <v>49</v>
      </c>
      <c r="D31" s="245"/>
      <c r="E31" s="75"/>
      <c r="G31" s="110"/>
      <c r="H31" s="110"/>
      <c r="I31" s="110"/>
    </row>
    <row r="32" spans="1:9" s="70" customFormat="1" ht="14.25" thickBot="1" x14ac:dyDescent="0.3">
      <c r="A32" s="98"/>
      <c r="B32" s="83"/>
      <c r="C32" s="83"/>
      <c r="D32" s="83"/>
      <c r="E32" s="75"/>
      <c r="G32" s="93"/>
      <c r="H32" s="93"/>
      <c r="I32" s="93"/>
    </row>
    <row r="33" spans="1:9" s="70" customFormat="1" ht="45.75" customHeight="1" thickBot="1" x14ac:dyDescent="0.3">
      <c r="A33" s="98"/>
      <c r="B33" s="72" t="s">
        <v>26</v>
      </c>
      <c r="C33" s="244"/>
      <c r="D33" s="245"/>
      <c r="E33" s="75"/>
    </row>
    <row r="34" spans="1:9" s="70" customFormat="1" ht="14.25" thickBot="1" x14ac:dyDescent="0.3">
      <c r="A34" s="111"/>
      <c r="B34" s="112"/>
      <c r="C34" s="112"/>
      <c r="D34" s="112"/>
      <c r="E34" s="71"/>
    </row>
    <row r="35" spans="1:9" s="70" customFormat="1" x14ac:dyDescent="0.25">
      <c r="B35" s="83"/>
      <c r="C35" s="83"/>
      <c r="D35" s="83"/>
    </row>
    <row r="36" spans="1:9" s="70" customFormat="1" x14ac:dyDescent="0.25">
      <c r="B36" s="83"/>
      <c r="C36" s="83"/>
      <c r="D36" s="83"/>
    </row>
    <row r="37" spans="1:9" s="70" customFormat="1" x14ac:dyDescent="0.25">
      <c r="B37" s="83"/>
      <c r="C37" s="83"/>
      <c r="D37" s="83"/>
    </row>
    <row r="38" spans="1:9" s="70" customFormat="1" x14ac:dyDescent="0.25">
      <c r="B38" s="83"/>
      <c r="C38" s="83"/>
      <c r="D38" s="83"/>
    </row>
    <row r="39" spans="1:9" x14ac:dyDescent="0.25">
      <c r="G39" s="70"/>
      <c r="H39" s="70"/>
      <c r="I39" s="70"/>
    </row>
    <row r="40" spans="1:9" x14ac:dyDescent="0.25">
      <c r="B40" s="100"/>
      <c r="C40" s="70"/>
    </row>
    <row r="41" spans="1:9" x14ac:dyDescent="0.25">
      <c r="B41" s="88">
        <v>616000</v>
      </c>
      <c r="C41" s="87"/>
      <c r="D41" s="87"/>
      <c r="E41" s="87"/>
      <c r="F41" s="87"/>
    </row>
    <row r="42" spans="1:9" ht="25.5" x14ac:dyDescent="0.25">
      <c r="B42" s="89" t="s">
        <v>21</v>
      </c>
      <c r="C42" s="89" t="s">
        <v>20</v>
      </c>
      <c r="D42" s="200" t="s">
        <v>16</v>
      </c>
      <c r="E42" s="87"/>
      <c r="F42" s="200" t="s">
        <v>17</v>
      </c>
      <c r="G42" s="87"/>
      <c r="H42" s="87"/>
      <c r="I42" s="87"/>
    </row>
    <row r="43" spans="1:9" x14ac:dyDescent="0.25">
      <c r="B43" s="90">
        <v>0</v>
      </c>
      <c r="C43" s="90">
        <v>250</v>
      </c>
      <c r="D43" s="201">
        <v>0.8</v>
      </c>
      <c r="E43" s="87"/>
      <c r="F43" s="202">
        <v>0.8</v>
      </c>
      <c r="G43" s="87"/>
      <c r="H43" s="246"/>
      <c r="I43" s="246"/>
    </row>
    <row r="44" spans="1:9" x14ac:dyDescent="0.25">
      <c r="B44" s="90">
        <v>251</v>
      </c>
      <c r="C44" s="90">
        <v>1000</v>
      </c>
      <c r="D44" s="201">
        <v>0.8</v>
      </c>
      <c r="E44" s="87"/>
      <c r="F44" s="202">
        <v>0.75</v>
      </c>
      <c r="G44" s="87"/>
      <c r="H44" s="116"/>
      <c r="I44" s="117">
        <f t="shared" ref="I44:I51" si="0">+C43*$B$41</f>
        <v>154000000</v>
      </c>
    </row>
    <row r="45" spans="1:9" x14ac:dyDescent="0.25">
      <c r="B45" s="90">
        <v>1001</v>
      </c>
      <c r="C45" s="90">
        <v>1500</v>
      </c>
      <c r="D45" s="201">
        <v>0.9</v>
      </c>
      <c r="E45" s="87"/>
      <c r="F45" s="202">
        <v>0.75</v>
      </c>
      <c r="G45" s="87"/>
      <c r="H45" s="117">
        <f t="shared" ref="H45:H51" si="1">+B44*$B$41</f>
        <v>154616000</v>
      </c>
      <c r="I45" s="117">
        <f t="shared" si="0"/>
        <v>616000000</v>
      </c>
    </row>
    <row r="46" spans="1:9" x14ac:dyDescent="0.25">
      <c r="B46" s="90">
        <v>1501</v>
      </c>
      <c r="C46" s="90">
        <v>2500</v>
      </c>
      <c r="D46" s="201">
        <v>0.9</v>
      </c>
      <c r="E46" s="87"/>
      <c r="F46" s="202">
        <v>0.7</v>
      </c>
      <c r="G46" s="87"/>
      <c r="H46" s="117">
        <f t="shared" si="1"/>
        <v>616616000</v>
      </c>
      <c r="I46" s="117">
        <f t="shared" si="0"/>
        <v>924000000</v>
      </c>
    </row>
    <row r="47" spans="1:9" x14ac:dyDescent="0.25">
      <c r="B47" s="90">
        <v>2501</v>
      </c>
      <c r="C47" s="90">
        <v>3000</v>
      </c>
      <c r="D47" s="201">
        <v>1</v>
      </c>
      <c r="E47" s="87"/>
      <c r="F47" s="202">
        <v>0.7</v>
      </c>
      <c r="G47" s="87"/>
      <c r="H47" s="117">
        <f t="shared" si="1"/>
        <v>924616000</v>
      </c>
      <c r="I47" s="117">
        <f t="shared" si="0"/>
        <v>1540000000</v>
      </c>
    </row>
    <row r="48" spans="1:9" x14ac:dyDescent="0.25">
      <c r="B48" s="90">
        <v>3001</v>
      </c>
      <c r="C48" s="90">
        <v>3500</v>
      </c>
      <c r="D48" s="201">
        <v>1</v>
      </c>
      <c r="E48" s="87"/>
      <c r="F48" s="202">
        <v>0.68</v>
      </c>
      <c r="G48" s="87"/>
      <c r="H48" s="117">
        <f t="shared" si="1"/>
        <v>1540616000</v>
      </c>
      <c r="I48" s="117">
        <f t="shared" si="0"/>
        <v>1848000000</v>
      </c>
    </row>
    <row r="49" spans="1:9" x14ac:dyDescent="0.25">
      <c r="B49" s="90">
        <v>3501</v>
      </c>
      <c r="C49" s="90">
        <v>4500</v>
      </c>
      <c r="D49" s="201">
        <v>1.1000000000000001</v>
      </c>
      <c r="E49" s="87"/>
      <c r="F49" s="202">
        <v>0.68</v>
      </c>
      <c r="G49" s="87"/>
      <c r="H49" s="117">
        <f t="shared" si="1"/>
        <v>1848616000</v>
      </c>
      <c r="I49" s="117">
        <f t="shared" si="0"/>
        <v>2156000000</v>
      </c>
    </row>
    <row r="50" spans="1:9" x14ac:dyDescent="0.25">
      <c r="A50" s="84" t="s">
        <v>22</v>
      </c>
      <c r="B50" s="90">
        <v>4501</v>
      </c>
      <c r="C50" s="90"/>
      <c r="D50" s="201">
        <v>1.2</v>
      </c>
      <c r="E50" s="87"/>
      <c r="F50" s="202">
        <v>0.65</v>
      </c>
      <c r="G50" s="87"/>
      <c r="H50" s="117">
        <f t="shared" si="1"/>
        <v>2156616000</v>
      </c>
      <c r="I50" s="117">
        <f t="shared" si="0"/>
        <v>2772000000</v>
      </c>
    </row>
    <row r="51" spans="1:9" x14ac:dyDescent="0.25">
      <c r="G51" s="87"/>
      <c r="H51" s="117">
        <f t="shared" si="1"/>
        <v>2772616000</v>
      </c>
      <c r="I51" s="117">
        <f t="shared" si="0"/>
        <v>0</v>
      </c>
    </row>
  </sheetData>
  <mergeCells count="16">
    <mergeCell ref="A6:E6"/>
    <mergeCell ref="A1:E1"/>
    <mergeCell ref="B2:D2"/>
    <mergeCell ref="A3:E3"/>
    <mergeCell ref="B4:D4"/>
    <mergeCell ref="A5:E5"/>
    <mergeCell ref="B27:D27"/>
    <mergeCell ref="C31:D31"/>
    <mergeCell ref="C33:D33"/>
    <mergeCell ref="H43:I43"/>
    <mergeCell ref="C7:D7"/>
    <mergeCell ref="C8:D8"/>
    <mergeCell ref="C9:D9"/>
    <mergeCell ref="C15:D15"/>
    <mergeCell ref="C16:D16"/>
    <mergeCell ref="B26:D26"/>
  </mergeCells>
  <pageMargins left="0.7" right="0.7" top="0.75" bottom="0.75" header="0.3" footer="0.3"/>
  <pageSetup scale="94" orientation="portrait" r:id="rId1"/>
  <colBreaks count="1" manualBreakCount="1">
    <brk id="5" max="1048575" man="1"/>
  </colBreaks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"/>
  <sheetViews>
    <sheetView view="pageBreakPreview" topLeftCell="A2" zoomScale="130" zoomScaleNormal="100" zoomScaleSheetLayoutView="130" workbookViewId="0">
      <selection activeCell="C8" sqref="C8:D8"/>
    </sheetView>
  </sheetViews>
  <sheetFormatPr baseColWidth="10" defaultRowHeight="13.5" x14ac:dyDescent="0.25"/>
  <cols>
    <col min="1" max="1" width="3.140625" style="84" customWidth="1"/>
    <col min="2" max="2" width="31.140625" style="84" bestFit="1" customWidth="1"/>
    <col min="3" max="3" width="27.7109375" style="84" customWidth="1"/>
    <col min="4" max="4" width="21.7109375" style="84" customWidth="1"/>
    <col min="5" max="5" width="3.5703125" style="84" customWidth="1"/>
    <col min="6" max="6" width="16.5703125" style="84" customWidth="1"/>
    <col min="7" max="7" width="3.140625" style="84" customWidth="1"/>
    <col min="8" max="8" width="18.140625" style="84" customWidth="1"/>
    <col min="9" max="9" width="12.7109375" style="84" bestFit="1" customWidth="1"/>
    <col min="10" max="16384" width="11.42578125" style="84"/>
  </cols>
  <sheetData>
    <row r="1" spans="1:5" s="93" customFormat="1" ht="15.75" x14ac:dyDescent="0.25">
      <c r="A1" s="253" t="s">
        <v>0</v>
      </c>
      <c r="B1" s="254"/>
      <c r="C1" s="254"/>
      <c r="D1" s="254"/>
      <c r="E1" s="255"/>
    </row>
    <row r="2" spans="1:5" s="93" customFormat="1" ht="15.75" x14ac:dyDescent="0.25">
      <c r="A2" s="196"/>
      <c r="B2" s="256" t="s">
        <v>1</v>
      </c>
      <c r="C2" s="256"/>
      <c r="D2" s="256"/>
      <c r="E2" s="95"/>
    </row>
    <row r="3" spans="1:5" s="93" customFormat="1" ht="15.75" x14ac:dyDescent="0.25">
      <c r="A3" s="257" t="s">
        <v>27</v>
      </c>
      <c r="B3" s="256"/>
      <c r="C3" s="256"/>
      <c r="D3" s="256"/>
      <c r="E3" s="258"/>
    </row>
    <row r="4" spans="1:5" s="93" customFormat="1" ht="20.25" x14ac:dyDescent="0.3">
      <c r="A4" s="96"/>
      <c r="B4" s="256" t="s">
        <v>2</v>
      </c>
      <c r="C4" s="256"/>
      <c r="D4" s="256"/>
      <c r="E4" s="97"/>
    </row>
    <row r="5" spans="1:5" s="93" customFormat="1" ht="15.75" x14ac:dyDescent="0.25">
      <c r="A5" s="257" t="s">
        <v>28</v>
      </c>
      <c r="B5" s="256"/>
      <c r="C5" s="256"/>
      <c r="D5" s="256"/>
      <c r="E5" s="258"/>
    </row>
    <row r="6" spans="1:5" s="93" customFormat="1" ht="101.25" customHeight="1" x14ac:dyDescent="0.25">
      <c r="A6" s="259" t="s">
        <v>29</v>
      </c>
      <c r="B6" s="260"/>
      <c r="C6" s="260"/>
      <c r="D6" s="260"/>
      <c r="E6" s="261"/>
    </row>
    <row r="7" spans="1:5" s="93" customFormat="1" ht="14.25" thickBot="1" x14ac:dyDescent="0.3">
      <c r="A7" s="98"/>
      <c r="B7" s="70"/>
      <c r="C7" s="70"/>
      <c r="D7" s="70"/>
      <c r="E7" s="75"/>
    </row>
    <row r="8" spans="1:5" s="93" customFormat="1" ht="30" customHeight="1" thickBot="1" x14ac:dyDescent="0.3">
      <c r="A8" s="98"/>
      <c r="B8" s="72" t="s">
        <v>3</v>
      </c>
      <c r="C8" s="247" t="s">
        <v>200</v>
      </c>
      <c r="D8" s="248"/>
      <c r="E8" s="75"/>
    </row>
    <row r="9" spans="1:5" s="93" customFormat="1" ht="14.25" thickBot="1" x14ac:dyDescent="0.3">
      <c r="A9" s="98"/>
      <c r="B9" s="72" t="s">
        <v>38</v>
      </c>
      <c r="C9" s="247">
        <v>23</v>
      </c>
      <c r="D9" s="248"/>
      <c r="E9" s="75"/>
    </row>
    <row r="10" spans="1:5" s="93" customFormat="1" ht="14.25" thickBot="1" x14ac:dyDescent="0.3">
      <c r="A10" s="98"/>
      <c r="B10" s="79" t="s">
        <v>6</v>
      </c>
      <c r="C10" s="247">
        <v>810005111</v>
      </c>
      <c r="D10" s="248"/>
      <c r="E10" s="75"/>
    </row>
    <row r="11" spans="1:5" s="93" customFormat="1" x14ac:dyDescent="0.25">
      <c r="A11" s="98"/>
      <c r="B11" s="130" t="s">
        <v>23</v>
      </c>
      <c r="C11" s="197" t="s">
        <v>24</v>
      </c>
      <c r="D11" s="199" t="s">
        <v>25</v>
      </c>
      <c r="E11" s="75"/>
    </row>
    <row r="12" spans="1:5" s="93" customFormat="1" x14ac:dyDescent="0.25">
      <c r="A12" s="98"/>
      <c r="B12" s="133"/>
      <c r="C12" s="135"/>
      <c r="D12" s="99"/>
      <c r="E12" s="75"/>
    </row>
    <row r="13" spans="1:5" s="93" customFormat="1" x14ac:dyDescent="0.25">
      <c r="A13" s="98"/>
      <c r="B13" s="133">
        <v>2</v>
      </c>
      <c r="C13" s="135" t="s">
        <v>199</v>
      </c>
      <c r="D13" s="184">
        <v>1397059989</v>
      </c>
      <c r="E13" s="75"/>
    </row>
    <row r="14" spans="1:5" s="93" customFormat="1" x14ac:dyDescent="0.25">
      <c r="A14" s="98"/>
      <c r="B14" s="185" t="s">
        <v>202</v>
      </c>
      <c r="C14" s="135" t="s">
        <v>132</v>
      </c>
      <c r="D14" s="184">
        <v>7889140264</v>
      </c>
      <c r="E14" s="75"/>
    </row>
    <row r="15" spans="1:5" s="93" customFormat="1" x14ac:dyDescent="0.25">
      <c r="A15" s="98"/>
      <c r="B15" s="185" t="s">
        <v>203</v>
      </c>
      <c r="C15" s="135" t="s">
        <v>201</v>
      </c>
      <c r="D15" s="184">
        <v>7517811600</v>
      </c>
      <c r="E15" s="75"/>
    </row>
    <row r="16" spans="1:5" s="93" customFormat="1" ht="14.25" thickBot="1" x14ac:dyDescent="0.3">
      <c r="A16" s="98"/>
      <c r="B16" s="213"/>
      <c r="C16" s="214"/>
      <c r="D16" s="215"/>
      <c r="E16" s="75"/>
    </row>
    <row r="17" spans="1:6" ht="14.25" thickBot="1" x14ac:dyDescent="0.3">
      <c r="A17" s="98"/>
      <c r="E17" s="75"/>
    </row>
    <row r="18" spans="1:6" s="93" customFormat="1" ht="14.25" thickBot="1" x14ac:dyDescent="0.3">
      <c r="A18" s="98"/>
      <c r="B18" s="72" t="s">
        <v>30</v>
      </c>
      <c r="C18" s="249">
        <f>+SUM(D13:D16)</f>
        <v>16804011853</v>
      </c>
      <c r="D18" s="250"/>
      <c r="E18" s="75"/>
    </row>
    <row r="19" spans="1:6" s="93" customFormat="1" ht="14.25" thickBot="1" x14ac:dyDescent="0.3">
      <c r="A19" s="98"/>
      <c r="B19" s="72" t="s">
        <v>5</v>
      </c>
      <c r="C19" s="302">
        <f>+ROUND(C18/616000,0)</f>
        <v>27279</v>
      </c>
      <c r="D19" s="303"/>
      <c r="E19" s="75"/>
    </row>
    <row r="20" spans="1:6" s="93" customFormat="1" x14ac:dyDescent="0.25">
      <c r="A20" s="98"/>
      <c r="B20" s="70"/>
      <c r="C20" s="70"/>
      <c r="D20" s="99"/>
      <c r="E20" s="75"/>
    </row>
    <row r="21" spans="1:6" s="93" customFormat="1" ht="14.25" thickBot="1" x14ac:dyDescent="0.3">
      <c r="A21" s="98"/>
      <c r="B21" s="100" t="s">
        <v>19</v>
      </c>
      <c r="C21" s="76"/>
      <c r="D21" s="99"/>
      <c r="E21" s="75"/>
    </row>
    <row r="22" spans="1:6" s="93" customFormat="1" x14ac:dyDescent="0.25">
      <c r="A22" s="98"/>
      <c r="B22" s="77" t="s">
        <v>13</v>
      </c>
      <c r="C22" s="85">
        <f>+IF($C$19&gt;$B$53,$D$53,IF(AND($C$19&gt;=$B$52,$C$19&lt;=$C$52),$D$52,IF(AND($C$19&gt;=$B$50,$C$19&lt;=$C$51),$D$50,IF(AND($C$19&gt;=$B$48,$C$19&lt;=$C$49),$D$48,IF(AND($C$19&gt;$B$46,$C$19&lt;=$C$47),$D$46)))))</f>
        <v>1.2</v>
      </c>
      <c r="D22" s="99"/>
      <c r="E22" s="75"/>
    </row>
    <row r="23" spans="1:6" s="93" customFormat="1" ht="14.25" thickBot="1" x14ac:dyDescent="0.3">
      <c r="A23" s="98"/>
      <c r="B23" s="78" t="s">
        <v>14</v>
      </c>
      <c r="C23" s="86">
        <f>+IF($C$19&gt;$B$53,$F$53,IF(AND($C$19&gt;=$B$51,$C$19&lt;=$C$52),$F$51,IF(AND($C$19&gt;=$B$49,$C$19&lt;=$C$50),$F$49,IF(AND($C$19&gt;=$B$47,$C$19&lt;=$C$48),$F$47,IF(AND($C$19&gt;$B$46,$C$19&lt;=$C$46),$F$46)))))</f>
        <v>0.65</v>
      </c>
      <c r="D23" s="99"/>
      <c r="E23" s="75"/>
    </row>
    <row r="24" spans="1:6" s="93" customFormat="1" ht="14.25" thickBot="1" x14ac:dyDescent="0.3">
      <c r="A24" s="98"/>
      <c r="B24" s="101"/>
      <c r="C24" s="102"/>
      <c r="D24" s="103"/>
      <c r="E24" s="75"/>
    </row>
    <row r="25" spans="1:6" s="93" customFormat="1" x14ac:dyDescent="0.25">
      <c r="A25" s="98"/>
      <c r="B25" s="80" t="s">
        <v>7</v>
      </c>
      <c r="C25" s="127">
        <v>886683779</v>
      </c>
      <c r="D25" s="104"/>
      <c r="E25" s="75"/>
    </row>
    <row r="26" spans="1:6" s="93" customFormat="1" x14ac:dyDescent="0.25">
      <c r="A26" s="98"/>
      <c r="B26" s="81" t="s">
        <v>8</v>
      </c>
      <c r="C26" s="129">
        <v>2058254791</v>
      </c>
      <c r="D26" s="105"/>
      <c r="E26" s="75"/>
    </row>
    <row r="27" spans="1:6" s="93" customFormat="1" ht="15" x14ac:dyDescent="0.25">
      <c r="A27" s="98"/>
      <c r="B27" s="81" t="s">
        <v>9</v>
      </c>
      <c r="C27" s="129">
        <v>501868449</v>
      </c>
      <c r="D27" s="105"/>
      <c r="E27" s="75"/>
      <c r="F27" s="106"/>
    </row>
    <row r="28" spans="1:6" s="93" customFormat="1" ht="15.75" thickBot="1" x14ac:dyDescent="0.3">
      <c r="A28" s="98"/>
      <c r="B28" s="82" t="s">
        <v>10</v>
      </c>
      <c r="C28" s="128">
        <v>1201139872</v>
      </c>
      <c r="D28" s="107"/>
      <c r="E28" s="75"/>
      <c r="F28" s="106"/>
    </row>
    <row r="29" spans="1:6" s="93" customFormat="1" ht="14.25" thickBot="1" x14ac:dyDescent="0.3">
      <c r="A29" s="98"/>
      <c r="B29" s="286" t="s">
        <v>11</v>
      </c>
      <c r="C29" s="287"/>
      <c r="D29" s="288"/>
      <c r="E29" s="75"/>
    </row>
    <row r="30" spans="1:6" s="93" customFormat="1" ht="14.25" thickBot="1" x14ac:dyDescent="0.3">
      <c r="A30" s="98"/>
      <c r="B30" s="241" t="s">
        <v>12</v>
      </c>
      <c r="C30" s="242"/>
      <c r="D30" s="243"/>
      <c r="E30" s="75"/>
    </row>
    <row r="31" spans="1:6" s="93" customFormat="1" ht="16.5" x14ac:dyDescent="0.3">
      <c r="A31" s="98"/>
      <c r="B31" s="77" t="s">
        <v>13</v>
      </c>
      <c r="C31" s="126">
        <f>+IFERROR(C25/C27,"INDETERMINADO")</f>
        <v>1.766765336148876</v>
      </c>
      <c r="D31" s="118" t="str">
        <f>+IF(C31&gt;=C22,"CUMPLE","NO CUMPLE")</f>
        <v>CUMPLE</v>
      </c>
      <c r="E31" s="75"/>
    </row>
    <row r="32" spans="1:6" s="93" customFormat="1" ht="17.25" thickBot="1" x14ac:dyDescent="0.35">
      <c r="A32" s="98"/>
      <c r="B32" s="78" t="s">
        <v>14</v>
      </c>
      <c r="C32" s="120">
        <f>+C28/C26</f>
        <v>0.58357200345270566</v>
      </c>
      <c r="D32" s="119" t="str">
        <f>+IF(C32&lt;=C23,"CUMPLE","NO CUMPLE")</f>
        <v>CUMPLE</v>
      </c>
      <c r="E32" s="75"/>
    </row>
    <row r="33" spans="1:9" s="110" customFormat="1" ht="14.25" thickBot="1" x14ac:dyDescent="0.3">
      <c r="A33" s="98"/>
      <c r="B33" s="108"/>
      <c r="C33" s="100"/>
      <c r="D33" s="76"/>
      <c r="E33" s="109"/>
    </row>
    <row r="34" spans="1:9" s="93" customFormat="1" ht="41.25" customHeight="1" thickBot="1" x14ac:dyDescent="0.3">
      <c r="A34" s="98"/>
      <c r="B34" s="72" t="s">
        <v>15</v>
      </c>
      <c r="C34" s="244" t="s">
        <v>49</v>
      </c>
      <c r="D34" s="245"/>
      <c r="E34" s="75"/>
    </row>
    <row r="35" spans="1:9" s="70" customFormat="1" ht="14.25" thickBot="1" x14ac:dyDescent="0.3">
      <c r="A35" s="98"/>
      <c r="B35" s="83"/>
      <c r="C35" s="83"/>
      <c r="D35" s="83"/>
      <c r="E35" s="75"/>
    </row>
    <row r="36" spans="1:9" s="70" customFormat="1" ht="45.75" customHeight="1" thickBot="1" x14ac:dyDescent="0.3">
      <c r="A36" s="98"/>
      <c r="B36" s="72" t="s">
        <v>26</v>
      </c>
      <c r="C36" s="244"/>
      <c r="D36" s="245"/>
      <c r="E36" s="75"/>
    </row>
    <row r="37" spans="1:9" s="70" customFormat="1" ht="14.25" thickBot="1" x14ac:dyDescent="0.3">
      <c r="A37" s="111"/>
      <c r="B37" s="112"/>
      <c r="C37" s="112"/>
      <c r="D37" s="112"/>
      <c r="E37" s="71"/>
    </row>
    <row r="38" spans="1:9" s="70" customFormat="1" x14ac:dyDescent="0.25">
      <c r="B38" s="83"/>
      <c r="C38" s="83"/>
      <c r="D38" s="83"/>
    </row>
    <row r="39" spans="1:9" s="70" customFormat="1" x14ac:dyDescent="0.25">
      <c r="B39" s="83"/>
      <c r="C39" s="83"/>
      <c r="D39" s="83"/>
    </row>
    <row r="40" spans="1:9" s="70" customFormat="1" x14ac:dyDescent="0.25">
      <c r="B40" s="83"/>
      <c r="C40" s="83"/>
      <c r="D40" s="83"/>
    </row>
    <row r="41" spans="1:9" s="70" customFormat="1" x14ac:dyDescent="0.25">
      <c r="B41" s="83"/>
      <c r="C41" s="83"/>
      <c r="D41" s="83"/>
    </row>
    <row r="43" spans="1:9" x14ac:dyDescent="0.25">
      <c r="B43" s="100"/>
      <c r="C43" s="70"/>
    </row>
    <row r="44" spans="1:9" x14ac:dyDescent="0.25">
      <c r="B44" s="88">
        <v>616000</v>
      </c>
      <c r="C44" s="87"/>
      <c r="D44" s="87"/>
      <c r="E44" s="87"/>
      <c r="F44" s="87"/>
      <c r="G44" s="87"/>
      <c r="H44" s="87"/>
      <c r="I44" s="87"/>
    </row>
    <row r="45" spans="1:9" ht="25.5" x14ac:dyDescent="0.25">
      <c r="B45" s="89" t="s">
        <v>21</v>
      </c>
      <c r="C45" s="89" t="s">
        <v>20</v>
      </c>
      <c r="D45" s="200" t="s">
        <v>16</v>
      </c>
      <c r="E45" s="87"/>
      <c r="F45" s="200" t="s">
        <v>17</v>
      </c>
      <c r="G45" s="87"/>
      <c r="H45" s="246"/>
      <c r="I45" s="246"/>
    </row>
    <row r="46" spans="1:9" x14ac:dyDescent="0.25">
      <c r="B46" s="90">
        <v>0</v>
      </c>
      <c r="C46" s="90">
        <v>250</v>
      </c>
      <c r="D46" s="201">
        <v>0.8</v>
      </c>
      <c r="E46" s="87"/>
      <c r="F46" s="202">
        <v>0.8</v>
      </c>
      <c r="G46" s="87"/>
      <c r="H46" s="116"/>
      <c r="I46" s="117">
        <f t="shared" ref="I46:I53" si="0">+C46*$B$44</f>
        <v>154000000</v>
      </c>
    </row>
    <row r="47" spans="1:9" x14ac:dyDescent="0.25">
      <c r="B47" s="90">
        <v>251</v>
      </c>
      <c r="C47" s="90">
        <v>1000</v>
      </c>
      <c r="D47" s="201">
        <v>0.8</v>
      </c>
      <c r="E47" s="87"/>
      <c r="F47" s="202">
        <v>0.75</v>
      </c>
      <c r="G47" s="87"/>
      <c r="H47" s="117">
        <f t="shared" ref="H47:H53" si="1">+B47*$B$44</f>
        <v>154616000</v>
      </c>
      <c r="I47" s="117">
        <f t="shared" si="0"/>
        <v>616000000</v>
      </c>
    </row>
    <row r="48" spans="1:9" x14ac:dyDescent="0.25">
      <c r="B48" s="90">
        <v>1001</v>
      </c>
      <c r="C48" s="90">
        <v>1500</v>
      </c>
      <c r="D48" s="201">
        <v>0.9</v>
      </c>
      <c r="E48" s="87"/>
      <c r="F48" s="202">
        <v>0.75</v>
      </c>
      <c r="G48" s="87"/>
      <c r="H48" s="117">
        <f t="shared" si="1"/>
        <v>616616000</v>
      </c>
      <c r="I48" s="117">
        <f t="shared" si="0"/>
        <v>924000000</v>
      </c>
    </row>
    <row r="49" spans="1:9" x14ac:dyDescent="0.25">
      <c r="B49" s="90">
        <v>1501</v>
      </c>
      <c r="C49" s="90">
        <v>2500</v>
      </c>
      <c r="D49" s="201">
        <v>0.9</v>
      </c>
      <c r="E49" s="87"/>
      <c r="F49" s="202">
        <v>0.7</v>
      </c>
      <c r="G49" s="87"/>
      <c r="H49" s="117">
        <f t="shared" si="1"/>
        <v>924616000</v>
      </c>
      <c r="I49" s="117">
        <f t="shared" si="0"/>
        <v>1540000000</v>
      </c>
    </row>
    <row r="50" spans="1:9" x14ac:dyDescent="0.25">
      <c r="B50" s="90">
        <v>2501</v>
      </c>
      <c r="C50" s="90">
        <v>3000</v>
      </c>
      <c r="D50" s="201">
        <v>1</v>
      </c>
      <c r="E50" s="87"/>
      <c r="F50" s="202">
        <v>0.7</v>
      </c>
      <c r="G50" s="87"/>
      <c r="H50" s="117">
        <f t="shared" si="1"/>
        <v>1540616000</v>
      </c>
      <c r="I50" s="117">
        <f t="shared" si="0"/>
        <v>1848000000</v>
      </c>
    </row>
    <row r="51" spans="1:9" x14ac:dyDescent="0.25">
      <c r="B51" s="90">
        <v>3001</v>
      </c>
      <c r="C51" s="90">
        <v>3500</v>
      </c>
      <c r="D51" s="201">
        <v>1</v>
      </c>
      <c r="E51" s="87"/>
      <c r="F51" s="202">
        <v>0.68</v>
      </c>
      <c r="G51" s="87"/>
      <c r="H51" s="117">
        <f t="shared" si="1"/>
        <v>1848616000</v>
      </c>
      <c r="I51" s="117">
        <f t="shared" si="0"/>
        <v>2156000000</v>
      </c>
    </row>
    <row r="52" spans="1:9" x14ac:dyDescent="0.25">
      <c r="B52" s="90">
        <v>3501</v>
      </c>
      <c r="C52" s="90">
        <v>4500</v>
      </c>
      <c r="D52" s="201">
        <v>1.1000000000000001</v>
      </c>
      <c r="E52" s="87"/>
      <c r="F52" s="202">
        <v>0.68</v>
      </c>
      <c r="G52" s="87"/>
      <c r="H52" s="117">
        <f t="shared" si="1"/>
        <v>2156616000</v>
      </c>
      <c r="I52" s="117">
        <f t="shared" si="0"/>
        <v>2772000000</v>
      </c>
    </row>
    <row r="53" spans="1:9" x14ac:dyDescent="0.25">
      <c r="A53" s="84" t="s">
        <v>22</v>
      </c>
      <c r="B53" s="90">
        <v>4501</v>
      </c>
      <c r="C53" s="90"/>
      <c r="D53" s="201">
        <v>1.2</v>
      </c>
      <c r="E53" s="87"/>
      <c r="F53" s="202">
        <v>0.65</v>
      </c>
      <c r="G53" s="87"/>
      <c r="H53" s="117">
        <f t="shared" si="1"/>
        <v>2772616000</v>
      </c>
      <c r="I53" s="117">
        <f t="shared" si="0"/>
        <v>0</v>
      </c>
    </row>
  </sheetData>
  <mergeCells count="16">
    <mergeCell ref="A6:E6"/>
    <mergeCell ref="A1:E1"/>
    <mergeCell ref="B2:D2"/>
    <mergeCell ref="A3:E3"/>
    <mergeCell ref="B4:D4"/>
    <mergeCell ref="A5:E5"/>
    <mergeCell ref="B30:D30"/>
    <mergeCell ref="C34:D34"/>
    <mergeCell ref="C36:D36"/>
    <mergeCell ref="H45:I45"/>
    <mergeCell ref="C8:D8"/>
    <mergeCell ref="C9:D9"/>
    <mergeCell ref="C10:D10"/>
    <mergeCell ref="C18:D18"/>
    <mergeCell ref="C19:D19"/>
    <mergeCell ref="B29:D29"/>
  </mergeCells>
  <pageMargins left="0.7" right="0.7" top="0.75" bottom="0.75" header="0.3" footer="0.3"/>
  <pageSetup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J51"/>
  <sheetViews>
    <sheetView view="pageBreakPreview" zoomScale="110" zoomScaleNormal="100" zoomScaleSheetLayoutView="110" workbookViewId="0">
      <selection activeCell="G12" sqref="G12:H12"/>
    </sheetView>
  </sheetViews>
  <sheetFormatPr baseColWidth="10" defaultRowHeight="15" x14ac:dyDescent="0.25"/>
  <cols>
    <col min="1" max="1" width="2.28515625" style="143" customWidth="1"/>
    <col min="2" max="2" width="31.140625" bestFit="1" customWidth="1"/>
    <col min="3" max="3" width="24.5703125" customWidth="1"/>
    <col min="4" max="4" width="4.42578125" customWidth="1"/>
    <col min="5" max="5" width="18.85546875" customWidth="1"/>
    <col min="6" max="6" width="4" style="46" customWidth="1"/>
    <col min="7" max="7" width="22.7109375" customWidth="1"/>
    <col min="8" max="8" width="14" style="46" customWidth="1"/>
    <col min="9" max="9" width="4.140625" style="143" customWidth="1"/>
    <col min="10" max="10" width="12.5703125" bestFit="1" customWidth="1"/>
  </cols>
  <sheetData>
    <row r="1" spans="1:9" s="1" customFormat="1" ht="15.75" x14ac:dyDescent="0.25">
      <c r="A1" s="151"/>
      <c r="B1" s="272" t="s">
        <v>0</v>
      </c>
      <c r="C1" s="272"/>
      <c r="D1" s="272"/>
      <c r="E1" s="272"/>
      <c r="F1" s="272"/>
      <c r="G1" s="272"/>
      <c r="H1" s="272"/>
      <c r="I1" s="30"/>
    </row>
    <row r="2" spans="1:9" s="1" customFormat="1" ht="15.75" customHeight="1" x14ac:dyDescent="0.25">
      <c r="A2" s="2"/>
      <c r="B2" s="263" t="s">
        <v>1</v>
      </c>
      <c r="C2" s="263"/>
      <c r="D2" s="263"/>
      <c r="E2" s="263"/>
      <c r="F2" s="263"/>
      <c r="G2" s="263"/>
      <c r="H2" s="263"/>
      <c r="I2" s="5"/>
    </row>
    <row r="3" spans="1:9" s="1" customFormat="1" ht="20.25" customHeight="1" x14ac:dyDescent="0.25">
      <c r="A3" s="98"/>
      <c r="B3" s="263" t="s">
        <v>2</v>
      </c>
      <c r="C3" s="263"/>
      <c r="D3" s="263"/>
      <c r="E3" s="263"/>
      <c r="F3" s="263"/>
      <c r="G3" s="263"/>
      <c r="H3" s="263"/>
      <c r="I3" s="5"/>
    </row>
    <row r="4" spans="1:9" s="1" customFormat="1" ht="15.75" customHeight="1" x14ac:dyDescent="0.25">
      <c r="A4" s="152"/>
      <c r="B4" s="263" t="s">
        <v>28</v>
      </c>
      <c r="C4" s="263"/>
      <c r="D4" s="263"/>
      <c r="E4" s="263"/>
      <c r="F4" s="263"/>
      <c r="G4" s="263"/>
      <c r="H4" s="263"/>
      <c r="I4" s="5"/>
    </row>
    <row r="5" spans="1:9" s="1" customFormat="1" ht="78" customHeight="1" thickBot="1" x14ac:dyDescent="0.3">
      <c r="A5" s="3"/>
      <c r="B5" s="264" t="s">
        <v>29</v>
      </c>
      <c r="C5" s="264"/>
      <c r="D5" s="264"/>
      <c r="E5" s="264"/>
      <c r="F5" s="264"/>
      <c r="G5" s="264"/>
      <c r="H5" s="264"/>
      <c r="I5" s="5"/>
    </row>
    <row r="6" spans="1:9" s="1" customFormat="1" ht="14.25" thickBot="1" x14ac:dyDescent="0.3">
      <c r="A6" s="3"/>
      <c r="B6" s="6" t="s">
        <v>3</v>
      </c>
      <c r="C6" s="273" t="s">
        <v>154</v>
      </c>
      <c r="D6" s="273"/>
      <c r="E6" s="273"/>
      <c r="F6" s="273"/>
      <c r="G6" s="273"/>
      <c r="H6" s="274"/>
      <c r="I6" s="5"/>
    </row>
    <row r="7" spans="1:9" s="1" customFormat="1" ht="15.75" customHeight="1" thickBot="1" x14ac:dyDescent="0.3">
      <c r="A7" s="3"/>
      <c r="B7" s="26" t="s">
        <v>37</v>
      </c>
      <c r="C7" s="273">
        <v>24</v>
      </c>
      <c r="D7" s="273"/>
      <c r="E7" s="273"/>
      <c r="F7" s="273"/>
      <c r="G7" s="273"/>
      <c r="H7" s="274"/>
      <c r="I7" s="5"/>
    </row>
    <row r="8" spans="1:9" s="1" customFormat="1" ht="26.25" customHeight="1" x14ac:dyDescent="0.25">
      <c r="A8" s="3"/>
      <c r="B8" s="130" t="s">
        <v>23</v>
      </c>
      <c r="C8" s="278" t="s">
        <v>24</v>
      </c>
      <c r="D8" s="278"/>
      <c r="E8" s="278"/>
      <c r="F8" s="140"/>
      <c r="G8" s="278" t="s">
        <v>25</v>
      </c>
      <c r="H8" s="279"/>
      <c r="I8" s="5"/>
    </row>
    <row r="9" spans="1:9" s="1" customFormat="1" ht="13.5" x14ac:dyDescent="0.25">
      <c r="A9" s="3"/>
      <c r="B9" s="133"/>
      <c r="C9" s="135"/>
      <c r="D9" s="135"/>
      <c r="E9" s="135"/>
      <c r="F9" s="203"/>
      <c r="G9" s="135"/>
      <c r="H9" s="99"/>
      <c r="I9" s="5"/>
    </row>
    <row r="10" spans="1:9" s="20" customFormat="1" ht="13.5" x14ac:dyDescent="0.25">
      <c r="A10" s="3"/>
      <c r="B10" s="160">
        <v>1</v>
      </c>
      <c r="C10" s="271" t="s">
        <v>204</v>
      </c>
      <c r="D10" s="271"/>
      <c r="E10" s="271"/>
      <c r="F10" s="198"/>
      <c r="G10" s="280">
        <v>6390139860</v>
      </c>
      <c r="H10" s="281"/>
      <c r="I10" s="5"/>
    </row>
    <row r="11" spans="1:9" s="20" customFormat="1" ht="14.25" thickBot="1" x14ac:dyDescent="0.3">
      <c r="A11" s="3"/>
      <c r="B11" s="160"/>
      <c r="C11" s="271"/>
      <c r="D11" s="271"/>
      <c r="E11" s="271"/>
      <c r="F11" s="198"/>
      <c r="G11" s="280"/>
      <c r="H11" s="281"/>
      <c r="I11" s="5"/>
    </row>
    <row r="12" spans="1:9" s="1" customFormat="1" ht="15.75" customHeight="1" thickBot="1" x14ac:dyDescent="0.3">
      <c r="A12" s="3"/>
      <c r="B12" s="6" t="s">
        <v>4</v>
      </c>
      <c r="C12" s="54"/>
      <c r="D12" s="161"/>
      <c r="E12" s="161"/>
      <c r="F12" s="161"/>
      <c r="G12" s="282">
        <f>+SUM(G10:H11)</f>
        <v>6390139860</v>
      </c>
      <c r="H12" s="283"/>
      <c r="I12" s="5"/>
    </row>
    <row r="13" spans="1:9" s="1" customFormat="1" ht="15.75" customHeight="1" thickBot="1" x14ac:dyDescent="0.3">
      <c r="A13" s="3"/>
      <c r="B13" s="31" t="s">
        <v>5</v>
      </c>
      <c r="D13" s="162"/>
      <c r="E13" s="162"/>
      <c r="F13" s="162"/>
      <c r="G13" s="284">
        <f>ROUND(G12/616000,0)</f>
        <v>10374</v>
      </c>
      <c r="H13" s="285"/>
      <c r="I13" s="5"/>
    </row>
    <row r="14" spans="1:9" s="1" customFormat="1" ht="13.5" x14ac:dyDescent="0.25">
      <c r="A14" s="3"/>
      <c r="B14" s="136"/>
      <c r="C14" s="64"/>
      <c r="D14" s="65"/>
      <c r="E14" s="69"/>
      <c r="F14" s="29"/>
      <c r="G14" s="69"/>
      <c r="H14" s="29"/>
      <c r="I14" s="5"/>
    </row>
    <row r="15" spans="1:9" s="4" customFormat="1" ht="13.5" x14ac:dyDescent="0.25">
      <c r="A15" s="3"/>
      <c r="B15" s="18"/>
      <c r="C15" s="19"/>
      <c r="D15" s="56"/>
      <c r="I15" s="5"/>
    </row>
    <row r="16" spans="1:9" s="4" customFormat="1" ht="14.25" thickBot="1" x14ac:dyDescent="0.3">
      <c r="A16" s="3"/>
      <c r="B16" s="18" t="s">
        <v>19</v>
      </c>
      <c r="C16" s="19"/>
      <c r="D16" s="56"/>
      <c r="I16" s="5"/>
    </row>
    <row r="17" spans="1:9" s="4" customFormat="1" ht="13.5" x14ac:dyDescent="0.25">
      <c r="A17" s="3"/>
      <c r="B17" s="16" t="s">
        <v>13</v>
      </c>
      <c r="C17" s="67">
        <f>+IF($G$13&gt;$B$51,$D$51,IF(AND($G$13&gt;=$B$50,$G$13&lt;=$C$50),$D$50,IF(AND($G$13&gt;=$B$48,$G$13&lt;=$C$49),$D$48,IF(AND($G$13&gt;=$B$46,$G$13&lt;=$C$47),$D$46,IF(AND($G$13&gt;$B$44,$G$13&lt;=$C$45),$D$44)))))</f>
        <v>1.2</v>
      </c>
      <c r="D17" s="56"/>
      <c r="I17" s="5"/>
    </row>
    <row r="18" spans="1:9" s="4" customFormat="1" ht="14.25" thickBot="1" x14ac:dyDescent="0.3">
      <c r="A18" s="3"/>
      <c r="B18" s="17" t="s">
        <v>14</v>
      </c>
      <c r="C18" s="68">
        <f>+IF($G$13&gt;$B$51,$F$51,IF(AND($G$13&gt;=$B$49,$G$13&lt;=$C$50),$F$49,IF(AND($G$13&gt;=$B$47,$G$13&lt;=$C$48),$F$47,IF(AND($G$13&gt;=$B$45,$G$13&lt;=$C$46),$F$45,IF(AND($G$13&gt;$B$44,$G$13&lt;=$C$44),$F$44)))))</f>
        <v>0.65</v>
      </c>
      <c r="D18" s="56"/>
      <c r="I18" s="5"/>
    </row>
    <row r="19" spans="1:9" s="4" customFormat="1" ht="14.25" thickBot="1" x14ac:dyDescent="0.3">
      <c r="A19" s="3"/>
      <c r="B19" s="137"/>
      <c r="C19" s="32"/>
      <c r="D19" s="33"/>
      <c r="E19" s="25"/>
      <c r="F19" s="25"/>
      <c r="G19" s="25"/>
      <c r="H19" s="25"/>
      <c r="I19" s="5"/>
    </row>
    <row r="20" spans="1:9" s="22" customFormat="1" ht="57" customHeight="1" thickBot="1" x14ac:dyDescent="0.3">
      <c r="A20" s="3"/>
      <c r="B20" s="6" t="s">
        <v>18</v>
      </c>
      <c r="C20" s="59" t="s">
        <v>155</v>
      </c>
      <c r="D20" s="7"/>
      <c r="E20" s="159" t="s">
        <v>156</v>
      </c>
      <c r="F20" s="60"/>
      <c r="G20" s="232" t="s">
        <v>154</v>
      </c>
      <c r="H20" s="335"/>
      <c r="I20" s="5"/>
    </row>
    <row r="21" spans="1:9" s="22" customFormat="1" ht="13.5" customHeight="1" thickBot="1" x14ac:dyDescent="0.3">
      <c r="A21" s="3"/>
      <c r="B21" s="6" t="s">
        <v>31</v>
      </c>
      <c r="C21" s="59">
        <v>805027243</v>
      </c>
      <c r="D21" s="7"/>
      <c r="E21" s="157">
        <v>811026258</v>
      </c>
      <c r="F21" s="158"/>
      <c r="G21" s="157"/>
      <c r="H21" s="35"/>
      <c r="I21" s="5"/>
    </row>
    <row r="22" spans="1:9" s="22" customFormat="1" ht="14.25" thickBot="1" x14ac:dyDescent="0.3">
      <c r="A22" s="3"/>
      <c r="B22" s="138"/>
      <c r="C22" s="9"/>
      <c r="D22" s="9"/>
      <c r="E22" s="4"/>
      <c r="F22" s="4"/>
      <c r="G22" s="4"/>
      <c r="H22" s="4"/>
      <c r="I22" s="5"/>
    </row>
    <row r="23" spans="1:9" s="1" customFormat="1" ht="13.5" x14ac:dyDescent="0.25">
      <c r="A23" s="3"/>
      <c r="B23" s="10" t="s">
        <v>7</v>
      </c>
      <c r="C23" s="127">
        <v>223636281</v>
      </c>
      <c r="D23" s="37"/>
      <c r="E23" s="11">
        <v>1219847468</v>
      </c>
      <c r="F23" s="91"/>
      <c r="G23" s="11">
        <f>+E23+C23</f>
        <v>1443483749</v>
      </c>
      <c r="H23" s="30"/>
      <c r="I23" s="5"/>
    </row>
    <row r="24" spans="1:9" s="1" customFormat="1" ht="13.5" x14ac:dyDescent="0.25">
      <c r="A24" s="3"/>
      <c r="B24" s="12" t="s">
        <v>8</v>
      </c>
      <c r="C24" s="129">
        <v>2556353087</v>
      </c>
      <c r="D24" s="38"/>
      <c r="E24" s="13">
        <v>1544716283</v>
      </c>
      <c r="F24" s="19"/>
      <c r="G24" s="13">
        <f>+E24+C24</f>
        <v>4101069370</v>
      </c>
      <c r="H24" s="5"/>
      <c r="I24" s="5"/>
    </row>
    <row r="25" spans="1:9" s="1" customFormat="1" ht="13.5" x14ac:dyDescent="0.25">
      <c r="A25" s="3"/>
      <c r="B25" s="12" t="s">
        <v>9</v>
      </c>
      <c r="C25" s="129">
        <v>165431149</v>
      </c>
      <c r="D25" s="38"/>
      <c r="E25" s="13">
        <v>741644499</v>
      </c>
      <c r="F25" s="19"/>
      <c r="G25" s="13">
        <f>+E25+C25</f>
        <v>907075648</v>
      </c>
      <c r="H25" s="5"/>
      <c r="I25" s="5"/>
    </row>
    <row r="26" spans="1:9" s="1" customFormat="1" ht="14.25" thickBot="1" x14ac:dyDescent="0.3">
      <c r="A26" s="3"/>
      <c r="B26" s="14" t="s">
        <v>10</v>
      </c>
      <c r="C26" s="129">
        <v>645677829</v>
      </c>
      <c r="D26" s="50"/>
      <c r="E26" s="15">
        <v>1055409245</v>
      </c>
      <c r="F26" s="92"/>
      <c r="G26" s="15">
        <f>+E26+C26</f>
        <v>1701087074</v>
      </c>
      <c r="H26" s="21"/>
      <c r="I26" s="5"/>
    </row>
    <row r="27" spans="1:9" s="1" customFormat="1" ht="14.25" thickBot="1" x14ac:dyDescent="0.3">
      <c r="A27" s="3"/>
      <c r="B27" s="275" t="s">
        <v>11</v>
      </c>
      <c r="C27" s="276"/>
      <c r="D27" s="276"/>
      <c r="E27" s="276"/>
      <c r="F27" s="276"/>
      <c r="G27" s="276"/>
      <c r="H27" s="277"/>
      <c r="I27" s="5"/>
    </row>
    <row r="28" spans="1:9" s="1" customFormat="1" ht="14.25" thickBot="1" x14ac:dyDescent="0.3">
      <c r="A28" s="3"/>
      <c r="B28" s="275" t="s">
        <v>12</v>
      </c>
      <c r="C28" s="276"/>
      <c r="D28" s="276"/>
      <c r="E28" s="276"/>
      <c r="F28" s="276"/>
      <c r="G28" s="276"/>
      <c r="H28" s="277"/>
      <c r="I28" s="5"/>
    </row>
    <row r="29" spans="1:9" s="1" customFormat="1" ht="13.5" x14ac:dyDescent="0.25">
      <c r="A29" s="3"/>
      <c r="B29" s="16" t="s">
        <v>13</v>
      </c>
      <c r="C29" s="124">
        <f>+IFERROR(C23/C25,"INDETERMINADO")</f>
        <v>1.3518390118900765</v>
      </c>
      <c r="D29" s="125"/>
      <c r="E29" s="124">
        <f>+IFERROR(E23/E25,"INDETERMINADO")</f>
        <v>1.6447873201308543</v>
      </c>
      <c r="F29" s="58"/>
      <c r="G29" s="124">
        <f>+IFERROR(G23/G25,"INDETERMINADO")</f>
        <v>1.591359830001742</v>
      </c>
      <c r="H29" s="40" t="str">
        <f>+IF(G29&gt;=C16,"CUMPLE","NO CUMPLE")</f>
        <v>CUMPLE</v>
      </c>
      <c r="I29" s="5"/>
    </row>
    <row r="30" spans="1:9" s="1" customFormat="1" ht="14.25" thickBot="1" x14ac:dyDescent="0.3">
      <c r="A30" s="3"/>
      <c r="B30" s="17" t="s">
        <v>14</v>
      </c>
      <c r="C30" s="41">
        <f>+C26/C24</f>
        <v>0.25257771795434297</v>
      </c>
      <c r="D30" s="42"/>
      <c r="E30" s="41">
        <f>+E26/E24</f>
        <v>0.68323824679978462</v>
      </c>
      <c r="F30" s="43"/>
      <c r="G30" s="41">
        <f>+G26/G24</f>
        <v>0.41479109971748662</v>
      </c>
      <c r="H30" s="44" t="str">
        <f>+IF(G30&lt;=C17,"CUMPLE","NO CUMPLE")</f>
        <v>CUMPLE</v>
      </c>
      <c r="I30" s="5"/>
    </row>
    <row r="31" spans="1:9" s="20" customFormat="1" ht="14.25" thickBot="1" x14ac:dyDescent="0.3">
      <c r="A31" s="3"/>
      <c r="B31" s="139"/>
      <c r="C31" s="18"/>
      <c r="D31" s="19"/>
      <c r="F31" s="4"/>
      <c r="H31" s="4"/>
      <c r="I31" s="5"/>
    </row>
    <row r="32" spans="1:9" s="1" customFormat="1" ht="20.25" customHeight="1" thickBot="1" x14ac:dyDescent="0.3">
      <c r="A32" s="3"/>
      <c r="B32" s="6" t="s">
        <v>15</v>
      </c>
      <c r="C32" s="267" t="s">
        <v>36</v>
      </c>
      <c r="D32" s="267"/>
      <c r="E32" s="267"/>
      <c r="F32" s="267"/>
      <c r="G32" s="267"/>
      <c r="H32" s="268"/>
      <c r="I32" s="5"/>
    </row>
    <row r="33" spans="1:10" s="4" customFormat="1" ht="14.25" thickBot="1" x14ac:dyDescent="0.3">
      <c r="A33" s="3"/>
      <c r="B33" s="45"/>
      <c r="C33" s="45"/>
      <c r="D33" s="45"/>
      <c r="I33" s="5"/>
    </row>
    <row r="34" spans="1:10" s="46" customFormat="1" ht="36.75" customHeight="1" thickBot="1" x14ac:dyDescent="0.3">
      <c r="A34" s="153"/>
      <c r="B34" s="79" t="s">
        <v>26</v>
      </c>
      <c r="C34" s="269"/>
      <c r="D34" s="269"/>
      <c r="E34" s="269"/>
      <c r="F34" s="269"/>
      <c r="G34" s="269"/>
      <c r="H34" s="270"/>
      <c r="I34" s="5"/>
    </row>
    <row r="35" spans="1:10" s="46" customFormat="1" ht="15.75" thickBot="1" x14ac:dyDescent="0.3">
      <c r="A35" s="154"/>
      <c r="B35" s="155"/>
      <c r="C35" s="155"/>
      <c r="D35" s="25"/>
      <c r="E35" s="25"/>
      <c r="F35" s="25"/>
      <c r="G35" s="25"/>
      <c r="H35" s="156"/>
      <c r="I35" s="21"/>
    </row>
    <row r="36" spans="1:10" x14ac:dyDescent="0.25">
      <c r="D36" s="22"/>
      <c r="E36" s="22"/>
      <c r="F36" s="22"/>
      <c r="G36" s="22"/>
      <c r="H36" s="23"/>
      <c r="I36" s="4"/>
    </row>
    <row r="37" spans="1:10" x14ac:dyDescent="0.25">
      <c r="D37" s="22"/>
      <c r="E37" s="22"/>
      <c r="F37" s="22"/>
      <c r="G37" s="22"/>
      <c r="H37" s="23"/>
      <c r="I37" s="4"/>
    </row>
    <row r="38" spans="1:10" x14ac:dyDescent="0.25">
      <c r="D38" s="22"/>
      <c r="E38" s="22"/>
      <c r="F38" s="22"/>
      <c r="G38" s="22"/>
      <c r="H38" s="23"/>
      <c r="I38" s="4"/>
    </row>
    <row r="39" spans="1:10" x14ac:dyDescent="0.25">
      <c r="D39" s="22"/>
      <c r="E39" s="22"/>
      <c r="F39" s="22"/>
      <c r="G39" s="22"/>
      <c r="H39" s="23"/>
      <c r="I39" s="4"/>
    </row>
    <row r="40" spans="1:10" x14ac:dyDescent="0.25">
      <c r="D40" s="22"/>
      <c r="E40" s="22"/>
      <c r="F40" s="22"/>
      <c r="G40" s="22"/>
      <c r="H40" s="23"/>
      <c r="I40" s="4"/>
    </row>
    <row r="41" spans="1:10" x14ac:dyDescent="0.25">
      <c r="D41" s="22"/>
      <c r="E41" s="22"/>
      <c r="F41" s="22"/>
      <c r="G41" s="22"/>
      <c r="H41" s="22"/>
      <c r="I41" s="4"/>
    </row>
    <row r="42" spans="1:10" x14ac:dyDescent="0.25">
      <c r="B42" s="24">
        <v>616000</v>
      </c>
      <c r="D42" s="22"/>
      <c r="E42" s="22"/>
      <c r="F42" s="22"/>
      <c r="G42" s="22"/>
      <c r="H42" s="22"/>
      <c r="I42" s="4"/>
    </row>
    <row r="43" spans="1:10" x14ac:dyDescent="0.25">
      <c r="B43" s="141" t="s">
        <v>21</v>
      </c>
      <c r="C43" s="66" t="s">
        <v>20</v>
      </c>
      <c r="D43" s="265" t="s">
        <v>16</v>
      </c>
      <c r="E43" s="265"/>
      <c r="F43" s="265" t="s">
        <v>17</v>
      </c>
      <c r="G43" s="265"/>
    </row>
    <row r="44" spans="1:10" x14ac:dyDescent="0.25">
      <c r="B44" s="142">
        <v>0</v>
      </c>
      <c r="C44" s="55">
        <v>250</v>
      </c>
      <c r="D44" s="266">
        <v>0.8</v>
      </c>
      <c r="E44" s="266"/>
      <c r="F44" s="262">
        <v>0.8</v>
      </c>
      <c r="G44" s="262"/>
      <c r="H44" s="145"/>
      <c r="J44" s="147">
        <f t="shared" ref="J44:J51" si="0">+C44*$B$42</f>
        <v>154000000</v>
      </c>
    </row>
    <row r="45" spans="1:10" x14ac:dyDescent="0.25">
      <c r="B45" s="142">
        <v>251</v>
      </c>
      <c r="C45" s="55">
        <v>1000</v>
      </c>
      <c r="D45" s="266">
        <v>0.8</v>
      </c>
      <c r="E45" s="266"/>
      <c r="F45" s="262">
        <v>0.75</v>
      </c>
      <c r="G45" s="262"/>
      <c r="H45" s="146">
        <f t="shared" ref="H45:H51" si="1">+B45*$B$42</f>
        <v>154616000</v>
      </c>
      <c r="J45" s="147">
        <f t="shared" si="0"/>
        <v>616000000</v>
      </c>
    </row>
    <row r="46" spans="1:10" x14ac:dyDescent="0.25">
      <c r="B46" s="142">
        <v>1001</v>
      </c>
      <c r="C46" s="55">
        <v>1500</v>
      </c>
      <c r="D46" s="266">
        <v>0.9</v>
      </c>
      <c r="E46" s="266"/>
      <c r="F46" s="262">
        <v>0.75</v>
      </c>
      <c r="G46" s="262"/>
      <c r="H46" s="146">
        <f t="shared" si="1"/>
        <v>616616000</v>
      </c>
      <c r="J46" s="147">
        <f t="shared" si="0"/>
        <v>924000000</v>
      </c>
    </row>
    <row r="47" spans="1:10" x14ac:dyDescent="0.25">
      <c r="B47" s="142">
        <v>1501</v>
      </c>
      <c r="C47" s="55">
        <v>2500</v>
      </c>
      <c r="D47" s="266">
        <v>0.9</v>
      </c>
      <c r="E47" s="266"/>
      <c r="F47" s="262">
        <v>0.7</v>
      </c>
      <c r="G47" s="262"/>
      <c r="H47" s="146">
        <f t="shared" si="1"/>
        <v>924616000</v>
      </c>
      <c r="J47" s="147">
        <f t="shared" si="0"/>
        <v>1540000000</v>
      </c>
    </row>
    <row r="48" spans="1:10" x14ac:dyDescent="0.25">
      <c r="B48" s="142">
        <v>2501</v>
      </c>
      <c r="C48" s="55">
        <v>3000</v>
      </c>
      <c r="D48" s="266">
        <v>1</v>
      </c>
      <c r="E48" s="266"/>
      <c r="F48" s="262">
        <v>0.7</v>
      </c>
      <c r="G48" s="262"/>
      <c r="H48" s="146">
        <f t="shared" si="1"/>
        <v>1540616000</v>
      </c>
      <c r="J48" s="147">
        <f t="shared" si="0"/>
        <v>1848000000</v>
      </c>
    </row>
    <row r="49" spans="2:10" x14ac:dyDescent="0.25">
      <c r="B49" s="142">
        <v>3001</v>
      </c>
      <c r="C49" s="55">
        <v>3500</v>
      </c>
      <c r="D49" s="266">
        <v>1</v>
      </c>
      <c r="E49" s="266"/>
      <c r="F49" s="262">
        <v>0.68</v>
      </c>
      <c r="G49" s="262"/>
      <c r="H49" s="146">
        <f t="shared" si="1"/>
        <v>1848616000</v>
      </c>
      <c r="J49" s="147">
        <f t="shared" si="0"/>
        <v>2156000000</v>
      </c>
    </row>
    <row r="50" spans="2:10" x14ac:dyDescent="0.25">
      <c r="B50" s="142">
        <v>3501</v>
      </c>
      <c r="C50" s="55">
        <v>4500</v>
      </c>
      <c r="D50" s="266">
        <v>1.1000000000000001</v>
      </c>
      <c r="E50" s="266"/>
      <c r="F50" s="262">
        <v>0.68</v>
      </c>
      <c r="G50" s="262"/>
      <c r="H50" s="146">
        <f t="shared" si="1"/>
        <v>2156616000</v>
      </c>
      <c r="J50" s="147">
        <f t="shared" si="0"/>
        <v>2772000000</v>
      </c>
    </row>
    <row r="51" spans="2:10" x14ac:dyDescent="0.25">
      <c r="B51" s="142">
        <v>4501</v>
      </c>
      <c r="C51" s="55"/>
      <c r="D51" s="266">
        <v>1.2</v>
      </c>
      <c r="E51" s="266"/>
      <c r="F51" s="262">
        <v>0.65</v>
      </c>
      <c r="G51" s="262"/>
      <c r="H51" s="146">
        <f t="shared" si="1"/>
        <v>2772616000</v>
      </c>
      <c r="J51" s="147">
        <f t="shared" si="0"/>
        <v>0</v>
      </c>
    </row>
  </sheetData>
  <mergeCells count="37">
    <mergeCell ref="C11:E11"/>
    <mergeCell ref="G11:H11"/>
    <mergeCell ref="B1:H1"/>
    <mergeCell ref="B2:H2"/>
    <mergeCell ref="B3:H3"/>
    <mergeCell ref="B4:H4"/>
    <mergeCell ref="B5:H5"/>
    <mergeCell ref="C6:H6"/>
    <mergeCell ref="C7:H7"/>
    <mergeCell ref="C8:E8"/>
    <mergeCell ref="G8:H8"/>
    <mergeCell ref="C10:E10"/>
    <mergeCell ref="G10:H10"/>
    <mergeCell ref="D44:E44"/>
    <mergeCell ref="F44:G44"/>
    <mergeCell ref="G12:H12"/>
    <mergeCell ref="G13:H13"/>
    <mergeCell ref="B27:H27"/>
    <mergeCell ref="B28:H28"/>
    <mergeCell ref="C32:H32"/>
    <mergeCell ref="C34:H34"/>
    <mergeCell ref="D43:E43"/>
    <mergeCell ref="F43:G43"/>
    <mergeCell ref="D45:E45"/>
    <mergeCell ref="F45:G45"/>
    <mergeCell ref="D46:E46"/>
    <mergeCell ref="F46:G46"/>
    <mergeCell ref="D47:E47"/>
    <mergeCell ref="F47:G47"/>
    <mergeCell ref="D51:E51"/>
    <mergeCell ref="F51:G51"/>
    <mergeCell ref="D48:E48"/>
    <mergeCell ref="F48:G48"/>
    <mergeCell ref="D49:E49"/>
    <mergeCell ref="F49:G49"/>
    <mergeCell ref="D50:E50"/>
    <mergeCell ref="F50:G50"/>
  </mergeCells>
  <pageMargins left="0.70866141732283472" right="0.70866141732283472" top="0.74803149606299213" bottom="0.74803149606299213" header="0.31496062992125984" footer="0.31496062992125984"/>
  <pageSetup scale="7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view="pageBreakPreview" topLeftCell="A2" zoomScale="110" zoomScaleNormal="100" zoomScaleSheetLayoutView="110" workbookViewId="0">
      <selection activeCell="G9" sqref="G9:H9"/>
    </sheetView>
  </sheetViews>
  <sheetFormatPr baseColWidth="10" defaultRowHeight="15" x14ac:dyDescent="0.25"/>
  <cols>
    <col min="1" max="1" width="2.28515625" style="143" customWidth="1"/>
    <col min="2" max="2" width="31.140625" bestFit="1" customWidth="1"/>
    <col min="3" max="3" width="24.5703125" customWidth="1"/>
    <col min="4" max="4" width="4.42578125" customWidth="1"/>
    <col min="5" max="5" width="18.85546875" customWidth="1"/>
    <col min="6" max="6" width="4" style="46" customWidth="1"/>
    <col min="7" max="7" width="19" customWidth="1"/>
    <col min="8" max="8" width="14" style="46" customWidth="1"/>
    <col min="9" max="9" width="4.140625" style="143" customWidth="1"/>
    <col min="10" max="10" width="12.5703125" bestFit="1" customWidth="1"/>
  </cols>
  <sheetData>
    <row r="1" spans="1:9" s="1" customFormat="1" ht="15.75" x14ac:dyDescent="0.25">
      <c r="A1" s="151"/>
      <c r="B1" s="272" t="s">
        <v>0</v>
      </c>
      <c r="C1" s="272"/>
      <c r="D1" s="272"/>
      <c r="E1" s="272"/>
      <c r="F1" s="272"/>
      <c r="G1" s="272"/>
      <c r="H1" s="272"/>
      <c r="I1" s="30"/>
    </row>
    <row r="2" spans="1:9" s="1" customFormat="1" ht="15.75" customHeight="1" x14ac:dyDescent="0.25">
      <c r="A2" s="2"/>
      <c r="B2" s="263" t="s">
        <v>1</v>
      </c>
      <c r="C2" s="263"/>
      <c r="D2" s="263"/>
      <c r="E2" s="263"/>
      <c r="F2" s="263"/>
      <c r="G2" s="263"/>
      <c r="H2" s="263"/>
      <c r="I2" s="5"/>
    </row>
    <row r="3" spans="1:9" s="1" customFormat="1" ht="20.25" customHeight="1" x14ac:dyDescent="0.25">
      <c r="A3" s="98"/>
      <c r="B3" s="263" t="s">
        <v>2</v>
      </c>
      <c r="C3" s="263"/>
      <c r="D3" s="263"/>
      <c r="E3" s="263"/>
      <c r="F3" s="263"/>
      <c r="G3" s="263"/>
      <c r="H3" s="263"/>
      <c r="I3" s="5"/>
    </row>
    <row r="4" spans="1:9" s="1" customFormat="1" ht="15.75" customHeight="1" x14ac:dyDescent="0.25">
      <c r="A4" s="152"/>
      <c r="B4" s="263" t="s">
        <v>28</v>
      </c>
      <c r="C4" s="263"/>
      <c r="D4" s="263"/>
      <c r="E4" s="263"/>
      <c r="F4" s="263"/>
      <c r="G4" s="263"/>
      <c r="H4" s="263"/>
      <c r="I4" s="5"/>
    </row>
    <row r="5" spans="1:9" s="1" customFormat="1" ht="78" customHeight="1" thickBot="1" x14ac:dyDescent="0.3">
      <c r="A5" s="3"/>
      <c r="B5" s="264" t="s">
        <v>29</v>
      </c>
      <c r="C5" s="264"/>
      <c r="D5" s="264"/>
      <c r="E5" s="264"/>
      <c r="F5" s="264"/>
      <c r="G5" s="264"/>
      <c r="H5" s="264"/>
      <c r="I5" s="5"/>
    </row>
    <row r="6" spans="1:9" s="1" customFormat="1" ht="14.25" thickBot="1" x14ac:dyDescent="0.3">
      <c r="A6" s="3"/>
      <c r="B6" s="6" t="s">
        <v>3</v>
      </c>
      <c r="C6" s="273" t="s">
        <v>32</v>
      </c>
      <c r="D6" s="273"/>
      <c r="E6" s="273"/>
      <c r="F6" s="273"/>
      <c r="G6" s="273"/>
      <c r="H6" s="274"/>
      <c r="I6" s="5"/>
    </row>
    <row r="7" spans="1:9" s="1" customFormat="1" ht="15.75" customHeight="1" thickBot="1" x14ac:dyDescent="0.3">
      <c r="A7" s="3"/>
      <c r="B7" s="26" t="s">
        <v>37</v>
      </c>
      <c r="C7" s="273">
        <v>3</v>
      </c>
      <c r="D7" s="273"/>
      <c r="E7" s="273"/>
      <c r="F7" s="273"/>
      <c r="G7" s="273"/>
      <c r="H7" s="274"/>
      <c r="I7" s="5"/>
    </row>
    <row r="8" spans="1:9" s="1" customFormat="1" ht="26.25" customHeight="1" x14ac:dyDescent="0.25">
      <c r="A8" s="3"/>
      <c r="B8" s="130" t="s">
        <v>23</v>
      </c>
      <c r="C8" s="278" t="s">
        <v>24</v>
      </c>
      <c r="D8" s="278"/>
      <c r="E8" s="278"/>
      <c r="F8" s="140"/>
      <c r="G8" s="278" t="s">
        <v>25</v>
      </c>
      <c r="H8" s="279"/>
      <c r="I8" s="5"/>
    </row>
    <row r="9" spans="1:9" s="20" customFormat="1" ht="13.5" x14ac:dyDescent="0.25">
      <c r="A9" s="3"/>
      <c r="B9" s="160">
        <v>6</v>
      </c>
      <c r="C9" s="271" t="s">
        <v>35</v>
      </c>
      <c r="D9" s="271"/>
      <c r="E9" s="271"/>
      <c r="F9" s="144"/>
      <c r="G9" s="280">
        <v>710015540</v>
      </c>
      <c r="H9" s="281"/>
      <c r="I9" s="5"/>
    </row>
    <row r="10" spans="1:9" s="20" customFormat="1" ht="13.5" x14ac:dyDescent="0.25">
      <c r="A10" s="3"/>
      <c r="B10" s="160">
        <v>6</v>
      </c>
      <c r="C10" s="271" t="s">
        <v>35</v>
      </c>
      <c r="D10" s="271"/>
      <c r="E10" s="271"/>
      <c r="F10" s="144"/>
      <c r="G10" s="280">
        <v>1420031080</v>
      </c>
      <c r="H10" s="281"/>
      <c r="I10" s="5"/>
    </row>
    <row r="11" spans="1:9" s="1" customFormat="1" ht="14.25" thickBot="1" x14ac:dyDescent="0.3">
      <c r="A11" s="3"/>
      <c r="B11" s="148"/>
      <c r="C11" s="149"/>
      <c r="D11" s="149"/>
      <c r="E11" s="149"/>
      <c r="F11" s="149"/>
      <c r="G11" s="149"/>
      <c r="H11" s="150"/>
      <c r="I11" s="5"/>
    </row>
    <row r="12" spans="1:9" s="1" customFormat="1" ht="15.75" customHeight="1" thickBot="1" x14ac:dyDescent="0.3">
      <c r="A12" s="3"/>
      <c r="B12" s="6" t="s">
        <v>4</v>
      </c>
      <c r="C12" s="54"/>
      <c r="D12" s="161"/>
      <c r="E12" s="161"/>
      <c r="F12" s="161"/>
      <c r="G12" s="282">
        <f>+SUM(G9:H10)</f>
        <v>2130046620</v>
      </c>
      <c r="H12" s="283"/>
      <c r="I12" s="5"/>
    </row>
    <row r="13" spans="1:9" s="1" customFormat="1" ht="15.75" customHeight="1" thickBot="1" x14ac:dyDescent="0.3">
      <c r="A13" s="3"/>
      <c r="B13" s="31" t="s">
        <v>5</v>
      </c>
      <c r="D13" s="162"/>
      <c r="E13" s="162"/>
      <c r="F13" s="162"/>
      <c r="G13" s="284">
        <f>ROUND(G12/616000,0)</f>
        <v>3458</v>
      </c>
      <c r="H13" s="285"/>
      <c r="I13" s="5"/>
    </row>
    <row r="14" spans="1:9" s="1" customFormat="1" ht="13.5" x14ac:dyDescent="0.25">
      <c r="A14" s="3"/>
      <c r="B14" s="136"/>
      <c r="C14" s="64"/>
      <c r="D14" s="65"/>
      <c r="E14" s="69"/>
      <c r="F14" s="29"/>
      <c r="G14" s="69"/>
      <c r="H14" s="29"/>
      <c r="I14" s="5"/>
    </row>
    <row r="15" spans="1:9" s="4" customFormat="1" ht="13.5" x14ac:dyDescent="0.25">
      <c r="A15" s="3"/>
      <c r="B15" s="18"/>
      <c r="C15" s="19"/>
      <c r="D15" s="56"/>
      <c r="I15" s="5"/>
    </row>
    <row r="16" spans="1:9" s="4" customFormat="1" ht="14.25" thickBot="1" x14ac:dyDescent="0.3">
      <c r="A16" s="3"/>
      <c r="B16" s="18" t="s">
        <v>19</v>
      </c>
      <c r="C16" s="19"/>
      <c r="D16" s="56"/>
      <c r="I16" s="5"/>
    </row>
    <row r="17" spans="1:9" s="4" customFormat="1" ht="13.5" x14ac:dyDescent="0.25">
      <c r="A17" s="3"/>
      <c r="B17" s="16" t="s">
        <v>13</v>
      </c>
      <c r="C17" s="67">
        <f>+IF($G$13&gt;$B$51,$D$51,IF(AND($G$13&gt;=$B$50,$G$13&lt;=$C$50),$D$50,IF(AND($G$13&gt;=$B$48,$G$13&lt;=$C$49),$D$48,IF(AND($G$13&gt;=$B$46,$G$13&lt;=$C$47),$D$46,IF(AND($G$13&gt;$B$44,$G$13&lt;=$C$45),$D$44)))))</f>
        <v>1</v>
      </c>
      <c r="D17" s="56"/>
      <c r="I17" s="5"/>
    </row>
    <row r="18" spans="1:9" s="4" customFormat="1" ht="14.25" thickBot="1" x14ac:dyDescent="0.3">
      <c r="A18" s="3"/>
      <c r="B18" s="17" t="s">
        <v>14</v>
      </c>
      <c r="C18" s="68">
        <f>+IF($G$13&gt;$B$51,$F$51,IF(AND($G$13&gt;=$B$49,$G$13&lt;=$C$50),$F$49,IF(AND($G$13&gt;=$B$47,$G$13&lt;=$C$48),$F$47,IF(AND($G$13&gt;=$B$45,$G$13&lt;=$C$46),$F$45,IF(AND($G$13&gt;$B$44,$G$13&lt;=$C$44),$F$44)))))</f>
        <v>0.68</v>
      </c>
      <c r="D18" s="56"/>
      <c r="I18" s="5"/>
    </row>
    <row r="19" spans="1:9" s="4" customFormat="1" ht="14.25" thickBot="1" x14ac:dyDescent="0.3">
      <c r="A19" s="3"/>
      <c r="B19" s="137"/>
      <c r="C19" s="32"/>
      <c r="D19" s="33"/>
      <c r="E19" s="25"/>
      <c r="F19" s="25"/>
      <c r="G19" s="25"/>
      <c r="H19" s="25"/>
      <c r="I19" s="5"/>
    </row>
    <row r="20" spans="1:9" s="22" customFormat="1" ht="42.75" customHeight="1" thickBot="1" x14ac:dyDescent="0.3">
      <c r="A20" s="3"/>
      <c r="B20" s="6" t="s">
        <v>18</v>
      </c>
      <c r="C20" s="232" t="s">
        <v>33</v>
      </c>
      <c r="D20" s="7"/>
      <c r="E20" s="159" t="s">
        <v>34</v>
      </c>
      <c r="F20" s="60"/>
      <c r="G20" s="159" t="s">
        <v>32</v>
      </c>
      <c r="H20" s="35"/>
      <c r="I20" s="5"/>
    </row>
    <row r="21" spans="1:9" s="22" customFormat="1" ht="13.5" customHeight="1" thickBot="1" x14ac:dyDescent="0.3">
      <c r="A21" s="3"/>
      <c r="B21" s="6" t="s">
        <v>31</v>
      </c>
      <c r="C21" s="59">
        <v>830510073</v>
      </c>
      <c r="D21" s="7"/>
      <c r="E21" s="157">
        <v>802007970</v>
      </c>
      <c r="F21" s="158"/>
      <c r="G21" s="157"/>
      <c r="H21" s="35"/>
      <c r="I21" s="5"/>
    </row>
    <row r="22" spans="1:9" s="22" customFormat="1" ht="14.25" thickBot="1" x14ac:dyDescent="0.3">
      <c r="A22" s="3"/>
      <c r="B22" s="138"/>
      <c r="C22" s="9"/>
      <c r="D22" s="9"/>
      <c r="E22" s="4"/>
      <c r="F22" s="4"/>
      <c r="G22" s="4"/>
      <c r="H22" s="4"/>
      <c r="I22" s="5"/>
    </row>
    <row r="23" spans="1:9" s="1" customFormat="1" ht="13.5" x14ac:dyDescent="0.25">
      <c r="A23" s="3"/>
      <c r="B23" s="10" t="s">
        <v>7</v>
      </c>
      <c r="C23" s="11">
        <v>230908602.41</v>
      </c>
      <c r="D23" s="37"/>
      <c r="E23" s="11">
        <v>156700000</v>
      </c>
      <c r="F23" s="91"/>
      <c r="G23" s="11">
        <f>+E23+C23</f>
        <v>387608602.40999997</v>
      </c>
      <c r="H23" s="30"/>
      <c r="I23" s="5"/>
    </row>
    <row r="24" spans="1:9" s="1" customFormat="1" ht="13.5" x14ac:dyDescent="0.25">
      <c r="A24" s="3"/>
      <c r="B24" s="12" t="s">
        <v>8</v>
      </c>
      <c r="C24" s="13">
        <v>241684602.41</v>
      </c>
      <c r="D24" s="38"/>
      <c r="E24" s="13">
        <v>187200000</v>
      </c>
      <c r="F24" s="19"/>
      <c r="G24" s="13">
        <f t="shared" ref="G24:G26" si="0">+E24+C24</f>
        <v>428884602.40999997</v>
      </c>
      <c r="H24" s="5"/>
      <c r="I24" s="5"/>
    </row>
    <row r="25" spans="1:9" s="1" customFormat="1" ht="13.5" x14ac:dyDescent="0.25">
      <c r="A25" s="3"/>
      <c r="B25" s="12" t="s">
        <v>9</v>
      </c>
      <c r="C25" s="13">
        <v>175597736.00999999</v>
      </c>
      <c r="D25" s="38"/>
      <c r="E25" s="13">
        <v>30200000</v>
      </c>
      <c r="F25" s="19"/>
      <c r="G25" s="13">
        <f t="shared" si="0"/>
        <v>205797736.00999999</v>
      </c>
      <c r="H25" s="5"/>
      <c r="I25" s="5"/>
    </row>
    <row r="26" spans="1:9" s="1" customFormat="1" ht="14.25" thickBot="1" x14ac:dyDescent="0.3">
      <c r="A26" s="3"/>
      <c r="B26" s="14" t="s">
        <v>10</v>
      </c>
      <c r="C26" s="15">
        <v>175635960.00999999</v>
      </c>
      <c r="D26" s="50"/>
      <c r="E26" s="15">
        <v>70200000</v>
      </c>
      <c r="F26" s="92"/>
      <c r="G26" s="15">
        <f t="shared" si="0"/>
        <v>245835960.00999999</v>
      </c>
      <c r="H26" s="21"/>
      <c r="I26" s="5"/>
    </row>
    <row r="27" spans="1:9" s="1" customFormat="1" ht="14.25" thickBot="1" x14ac:dyDescent="0.3">
      <c r="A27" s="3"/>
      <c r="B27" s="275" t="s">
        <v>11</v>
      </c>
      <c r="C27" s="276"/>
      <c r="D27" s="276"/>
      <c r="E27" s="276"/>
      <c r="F27" s="276"/>
      <c r="G27" s="276"/>
      <c r="H27" s="277"/>
      <c r="I27" s="5"/>
    </row>
    <row r="28" spans="1:9" s="1" customFormat="1" ht="14.25" thickBot="1" x14ac:dyDescent="0.3">
      <c r="A28" s="3"/>
      <c r="B28" s="275" t="s">
        <v>12</v>
      </c>
      <c r="C28" s="276"/>
      <c r="D28" s="276"/>
      <c r="E28" s="276"/>
      <c r="F28" s="276"/>
      <c r="G28" s="276"/>
      <c r="H28" s="277"/>
      <c r="I28" s="5"/>
    </row>
    <row r="29" spans="1:9" s="1" customFormat="1" ht="13.5" x14ac:dyDescent="0.25">
      <c r="A29" s="3"/>
      <c r="B29" s="16" t="s">
        <v>13</v>
      </c>
      <c r="C29" s="124">
        <f>+IFERROR(C23/C25,"INDETERMINADO")</f>
        <v>1.3149862159774666</v>
      </c>
      <c r="D29" s="125"/>
      <c r="E29" s="124">
        <f>+IFERROR(E23/E25,"INDETERMINADO")</f>
        <v>5.1887417218543046</v>
      </c>
      <c r="F29" s="58"/>
      <c r="G29" s="124">
        <f>+IFERROR(G23/G25,"INDETERMINADO")</f>
        <v>1.8834444436802042</v>
      </c>
      <c r="H29" s="40" t="str">
        <f>+IF(G29&gt;=$C$17,"CUMPLE","NO CUMPLE")</f>
        <v>CUMPLE</v>
      </c>
      <c r="I29" s="5"/>
    </row>
    <row r="30" spans="1:9" s="1" customFormat="1" ht="14.25" thickBot="1" x14ac:dyDescent="0.3">
      <c r="A30" s="3"/>
      <c r="B30" s="17" t="s">
        <v>14</v>
      </c>
      <c r="C30" s="41">
        <f>+C26/C24</f>
        <v>0.72671555514342046</v>
      </c>
      <c r="D30" s="42"/>
      <c r="E30" s="41">
        <f>+E26/E24</f>
        <v>0.375</v>
      </c>
      <c r="F30" s="43"/>
      <c r="G30" s="41">
        <f>+G26/G24</f>
        <v>0.5731983816359737</v>
      </c>
      <c r="H30" s="44" t="str">
        <f>+IF(G30&lt;=$C$18,"CUMPLE","NO CUMPLE")</f>
        <v>CUMPLE</v>
      </c>
      <c r="I30" s="5"/>
    </row>
    <row r="31" spans="1:9" s="20" customFormat="1" ht="14.25" thickBot="1" x14ac:dyDescent="0.3">
      <c r="A31" s="3"/>
      <c r="B31" s="139"/>
      <c r="C31" s="18"/>
      <c r="D31" s="19"/>
      <c r="F31" s="4"/>
      <c r="H31" s="4"/>
      <c r="I31" s="5"/>
    </row>
    <row r="32" spans="1:9" s="1" customFormat="1" ht="20.25" customHeight="1" thickBot="1" x14ac:dyDescent="0.3">
      <c r="A32" s="3"/>
      <c r="B32" s="6" t="s">
        <v>15</v>
      </c>
      <c r="C32" s="267" t="s">
        <v>36</v>
      </c>
      <c r="D32" s="267"/>
      <c r="E32" s="267"/>
      <c r="F32" s="267"/>
      <c r="G32" s="267"/>
      <c r="H32" s="268"/>
      <c r="I32" s="5"/>
    </row>
    <row r="33" spans="1:10" s="4" customFormat="1" ht="14.25" thickBot="1" x14ac:dyDescent="0.3">
      <c r="A33" s="3"/>
      <c r="B33" s="45"/>
      <c r="C33" s="45"/>
      <c r="D33" s="45"/>
      <c r="I33" s="5"/>
    </row>
    <row r="34" spans="1:10" s="46" customFormat="1" ht="36.75" customHeight="1" thickBot="1" x14ac:dyDescent="0.3">
      <c r="A34" s="153"/>
      <c r="B34" s="79" t="s">
        <v>26</v>
      </c>
      <c r="C34" s="269"/>
      <c r="D34" s="269"/>
      <c r="E34" s="269"/>
      <c r="F34" s="269"/>
      <c r="G34" s="269"/>
      <c r="H34" s="270"/>
      <c r="I34" s="5"/>
    </row>
    <row r="35" spans="1:10" s="46" customFormat="1" ht="15.75" thickBot="1" x14ac:dyDescent="0.3">
      <c r="A35" s="154"/>
      <c r="B35" s="155"/>
      <c r="C35" s="155"/>
      <c r="D35" s="25"/>
      <c r="E35" s="25"/>
      <c r="F35" s="25"/>
      <c r="G35" s="25"/>
      <c r="H35" s="156"/>
      <c r="I35" s="21"/>
    </row>
    <row r="36" spans="1:10" x14ac:dyDescent="0.25">
      <c r="D36" s="22"/>
      <c r="E36" s="22"/>
      <c r="F36" s="22"/>
      <c r="G36" s="22"/>
      <c r="H36" s="23"/>
      <c r="I36" s="4"/>
    </row>
    <row r="37" spans="1:10" x14ac:dyDescent="0.25">
      <c r="D37" s="22"/>
      <c r="E37" s="22"/>
      <c r="F37" s="22"/>
      <c r="G37" s="22"/>
      <c r="H37" s="23"/>
      <c r="I37" s="4"/>
    </row>
    <row r="38" spans="1:10" x14ac:dyDescent="0.25">
      <c r="D38" s="22"/>
      <c r="E38" s="22"/>
      <c r="F38" s="22"/>
      <c r="G38" s="22"/>
      <c r="H38" s="23"/>
      <c r="I38" s="4"/>
    </row>
    <row r="39" spans="1:10" x14ac:dyDescent="0.25">
      <c r="D39" s="22"/>
      <c r="E39" s="22"/>
      <c r="F39" s="22"/>
      <c r="G39" s="22"/>
      <c r="H39" s="23"/>
      <c r="I39" s="4"/>
    </row>
    <row r="40" spans="1:10" x14ac:dyDescent="0.25">
      <c r="D40" s="22"/>
      <c r="E40" s="22"/>
      <c r="F40" s="22"/>
      <c r="G40" s="22"/>
      <c r="H40" s="23"/>
      <c r="I40" s="4"/>
    </row>
    <row r="41" spans="1:10" x14ac:dyDescent="0.25">
      <c r="D41" s="22"/>
      <c r="E41" s="22"/>
      <c r="F41" s="22"/>
      <c r="G41" s="22"/>
      <c r="H41" s="22"/>
      <c r="I41" s="4"/>
    </row>
    <row r="42" spans="1:10" x14ac:dyDescent="0.25">
      <c r="B42" s="24">
        <v>616000</v>
      </c>
      <c r="D42" s="22"/>
      <c r="E42" s="22"/>
      <c r="F42" s="22"/>
      <c r="G42" s="22"/>
      <c r="H42" s="22"/>
      <c r="I42" s="4"/>
    </row>
    <row r="43" spans="1:10" x14ac:dyDescent="0.25">
      <c r="B43" s="141" t="s">
        <v>21</v>
      </c>
      <c r="C43" s="66" t="s">
        <v>20</v>
      </c>
      <c r="D43" s="265" t="s">
        <v>16</v>
      </c>
      <c r="E43" s="265"/>
      <c r="F43" s="265" t="s">
        <v>17</v>
      </c>
      <c r="G43" s="265"/>
    </row>
    <row r="44" spans="1:10" x14ac:dyDescent="0.25">
      <c r="B44" s="142">
        <v>0</v>
      </c>
      <c r="C44" s="55">
        <v>250</v>
      </c>
      <c r="D44" s="266">
        <v>0.8</v>
      </c>
      <c r="E44" s="266"/>
      <c r="F44" s="262">
        <v>0.8</v>
      </c>
      <c r="G44" s="262"/>
      <c r="H44" s="145"/>
      <c r="J44" s="147">
        <f t="shared" ref="J44:J51" si="1">+C44*$B$42</f>
        <v>154000000</v>
      </c>
    </row>
    <row r="45" spans="1:10" x14ac:dyDescent="0.25">
      <c r="B45" s="142">
        <v>251</v>
      </c>
      <c r="C45" s="55">
        <v>1000</v>
      </c>
      <c r="D45" s="266">
        <v>0.8</v>
      </c>
      <c r="E45" s="266"/>
      <c r="F45" s="262">
        <v>0.75</v>
      </c>
      <c r="G45" s="262"/>
      <c r="H45" s="146">
        <f t="shared" ref="H45:H51" si="2">+B45*$B$42</f>
        <v>154616000</v>
      </c>
      <c r="J45" s="147">
        <f t="shared" si="1"/>
        <v>616000000</v>
      </c>
    </row>
    <row r="46" spans="1:10" x14ac:dyDescent="0.25">
      <c r="B46" s="142">
        <v>1001</v>
      </c>
      <c r="C46" s="55">
        <v>1500</v>
      </c>
      <c r="D46" s="266">
        <v>0.9</v>
      </c>
      <c r="E46" s="266"/>
      <c r="F46" s="262">
        <v>0.75</v>
      </c>
      <c r="G46" s="262"/>
      <c r="H46" s="146">
        <f t="shared" si="2"/>
        <v>616616000</v>
      </c>
      <c r="J46" s="147">
        <f t="shared" si="1"/>
        <v>924000000</v>
      </c>
    </row>
    <row r="47" spans="1:10" x14ac:dyDescent="0.25">
      <c r="B47" s="142">
        <v>1501</v>
      </c>
      <c r="C47" s="55">
        <v>2500</v>
      </c>
      <c r="D47" s="266">
        <v>0.9</v>
      </c>
      <c r="E47" s="266"/>
      <c r="F47" s="262">
        <v>0.7</v>
      </c>
      <c r="G47" s="262"/>
      <c r="H47" s="146">
        <f t="shared" si="2"/>
        <v>924616000</v>
      </c>
      <c r="J47" s="147">
        <f t="shared" si="1"/>
        <v>1540000000</v>
      </c>
    </row>
    <row r="48" spans="1:10" x14ac:dyDescent="0.25">
      <c r="B48" s="142">
        <v>2501</v>
      </c>
      <c r="C48" s="55">
        <v>3000</v>
      </c>
      <c r="D48" s="266">
        <v>1</v>
      </c>
      <c r="E48" s="266"/>
      <c r="F48" s="262">
        <v>0.7</v>
      </c>
      <c r="G48" s="262"/>
      <c r="H48" s="146">
        <f t="shared" si="2"/>
        <v>1540616000</v>
      </c>
      <c r="J48" s="147">
        <f t="shared" si="1"/>
        <v>1848000000</v>
      </c>
    </row>
    <row r="49" spans="2:10" x14ac:dyDescent="0.25">
      <c r="B49" s="142">
        <v>3001</v>
      </c>
      <c r="C49" s="55">
        <v>3500</v>
      </c>
      <c r="D49" s="266">
        <v>1</v>
      </c>
      <c r="E49" s="266"/>
      <c r="F49" s="262">
        <v>0.68</v>
      </c>
      <c r="G49" s="262"/>
      <c r="H49" s="146">
        <f t="shared" si="2"/>
        <v>1848616000</v>
      </c>
      <c r="J49" s="147">
        <f t="shared" si="1"/>
        <v>2156000000</v>
      </c>
    </row>
    <row r="50" spans="2:10" x14ac:dyDescent="0.25">
      <c r="B50" s="142">
        <v>3501</v>
      </c>
      <c r="C50" s="55">
        <v>4500</v>
      </c>
      <c r="D50" s="266">
        <v>1.1000000000000001</v>
      </c>
      <c r="E50" s="266"/>
      <c r="F50" s="262">
        <v>0.68</v>
      </c>
      <c r="G50" s="262"/>
      <c r="H50" s="146">
        <f t="shared" si="2"/>
        <v>2156616000</v>
      </c>
      <c r="J50" s="147">
        <f t="shared" si="1"/>
        <v>2772000000</v>
      </c>
    </row>
    <row r="51" spans="2:10" x14ac:dyDescent="0.25">
      <c r="B51" s="142">
        <v>4501</v>
      </c>
      <c r="C51" s="55"/>
      <c r="D51" s="266">
        <v>1.2</v>
      </c>
      <c r="E51" s="266"/>
      <c r="F51" s="262">
        <v>0.65</v>
      </c>
      <c r="G51" s="262"/>
      <c r="H51" s="146">
        <f t="shared" si="2"/>
        <v>2772616000</v>
      </c>
      <c r="J51" s="147">
        <f t="shared" si="1"/>
        <v>0</v>
      </c>
    </row>
  </sheetData>
  <mergeCells count="37">
    <mergeCell ref="B1:H1"/>
    <mergeCell ref="B2:H2"/>
    <mergeCell ref="C6:H6"/>
    <mergeCell ref="B27:H27"/>
    <mergeCell ref="B28:H28"/>
    <mergeCell ref="G8:H8"/>
    <mergeCell ref="C8:E8"/>
    <mergeCell ref="C7:H7"/>
    <mergeCell ref="G9:H9"/>
    <mergeCell ref="G10:H10"/>
    <mergeCell ref="G12:H12"/>
    <mergeCell ref="G13:H13"/>
    <mergeCell ref="D51:E51"/>
    <mergeCell ref="F51:G51"/>
    <mergeCell ref="D47:E47"/>
    <mergeCell ref="F47:G47"/>
    <mergeCell ref="D48:E48"/>
    <mergeCell ref="F48:G48"/>
    <mergeCell ref="D49:E49"/>
    <mergeCell ref="F49:G49"/>
    <mergeCell ref="D50:E50"/>
    <mergeCell ref="F44:G44"/>
    <mergeCell ref="F50:G50"/>
    <mergeCell ref="B3:H3"/>
    <mergeCell ref="B4:H4"/>
    <mergeCell ref="B5:H5"/>
    <mergeCell ref="D43:E43"/>
    <mergeCell ref="F43:G43"/>
    <mergeCell ref="F45:G45"/>
    <mergeCell ref="F46:G46"/>
    <mergeCell ref="D44:E44"/>
    <mergeCell ref="D45:E45"/>
    <mergeCell ref="D46:E46"/>
    <mergeCell ref="C32:H32"/>
    <mergeCell ref="C34:H34"/>
    <mergeCell ref="C9:E9"/>
    <mergeCell ref="C10:E10"/>
  </mergeCells>
  <pageMargins left="0.70866141732283472" right="0.70866141732283472" top="0.74803149606299213" bottom="0.74803149606299213" header="0.31496062992125984" footer="0.31496062992125984"/>
  <pageSetup scale="79" orientation="landscape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"/>
  <sheetViews>
    <sheetView view="pageBreakPreview" topLeftCell="A6" zoomScale="140" zoomScaleNormal="100" zoomScaleSheetLayoutView="140" workbookViewId="0">
      <selection activeCell="C15" sqref="C15"/>
    </sheetView>
  </sheetViews>
  <sheetFormatPr baseColWidth="10" defaultRowHeight="13.5" x14ac:dyDescent="0.25"/>
  <cols>
    <col min="1" max="1" width="3.140625" style="84" customWidth="1"/>
    <col min="2" max="2" width="35.28515625" style="84" customWidth="1"/>
    <col min="3" max="3" width="27.7109375" style="84" customWidth="1"/>
    <col min="4" max="4" width="21.7109375" style="84" customWidth="1"/>
    <col min="5" max="5" width="3.5703125" style="84" customWidth="1"/>
    <col min="6" max="6" width="16.5703125" style="84" customWidth="1"/>
    <col min="7" max="7" width="3.140625" style="84" customWidth="1"/>
    <col min="8" max="8" width="18.140625" style="84" customWidth="1"/>
    <col min="9" max="9" width="12.7109375" style="84" bestFit="1" customWidth="1"/>
    <col min="10" max="16384" width="11.42578125" style="84"/>
  </cols>
  <sheetData>
    <row r="1" spans="1:6" s="93" customFormat="1" ht="15.75" x14ac:dyDescent="0.25">
      <c r="A1" s="253" t="s">
        <v>0</v>
      </c>
      <c r="B1" s="254"/>
      <c r="C1" s="254"/>
      <c r="D1" s="254"/>
      <c r="E1" s="255"/>
    </row>
    <row r="2" spans="1:6" s="93" customFormat="1" ht="15.75" x14ac:dyDescent="0.25">
      <c r="A2" s="196"/>
      <c r="B2" s="256" t="s">
        <v>1</v>
      </c>
      <c r="C2" s="256"/>
      <c r="D2" s="256"/>
      <c r="E2" s="95"/>
    </row>
    <row r="3" spans="1:6" s="93" customFormat="1" ht="15.75" x14ac:dyDescent="0.25">
      <c r="A3" s="257" t="s">
        <v>27</v>
      </c>
      <c r="B3" s="256"/>
      <c r="C3" s="256"/>
      <c r="D3" s="256"/>
      <c r="E3" s="258"/>
    </row>
    <row r="4" spans="1:6" s="93" customFormat="1" ht="20.25" x14ac:dyDescent="0.3">
      <c r="A4" s="96"/>
      <c r="B4" s="256" t="s">
        <v>2</v>
      </c>
      <c r="C4" s="256"/>
      <c r="D4" s="256"/>
      <c r="E4" s="97"/>
    </row>
    <row r="5" spans="1:6" s="93" customFormat="1" ht="15.75" x14ac:dyDescent="0.25">
      <c r="A5" s="257" t="s">
        <v>28</v>
      </c>
      <c r="B5" s="256"/>
      <c r="C5" s="256"/>
      <c r="D5" s="256"/>
      <c r="E5" s="258"/>
    </row>
    <row r="6" spans="1:6" s="93" customFormat="1" ht="15.75" x14ac:dyDescent="0.25">
      <c r="A6" s="259" t="s">
        <v>29</v>
      </c>
      <c r="B6" s="260"/>
      <c r="C6" s="260"/>
      <c r="D6" s="260"/>
      <c r="E6" s="261"/>
    </row>
    <row r="7" spans="1:6" s="93" customFormat="1" ht="14.25" thickBot="1" x14ac:dyDescent="0.3">
      <c r="A7" s="98"/>
      <c r="B7" s="70"/>
      <c r="C7" s="70"/>
      <c r="D7" s="70"/>
      <c r="E7" s="75"/>
    </row>
    <row r="8" spans="1:6" s="93" customFormat="1" ht="23.25" customHeight="1" thickBot="1" x14ac:dyDescent="0.3">
      <c r="A8" s="98"/>
      <c r="B8" s="72" t="s">
        <v>3</v>
      </c>
      <c r="C8" s="247" t="s">
        <v>103</v>
      </c>
      <c r="D8" s="248"/>
      <c r="E8" s="75"/>
    </row>
    <row r="9" spans="1:6" s="93" customFormat="1" ht="14.25" thickBot="1" x14ac:dyDescent="0.3">
      <c r="A9" s="98"/>
      <c r="B9" s="72" t="s">
        <v>38</v>
      </c>
      <c r="C9" s="247">
        <v>25</v>
      </c>
      <c r="D9" s="248"/>
      <c r="E9" s="75"/>
    </row>
    <row r="10" spans="1:6" s="93" customFormat="1" ht="14.25" thickBot="1" x14ac:dyDescent="0.3">
      <c r="A10" s="98"/>
      <c r="B10" s="79" t="s">
        <v>6</v>
      </c>
      <c r="C10" s="247">
        <v>800183221</v>
      </c>
      <c r="D10" s="248"/>
      <c r="E10" s="75"/>
    </row>
    <row r="11" spans="1:6" s="93" customFormat="1" x14ac:dyDescent="0.25">
      <c r="A11" s="98"/>
      <c r="B11" s="130" t="s">
        <v>23</v>
      </c>
      <c r="C11" s="197" t="s">
        <v>98</v>
      </c>
      <c r="D11" s="199" t="s">
        <v>25</v>
      </c>
      <c r="E11" s="75"/>
    </row>
    <row r="12" spans="1:6" s="93" customFormat="1" x14ac:dyDescent="0.25">
      <c r="A12" s="98"/>
      <c r="B12" s="133"/>
      <c r="C12" s="135"/>
      <c r="D12" s="99"/>
      <c r="E12" s="75"/>
    </row>
    <row r="13" spans="1:6" s="93" customFormat="1" x14ac:dyDescent="0.25">
      <c r="A13" s="98"/>
      <c r="B13" s="133">
        <v>1</v>
      </c>
      <c r="C13" s="135" t="s">
        <v>104</v>
      </c>
      <c r="D13" s="184">
        <v>6390139860</v>
      </c>
      <c r="E13" s="75"/>
    </row>
    <row r="14" spans="1:6" s="93" customFormat="1" x14ac:dyDescent="0.25">
      <c r="A14" s="98"/>
      <c r="B14" s="133">
        <v>2</v>
      </c>
      <c r="C14" s="135" t="s">
        <v>205</v>
      </c>
      <c r="D14" s="184">
        <v>1397059989</v>
      </c>
      <c r="E14" s="75"/>
    </row>
    <row r="15" spans="1:6" s="93" customFormat="1" x14ac:dyDescent="0.25">
      <c r="A15" s="98"/>
      <c r="B15" s="133">
        <v>21</v>
      </c>
      <c r="C15" s="135" t="s">
        <v>73</v>
      </c>
      <c r="D15" s="184">
        <v>1310303230</v>
      </c>
      <c r="E15" s="75"/>
    </row>
    <row r="16" spans="1:6" s="93" customFormat="1" ht="14.25" thickBot="1" x14ac:dyDescent="0.3">
      <c r="A16" s="98"/>
      <c r="B16" s="133"/>
      <c r="C16" s="216"/>
      <c r="D16" s="184"/>
      <c r="E16" s="75"/>
      <c r="F16" s="219"/>
    </row>
    <row r="17" spans="1:9" s="93" customFormat="1" ht="14.25" thickBot="1" x14ac:dyDescent="0.3">
      <c r="A17" s="98"/>
      <c r="B17" s="72" t="s">
        <v>30</v>
      </c>
      <c r="C17" s="249">
        <f>+SUM(D13:D16)</f>
        <v>9097503079</v>
      </c>
      <c r="D17" s="250"/>
      <c r="E17" s="75"/>
    </row>
    <row r="18" spans="1:9" s="93" customFormat="1" ht="14.25" thickBot="1" x14ac:dyDescent="0.3">
      <c r="A18" s="98"/>
      <c r="B18" s="332" t="s">
        <v>5</v>
      </c>
      <c r="C18" s="333">
        <f>+ROUND(C17/616000,0)</f>
        <v>14769</v>
      </c>
      <c r="D18" s="334"/>
      <c r="E18" s="75"/>
      <c r="F18" s="219"/>
    </row>
    <row r="19" spans="1:9" s="93" customFormat="1" x14ac:dyDescent="0.25">
      <c r="A19" s="98"/>
      <c r="B19" s="70"/>
      <c r="C19" s="70"/>
      <c r="D19" s="99"/>
      <c r="E19" s="75"/>
    </row>
    <row r="20" spans="1:9" s="93" customFormat="1" ht="14.25" thickBot="1" x14ac:dyDescent="0.3">
      <c r="A20" s="98"/>
      <c r="B20" s="100" t="s">
        <v>19</v>
      </c>
      <c r="C20" s="76"/>
      <c r="D20" s="99"/>
      <c r="E20" s="75"/>
      <c r="H20" s="220"/>
    </row>
    <row r="21" spans="1:9" s="93" customFormat="1" x14ac:dyDescent="0.25">
      <c r="A21" s="98"/>
      <c r="B21" s="77" t="s">
        <v>13</v>
      </c>
      <c r="C21" s="85">
        <f>+IF($C$18&gt;$B$52,$D$52,IF(AND($C$18&gt;=$B$51,$C$18&lt;=$C$51),$D$51,IF(AND($C$18&gt;=$B$49,$C$18&lt;=$C$50),$D$49,IF(AND($C$18&gt;=$B$47,$C$18&lt;=$C$48),$D$47,IF(AND($C$18&gt;$B$45,$C$18&lt;=$C$46),$D$45)))))</f>
        <v>1.2</v>
      </c>
      <c r="D21" s="99"/>
      <c r="E21" s="75"/>
      <c r="F21" s="219"/>
    </row>
    <row r="22" spans="1:9" s="93" customFormat="1" ht="14.25" thickBot="1" x14ac:dyDescent="0.3">
      <c r="A22" s="98"/>
      <c r="B22" s="78" t="s">
        <v>14</v>
      </c>
      <c r="C22" s="86">
        <f>+IF($C$18&gt;$B$52,$F$52,IF(AND($C$18&gt;=$B$50,$C$18&lt;=$C$51),$F$50,IF(AND($C$18&gt;=$B$48,$C$18&lt;=$C$49),$F$48,IF(AND($C$18&gt;=$B$46,$C$18&lt;=$C$47),$F$46,IF(AND($C$18&gt;$B$45,$C$18&lt;=$C$45),$F$45)))))</f>
        <v>0.65</v>
      </c>
      <c r="D22" s="99"/>
      <c r="E22" s="75"/>
    </row>
    <row r="23" spans="1:9" s="93" customFormat="1" ht="14.25" thickBot="1" x14ac:dyDescent="0.3">
      <c r="A23" s="98"/>
      <c r="B23" s="101"/>
      <c r="C23" s="102"/>
      <c r="D23" s="103"/>
      <c r="E23" s="75"/>
    </row>
    <row r="24" spans="1:9" s="93" customFormat="1" x14ac:dyDescent="0.25">
      <c r="A24" s="98"/>
      <c r="B24" s="80" t="s">
        <v>7</v>
      </c>
      <c r="C24" s="127">
        <v>8856482000</v>
      </c>
      <c r="D24" s="104"/>
      <c r="E24" s="75"/>
      <c r="F24" s="219"/>
    </row>
    <row r="25" spans="1:9" s="93" customFormat="1" x14ac:dyDescent="0.25">
      <c r="A25" s="98"/>
      <c r="B25" s="81" t="s">
        <v>8</v>
      </c>
      <c r="C25" s="129">
        <v>11658421000</v>
      </c>
      <c r="D25" s="105"/>
      <c r="E25" s="75"/>
    </row>
    <row r="26" spans="1:9" s="93" customFormat="1" x14ac:dyDescent="0.25">
      <c r="A26" s="98"/>
      <c r="B26" s="81" t="s">
        <v>9</v>
      </c>
      <c r="C26" s="129">
        <v>7436962000</v>
      </c>
      <c r="D26" s="105"/>
      <c r="E26" s="75"/>
    </row>
    <row r="27" spans="1:9" s="93" customFormat="1" ht="14.25" thickBot="1" x14ac:dyDescent="0.3">
      <c r="A27" s="98"/>
      <c r="B27" s="82" t="s">
        <v>10</v>
      </c>
      <c r="C27" s="128">
        <v>8436912000</v>
      </c>
      <c r="D27" s="107"/>
      <c r="E27" s="75"/>
      <c r="F27" s="219"/>
    </row>
    <row r="28" spans="1:9" s="93" customFormat="1" ht="14.25" thickBot="1" x14ac:dyDescent="0.3">
      <c r="A28" s="98"/>
      <c r="B28" s="286" t="s">
        <v>11</v>
      </c>
      <c r="C28" s="287"/>
      <c r="D28" s="288"/>
      <c r="E28" s="75"/>
    </row>
    <row r="29" spans="1:9" s="93" customFormat="1" ht="14.25" thickBot="1" x14ac:dyDescent="0.3">
      <c r="A29" s="98"/>
      <c r="B29" s="241" t="s">
        <v>12</v>
      </c>
      <c r="C29" s="242"/>
      <c r="D29" s="243"/>
      <c r="E29" s="75"/>
      <c r="H29" s="221"/>
    </row>
    <row r="30" spans="1:9" s="93" customFormat="1" ht="16.5" x14ac:dyDescent="0.3">
      <c r="A30" s="98"/>
      <c r="B30" s="77" t="s">
        <v>13</v>
      </c>
      <c r="C30" s="126">
        <f>+IFERROR(C24/C26,"INDETERMINADO")</f>
        <v>1.1908736389939871</v>
      </c>
      <c r="D30" s="118" t="str">
        <f>+IF(C30&gt;=C21,"CUMPLE","NO CUMPLE")</f>
        <v>NO CUMPLE</v>
      </c>
      <c r="E30" s="75"/>
      <c r="F30" s="219"/>
    </row>
    <row r="31" spans="1:9" s="93" customFormat="1" ht="17.25" thickBot="1" x14ac:dyDescent="0.35">
      <c r="A31" s="98"/>
      <c r="B31" s="78" t="s">
        <v>14</v>
      </c>
      <c r="C31" s="120">
        <f>+C27/C25</f>
        <v>0.72367535878143363</v>
      </c>
      <c r="D31" s="119" t="str">
        <f>+IF(C31&lt;=C22,"CUMPLE","NO CUMPLE")</f>
        <v>NO CUMPLE</v>
      </c>
      <c r="E31" s="75"/>
    </row>
    <row r="32" spans="1:9" s="110" customFormat="1" ht="14.25" thickBot="1" x14ac:dyDescent="0.3">
      <c r="A32" s="98"/>
      <c r="B32" s="108"/>
      <c r="C32" s="100"/>
      <c r="D32" s="76"/>
      <c r="E32" s="109"/>
      <c r="G32" s="93"/>
      <c r="H32" s="93"/>
      <c r="I32" s="93"/>
    </row>
    <row r="33" spans="1:9" s="93" customFormat="1" ht="41.25" customHeight="1" thickBot="1" x14ac:dyDescent="0.3">
      <c r="A33" s="98"/>
      <c r="B33" s="72" t="s">
        <v>15</v>
      </c>
      <c r="C33" s="244" t="s">
        <v>105</v>
      </c>
      <c r="D33" s="245"/>
      <c r="E33" s="75"/>
      <c r="G33" s="110"/>
      <c r="H33" s="110"/>
      <c r="I33" s="110"/>
    </row>
    <row r="34" spans="1:9" s="70" customFormat="1" ht="14.25" thickBot="1" x14ac:dyDescent="0.3">
      <c r="A34" s="98"/>
      <c r="B34" s="83"/>
      <c r="C34" s="83"/>
      <c r="D34" s="83"/>
      <c r="E34" s="75"/>
      <c r="G34" s="93"/>
      <c r="H34" s="93"/>
      <c r="I34" s="93"/>
    </row>
    <row r="35" spans="1:9" s="70" customFormat="1" ht="45.75" customHeight="1" thickBot="1" x14ac:dyDescent="0.3">
      <c r="A35" s="98"/>
      <c r="B35" s="72" t="s">
        <v>26</v>
      </c>
      <c r="C35" s="244"/>
      <c r="D35" s="245"/>
      <c r="E35" s="75"/>
    </row>
    <row r="36" spans="1:9" s="70" customFormat="1" ht="14.25" thickBot="1" x14ac:dyDescent="0.3">
      <c r="A36" s="111"/>
      <c r="B36" s="112"/>
      <c r="C36" s="112"/>
      <c r="D36" s="112"/>
      <c r="E36" s="71"/>
    </row>
    <row r="37" spans="1:9" s="70" customFormat="1" x14ac:dyDescent="0.25">
      <c r="B37" s="83"/>
      <c r="C37" s="83"/>
      <c r="D37" s="83"/>
    </row>
    <row r="38" spans="1:9" s="70" customFormat="1" x14ac:dyDescent="0.25">
      <c r="B38" s="83"/>
      <c r="C38" s="83"/>
      <c r="D38" s="83"/>
    </row>
    <row r="39" spans="1:9" s="70" customFormat="1" x14ac:dyDescent="0.25">
      <c r="B39" s="83"/>
      <c r="C39" s="83"/>
      <c r="D39" s="83"/>
    </row>
    <row r="40" spans="1:9" s="70" customFormat="1" x14ac:dyDescent="0.25">
      <c r="B40" s="83"/>
      <c r="C40" s="83"/>
      <c r="D40" s="83"/>
    </row>
    <row r="41" spans="1:9" x14ac:dyDescent="0.25">
      <c r="G41" s="70"/>
      <c r="H41" s="70"/>
      <c r="I41" s="70"/>
    </row>
    <row r="42" spans="1:9" x14ac:dyDescent="0.25">
      <c r="B42" s="100"/>
      <c r="C42" s="70"/>
    </row>
    <row r="43" spans="1:9" x14ac:dyDescent="0.25">
      <c r="B43" s="88">
        <v>616000</v>
      </c>
      <c r="C43" s="87"/>
      <c r="D43" s="87"/>
      <c r="E43" s="87"/>
      <c r="F43" s="87"/>
    </row>
    <row r="44" spans="1:9" ht="25.5" x14ac:dyDescent="0.25">
      <c r="B44" s="89" t="s">
        <v>21</v>
      </c>
      <c r="C44" s="89" t="s">
        <v>20</v>
      </c>
      <c r="D44" s="200" t="s">
        <v>16</v>
      </c>
      <c r="E44" s="87"/>
      <c r="F44" s="200" t="s">
        <v>17</v>
      </c>
      <c r="G44" s="87"/>
      <c r="H44" s="87"/>
      <c r="I44" s="87"/>
    </row>
    <row r="45" spans="1:9" x14ac:dyDescent="0.25">
      <c r="B45" s="90">
        <v>0</v>
      </c>
      <c r="C45" s="90">
        <v>250</v>
      </c>
      <c r="D45" s="201">
        <v>0.8</v>
      </c>
      <c r="E45" s="87"/>
      <c r="F45" s="202">
        <v>0.8</v>
      </c>
      <c r="G45" s="87"/>
      <c r="H45" s="246"/>
      <c r="I45" s="246"/>
    </row>
    <row r="46" spans="1:9" x14ac:dyDescent="0.25">
      <c r="B46" s="90">
        <v>251</v>
      </c>
      <c r="C46" s="90">
        <v>1000</v>
      </c>
      <c r="D46" s="201">
        <v>0.8</v>
      </c>
      <c r="E46" s="87"/>
      <c r="F46" s="202">
        <v>0.75</v>
      </c>
      <c r="G46" s="87"/>
      <c r="H46" s="116"/>
      <c r="I46" s="117">
        <f t="shared" ref="I46:I53" si="0">+C45*$B$43</f>
        <v>154000000</v>
      </c>
    </row>
    <row r="47" spans="1:9" x14ac:dyDescent="0.25">
      <c r="B47" s="90">
        <v>1001</v>
      </c>
      <c r="C47" s="90">
        <v>1500</v>
      </c>
      <c r="D47" s="201">
        <v>0.9</v>
      </c>
      <c r="E47" s="87"/>
      <c r="F47" s="202">
        <v>0.75</v>
      </c>
      <c r="G47" s="87"/>
      <c r="H47" s="117">
        <f t="shared" ref="H47:H53" si="1">+B46*$B$43</f>
        <v>154616000</v>
      </c>
      <c r="I47" s="117">
        <f t="shared" si="0"/>
        <v>616000000</v>
      </c>
    </row>
    <row r="48" spans="1:9" x14ac:dyDescent="0.25">
      <c r="B48" s="90">
        <v>1501</v>
      </c>
      <c r="C48" s="90">
        <v>2500</v>
      </c>
      <c r="D48" s="201">
        <v>0.9</v>
      </c>
      <c r="E48" s="87"/>
      <c r="F48" s="202">
        <v>0.7</v>
      </c>
      <c r="G48" s="87"/>
      <c r="H48" s="117">
        <f t="shared" si="1"/>
        <v>616616000</v>
      </c>
      <c r="I48" s="117">
        <f t="shared" si="0"/>
        <v>924000000</v>
      </c>
    </row>
    <row r="49" spans="1:9" x14ac:dyDescent="0.25">
      <c r="B49" s="90">
        <v>2501</v>
      </c>
      <c r="C49" s="90">
        <v>3000</v>
      </c>
      <c r="D49" s="201">
        <v>1</v>
      </c>
      <c r="E49" s="87"/>
      <c r="F49" s="202">
        <v>0.7</v>
      </c>
      <c r="G49" s="87"/>
      <c r="H49" s="117">
        <f t="shared" si="1"/>
        <v>924616000</v>
      </c>
      <c r="I49" s="117">
        <f t="shared" si="0"/>
        <v>1540000000</v>
      </c>
    </row>
    <row r="50" spans="1:9" x14ac:dyDescent="0.25">
      <c r="B50" s="90">
        <v>3001</v>
      </c>
      <c r="C50" s="90">
        <v>3500</v>
      </c>
      <c r="D50" s="201">
        <v>1</v>
      </c>
      <c r="E50" s="87"/>
      <c r="F50" s="202">
        <v>0.68</v>
      </c>
      <c r="G50" s="87"/>
      <c r="H50" s="117">
        <f t="shared" si="1"/>
        <v>1540616000</v>
      </c>
      <c r="I50" s="117">
        <f t="shared" si="0"/>
        <v>1848000000</v>
      </c>
    </row>
    <row r="51" spans="1:9" x14ac:dyDescent="0.25">
      <c r="B51" s="90">
        <v>3501</v>
      </c>
      <c r="C51" s="90">
        <v>4500</v>
      </c>
      <c r="D51" s="201">
        <v>1.1000000000000001</v>
      </c>
      <c r="E51" s="87"/>
      <c r="F51" s="202">
        <v>0.68</v>
      </c>
      <c r="G51" s="87"/>
      <c r="H51" s="117">
        <f t="shared" si="1"/>
        <v>1848616000</v>
      </c>
      <c r="I51" s="117">
        <f t="shared" si="0"/>
        <v>2156000000</v>
      </c>
    </row>
    <row r="52" spans="1:9" x14ac:dyDescent="0.25">
      <c r="A52" s="84" t="s">
        <v>22</v>
      </c>
      <c r="B52" s="90">
        <v>4501</v>
      </c>
      <c r="C52" s="90"/>
      <c r="D52" s="201">
        <v>1.2</v>
      </c>
      <c r="E52" s="87"/>
      <c r="F52" s="202">
        <v>0.65</v>
      </c>
      <c r="G52" s="87"/>
      <c r="H52" s="117">
        <f t="shared" si="1"/>
        <v>2156616000</v>
      </c>
      <c r="I52" s="117">
        <f t="shared" si="0"/>
        <v>2772000000</v>
      </c>
    </row>
    <row r="53" spans="1:9" x14ac:dyDescent="0.25">
      <c r="G53" s="87"/>
      <c r="H53" s="117">
        <f t="shared" si="1"/>
        <v>2772616000</v>
      </c>
      <c r="I53" s="117">
        <f t="shared" si="0"/>
        <v>0</v>
      </c>
    </row>
  </sheetData>
  <mergeCells count="16">
    <mergeCell ref="A6:E6"/>
    <mergeCell ref="A1:E1"/>
    <mergeCell ref="B2:D2"/>
    <mergeCell ref="A3:E3"/>
    <mergeCell ref="B4:D4"/>
    <mergeCell ref="A5:E5"/>
    <mergeCell ref="B29:D29"/>
    <mergeCell ref="C33:D33"/>
    <mergeCell ref="C35:D35"/>
    <mergeCell ref="H45:I45"/>
    <mergeCell ref="C8:D8"/>
    <mergeCell ref="C9:D9"/>
    <mergeCell ref="C10:D10"/>
    <mergeCell ref="C17:D17"/>
    <mergeCell ref="C18:D18"/>
    <mergeCell ref="B28:D28"/>
  </mergeCells>
  <pageMargins left="0.7" right="0.7" top="0.75" bottom="0.75" header="0.3" footer="0.3"/>
  <pageSetup scale="98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1"/>
  <sheetViews>
    <sheetView view="pageBreakPreview" topLeftCell="A4" zoomScale="140" zoomScaleNormal="100" zoomScaleSheetLayoutView="140" workbookViewId="0">
      <selection activeCell="C14" sqref="C14"/>
    </sheetView>
  </sheetViews>
  <sheetFormatPr baseColWidth="10" defaultRowHeight="13.5" x14ac:dyDescent="0.25"/>
  <cols>
    <col min="1" max="1" width="3.140625" style="84" customWidth="1"/>
    <col min="2" max="2" width="34.28515625" style="84" customWidth="1"/>
    <col min="3" max="3" width="27.7109375" style="84" customWidth="1"/>
    <col min="4" max="4" width="21.7109375" style="84" customWidth="1"/>
    <col min="5" max="5" width="3.5703125" style="84" customWidth="1"/>
    <col min="6" max="6" width="16.5703125" style="84" customWidth="1"/>
    <col min="7" max="7" width="3.140625" style="84" customWidth="1"/>
    <col min="8" max="8" width="18.140625" style="84" customWidth="1"/>
    <col min="9" max="9" width="12.7109375" style="84" bestFit="1" customWidth="1"/>
    <col min="10" max="16384" width="11.42578125" style="84"/>
  </cols>
  <sheetData>
    <row r="1" spans="1:5" s="93" customFormat="1" ht="20.25" customHeight="1" x14ac:dyDescent="0.25">
      <c r="A1" s="253" t="s">
        <v>0</v>
      </c>
      <c r="B1" s="254"/>
      <c r="C1" s="254"/>
      <c r="D1" s="254"/>
      <c r="E1" s="255"/>
    </row>
    <row r="2" spans="1:5" s="93" customFormat="1" ht="15.75" customHeight="1" x14ac:dyDescent="0.25">
      <c r="A2" s="196"/>
      <c r="B2" s="256" t="s">
        <v>1</v>
      </c>
      <c r="C2" s="256"/>
      <c r="D2" s="256"/>
      <c r="E2" s="95"/>
    </row>
    <row r="3" spans="1:5" s="93" customFormat="1" ht="15.75" customHeight="1" x14ac:dyDescent="0.25">
      <c r="A3" s="257" t="s">
        <v>27</v>
      </c>
      <c r="B3" s="256"/>
      <c r="C3" s="256"/>
      <c r="D3" s="256"/>
      <c r="E3" s="258"/>
    </row>
    <row r="4" spans="1:5" s="93" customFormat="1" ht="20.25" x14ac:dyDescent="0.3">
      <c r="A4" s="96"/>
      <c r="B4" s="256" t="s">
        <v>2</v>
      </c>
      <c r="C4" s="256"/>
      <c r="D4" s="256"/>
      <c r="E4" s="97"/>
    </row>
    <row r="5" spans="1:5" s="93" customFormat="1" ht="20.25" customHeight="1" x14ac:dyDescent="0.25">
      <c r="A5" s="257" t="s">
        <v>28</v>
      </c>
      <c r="B5" s="256"/>
      <c r="C5" s="256"/>
      <c r="D5" s="256"/>
      <c r="E5" s="258"/>
    </row>
    <row r="6" spans="1:5" s="93" customFormat="1" ht="96" customHeight="1" x14ac:dyDescent="0.25">
      <c r="A6" s="259" t="s">
        <v>29</v>
      </c>
      <c r="B6" s="260"/>
      <c r="C6" s="260"/>
      <c r="D6" s="260"/>
      <c r="E6" s="261"/>
    </row>
    <row r="7" spans="1:5" s="93" customFormat="1" ht="14.25" thickBot="1" x14ac:dyDescent="0.3">
      <c r="A7" s="98"/>
      <c r="B7" s="70"/>
      <c r="C7" s="70"/>
      <c r="D7" s="70"/>
      <c r="E7" s="75"/>
    </row>
    <row r="8" spans="1:5" s="93" customFormat="1" ht="26.25" customHeight="1" thickBot="1" x14ac:dyDescent="0.3">
      <c r="A8" s="98"/>
      <c r="B8" s="72" t="s">
        <v>3</v>
      </c>
      <c r="C8" s="247" t="s">
        <v>126</v>
      </c>
      <c r="D8" s="248"/>
      <c r="E8" s="75"/>
    </row>
    <row r="9" spans="1:5" s="93" customFormat="1" ht="14.25" thickBot="1" x14ac:dyDescent="0.3">
      <c r="A9" s="98"/>
      <c r="B9" s="72" t="s">
        <v>38</v>
      </c>
      <c r="C9" s="247">
        <v>26</v>
      </c>
      <c r="D9" s="248"/>
      <c r="E9" s="75"/>
    </row>
    <row r="10" spans="1:5" s="93" customFormat="1" ht="14.25" thickBot="1" x14ac:dyDescent="0.3">
      <c r="A10" s="98"/>
      <c r="B10" s="79" t="s">
        <v>6</v>
      </c>
      <c r="C10" s="247">
        <v>900225577</v>
      </c>
      <c r="D10" s="248"/>
      <c r="E10" s="75"/>
    </row>
    <row r="11" spans="1:5" s="93" customFormat="1" ht="26.25" customHeight="1" x14ac:dyDescent="0.25">
      <c r="A11" s="98"/>
      <c r="B11" s="130" t="s">
        <v>23</v>
      </c>
      <c r="C11" s="197" t="s">
        <v>24</v>
      </c>
      <c r="D11" s="199" t="s">
        <v>25</v>
      </c>
      <c r="E11" s="75"/>
    </row>
    <row r="12" spans="1:5" s="93" customFormat="1" x14ac:dyDescent="0.25">
      <c r="A12" s="98"/>
      <c r="B12" s="133"/>
      <c r="C12" s="135"/>
      <c r="D12" s="99"/>
      <c r="E12" s="75"/>
    </row>
    <row r="13" spans="1:5" s="93" customFormat="1" x14ac:dyDescent="0.25">
      <c r="A13" s="98"/>
      <c r="B13" s="133">
        <v>11</v>
      </c>
      <c r="C13" s="135" t="s">
        <v>206</v>
      </c>
      <c r="D13" s="134">
        <v>1420031080</v>
      </c>
      <c r="E13" s="75"/>
    </row>
    <row r="14" spans="1:5" s="93" customFormat="1" x14ac:dyDescent="0.25">
      <c r="A14" s="98"/>
      <c r="B14" s="133">
        <v>2</v>
      </c>
      <c r="C14" s="135" t="s">
        <v>79</v>
      </c>
      <c r="D14" s="134">
        <v>583654000</v>
      </c>
      <c r="E14" s="75"/>
    </row>
    <row r="15" spans="1:5" s="93" customFormat="1" ht="14.25" thickBot="1" x14ac:dyDescent="0.3">
      <c r="A15" s="98"/>
      <c r="B15" s="133"/>
      <c r="C15" s="135"/>
      <c r="D15" s="134"/>
      <c r="E15" s="75"/>
    </row>
    <row r="16" spans="1:5" s="93" customFormat="1" ht="14.25" thickBot="1" x14ac:dyDescent="0.3">
      <c r="A16" s="98"/>
      <c r="B16" s="72" t="s">
        <v>30</v>
      </c>
      <c r="C16" s="249">
        <f>+SUM(D13:D15)</f>
        <v>2003685080</v>
      </c>
      <c r="D16" s="250"/>
      <c r="E16" s="75"/>
    </row>
    <row r="17" spans="1:6" s="93" customFormat="1" ht="14.25" thickBot="1" x14ac:dyDescent="0.3">
      <c r="A17" s="98"/>
      <c r="B17" s="72" t="s">
        <v>5</v>
      </c>
      <c r="C17" s="302">
        <f>+ROUND(C16/616000,0)</f>
        <v>3253</v>
      </c>
      <c r="D17" s="303"/>
      <c r="E17" s="75"/>
    </row>
    <row r="18" spans="1:6" s="93" customFormat="1" x14ac:dyDescent="0.25">
      <c r="A18" s="98"/>
      <c r="B18" s="70"/>
      <c r="C18" s="70"/>
      <c r="D18" s="99"/>
      <c r="E18" s="75"/>
    </row>
    <row r="19" spans="1:6" s="93" customFormat="1" ht="14.25" thickBot="1" x14ac:dyDescent="0.3">
      <c r="A19" s="98"/>
      <c r="B19" s="100" t="s">
        <v>19</v>
      </c>
      <c r="C19" s="76"/>
      <c r="D19" s="99"/>
      <c r="E19" s="75"/>
    </row>
    <row r="20" spans="1:6" s="93" customFormat="1" x14ac:dyDescent="0.25">
      <c r="A20" s="98"/>
      <c r="B20" s="77" t="s">
        <v>13</v>
      </c>
      <c r="C20" s="85">
        <f>+IF($C$17&gt;$B$51,$D$51,IF(AND($C$17&gt;=$B$50,$C$17&lt;=$C$50),$D$50,IF(AND($C$17&gt;=$B$48,$C$17&lt;=$C$49),$D$48,IF(AND($C$17&gt;=$B$46,$C$17&lt;=$C$47),$D$46,IF(AND($C$17&gt;$B$44,$C$17&lt;=$C$45),$D$44)))))</f>
        <v>1</v>
      </c>
      <c r="D20" s="99"/>
      <c r="E20" s="75"/>
    </row>
    <row r="21" spans="1:6" s="93" customFormat="1" ht="14.25" thickBot="1" x14ac:dyDescent="0.3">
      <c r="A21" s="98"/>
      <c r="B21" s="78" t="s">
        <v>14</v>
      </c>
      <c r="C21" s="86">
        <f>+IF($C$17&gt;$B$51,$F$51,IF(AND($C$17&gt;=$B$49,$C$17&lt;=$C$50),$F$49,IF(AND($C$17&gt;=$B$47,$C$17&lt;=$C$48),$F$47,IF(AND($C$17&gt;=$B$45,$C$17&lt;=$C$46),$F$45,IF(AND($C$17&gt;$B$44,$C$17&lt;=$C$44),$F$44)))))</f>
        <v>0.68</v>
      </c>
      <c r="D21" s="99"/>
      <c r="E21" s="75"/>
    </row>
    <row r="22" spans="1:6" s="93" customFormat="1" ht="14.25" thickBot="1" x14ac:dyDescent="0.3">
      <c r="A22" s="98"/>
      <c r="B22" s="101"/>
      <c r="C22" s="102"/>
      <c r="D22" s="103"/>
      <c r="E22" s="75"/>
    </row>
    <row r="23" spans="1:6" s="93" customFormat="1" x14ac:dyDescent="0.25">
      <c r="A23" s="98"/>
      <c r="B23" s="80" t="s">
        <v>7</v>
      </c>
      <c r="C23" s="127">
        <v>593656422</v>
      </c>
      <c r="D23" s="104"/>
      <c r="E23" s="75"/>
    </row>
    <row r="24" spans="1:6" s="93" customFormat="1" x14ac:dyDescent="0.25">
      <c r="A24" s="98"/>
      <c r="B24" s="81" t="s">
        <v>8</v>
      </c>
      <c r="C24" s="129">
        <v>593656422</v>
      </c>
      <c r="D24" s="105"/>
      <c r="E24" s="75"/>
    </row>
    <row r="25" spans="1:6" s="93" customFormat="1" ht="15" x14ac:dyDescent="0.25">
      <c r="A25" s="98"/>
      <c r="B25" s="81" t="s">
        <v>9</v>
      </c>
      <c r="C25" s="129">
        <v>340224072</v>
      </c>
      <c r="D25" s="105"/>
      <c r="E25" s="75"/>
      <c r="F25" s="106"/>
    </row>
    <row r="26" spans="1:6" s="93" customFormat="1" ht="15.75" thickBot="1" x14ac:dyDescent="0.3">
      <c r="A26" s="98"/>
      <c r="B26" s="82" t="s">
        <v>10</v>
      </c>
      <c r="C26" s="128">
        <v>340224072</v>
      </c>
      <c r="D26" s="107"/>
      <c r="E26" s="75"/>
      <c r="F26" s="106"/>
    </row>
    <row r="27" spans="1:6" s="93" customFormat="1" ht="14.25" thickBot="1" x14ac:dyDescent="0.3">
      <c r="A27" s="98"/>
      <c r="B27" s="286" t="s">
        <v>11</v>
      </c>
      <c r="C27" s="287"/>
      <c r="D27" s="288"/>
      <c r="E27" s="75"/>
    </row>
    <row r="28" spans="1:6" s="93" customFormat="1" ht="14.25" thickBot="1" x14ac:dyDescent="0.3">
      <c r="A28" s="98"/>
      <c r="B28" s="241" t="s">
        <v>12</v>
      </c>
      <c r="C28" s="242"/>
      <c r="D28" s="243"/>
      <c r="E28" s="75"/>
    </row>
    <row r="29" spans="1:6" s="93" customFormat="1" ht="16.5" x14ac:dyDescent="0.3">
      <c r="A29" s="98"/>
      <c r="B29" s="77" t="s">
        <v>13</v>
      </c>
      <c r="C29" s="126">
        <f>+IFERROR(C23/C25,"INDETERMINADO")</f>
        <v>1.7448983504024371</v>
      </c>
      <c r="D29" s="118" t="str">
        <f>+IF(C29&gt;=C20,"CUMPLE","NO CUMPLE")</f>
        <v>CUMPLE</v>
      </c>
      <c r="E29" s="75"/>
    </row>
    <row r="30" spans="1:6" s="93" customFormat="1" ht="17.25" thickBot="1" x14ac:dyDescent="0.35">
      <c r="A30" s="98"/>
      <c r="B30" s="78" t="s">
        <v>14</v>
      </c>
      <c r="C30" s="120">
        <f>+C26/C24</f>
        <v>0.57309928671166632</v>
      </c>
      <c r="D30" s="119" t="str">
        <f>+IF(C30&lt;=C21,"CUMPLE","NO CUMPLE")</f>
        <v>CUMPLE</v>
      </c>
      <c r="E30" s="75"/>
    </row>
    <row r="31" spans="1:6" s="110" customFormat="1" ht="14.25" thickBot="1" x14ac:dyDescent="0.3">
      <c r="A31" s="98"/>
      <c r="B31" s="108"/>
      <c r="C31" s="100"/>
      <c r="D31" s="76"/>
      <c r="E31" s="109"/>
    </row>
    <row r="32" spans="1:6" s="93" customFormat="1" ht="41.25" customHeight="1" thickBot="1" x14ac:dyDescent="0.3">
      <c r="A32" s="98"/>
      <c r="B32" s="72" t="s">
        <v>15</v>
      </c>
      <c r="C32" s="244" t="s">
        <v>49</v>
      </c>
      <c r="D32" s="245"/>
      <c r="E32" s="75"/>
    </row>
    <row r="33" spans="1:9" s="70" customFormat="1" ht="14.25" thickBot="1" x14ac:dyDescent="0.3">
      <c r="A33" s="98"/>
      <c r="B33" s="83"/>
      <c r="C33" s="83"/>
      <c r="D33" s="83"/>
      <c r="E33" s="75"/>
    </row>
    <row r="34" spans="1:9" s="70" customFormat="1" ht="57" customHeight="1" thickBot="1" x14ac:dyDescent="0.3">
      <c r="A34" s="98"/>
      <c r="B34" s="72" t="s">
        <v>26</v>
      </c>
      <c r="C34" s="244" t="s">
        <v>127</v>
      </c>
      <c r="D34" s="245"/>
      <c r="E34" s="75"/>
    </row>
    <row r="35" spans="1:9" s="70" customFormat="1" ht="14.25" thickBot="1" x14ac:dyDescent="0.3">
      <c r="A35" s="111"/>
      <c r="B35" s="112"/>
      <c r="C35" s="112"/>
      <c r="D35" s="112"/>
      <c r="E35" s="71"/>
    </row>
    <row r="36" spans="1:9" s="70" customFormat="1" x14ac:dyDescent="0.25">
      <c r="B36" s="83"/>
      <c r="C36" s="83"/>
      <c r="D36" s="83"/>
    </row>
    <row r="37" spans="1:9" s="70" customFormat="1" x14ac:dyDescent="0.25">
      <c r="B37" s="83"/>
      <c r="C37" s="83"/>
      <c r="D37" s="83"/>
    </row>
    <row r="38" spans="1:9" s="70" customFormat="1" x14ac:dyDescent="0.25">
      <c r="B38" s="83"/>
      <c r="C38" s="83"/>
      <c r="D38" s="83"/>
    </row>
    <row r="39" spans="1:9" s="70" customFormat="1" x14ac:dyDescent="0.25">
      <c r="B39" s="83"/>
      <c r="C39" s="83"/>
      <c r="D39" s="83"/>
    </row>
    <row r="41" spans="1:9" x14ac:dyDescent="0.25">
      <c r="B41" s="100"/>
      <c r="C41" s="70"/>
    </row>
    <row r="42" spans="1:9" x14ac:dyDescent="0.25">
      <c r="B42" s="88">
        <v>616000</v>
      </c>
      <c r="C42" s="87"/>
      <c r="D42" s="87"/>
      <c r="E42" s="87"/>
      <c r="F42" s="87"/>
      <c r="G42" s="87"/>
      <c r="H42" s="87"/>
      <c r="I42" s="87"/>
    </row>
    <row r="43" spans="1:9" ht="25.5" x14ac:dyDescent="0.25">
      <c r="B43" s="89" t="s">
        <v>21</v>
      </c>
      <c r="C43" s="89" t="s">
        <v>20</v>
      </c>
      <c r="D43" s="200" t="s">
        <v>16</v>
      </c>
      <c r="E43" s="87"/>
      <c r="F43" s="200" t="s">
        <v>17</v>
      </c>
      <c r="G43" s="87"/>
      <c r="H43" s="246"/>
      <c r="I43" s="246"/>
    </row>
    <row r="44" spans="1:9" x14ac:dyDescent="0.25">
      <c r="B44" s="90">
        <v>0</v>
      </c>
      <c r="C44" s="90">
        <v>250</v>
      </c>
      <c r="D44" s="201">
        <v>0.8</v>
      </c>
      <c r="E44" s="87"/>
      <c r="F44" s="202">
        <v>0.8</v>
      </c>
      <c r="G44" s="87"/>
      <c r="H44" s="116"/>
      <c r="I44" s="117">
        <f t="shared" ref="I44:I51" si="0">+C44*$B$42</f>
        <v>154000000</v>
      </c>
    </row>
    <row r="45" spans="1:9" x14ac:dyDescent="0.25">
      <c r="B45" s="90">
        <v>251</v>
      </c>
      <c r="C45" s="90">
        <v>1000</v>
      </c>
      <c r="D45" s="201">
        <v>0.8</v>
      </c>
      <c r="E45" s="87"/>
      <c r="F45" s="202">
        <v>0.75</v>
      </c>
      <c r="G45" s="87"/>
      <c r="H45" s="117">
        <f t="shared" ref="H45:H51" si="1">+B45*$B$42</f>
        <v>154616000</v>
      </c>
      <c r="I45" s="117">
        <f t="shared" si="0"/>
        <v>616000000</v>
      </c>
    </row>
    <row r="46" spans="1:9" x14ac:dyDescent="0.25">
      <c r="B46" s="90">
        <v>1001</v>
      </c>
      <c r="C46" s="90">
        <v>1500</v>
      </c>
      <c r="D46" s="201">
        <v>0.9</v>
      </c>
      <c r="E46" s="87"/>
      <c r="F46" s="202">
        <v>0.75</v>
      </c>
      <c r="G46" s="87"/>
      <c r="H46" s="117">
        <f t="shared" si="1"/>
        <v>616616000</v>
      </c>
      <c r="I46" s="117">
        <f t="shared" si="0"/>
        <v>924000000</v>
      </c>
    </row>
    <row r="47" spans="1:9" x14ac:dyDescent="0.25">
      <c r="B47" s="90">
        <v>1501</v>
      </c>
      <c r="C47" s="90">
        <v>2500</v>
      </c>
      <c r="D47" s="201">
        <v>0.9</v>
      </c>
      <c r="E47" s="87"/>
      <c r="F47" s="202">
        <v>0.7</v>
      </c>
      <c r="G47" s="87"/>
      <c r="H47" s="117">
        <f t="shared" si="1"/>
        <v>924616000</v>
      </c>
      <c r="I47" s="117">
        <f t="shared" si="0"/>
        <v>1540000000</v>
      </c>
    </row>
    <row r="48" spans="1:9" x14ac:dyDescent="0.25">
      <c r="B48" s="90">
        <v>2501</v>
      </c>
      <c r="C48" s="90">
        <v>3000</v>
      </c>
      <c r="D48" s="201">
        <v>1</v>
      </c>
      <c r="E48" s="87"/>
      <c r="F48" s="202">
        <v>0.7</v>
      </c>
      <c r="G48" s="87"/>
      <c r="H48" s="117">
        <f t="shared" si="1"/>
        <v>1540616000</v>
      </c>
      <c r="I48" s="117">
        <f t="shared" si="0"/>
        <v>1848000000</v>
      </c>
    </row>
    <row r="49" spans="1:9" x14ac:dyDescent="0.25">
      <c r="B49" s="90">
        <v>3001</v>
      </c>
      <c r="C49" s="90">
        <v>3500</v>
      </c>
      <c r="D49" s="201">
        <v>1</v>
      </c>
      <c r="E49" s="87"/>
      <c r="F49" s="202">
        <v>0.68</v>
      </c>
      <c r="G49" s="87"/>
      <c r="H49" s="117">
        <f t="shared" si="1"/>
        <v>1848616000</v>
      </c>
      <c r="I49" s="117">
        <f t="shared" si="0"/>
        <v>2156000000</v>
      </c>
    </row>
    <row r="50" spans="1:9" x14ac:dyDescent="0.25">
      <c r="B50" s="90">
        <v>3501</v>
      </c>
      <c r="C50" s="90">
        <v>4500</v>
      </c>
      <c r="D50" s="201">
        <v>1.1000000000000001</v>
      </c>
      <c r="E50" s="87"/>
      <c r="F50" s="202">
        <v>0.68</v>
      </c>
      <c r="G50" s="87"/>
      <c r="H50" s="117">
        <f t="shared" si="1"/>
        <v>2156616000</v>
      </c>
      <c r="I50" s="117">
        <f t="shared" si="0"/>
        <v>2772000000</v>
      </c>
    </row>
    <row r="51" spans="1:9" x14ac:dyDescent="0.25">
      <c r="A51" s="84" t="s">
        <v>22</v>
      </c>
      <c r="B51" s="90">
        <v>4501</v>
      </c>
      <c r="C51" s="90"/>
      <c r="D51" s="201">
        <v>1.2</v>
      </c>
      <c r="E51" s="87"/>
      <c r="F51" s="202">
        <v>0.65</v>
      </c>
      <c r="G51" s="87"/>
      <c r="H51" s="117">
        <f t="shared" si="1"/>
        <v>2772616000</v>
      </c>
      <c r="I51" s="117">
        <f t="shared" si="0"/>
        <v>0</v>
      </c>
    </row>
  </sheetData>
  <mergeCells count="16">
    <mergeCell ref="A6:E6"/>
    <mergeCell ref="A1:E1"/>
    <mergeCell ref="B2:D2"/>
    <mergeCell ref="A3:E3"/>
    <mergeCell ref="B4:D4"/>
    <mergeCell ref="A5:E5"/>
    <mergeCell ref="B28:D28"/>
    <mergeCell ref="C32:D32"/>
    <mergeCell ref="C34:D34"/>
    <mergeCell ref="H43:I43"/>
    <mergeCell ref="C8:D8"/>
    <mergeCell ref="C9:D9"/>
    <mergeCell ref="C10:D10"/>
    <mergeCell ref="C16:D16"/>
    <mergeCell ref="C17:D17"/>
    <mergeCell ref="B27:D27"/>
  </mergeCells>
  <pageMargins left="0.7" right="0.7" top="0.75" bottom="0.75" header="0.3" footer="0.3"/>
  <pageSetup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1"/>
  <sheetViews>
    <sheetView view="pageBreakPreview" zoomScale="130" zoomScaleNormal="100" zoomScaleSheetLayoutView="130" workbookViewId="0">
      <selection activeCell="A5" sqref="A5:E5"/>
    </sheetView>
  </sheetViews>
  <sheetFormatPr baseColWidth="10" defaultRowHeight="13.5" x14ac:dyDescent="0.25"/>
  <cols>
    <col min="1" max="1" width="3.140625" style="84" customWidth="1"/>
    <col min="2" max="2" width="31.140625" style="84" bestFit="1" customWidth="1"/>
    <col min="3" max="3" width="27.7109375" style="84" customWidth="1"/>
    <col min="4" max="4" width="21.7109375" style="84" customWidth="1"/>
    <col min="5" max="5" width="3.5703125" style="84" customWidth="1"/>
    <col min="6" max="6" width="16.5703125" style="84" customWidth="1"/>
    <col min="7" max="7" width="3.140625" style="84" customWidth="1"/>
    <col min="8" max="8" width="18.140625" style="84" customWidth="1"/>
    <col min="9" max="9" width="12.7109375" style="84" bestFit="1" customWidth="1"/>
    <col min="10" max="16384" width="11.42578125" style="84"/>
  </cols>
  <sheetData>
    <row r="1" spans="1:5" s="93" customFormat="1" ht="20.25" customHeight="1" x14ac:dyDescent="0.25">
      <c r="A1" s="253" t="s">
        <v>0</v>
      </c>
      <c r="B1" s="254"/>
      <c r="C1" s="254"/>
      <c r="D1" s="254"/>
      <c r="E1" s="255"/>
    </row>
    <row r="2" spans="1:5" s="93" customFormat="1" ht="15.75" customHeight="1" x14ac:dyDescent="0.25">
      <c r="A2" s="196"/>
      <c r="B2" s="256" t="s">
        <v>1</v>
      </c>
      <c r="C2" s="256"/>
      <c r="D2" s="256"/>
      <c r="E2" s="95"/>
    </row>
    <row r="3" spans="1:5" s="93" customFormat="1" ht="15.75" customHeight="1" x14ac:dyDescent="0.25">
      <c r="A3" s="257" t="s">
        <v>27</v>
      </c>
      <c r="B3" s="256"/>
      <c r="C3" s="256"/>
      <c r="D3" s="256"/>
      <c r="E3" s="258"/>
    </row>
    <row r="4" spans="1:5" s="93" customFormat="1" ht="20.25" x14ac:dyDescent="0.3">
      <c r="A4" s="96"/>
      <c r="B4" s="256" t="s">
        <v>2</v>
      </c>
      <c r="C4" s="256"/>
      <c r="D4" s="256"/>
      <c r="E4" s="97"/>
    </row>
    <row r="5" spans="1:5" s="93" customFormat="1" ht="20.25" customHeight="1" x14ac:dyDescent="0.25">
      <c r="A5" s="257" t="s">
        <v>28</v>
      </c>
      <c r="B5" s="256"/>
      <c r="C5" s="256"/>
      <c r="D5" s="256"/>
      <c r="E5" s="258"/>
    </row>
    <row r="6" spans="1:5" s="93" customFormat="1" ht="99.75" customHeight="1" x14ac:dyDescent="0.25">
      <c r="A6" s="259" t="s">
        <v>29</v>
      </c>
      <c r="B6" s="260"/>
      <c r="C6" s="260"/>
      <c r="D6" s="260"/>
      <c r="E6" s="261"/>
    </row>
    <row r="7" spans="1:5" s="93" customFormat="1" ht="14.25" thickBot="1" x14ac:dyDescent="0.3">
      <c r="A7" s="98"/>
      <c r="B7" s="70"/>
      <c r="C7" s="70"/>
      <c r="D7" s="70"/>
      <c r="E7" s="75"/>
    </row>
    <row r="8" spans="1:5" s="93" customFormat="1" ht="26.25" customHeight="1" thickBot="1" x14ac:dyDescent="0.3">
      <c r="A8" s="98"/>
      <c r="B8" s="72" t="s">
        <v>3</v>
      </c>
      <c r="C8" s="247" t="s">
        <v>91</v>
      </c>
      <c r="D8" s="248"/>
      <c r="E8" s="75"/>
    </row>
    <row r="9" spans="1:5" s="93" customFormat="1" ht="14.25" thickBot="1" x14ac:dyDescent="0.3">
      <c r="A9" s="98"/>
      <c r="B9" s="72" t="s">
        <v>38</v>
      </c>
      <c r="C9" s="247">
        <v>27</v>
      </c>
      <c r="D9" s="248"/>
      <c r="E9" s="75"/>
    </row>
    <row r="10" spans="1:5" s="93" customFormat="1" ht="14.25" thickBot="1" x14ac:dyDescent="0.3">
      <c r="A10" s="98"/>
      <c r="B10" s="79" t="s">
        <v>6</v>
      </c>
      <c r="C10" s="247">
        <v>819005392</v>
      </c>
      <c r="D10" s="248"/>
      <c r="E10" s="75"/>
    </row>
    <row r="11" spans="1:5" s="93" customFormat="1" ht="26.25" customHeight="1" x14ac:dyDescent="0.25">
      <c r="A11" s="98"/>
      <c r="B11" s="130" t="s">
        <v>23</v>
      </c>
      <c r="C11" s="197" t="s">
        <v>24</v>
      </c>
      <c r="D11" s="199" t="s">
        <v>25</v>
      </c>
      <c r="E11" s="75"/>
    </row>
    <row r="12" spans="1:5" s="93" customFormat="1" x14ac:dyDescent="0.25">
      <c r="A12" s="98"/>
      <c r="B12" s="133"/>
      <c r="C12" s="135"/>
      <c r="D12" s="99"/>
      <c r="E12" s="75"/>
    </row>
    <row r="13" spans="1:5" s="93" customFormat="1" x14ac:dyDescent="0.25">
      <c r="A13" s="98"/>
      <c r="B13" s="133">
        <v>10</v>
      </c>
      <c r="C13" s="135" t="s">
        <v>92</v>
      </c>
      <c r="D13" s="184">
        <v>2130046620</v>
      </c>
      <c r="E13" s="75"/>
    </row>
    <row r="14" spans="1:5" s="93" customFormat="1" x14ac:dyDescent="0.25">
      <c r="A14" s="98"/>
      <c r="B14" s="185" t="s">
        <v>207</v>
      </c>
      <c r="C14" s="135" t="s">
        <v>68</v>
      </c>
      <c r="D14" s="184">
        <v>3800671420</v>
      </c>
      <c r="E14" s="75"/>
    </row>
    <row r="15" spans="1:5" s="93" customFormat="1" ht="14.25" thickBot="1" x14ac:dyDescent="0.3">
      <c r="A15" s="98"/>
      <c r="B15" s="133"/>
      <c r="C15" s="135"/>
      <c r="D15" s="184"/>
      <c r="E15" s="75"/>
    </row>
    <row r="16" spans="1:5" s="93" customFormat="1" ht="14.25" thickBot="1" x14ac:dyDescent="0.3">
      <c r="A16" s="98"/>
      <c r="B16" s="72" t="s">
        <v>30</v>
      </c>
      <c r="C16" s="249">
        <f>+SUM(D13:D15)</f>
        <v>5930718040</v>
      </c>
      <c r="D16" s="250"/>
      <c r="E16" s="75"/>
    </row>
    <row r="17" spans="1:6" s="93" customFormat="1" ht="14.25" thickBot="1" x14ac:dyDescent="0.3">
      <c r="A17" s="98"/>
      <c r="B17" s="72" t="s">
        <v>5</v>
      </c>
      <c r="C17" s="302">
        <f>+ROUND(C16/616000,0)</f>
        <v>9628</v>
      </c>
      <c r="D17" s="303"/>
      <c r="E17" s="75"/>
    </row>
    <row r="18" spans="1:6" s="93" customFormat="1" x14ac:dyDescent="0.25">
      <c r="A18" s="98"/>
      <c r="B18" s="70"/>
      <c r="C18" s="70"/>
      <c r="D18" s="99"/>
      <c r="E18" s="75"/>
    </row>
    <row r="19" spans="1:6" s="93" customFormat="1" ht="14.25" thickBot="1" x14ac:dyDescent="0.3">
      <c r="A19" s="98"/>
      <c r="B19" s="100" t="s">
        <v>19</v>
      </c>
      <c r="C19" s="76"/>
      <c r="D19" s="99"/>
      <c r="E19" s="75"/>
    </row>
    <row r="20" spans="1:6" s="93" customFormat="1" x14ac:dyDescent="0.25">
      <c r="A20" s="98"/>
      <c r="B20" s="77" t="s">
        <v>13</v>
      </c>
      <c r="C20" s="85">
        <f>+IF($C$17&gt;$B$51,$D$51,IF(AND($C$17&gt;=$B$50,$C$17&lt;=$C$50),$D$50,IF(AND($C$17&gt;=$B$48,$C$17&lt;=$C$49),$D$48,IF(AND($C$17&gt;=$B$46,$C$17&lt;=$C$47),$D$46,IF(AND($C$17&gt;$B$44,$C$17&lt;=$C$45),$D$44)))))</f>
        <v>1.2</v>
      </c>
      <c r="D20" s="99"/>
      <c r="E20" s="75"/>
    </row>
    <row r="21" spans="1:6" s="93" customFormat="1" ht="14.25" thickBot="1" x14ac:dyDescent="0.3">
      <c r="A21" s="98"/>
      <c r="B21" s="78" t="s">
        <v>14</v>
      </c>
      <c r="C21" s="86">
        <f>+IF($C$17&gt;$B$51,$F$51,IF(AND($C$17&gt;=$B$49,$C$17&lt;=$C$50),$F$49,IF(AND($C$17&gt;=$B$47,$C$17&lt;=$C$48),$F$47,IF(AND($C$17&gt;=$B$45,$C$17&lt;=$C$46),$F$45,IF(AND($C$17&gt;$B$44,$C$17&lt;=$C$44),$F$44)))))</f>
        <v>0.65</v>
      </c>
      <c r="D21" s="99"/>
      <c r="E21" s="75"/>
    </row>
    <row r="22" spans="1:6" s="93" customFormat="1" ht="14.25" thickBot="1" x14ac:dyDescent="0.3">
      <c r="A22" s="98"/>
      <c r="B22" s="101"/>
      <c r="C22" s="102"/>
      <c r="D22" s="103"/>
      <c r="E22" s="75"/>
    </row>
    <row r="23" spans="1:6" s="93" customFormat="1" x14ac:dyDescent="0.25">
      <c r="A23" s="98"/>
      <c r="B23" s="80" t="s">
        <v>7</v>
      </c>
      <c r="C23" s="127">
        <v>257705000</v>
      </c>
      <c r="D23" s="104"/>
      <c r="E23" s="75"/>
    </row>
    <row r="24" spans="1:6" s="93" customFormat="1" x14ac:dyDescent="0.25">
      <c r="A24" s="98"/>
      <c r="B24" s="81" t="s">
        <v>8</v>
      </c>
      <c r="C24" s="129">
        <v>283832000</v>
      </c>
      <c r="D24" s="105"/>
      <c r="E24" s="75"/>
    </row>
    <row r="25" spans="1:6" s="93" customFormat="1" ht="15" x14ac:dyDescent="0.25">
      <c r="A25" s="98"/>
      <c r="B25" s="81" t="s">
        <v>9</v>
      </c>
      <c r="C25" s="129">
        <v>60555984</v>
      </c>
      <c r="D25" s="105"/>
      <c r="E25" s="75"/>
      <c r="F25" s="106"/>
    </row>
    <row r="26" spans="1:6" s="93" customFormat="1" ht="15.75" thickBot="1" x14ac:dyDescent="0.3">
      <c r="A26" s="98"/>
      <c r="B26" s="82" t="s">
        <v>10</v>
      </c>
      <c r="C26" s="128">
        <v>106242180.59999999</v>
      </c>
      <c r="D26" s="107"/>
      <c r="E26" s="75"/>
      <c r="F26" s="106"/>
    </row>
    <row r="27" spans="1:6" s="93" customFormat="1" ht="14.25" thickBot="1" x14ac:dyDescent="0.3">
      <c r="A27" s="98"/>
      <c r="B27" s="286" t="s">
        <v>11</v>
      </c>
      <c r="C27" s="287"/>
      <c r="D27" s="288"/>
      <c r="E27" s="75"/>
    </row>
    <row r="28" spans="1:6" s="93" customFormat="1" ht="14.25" thickBot="1" x14ac:dyDescent="0.3">
      <c r="A28" s="98"/>
      <c r="B28" s="241" t="s">
        <v>12</v>
      </c>
      <c r="C28" s="242"/>
      <c r="D28" s="243"/>
      <c r="E28" s="75"/>
    </row>
    <row r="29" spans="1:6" s="93" customFormat="1" ht="16.5" x14ac:dyDescent="0.3">
      <c r="A29" s="98"/>
      <c r="B29" s="77" t="s">
        <v>13</v>
      </c>
      <c r="C29" s="126">
        <f>+IFERROR(C23/C25,"INDETERMINADO")</f>
        <v>4.2556487893913175</v>
      </c>
      <c r="D29" s="118" t="str">
        <f>+IF(C29&gt;=C20,"CUMPLE","NO CUMPLE")</f>
        <v>CUMPLE</v>
      </c>
      <c r="E29" s="75"/>
    </row>
    <row r="30" spans="1:6" s="93" customFormat="1" ht="17.25" thickBot="1" x14ac:dyDescent="0.35">
      <c r="A30" s="98"/>
      <c r="B30" s="78" t="s">
        <v>14</v>
      </c>
      <c r="C30" s="120">
        <f>+C26/C24</f>
        <v>0.3743136101637588</v>
      </c>
      <c r="D30" s="119" t="str">
        <f>+IF(C30&lt;=C21,"CUMPLE","NO CUMPLE")</f>
        <v>CUMPLE</v>
      </c>
      <c r="E30" s="75"/>
    </row>
    <row r="31" spans="1:6" s="110" customFormat="1" ht="14.25" thickBot="1" x14ac:dyDescent="0.3">
      <c r="A31" s="98"/>
      <c r="B31" s="108"/>
      <c r="C31" s="100"/>
      <c r="D31" s="76"/>
      <c r="E31" s="109"/>
    </row>
    <row r="32" spans="1:6" s="93" customFormat="1" ht="41.25" customHeight="1" thickBot="1" x14ac:dyDescent="0.3">
      <c r="A32" s="98"/>
      <c r="B32" s="72" t="s">
        <v>15</v>
      </c>
      <c r="C32" s="244" t="s">
        <v>49</v>
      </c>
      <c r="D32" s="245"/>
      <c r="E32" s="75"/>
    </row>
    <row r="33" spans="1:9" s="70" customFormat="1" ht="14.25" thickBot="1" x14ac:dyDescent="0.3">
      <c r="A33" s="98"/>
      <c r="B33" s="83"/>
      <c r="C33" s="83"/>
      <c r="D33" s="83"/>
      <c r="E33" s="75"/>
    </row>
    <row r="34" spans="1:9" s="70" customFormat="1" ht="45.75" customHeight="1" thickBot="1" x14ac:dyDescent="0.3">
      <c r="A34" s="98"/>
      <c r="B34" s="72" t="s">
        <v>26</v>
      </c>
      <c r="C34" s="244"/>
      <c r="D34" s="245"/>
      <c r="E34" s="75"/>
    </row>
    <row r="35" spans="1:9" s="70" customFormat="1" ht="14.25" thickBot="1" x14ac:dyDescent="0.3">
      <c r="A35" s="111"/>
      <c r="B35" s="112"/>
      <c r="C35" s="112"/>
      <c r="D35" s="112"/>
      <c r="E35" s="71"/>
    </row>
    <row r="36" spans="1:9" s="70" customFormat="1" x14ac:dyDescent="0.25">
      <c r="B36" s="83"/>
      <c r="C36" s="83"/>
      <c r="D36" s="83"/>
    </row>
    <row r="37" spans="1:9" s="70" customFormat="1" x14ac:dyDescent="0.25">
      <c r="B37" s="83"/>
      <c r="C37" s="83"/>
      <c r="D37" s="83"/>
    </row>
    <row r="38" spans="1:9" s="70" customFormat="1" x14ac:dyDescent="0.25">
      <c r="B38" s="83"/>
      <c r="C38" s="83"/>
      <c r="D38" s="83"/>
    </row>
    <row r="39" spans="1:9" s="70" customFormat="1" x14ac:dyDescent="0.25">
      <c r="B39" s="83"/>
      <c r="C39" s="83"/>
      <c r="D39" s="83"/>
    </row>
    <row r="41" spans="1:9" x14ac:dyDescent="0.25">
      <c r="B41" s="100"/>
      <c r="C41" s="70"/>
    </row>
    <row r="42" spans="1:9" x14ac:dyDescent="0.25">
      <c r="B42" s="88">
        <v>616000</v>
      </c>
      <c r="C42" s="87"/>
      <c r="D42" s="87"/>
      <c r="E42" s="87"/>
      <c r="F42" s="87"/>
      <c r="G42" s="87"/>
      <c r="H42" s="87"/>
      <c r="I42" s="87"/>
    </row>
    <row r="43" spans="1:9" ht="25.5" x14ac:dyDescent="0.25">
      <c r="B43" s="89" t="s">
        <v>21</v>
      </c>
      <c r="C43" s="89" t="s">
        <v>20</v>
      </c>
      <c r="D43" s="200" t="s">
        <v>16</v>
      </c>
      <c r="E43" s="87"/>
      <c r="F43" s="200" t="s">
        <v>17</v>
      </c>
      <c r="G43" s="87"/>
      <c r="H43" s="246"/>
      <c r="I43" s="246"/>
    </row>
    <row r="44" spans="1:9" x14ac:dyDescent="0.25">
      <c r="B44" s="90">
        <v>0</v>
      </c>
      <c r="C44" s="90">
        <v>250</v>
      </c>
      <c r="D44" s="201">
        <v>0.8</v>
      </c>
      <c r="E44" s="87"/>
      <c r="F44" s="202">
        <v>0.8</v>
      </c>
      <c r="G44" s="87"/>
      <c r="H44" s="116"/>
      <c r="I44" s="117">
        <f t="shared" ref="I44:I51" si="0">+C44*$B$42</f>
        <v>154000000</v>
      </c>
    </row>
    <row r="45" spans="1:9" x14ac:dyDescent="0.25">
      <c r="B45" s="90">
        <v>251</v>
      </c>
      <c r="C45" s="90">
        <v>1000</v>
      </c>
      <c r="D45" s="201">
        <v>0.8</v>
      </c>
      <c r="E45" s="87"/>
      <c r="F45" s="202">
        <v>0.75</v>
      </c>
      <c r="G45" s="87"/>
      <c r="H45" s="117">
        <f t="shared" ref="H45:H51" si="1">+B45*$B$42</f>
        <v>154616000</v>
      </c>
      <c r="I45" s="117">
        <f t="shared" si="0"/>
        <v>616000000</v>
      </c>
    </row>
    <row r="46" spans="1:9" x14ac:dyDescent="0.25">
      <c r="B46" s="90">
        <v>1001</v>
      </c>
      <c r="C46" s="90">
        <v>1500</v>
      </c>
      <c r="D46" s="201">
        <v>0.9</v>
      </c>
      <c r="E46" s="87"/>
      <c r="F46" s="202">
        <v>0.75</v>
      </c>
      <c r="G46" s="87"/>
      <c r="H46" s="117">
        <f t="shared" si="1"/>
        <v>616616000</v>
      </c>
      <c r="I46" s="117">
        <f t="shared" si="0"/>
        <v>924000000</v>
      </c>
    </row>
    <row r="47" spans="1:9" x14ac:dyDescent="0.25">
      <c r="B47" s="90">
        <v>1501</v>
      </c>
      <c r="C47" s="90">
        <v>2500</v>
      </c>
      <c r="D47" s="201">
        <v>0.9</v>
      </c>
      <c r="E47" s="87"/>
      <c r="F47" s="202">
        <v>0.7</v>
      </c>
      <c r="G47" s="87"/>
      <c r="H47" s="117">
        <f t="shared" si="1"/>
        <v>924616000</v>
      </c>
      <c r="I47" s="117">
        <f t="shared" si="0"/>
        <v>1540000000</v>
      </c>
    </row>
    <row r="48" spans="1:9" x14ac:dyDescent="0.25">
      <c r="B48" s="90">
        <v>2501</v>
      </c>
      <c r="C48" s="90">
        <v>3000</v>
      </c>
      <c r="D48" s="201">
        <v>1</v>
      </c>
      <c r="E48" s="87"/>
      <c r="F48" s="202">
        <v>0.7</v>
      </c>
      <c r="G48" s="87"/>
      <c r="H48" s="117">
        <f t="shared" si="1"/>
        <v>1540616000</v>
      </c>
      <c r="I48" s="117">
        <f t="shared" si="0"/>
        <v>1848000000</v>
      </c>
    </row>
    <row r="49" spans="1:9" x14ac:dyDescent="0.25">
      <c r="B49" s="90">
        <v>3001</v>
      </c>
      <c r="C49" s="90">
        <v>3500</v>
      </c>
      <c r="D49" s="201">
        <v>1</v>
      </c>
      <c r="E49" s="87"/>
      <c r="F49" s="202">
        <v>0.68</v>
      </c>
      <c r="G49" s="87"/>
      <c r="H49" s="117">
        <f t="shared" si="1"/>
        <v>1848616000</v>
      </c>
      <c r="I49" s="117">
        <f t="shared" si="0"/>
        <v>2156000000</v>
      </c>
    </row>
    <row r="50" spans="1:9" x14ac:dyDescent="0.25">
      <c r="B50" s="90">
        <v>3501</v>
      </c>
      <c r="C50" s="90">
        <v>4500</v>
      </c>
      <c r="D50" s="201">
        <v>1.1000000000000001</v>
      </c>
      <c r="E50" s="87"/>
      <c r="F50" s="202">
        <v>0.68</v>
      </c>
      <c r="G50" s="87"/>
      <c r="H50" s="117">
        <f t="shared" si="1"/>
        <v>2156616000</v>
      </c>
      <c r="I50" s="117">
        <f t="shared" si="0"/>
        <v>2772000000</v>
      </c>
    </row>
    <row r="51" spans="1:9" x14ac:dyDescent="0.25">
      <c r="A51" s="84" t="s">
        <v>22</v>
      </c>
      <c r="B51" s="90">
        <v>4501</v>
      </c>
      <c r="C51" s="90"/>
      <c r="D51" s="201">
        <v>1.2</v>
      </c>
      <c r="E51" s="87"/>
      <c r="F51" s="202">
        <v>0.65</v>
      </c>
      <c r="G51" s="87"/>
      <c r="H51" s="117">
        <f t="shared" si="1"/>
        <v>2772616000</v>
      </c>
      <c r="I51" s="117">
        <f t="shared" si="0"/>
        <v>0</v>
      </c>
    </row>
  </sheetData>
  <mergeCells count="16">
    <mergeCell ref="A6:E6"/>
    <mergeCell ref="A1:E1"/>
    <mergeCell ref="B2:D2"/>
    <mergeCell ref="A3:E3"/>
    <mergeCell ref="B4:D4"/>
    <mergeCell ref="A5:E5"/>
    <mergeCell ref="B28:D28"/>
    <mergeCell ref="C32:D32"/>
    <mergeCell ref="C34:D34"/>
    <mergeCell ref="H43:I43"/>
    <mergeCell ref="C8:D8"/>
    <mergeCell ref="C9:D9"/>
    <mergeCell ref="C10:D10"/>
    <mergeCell ref="C16:D16"/>
    <mergeCell ref="C17:D17"/>
    <mergeCell ref="B27:D27"/>
  </mergeCells>
  <pageMargins left="0.7" right="0.7" top="0.75" bottom="0.75" header="0.3" footer="0.3"/>
  <pageSetup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9"/>
  <sheetViews>
    <sheetView view="pageBreakPreview" topLeftCell="A4" zoomScale="130" zoomScaleNormal="100" zoomScaleSheetLayoutView="130" workbookViewId="0">
      <selection activeCell="C13" sqref="C13"/>
    </sheetView>
  </sheetViews>
  <sheetFormatPr baseColWidth="10" defaultRowHeight="13.5" x14ac:dyDescent="0.25"/>
  <cols>
    <col min="1" max="1" width="3.140625" style="84" customWidth="1"/>
    <col min="2" max="2" width="31.140625" style="84" bestFit="1" customWidth="1"/>
    <col min="3" max="3" width="27.7109375" style="84" customWidth="1"/>
    <col min="4" max="4" width="21.7109375" style="84" customWidth="1"/>
    <col min="5" max="5" width="3.5703125" style="84" customWidth="1"/>
    <col min="6" max="6" width="16.5703125" style="84" customWidth="1"/>
    <col min="7" max="7" width="3.140625" style="84" customWidth="1"/>
    <col min="8" max="8" width="18.140625" style="84" customWidth="1"/>
    <col min="9" max="9" width="12.7109375" style="84" bestFit="1" customWidth="1"/>
    <col min="10" max="16384" width="11.42578125" style="84"/>
  </cols>
  <sheetData>
    <row r="1" spans="1:5" s="93" customFormat="1" ht="20.25" customHeight="1" x14ac:dyDescent="0.25">
      <c r="A1" s="253" t="s">
        <v>0</v>
      </c>
      <c r="B1" s="254"/>
      <c r="C1" s="254"/>
      <c r="D1" s="254"/>
      <c r="E1" s="255"/>
    </row>
    <row r="2" spans="1:5" s="93" customFormat="1" ht="15.75" customHeight="1" x14ac:dyDescent="0.25">
      <c r="A2" s="196"/>
      <c r="B2" s="256" t="s">
        <v>1</v>
      </c>
      <c r="C2" s="256"/>
      <c r="D2" s="256"/>
      <c r="E2" s="95"/>
    </row>
    <row r="3" spans="1:5" s="93" customFormat="1" ht="15.75" customHeight="1" x14ac:dyDescent="0.25">
      <c r="A3" s="257" t="s">
        <v>27</v>
      </c>
      <c r="B3" s="256"/>
      <c r="C3" s="256"/>
      <c r="D3" s="256"/>
      <c r="E3" s="258"/>
    </row>
    <row r="4" spans="1:5" s="93" customFormat="1" ht="20.25" x14ac:dyDescent="0.3">
      <c r="A4" s="96"/>
      <c r="B4" s="256" t="s">
        <v>2</v>
      </c>
      <c r="C4" s="256"/>
      <c r="D4" s="256"/>
      <c r="E4" s="97"/>
    </row>
    <row r="5" spans="1:5" s="93" customFormat="1" ht="20.25" customHeight="1" x14ac:dyDescent="0.25">
      <c r="A5" s="257" t="s">
        <v>28</v>
      </c>
      <c r="B5" s="256"/>
      <c r="C5" s="256"/>
      <c r="D5" s="256"/>
      <c r="E5" s="258"/>
    </row>
    <row r="6" spans="1:5" s="93" customFormat="1" ht="96" customHeight="1" x14ac:dyDescent="0.25">
      <c r="A6" s="259" t="s">
        <v>29</v>
      </c>
      <c r="B6" s="260"/>
      <c r="C6" s="260"/>
      <c r="D6" s="260"/>
      <c r="E6" s="261"/>
    </row>
    <row r="7" spans="1:5" s="93" customFormat="1" ht="14.25" thickBot="1" x14ac:dyDescent="0.3">
      <c r="A7" s="98"/>
      <c r="B7" s="70"/>
      <c r="C7" s="70"/>
      <c r="D7" s="70"/>
      <c r="E7" s="75"/>
    </row>
    <row r="8" spans="1:5" s="93" customFormat="1" ht="26.25" customHeight="1" thickBot="1" x14ac:dyDescent="0.3">
      <c r="A8" s="98"/>
      <c r="B8" s="72" t="s">
        <v>3</v>
      </c>
      <c r="C8" s="247" t="s">
        <v>122</v>
      </c>
      <c r="D8" s="248"/>
      <c r="E8" s="75"/>
    </row>
    <row r="9" spans="1:5" s="93" customFormat="1" ht="14.25" thickBot="1" x14ac:dyDescent="0.3">
      <c r="A9" s="98"/>
      <c r="B9" s="72" t="s">
        <v>38</v>
      </c>
      <c r="C9" s="247">
        <v>28</v>
      </c>
      <c r="D9" s="248"/>
      <c r="E9" s="75"/>
    </row>
    <row r="10" spans="1:5" s="93" customFormat="1" ht="14.25" thickBot="1" x14ac:dyDescent="0.3">
      <c r="A10" s="98"/>
      <c r="B10" s="79" t="s">
        <v>6</v>
      </c>
      <c r="C10" s="247">
        <v>823003226</v>
      </c>
      <c r="D10" s="248"/>
      <c r="E10" s="75"/>
    </row>
    <row r="11" spans="1:5" s="93" customFormat="1" ht="26.25" customHeight="1" x14ac:dyDescent="0.25">
      <c r="A11" s="98"/>
      <c r="B11" s="130" t="s">
        <v>23</v>
      </c>
      <c r="C11" s="197" t="s">
        <v>24</v>
      </c>
      <c r="D11" s="199" t="s">
        <v>25</v>
      </c>
      <c r="E11" s="75"/>
    </row>
    <row r="12" spans="1:5" s="93" customFormat="1" x14ac:dyDescent="0.25">
      <c r="A12" s="98"/>
      <c r="B12" s="133">
        <v>3</v>
      </c>
      <c r="C12" s="135" t="s">
        <v>81</v>
      </c>
      <c r="D12" s="134">
        <v>5680124320</v>
      </c>
      <c r="E12" s="75"/>
    </row>
    <row r="13" spans="1:5" s="93" customFormat="1" ht="14.25" thickBot="1" x14ac:dyDescent="0.3">
      <c r="A13" s="98"/>
      <c r="B13" s="133"/>
      <c r="C13" s="135"/>
      <c r="D13" s="134"/>
      <c r="E13" s="75"/>
    </row>
    <row r="14" spans="1:5" s="93" customFormat="1" ht="14.25" thickBot="1" x14ac:dyDescent="0.3">
      <c r="A14" s="98"/>
      <c r="B14" s="72" t="s">
        <v>30</v>
      </c>
      <c r="C14" s="249">
        <f>+SUM(D12:D13)</f>
        <v>5680124320</v>
      </c>
      <c r="D14" s="250"/>
      <c r="E14" s="75"/>
    </row>
    <row r="15" spans="1:5" s="93" customFormat="1" ht="14.25" thickBot="1" x14ac:dyDescent="0.3">
      <c r="A15" s="98"/>
      <c r="B15" s="72" t="s">
        <v>5</v>
      </c>
      <c r="C15" s="251">
        <f>+ROUND(C14/616000,0)</f>
        <v>9221</v>
      </c>
      <c r="D15" s="252"/>
      <c r="E15" s="75"/>
    </row>
    <row r="16" spans="1:5" s="93" customFormat="1" x14ac:dyDescent="0.25">
      <c r="A16" s="98"/>
      <c r="B16" s="70"/>
      <c r="C16" s="70"/>
      <c r="D16" s="99"/>
      <c r="E16" s="75"/>
    </row>
    <row r="17" spans="1:6" s="93" customFormat="1" ht="14.25" thickBot="1" x14ac:dyDescent="0.3">
      <c r="A17" s="98"/>
      <c r="B17" s="100" t="s">
        <v>19</v>
      </c>
      <c r="C17" s="76"/>
      <c r="D17" s="99"/>
      <c r="E17" s="75"/>
    </row>
    <row r="18" spans="1:6" s="93" customFormat="1" x14ac:dyDescent="0.25">
      <c r="A18" s="98"/>
      <c r="B18" s="77" t="s">
        <v>13</v>
      </c>
      <c r="C18" s="85">
        <f>+IF($C$15&gt;$B$49,$D$49,IF(AND($C$15&gt;=$B$48,$C$15&lt;=$C$48),$D$48,IF(AND($C$15&gt;=$B$46,$C$15&lt;=$C$47),$D$46,IF(AND($C$15&gt;=$B$44,$C$15&lt;=$C$45),$D$44,IF(AND($C$15&gt;$B$42,$C$15&lt;=$C$43),$D$42)))))</f>
        <v>1.2</v>
      </c>
      <c r="D18" s="99"/>
      <c r="E18" s="75"/>
    </row>
    <row r="19" spans="1:6" s="93" customFormat="1" ht="14.25" thickBot="1" x14ac:dyDescent="0.3">
      <c r="A19" s="98"/>
      <c r="B19" s="78" t="s">
        <v>14</v>
      </c>
      <c r="C19" s="86">
        <f>+IF($C$15&gt;$B$49,$F$49,IF(AND($C$15&gt;=$B$47,$C$15&lt;=$C$48),$F$47,IF(AND($C$15&gt;=$B$45,$C$15&lt;=$C$46),$F$45,IF(AND($C$15&gt;=$B$43,$C$15&lt;=$C$44),$F$43,IF(AND($C$15&gt;$B$42,$C$15&lt;=$C$42),$F$42)))))</f>
        <v>0.65</v>
      </c>
      <c r="D19" s="99"/>
      <c r="E19" s="75"/>
    </row>
    <row r="20" spans="1:6" s="93" customFormat="1" ht="14.25" thickBot="1" x14ac:dyDescent="0.3">
      <c r="A20" s="98"/>
      <c r="B20" s="101"/>
      <c r="C20" s="102"/>
      <c r="D20" s="103"/>
      <c r="E20" s="75"/>
    </row>
    <row r="21" spans="1:6" s="93" customFormat="1" x14ac:dyDescent="0.25">
      <c r="A21" s="98"/>
      <c r="B21" s="80" t="s">
        <v>7</v>
      </c>
      <c r="C21" s="127">
        <v>45000000</v>
      </c>
      <c r="D21" s="104"/>
      <c r="E21" s="75"/>
    </row>
    <row r="22" spans="1:6" s="93" customFormat="1" x14ac:dyDescent="0.25">
      <c r="A22" s="98"/>
      <c r="B22" s="81" t="s">
        <v>8</v>
      </c>
      <c r="C22" s="129">
        <v>50000000</v>
      </c>
      <c r="D22" s="105"/>
      <c r="E22" s="75"/>
    </row>
    <row r="23" spans="1:6" s="93" customFormat="1" ht="15" x14ac:dyDescent="0.25">
      <c r="A23" s="98"/>
      <c r="B23" s="81" t="s">
        <v>9</v>
      </c>
      <c r="C23" s="129">
        <v>2000000</v>
      </c>
      <c r="D23" s="105"/>
      <c r="E23" s="75"/>
      <c r="F23" s="106"/>
    </row>
    <row r="24" spans="1:6" s="93" customFormat="1" ht="15.75" thickBot="1" x14ac:dyDescent="0.3">
      <c r="A24" s="98"/>
      <c r="B24" s="82" t="s">
        <v>10</v>
      </c>
      <c r="C24" s="128">
        <v>2000000</v>
      </c>
      <c r="D24" s="107"/>
      <c r="E24" s="75"/>
      <c r="F24" s="106"/>
    </row>
    <row r="25" spans="1:6" s="93" customFormat="1" ht="14.25" thickBot="1" x14ac:dyDescent="0.3">
      <c r="A25" s="98"/>
      <c r="B25" s="286" t="s">
        <v>11</v>
      </c>
      <c r="C25" s="287"/>
      <c r="D25" s="288"/>
      <c r="E25" s="75"/>
    </row>
    <row r="26" spans="1:6" s="93" customFormat="1" ht="14.25" thickBot="1" x14ac:dyDescent="0.3">
      <c r="A26" s="98"/>
      <c r="B26" s="241" t="s">
        <v>12</v>
      </c>
      <c r="C26" s="242"/>
      <c r="D26" s="243"/>
      <c r="E26" s="75"/>
    </row>
    <row r="27" spans="1:6" s="93" customFormat="1" ht="16.5" x14ac:dyDescent="0.3">
      <c r="A27" s="98"/>
      <c r="B27" s="77" t="s">
        <v>13</v>
      </c>
      <c r="C27" s="126">
        <f>+IFERROR(C21/C23,"INDETERMINADO")</f>
        <v>22.5</v>
      </c>
      <c r="D27" s="118" t="str">
        <f>+IF(C27&gt;=C18,"CUMPLE","NO CUMPLE")</f>
        <v>CUMPLE</v>
      </c>
      <c r="E27" s="75"/>
    </row>
    <row r="28" spans="1:6" s="93" customFormat="1" ht="17.25" thickBot="1" x14ac:dyDescent="0.35">
      <c r="A28" s="98"/>
      <c r="B28" s="78" t="s">
        <v>14</v>
      </c>
      <c r="C28" s="120">
        <f>+C24/C22</f>
        <v>0.04</v>
      </c>
      <c r="D28" s="119" t="str">
        <f>+IF(C28&lt;=C19,"CUMPLE","NO CUMPLE")</f>
        <v>CUMPLE</v>
      </c>
      <c r="E28" s="75"/>
    </row>
    <row r="29" spans="1:6" s="110" customFormat="1" ht="14.25" thickBot="1" x14ac:dyDescent="0.3">
      <c r="A29" s="98"/>
      <c r="B29" s="108"/>
      <c r="C29" s="100"/>
      <c r="D29" s="76"/>
      <c r="E29" s="109"/>
    </row>
    <row r="30" spans="1:6" s="93" customFormat="1" ht="41.25" customHeight="1" thickBot="1" x14ac:dyDescent="0.3">
      <c r="A30" s="98"/>
      <c r="B30" s="72" t="s">
        <v>15</v>
      </c>
      <c r="C30" s="244" t="s">
        <v>43</v>
      </c>
      <c r="D30" s="245"/>
      <c r="E30" s="75"/>
    </row>
    <row r="31" spans="1:6" s="70" customFormat="1" ht="14.25" thickBot="1" x14ac:dyDescent="0.3">
      <c r="A31" s="98"/>
      <c r="B31" s="83"/>
      <c r="C31" s="83"/>
      <c r="D31" s="83"/>
      <c r="E31" s="75"/>
    </row>
    <row r="32" spans="1:6" s="70" customFormat="1" ht="45.75" customHeight="1" thickBot="1" x14ac:dyDescent="0.3">
      <c r="A32" s="98"/>
      <c r="B32" s="72" t="s">
        <v>26</v>
      </c>
      <c r="C32" s="244"/>
      <c r="D32" s="245"/>
      <c r="E32" s="75"/>
    </row>
    <row r="33" spans="1:9" s="70" customFormat="1" ht="14.25" thickBot="1" x14ac:dyDescent="0.3">
      <c r="A33" s="111"/>
      <c r="B33" s="112"/>
      <c r="C33" s="112"/>
      <c r="D33" s="112"/>
      <c r="E33" s="71"/>
    </row>
    <row r="34" spans="1:9" s="70" customFormat="1" x14ac:dyDescent="0.25">
      <c r="B34" s="83"/>
      <c r="C34" s="83"/>
      <c r="D34" s="83"/>
    </row>
    <row r="35" spans="1:9" s="70" customFormat="1" x14ac:dyDescent="0.25">
      <c r="B35" s="83"/>
      <c r="C35" s="83"/>
      <c r="D35" s="83"/>
    </row>
    <row r="36" spans="1:9" s="70" customFormat="1" x14ac:dyDescent="0.25">
      <c r="B36" s="83"/>
      <c r="C36" s="83"/>
      <c r="D36" s="83"/>
    </row>
    <row r="37" spans="1:9" s="70" customFormat="1" x14ac:dyDescent="0.25">
      <c r="B37" s="83"/>
      <c r="C37" s="83"/>
      <c r="D37" s="83"/>
    </row>
    <row r="39" spans="1:9" x14ac:dyDescent="0.25">
      <c r="B39" s="100"/>
      <c r="C39" s="70"/>
    </row>
    <row r="40" spans="1:9" x14ac:dyDescent="0.25">
      <c r="B40" s="88">
        <v>616000</v>
      </c>
      <c r="C40" s="87"/>
      <c r="D40" s="87"/>
      <c r="E40" s="87"/>
      <c r="F40" s="87"/>
      <c r="G40" s="87"/>
      <c r="H40" s="87"/>
      <c r="I40" s="87"/>
    </row>
    <row r="41" spans="1:9" ht="25.5" x14ac:dyDescent="0.25">
      <c r="B41" s="89" t="s">
        <v>21</v>
      </c>
      <c r="C41" s="89" t="s">
        <v>20</v>
      </c>
      <c r="D41" s="200" t="s">
        <v>16</v>
      </c>
      <c r="E41" s="87"/>
      <c r="F41" s="200" t="s">
        <v>17</v>
      </c>
      <c r="G41" s="87"/>
      <c r="H41" s="246"/>
      <c r="I41" s="246"/>
    </row>
    <row r="42" spans="1:9" x14ac:dyDescent="0.25">
      <c r="B42" s="90">
        <v>0</v>
      </c>
      <c r="C42" s="90">
        <v>250</v>
      </c>
      <c r="D42" s="201">
        <v>0.8</v>
      </c>
      <c r="E42" s="87"/>
      <c r="F42" s="202">
        <v>0.8</v>
      </c>
      <c r="G42" s="87"/>
      <c r="H42" s="116"/>
      <c r="I42" s="117">
        <f t="shared" ref="I42:I49" si="0">+C42*$B$40</f>
        <v>154000000</v>
      </c>
    </row>
    <row r="43" spans="1:9" x14ac:dyDescent="0.25">
      <c r="B43" s="90">
        <v>251</v>
      </c>
      <c r="C43" s="90">
        <v>1000</v>
      </c>
      <c r="D43" s="201">
        <v>0.8</v>
      </c>
      <c r="E43" s="87"/>
      <c r="F43" s="202">
        <v>0.75</v>
      </c>
      <c r="G43" s="87"/>
      <c r="H43" s="117">
        <f t="shared" ref="H43:H49" si="1">+B43*$B$40</f>
        <v>154616000</v>
      </c>
      <c r="I43" s="117">
        <f t="shared" si="0"/>
        <v>616000000</v>
      </c>
    </row>
    <row r="44" spans="1:9" x14ac:dyDescent="0.25">
      <c r="B44" s="90">
        <v>1001</v>
      </c>
      <c r="C44" s="90">
        <v>1500</v>
      </c>
      <c r="D44" s="201">
        <v>0.9</v>
      </c>
      <c r="E44" s="87"/>
      <c r="F44" s="202">
        <v>0.75</v>
      </c>
      <c r="G44" s="87"/>
      <c r="H44" s="117">
        <f t="shared" si="1"/>
        <v>616616000</v>
      </c>
      <c r="I44" s="117">
        <f t="shared" si="0"/>
        <v>924000000</v>
      </c>
    </row>
    <row r="45" spans="1:9" x14ac:dyDescent="0.25">
      <c r="B45" s="90">
        <v>1501</v>
      </c>
      <c r="C45" s="90">
        <v>2500</v>
      </c>
      <c r="D45" s="201">
        <v>0.9</v>
      </c>
      <c r="E45" s="87"/>
      <c r="F45" s="202">
        <v>0.7</v>
      </c>
      <c r="G45" s="87"/>
      <c r="H45" s="117">
        <f t="shared" si="1"/>
        <v>924616000</v>
      </c>
      <c r="I45" s="117">
        <f t="shared" si="0"/>
        <v>1540000000</v>
      </c>
    </row>
    <row r="46" spans="1:9" x14ac:dyDescent="0.25">
      <c r="B46" s="90">
        <v>2501</v>
      </c>
      <c r="C46" s="90">
        <v>3000</v>
      </c>
      <c r="D46" s="201">
        <v>1</v>
      </c>
      <c r="E46" s="87"/>
      <c r="F46" s="202">
        <v>0.7</v>
      </c>
      <c r="G46" s="87"/>
      <c r="H46" s="117">
        <f t="shared" si="1"/>
        <v>1540616000</v>
      </c>
      <c r="I46" s="117">
        <f t="shared" si="0"/>
        <v>1848000000</v>
      </c>
    </row>
    <row r="47" spans="1:9" x14ac:dyDescent="0.25">
      <c r="B47" s="90">
        <v>3001</v>
      </c>
      <c r="C47" s="90">
        <v>3500</v>
      </c>
      <c r="D47" s="201">
        <v>1</v>
      </c>
      <c r="E47" s="87"/>
      <c r="F47" s="202">
        <v>0.68</v>
      </c>
      <c r="G47" s="87"/>
      <c r="H47" s="117">
        <f t="shared" si="1"/>
        <v>1848616000</v>
      </c>
      <c r="I47" s="117">
        <f t="shared" si="0"/>
        <v>2156000000</v>
      </c>
    </row>
    <row r="48" spans="1:9" x14ac:dyDescent="0.25">
      <c r="B48" s="90">
        <v>3501</v>
      </c>
      <c r="C48" s="90">
        <v>4500</v>
      </c>
      <c r="D48" s="201">
        <v>1.1000000000000001</v>
      </c>
      <c r="E48" s="87"/>
      <c r="F48" s="202">
        <v>0.68</v>
      </c>
      <c r="G48" s="87"/>
      <c r="H48" s="117">
        <f t="shared" si="1"/>
        <v>2156616000</v>
      </c>
      <c r="I48" s="117">
        <f t="shared" si="0"/>
        <v>2772000000</v>
      </c>
    </row>
    <row r="49" spans="1:9" x14ac:dyDescent="0.25">
      <c r="A49" s="84" t="s">
        <v>22</v>
      </c>
      <c r="B49" s="90">
        <v>4501</v>
      </c>
      <c r="C49" s="90"/>
      <c r="D49" s="201">
        <v>1.2</v>
      </c>
      <c r="E49" s="87"/>
      <c r="F49" s="202">
        <v>0.65</v>
      </c>
      <c r="G49" s="87"/>
      <c r="H49" s="117">
        <f t="shared" si="1"/>
        <v>2772616000</v>
      </c>
      <c r="I49" s="117">
        <f t="shared" si="0"/>
        <v>0</v>
      </c>
    </row>
  </sheetData>
  <mergeCells count="16">
    <mergeCell ref="A6:E6"/>
    <mergeCell ref="A1:E1"/>
    <mergeCell ref="B2:D2"/>
    <mergeCell ref="A3:E3"/>
    <mergeCell ref="B4:D4"/>
    <mergeCell ref="A5:E5"/>
    <mergeCell ref="B26:D26"/>
    <mergeCell ref="C30:D30"/>
    <mergeCell ref="C32:D32"/>
    <mergeCell ref="H41:I41"/>
    <mergeCell ref="C8:D8"/>
    <mergeCell ref="C9:D9"/>
    <mergeCell ref="C10:D10"/>
    <mergeCell ref="C14:D14"/>
    <mergeCell ref="C15:D15"/>
    <mergeCell ref="B25:D25"/>
  </mergeCells>
  <pageMargins left="0.7" right="0.7" top="0.75" bottom="0.75" header="0.3" footer="0.3"/>
  <pageSetup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view="pageBreakPreview" zoomScale="110" zoomScaleNormal="100" zoomScaleSheetLayoutView="110" workbookViewId="0">
      <selection activeCell="B1" sqref="B1:H1"/>
    </sheetView>
  </sheetViews>
  <sheetFormatPr baseColWidth="10" defaultRowHeight="15" x14ac:dyDescent="0.25"/>
  <cols>
    <col min="1" max="1" width="2.28515625" style="143" customWidth="1"/>
    <col min="2" max="2" width="31.140625" bestFit="1" customWidth="1"/>
    <col min="3" max="3" width="24.5703125" customWidth="1"/>
    <col min="4" max="4" width="4.42578125" customWidth="1"/>
    <col min="5" max="5" width="18.85546875" customWidth="1"/>
    <col min="6" max="6" width="4" style="46" customWidth="1"/>
    <col min="7" max="7" width="19" customWidth="1"/>
    <col min="8" max="8" width="14" style="46" customWidth="1"/>
    <col min="9" max="9" width="4.140625" style="143" customWidth="1"/>
    <col min="10" max="10" width="12.5703125" bestFit="1" customWidth="1"/>
  </cols>
  <sheetData>
    <row r="1" spans="1:9" s="1" customFormat="1" ht="15.75" x14ac:dyDescent="0.25">
      <c r="A1" s="151"/>
      <c r="B1" s="272" t="s">
        <v>0</v>
      </c>
      <c r="C1" s="272"/>
      <c r="D1" s="272"/>
      <c r="E1" s="272"/>
      <c r="F1" s="272"/>
      <c r="G1" s="272"/>
      <c r="H1" s="272"/>
      <c r="I1" s="30"/>
    </row>
    <row r="2" spans="1:9" s="1" customFormat="1" ht="15.75" x14ac:dyDescent="0.25">
      <c r="A2" s="2"/>
      <c r="B2" s="263" t="s">
        <v>1</v>
      </c>
      <c r="C2" s="263"/>
      <c r="D2" s="263"/>
      <c r="E2" s="263"/>
      <c r="F2" s="263"/>
      <c r="G2" s="263"/>
      <c r="H2" s="263"/>
      <c r="I2" s="5"/>
    </row>
    <row r="3" spans="1:9" s="1" customFormat="1" ht="15.75" x14ac:dyDescent="0.25">
      <c r="A3" s="98"/>
      <c r="B3" s="263" t="s">
        <v>2</v>
      </c>
      <c r="C3" s="263"/>
      <c r="D3" s="263"/>
      <c r="E3" s="263"/>
      <c r="F3" s="263"/>
      <c r="G3" s="263"/>
      <c r="H3" s="263"/>
      <c r="I3" s="5"/>
    </row>
    <row r="4" spans="1:9" s="1" customFormat="1" ht="15.75" x14ac:dyDescent="0.25">
      <c r="A4" s="152"/>
      <c r="B4" s="263" t="s">
        <v>28</v>
      </c>
      <c r="C4" s="263"/>
      <c r="D4" s="263"/>
      <c r="E4" s="263"/>
      <c r="F4" s="263"/>
      <c r="G4" s="263"/>
      <c r="H4" s="263"/>
      <c r="I4" s="5"/>
    </row>
    <row r="5" spans="1:9" s="1" customFormat="1" ht="94.5" customHeight="1" thickBot="1" x14ac:dyDescent="0.3">
      <c r="A5" s="3"/>
      <c r="B5" s="264" t="s">
        <v>29</v>
      </c>
      <c r="C5" s="264"/>
      <c r="D5" s="264"/>
      <c r="E5" s="264"/>
      <c r="F5" s="264"/>
      <c r="G5" s="264"/>
      <c r="H5" s="264"/>
      <c r="I5" s="5"/>
    </row>
    <row r="6" spans="1:9" s="1" customFormat="1" ht="14.25" thickBot="1" x14ac:dyDescent="0.3">
      <c r="A6" s="3"/>
      <c r="B6" s="6" t="s">
        <v>3</v>
      </c>
      <c r="C6" s="273" t="s">
        <v>175</v>
      </c>
      <c r="D6" s="273"/>
      <c r="E6" s="273"/>
      <c r="F6" s="273"/>
      <c r="G6" s="273"/>
      <c r="H6" s="274"/>
      <c r="I6" s="5"/>
    </row>
    <row r="7" spans="1:9" s="1" customFormat="1" ht="14.25" thickBot="1" x14ac:dyDescent="0.3">
      <c r="A7" s="3"/>
      <c r="B7" s="26" t="s">
        <v>37</v>
      </c>
      <c r="C7" s="273">
        <v>29</v>
      </c>
      <c r="D7" s="273"/>
      <c r="E7" s="273"/>
      <c r="F7" s="273"/>
      <c r="G7" s="273"/>
      <c r="H7" s="274"/>
      <c r="I7" s="5"/>
    </row>
    <row r="8" spans="1:9" s="1" customFormat="1" ht="13.5" x14ac:dyDescent="0.25">
      <c r="A8" s="3"/>
      <c r="B8" s="130" t="s">
        <v>23</v>
      </c>
      <c r="C8" s="278" t="s">
        <v>24</v>
      </c>
      <c r="D8" s="278"/>
      <c r="E8" s="278"/>
      <c r="F8" s="140"/>
      <c r="G8" s="278" t="s">
        <v>25</v>
      </c>
      <c r="H8" s="279"/>
      <c r="I8" s="5"/>
    </row>
    <row r="9" spans="1:9" s="1" customFormat="1" ht="13.5" x14ac:dyDescent="0.25">
      <c r="A9" s="3"/>
      <c r="B9" s="133"/>
      <c r="C9" s="135"/>
      <c r="D9" s="135"/>
      <c r="E9" s="135"/>
      <c r="F9" s="203"/>
      <c r="G9" s="135"/>
      <c r="H9" s="99"/>
      <c r="I9" s="5"/>
    </row>
    <row r="10" spans="1:9" s="20" customFormat="1" ht="13.5" x14ac:dyDescent="0.25">
      <c r="A10" s="3"/>
      <c r="B10" s="133">
        <v>9</v>
      </c>
      <c r="C10" s="271" t="s">
        <v>107</v>
      </c>
      <c r="D10" s="271"/>
      <c r="E10" s="271"/>
      <c r="F10" s="198"/>
      <c r="G10" s="280">
        <v>8528539604</v>
      </c>
      <c r="H10" s="281"/>
      <c r="I10" s="5"/>
    </row>
    <row r="11" spans="1:9" s="20" customFormat="1" ht="14.25" thickBot="1" x14ac:dyDescent="0.3">
      <c r="A11" s="3"/>
      <c r="B11" s="160"/>
      <c r="C11" s="271"/>
      <c r="D11" s="271"/>
      <c r="E11" s="271"/>
      <c r="F11" s="198"/>
      <c r="G11" s="280"/>
      <c r="H11" s="281"/>
      <c r="I11" s="5"/>
    </row>
    <row r="12" spans="1:9" s="1" customFormat="1" ht="14.25" thickBot="1" x14ac:dyDescent="0.3">
      <c r="A12" s="3"/>
      <c r="B12" s="6" t="s">
        <v>4</v>
      </c>
      <c r="C12" s="54"/>
      <c r="D12" s="161"/>
      <c r="E12" s="161"/>
      <c r="F12" s="161"/>
      <c r="G12" s="282">
        <f>+SUM(G10:H11)</f>
        <v>8528539604</v>
      </c>
      <c r="H12" s="283"/>
      <c r="I12" s="5"/>
    </row>
    <row r="13" spans="1:9" s="1" customFormat="1" ht="14.25" thickBot="1" x14ac:dyDescent="0.3">
      <c r="A13" s="3"/>
      <c r="B13" s="31" t="s">
        <v>5</v>
      </c>
      <c r="D13" s="162"/>
      <c r="E13" s="162"/>
      <c r="F13" s="162"/>
      <c r="G13" s="284">
        <f>ROUND(G12/616000,0)</f>
        <v>13845</v>
      </c>
      <c r="H13" s="285"/>
      <c r="I13" s="5"/>
    </row>
    <row r="14" spans="1:9" s="1" customFormat="1" ht="13.5" x14ac:dyDescent="0.25">
      <c r="A14" s="3"/>
      <c r="B14" s="136"/>
      <c r="C14" s="64"/>
      <c r="D14" s="65"/>
      <c r="E14" s="69"/>
      <c r="F14" s="29"/>
      <c r="G14" s="69"/>
      <c r="H14" s="29"/>
      <c r="I14" s="5"/>
    </row>
    <row r="15" spans="1:9" s="4" customFormat="1" ht="13.5" x14ac:dyDescent="0.25">
      <c r="A15" s="3"/>
      <c r="B15" s="18"/>
      <c r="C15" s="19"/>
      <c r="D15" s="56"/>
      <c r="I15" s="5"/>
    </row>
    <row r="16" spans="1:9" s="4" customFormat="1" ht="14.25" thickBot="1" x14ac:dyDescent="0.3">
      <c r="A16" s="3"/>
      <c r="B16" s="18" t="s">
        <v>19</v>
      </c>
      <c r="C16" s="19"/>
      <c r="D16" s="56"/>
      <c r="I16" s="5"/>
    </row>
    <row r="17" spans="1:9" s="4" customFormat="1" ht="13.5" x14ac:dyDescent="0.25">
      <c r="A17" s="3"/>
      <c r="B17" s="16" t="s">
        <v>13</v>
      </c>
      <c r="C17" s="67">
        <f>+IF($G$13&gt;$B$51,$D$51,IF(AND($G$13&gt;=$B$50,$G$13&lt;=$C$50),$D$50,IF(AND($G$13&gt;=$B$48,$G$13&lt;=$C$49),$D$48,IF(AND($G$13&gt;=$B$46,$G$13&lt;=$C$47),$D$46,IF(AND($G$13&gt;$B$44,$G$13&lt;=$C$45),$D$44)))))</f>
        <v>1.2</v>
      </c>
      <c r="D17" s="56"/>
      <c r="I17" s="5"/>
    </row>
    <row r="18" spans="1:9" s="4" customFormat="1" ht="14.25" thickBot="1" x14ac:dyDescent="0.3">
      <c r="A18" s="3"/>
      <c r="B18" s="17" t="s">
        <v>14</v>
      </c>
      <c r="C18" s="68">
        <f>+IF($G$13&gt;$B$51,$F$51,IF(AND($G$13&gt;=$B$49,$G$13&lt;=$C$50),$F$49,IF(AND($G$13&gt;=$B$47,$G$13&lt;=$C$48),$F$47,IF(AND($G$13&gt;=$B$45,$G$13&lt;=$C$46),$F$45,IF(AND($G$13&gt;$B$44,$G$13&lt;=$C$44),$F$44)))))</f>
        <v>0.65</v>
      </c>
      <c r="D18" s="56"/>
      <c r="I18" s="5"/>
    </row>
    <row r="19" spans="1:9" s="4" customFormat="1" ht="14.25" thickBot="1" x14ac:dyDescent="0.3">
      <c r="A19" s="3"/>
      <c r="B19" s="137"/>
      <c r="C19" s="32"/>
      <c r="D19" s="33"/>
      <c r="E19" s="25"/>
      <c r="F19" s="25"/>
      <c r="G19" s="25"/>
      <c r="H19" s="25"/>
      <c r="I19" s="5"/>
    </row>
    <row r="20" spans="1:9" s="22" customFormat="1" ht="41.25" thickBot="1" x14ac:dyDescent="0.3">
      <c r="A20" s="3"/>
      <c r="B20" s="6" t="s">
        <v>18</v>
      </c>
      <c r="C20" s="232" t="s">
        <v>176</v>
      </c>
      <c r="D20" s="7"/>
      <c r="E20" s="159" t="s">
        <v>106</v>
      </c>
      <c r="F20" s="60"/>
      <c r="G20" s="159" t="s">
        <v>82</v>
      </c>
      <c r="H20" s="35"/>
      <c r="I20" s="5"/>
    </row>
    <row r="21" spans="1:9" s="22" customFormat="1" ht="14.25" thickBot="1" x14ac:dyDescent="0.3">
      <c r="A21" s="3"/>
      <c r="B21" s="6" t="s">
        <v>31</v>
      </c>
      <c r="C21" s="59">
        <v>839000692</v>
      </c>
      <c r="D21" s="7"/>
      <c r="E21" s="59">
        <v>839000869</v>
      </c>
      <c r="F21" s="158"/>
      <c r="G21" s="157"/>
      <c r="H21" s="35"/>
      <c r="I21" s="5"/>
    </row>
    <row r="22" spans="1:9" s="22" customFormat="1" ht="14.25" thickBot="1" x14ac:dyDescent="0.3">
      <c r="A22" s="3"/>
      <c r="B22" s="138"/>
      <c r="C22" s="9"/>
      <c r="D22" s="9"/>
      <c r="E22" s="4"/>
      <c r="F22" s="4"/>
      <c r="G22" s="4"/>
      <c r="H22" s="4"/>
      <c r="I22" s="5"/>
    </row>
    <row r="23" spans="1:9" s="1" customFormat="1" ht="13.5" x14ac:dyDescent="0.25">
      <c r="A23" s="3"/>
      <c r="B23" s="10" t="s">
        <v>7</v>
      </c>
      <c r="C23" s="11">
        <v>90001234</v>
      </c>
      <c r="D23" s="37"/>
      <c r="E23" s="11">
        <v>11850000</v>
      </c>
      <c r="F23" s="91"/>
      <c r="G23" s="11">
        <f>+C23+E23</f>
        <v>101851234</v>
      </c>
      <c r="H23" s="30"/>
      <c r="I23" s="5"/>
    </row>
    <row r="24" spans="1:9" s="1" customFormat="1" ht="13.5" x14ac:dyDescent="0.25">
      <c r="A24" s="3"/>
      <c r="B24" s="12" t="s">
        <v>8</v>
      </c>
      <c r="C24" s="13">
        <v>114321234</v>
      </c>
      <c r="D24" s="38"/>
      <c r="E24" s="13">
        <v>30000000</v>
      </c>
      <c r="F24" s="19"/>
      <c r="G24" s="13">
        <f t="shared" ref="G24:G26" si="0">+C24+E24</f>
        <v>144321234</v>
      </c>
      <c r="H24" s="5"/>
      <c r="I24" s="5"/>
    </row>
    <row r="25" spans="1:9" s="1" customFormat="1" ht="13.5" x14ac:dyDescent="0.25">
      <c r="A25" s="3"/>
      <c r="B25" s="12" t="s">
        <v>9</v>
      </c>
      <c r="C25" s="13">
        <v>320000</v>
      </c>
      <c r="D25" s="38"/>
      <c r="E25" s="13">
        <v>3500000</v>
      </c>
      <c r="F25" s="19"/>
      <c r="G25" s="13">
        <f t="shared" si="0"/>
        <v>3820000</v>
      </c>
      <c r="H25" s="5"/>
      <c r="I25" s="5"/>
    </row>
    <row r="26" spans="1:9" s="1" customFormat="1" ht="14.25" thickBot="1" x14ac:dyDescent="0.3">
      <c r="A26" s="3"/>
      <c r="B26" s="14" t="s">
        <v>10</v>
      </c>
      <c r="C26" s="15">
        <v>320000</v>
      </c>
      <c r="D26" s="50"/>
      <c r="E26" s="15">
        <v>3500000</v>
      </c>
      <c r="F26" s="92"/>
      <c r="G26" s="15">
        <f t="shared" si="0"/>
        <v>3820000</v>
      </c>
      <c r="H26" s="21"/>
      <c r="I26" s="5"/>
    </row>
    <row r="27" spans="1:9" s="1" customFormat="1" ht="14.25" thickBot="1" x14ac:dyDescent="0.3">
      <c r="A27" s="3"/>
      <c r="B27" s="293" t="s">
        <v>11</v>
      </c>
      <c r="C27" s="294"/>
      <c r="D27" s="294"/>
      <c r="E27" s="294"/>
      <c r="F27" s="294"/>
      <c r="G27" s="294"/>
      <c r="H27" s="295"/>
      <c r="I27" s="5"/>
    </row>
    <row r="28" spans="1:9" s="1" customFormat="1" ht="14.25" thickBot="1" x14ac:dyDescent="0.3">
      <c r="A28" s="3"/>
      <c r="B28" s="275" t="s">
        <v>12</v>
      </c>
      <c r="C28" s="276"/>
      <c r="D28" s="276"/>
      <c r="E28" s="276"/>
      <c r="F28" s="276"/>
      <c r="G28" s="276"/>
      <c r="H28" s="277"/>
      <c r="I28" s="5"/>
    </row>
    <row r="29" spans="1:9" s="1" customFormat="1" ht="13.5" x14ac:dyDescent="0.25">
      <c r="A29" s="3"/>
      <c r="B29" s="16" t="s">
        <v>13</v>
      </c>
      <c r="C29" s="124">
        <f>+IFERROR(C23/C25,"INDETERMINADO")</f>
        <v>281.25385625000001</v>
      </c>
      <c r="D29" s="125"/>
      <c r="E29" s="124">
        <f>+IFERROR(E23/E25,"INDETERMINADO")</f>
        <v>3.3857142857142857</v>
      </c>
      <c r="F29" s="58"/>
      <c r="G29" s="124">
        <f>+IFERROR(G23/G25,"INDETERMINADO")</f>
        <v>26.66262670157068</v>
      </c>
      <c r="H29" s="40" t="str">
        <f>+IF(G29&gt;=C16,"CUMPLE","NO CUMPLE")</f>
        <v>CUMPLE</v>
      </c>
      <c r="I29" s="5"/>
    </row>
    <row r="30" spans="1:9" s="1" customFormat="1" ht="14.25" thickBot="1" x14ac:dyDescent="0.3">
      <c r="A30" s="3"/>
      <c r="B30" s="17" t="s">
        <v>14</v>
      </c>
      <c r="C30" s="41">
        <f>+C26/C24</f>
        <v>2.7991300373822066E-3</v>
      </c>
      <c r="D30" s="42"/>
      <c r="E30" s="41">
        <f>+E26/E24</f>
        <v>0.11666666666666667</v>
      </c>
      <c r="F30" s="43"/>
      <c r="G30" s="41">
        <f>+G26/G24</f>
        <v>2.646873155200433E-2</v>
      </c>
      <c r="H30" s="44" t="str">
        <f>+IF(G30&lt;=C17,"CUMPLE","NO CUMPLE")</f>
        <v>CUMPLE</v>
      </c>
      <c r="I30" s="5"/>
    </row>
    <row r="31" spans="1:9" s="20" customFormat="1" ht="14.25" thickBot="1" x14ac:dyDescent="0.3">
      <c r="A31" s="3"/>
      <c r="B31" s="139"/>
      <c r="C31" s="18"/>
      <c r="D31" s="19"/>
      <c r="F31" s="4"/>
      <c r="H31" s="4"/>
      <c r="I31" s="5"/>
    </row>
    <row r="32" spans="1:9" s="1" customFormat="1" ht="20.25" customHeight="1" thickBot="1" x14ac:dyDescent="0.3">
      <c r="A32" s="3"/>
      <c r="B32" s="6" t="s">
        <v>15</v>
      </c>
      <c r="C32" s="267" t="s">
        <v>36</v>
      </c>
      <c r="D32" s="267"/>
      <c r="E32" s="267"/>
      <c r="F32" s="267"/>
      <c r="G32" s="267"/>
      <c r="H32" s="268"/>
      <c r="I32" s="5"/>
    </row>
    <row r="33" spans="1:10" s="4" customFormat="1" ht="14.25" thickBot="1" x14ac:dyDescent="0.3">
      <c r="A33" s="3"/>
      <c r="B33" s="45"/>
      <c r="C33" s="45"/>
      <c r="D33" s="45"/>
      <c r="I33" s="5"/>
    </row>
    <row r="34" spans="1:10" s="46" customFormat="1" ht="36.75" customHeight="1" thickBot="1" x14ac:dyDescent="0.3">
      <c r="A34" s="153"/>
      <c r="B34" s="79" t="s">
        <v>26</v>
      </c>
      <c r="C34" s="269"/>
      <c r="D34" s="269"/>
      <c r="E34" s="269"/>
      <c r="F34" s="269"/>
      <c r="G34" s="269"/>
      <c r="H34" s="270"/>
      <c r="I34" s="5"/>
    </row>
    <row r="35" spans="1:10" s="46" customFormat="1" ht="15.75" thickBot="1" x14ac:dyDescent="0.3">
      <c r="A35" s="154"/>
      <c r="B35" s="155"/>
      <c r="C35" s="155"/>
      <c r="D35" s="25"/>
      <c r="E35" s="25"/>
      <c r="F35" s="25"/>
      <c r="G35" s="25"/>
      <c r="H35" s="156"/>
      <c r="I35" s="21"/>
    </row>
    <row r="36" spans="1:10" x14ac:dyDescent="0.25">
      <c r="D36" s="22"/>
      <c r="E36" s="22"/>
      <c r="F36" s="22"/>
      <c r="G36" s="22"/>
      <c r="H36" s="23"/>
      <c r="I36" s="4"/>
    </row>
    <row r="37" spans="1:10" x14ac:dyDescent="0.25">
      <c r="D37" s="22"/>
      <c r="E37" s="22"/>
      <c r="F37" s="22"/>
      <c r="G37" s="22"/>
      <c r="H37" s="23"/>
      <c r="I37" s="4"/>
    </row>
    <row r="38" spans="1:10" x14ac:dyDescent="0.25">
      <c r="D38" s="22"/>
      <c r="E38" s="22"/>
      <c r="F38" s="22"/>
      <c r="G38" s="22"/>
      <c r="H38" s="23"/>
      <c r="I38" s="4"/>
    </row>
    <row r="39" spans="1:10" x14ac:dyDescent="0.25">
      <c r="D39" s="22"/>
      <c r="E39" s="22"/>
      <c r="F39" s="22"/>
      <c r="G39" s="22"/>
      <c r="H39" s="23"/>
      <c r="I39" s="4"/>
    </row>
    <row r="40" spans="1:10" x14ac:dyDescent="0.25">
      <c r="D40" s="22"/>
      <c r="E40" s="22"/>
      <c r="F40" s="22"/>
      <c r="G40" s="22"/>
      <c r="H40" s="23"/>
      <c r="I40" s="4"/>
    </row>
    <row r="41" spans="1:10" x14ac:dyDescent="0.25">
      <c r="D41" s="22"/>
      <c r="E41" s="22"/>
      <c r="F41" s="22"/>
      <c r="G41" s="22"/>
      <c r="H41" s="22"/>
      <c r="I41" s="4"/>
    </row>
    <row r="42" spans="1:10" x14ac:dyDescent="0.25">
      <c r="B42" s="24">
        <v>616000</v>
      </c>
      <c r="D42" s="22"/>
      <c r="E42" s="22"/>
      <c r="F42" s="22"/>
      <c r="G42" s="22"/>
      <c r="H42" s="22"/>
      <c r="I42" s="4"/>
    </row>
    <row r="43" spans="1:10" x14ac:dyDescent="0.25">
      <c r="B43" s="141" t="s">
        <v>21</v>
      </c>
      <c r="C43" s="66" t="s">
        <v>20</v>
      </c>
      <c r="D43" s="265" t="s">
        <v>16</v>
      </c>
      <c r="E43" s="265"/>
      <c r="F43" s="265" t="s">
        <v>17</v>
      </c>
      <c r="G43" s="265"/>
    </row>
    <row r="44" spans="1:10" x14ac:dyDescent="0.25">
      <c r="B44" s="142">
        <v>0</v>
      </c>
      <c r="C44" s="55">
        <v>250</v>
      </c>
      <c r="D44" s="266">
        <v>0.8</v>
      </c>
      <c r="E44" s="266"/>
      <c r="F44" s="262">
        <v>0.8</v>
      </c>
      <c r="G44" s="262"/>
      <c r="H44" s="145"/>
      <c r="J44" s="147">
        <f t="shared" ref="J44:J51" si="1">+C44*$B$42</f>
        <v>154000000</v>
      </c>
    </row>
    <row r="45" spans="1:10" x14ac:dyDescent="0.25">
      <c r="B45" s="142">
        <v>251</v>
      </c>
      <c r="C45" s="55">
        <v>1000</v>
      </c>
      <c r="D45" s="266">
        <v>0.8</v>
      </c>
      <c r="E45" s="266"/>
      <c r="F45" s="262">
        <v>0.75</v>
      </c>
      <c r="G45" s="262"/>
      <c r="H45" s="146">
        <f t="shared" ref="H45:H51" si="2">+B45*$B$42</f>
        <v>154616000</v>
      </c>
      <c r="J45" s="147">
        <f t="shared" si="1"/>
        <v>616000000</v>
      </c>
    </row>
    <row r="46" spans="1:10" x14ac:dyDescent="0.25">
      <c r="B46" s="142">
        <v>1001</v>
      </c>
      <c r="C46" s="55">
        <v>1500</v>
      </c>
      <c r="D46" s="266">
        <v>0.9</v>
      </c>
      <c r="E46" s="266"/>
      <c r="F46" s="262">
        <v>0.75</v>
      </c>
      <c r="G46" s="262"/>
      <c r="H46" s="146">
        <f t="shared" si="2"/>
        <v>616616000</v>
      </c>
      <c r="J46" s="147">
        <f t="shared" si="1"/>
        <v>924000000</v>
      </c>
    </row>
    <row r="47" spans="1:10" x14ac:dyDescent="0.25">
      <c r="B47" s="142">
        <v>1501</v>
      </c>
      <c r="C47" s="55">
        <v>2500</v>
      </c>
      <c r="D47" s="266">
        <v>0.9</v>
      </c>
      <c r="E47" s="266"/>
      <c r="F47" s="262">
        <v>0.7</v>
      </c>
      <c r="G47" s="262"/>
      <c r="H47" s="146">
        <f t="shared" si="2"/>
        <v>924616000</v>
      </c>
      <c r="J47" s="147">
        <f t="shared" si="1"/>
        <v>1540000000</v>
      </c>
    </row>
    <row r="48" spans="1:10" x14ac:dyDescent="0.25">
      <c r="A48"/>
      <c r="B48" s="142">
        <v>2501</v>
      </c>
      <c r="C48" s="55">
        <v>3000</v>
      </c>
      <c r="D48" s="266">
        <v>1</v>
      </c>
      <c r="E48" s="266"/>
      <c r="F48" s="262">
        <v>0.7</v>
      </c>
      <c r="G48" s="262"/>
      <c r="H48" s="146">
        <f t="shared" si="2"/>
        <v>1540616000</v>
      </c>
      <c r="J48" s="147">
        <f t="shared" si="1"/>
        <v>1848000000</v>
      </c>
    </row>
    <row r="49" spans="1:10" x14ac:dyDescent="0.25">
      <c r="A49"/>
      <c r="B49" s="142">
        <v>3001</v>
      </c>
      <c r="C49" s="55">
        <v>3500</v>
      </c>
      <c r="D49" s="266">
        <v>1</v>
      </c>
      <c r="E49" s="266"/>
      <c r="F49" s="262">
        <v>0.68</v>
      </c>
      <c r="G49" s="262"/>
      <c r="H49" s="146">
        <f t="shared" si="2"/>
        <v>1848616000</v>
      </c>
      <c r="J49" s="147">
        <f t="shared" si="1"/>
        <v>2156000000</v>
      </c>
    </row>
    <row r="50" spans="1:10" x14ac:dyDescent="0.25">
      <c r="A50"/>
      <c r="B50" s="142">
        <v>3501</v>
      </c>
      <c r="C50" s="55">
        <v>4500</v>
      </c>
      <c r="D50" s="266">
        <v>1.1000000000000001</v>
      </c>
      <c r="E50" s="266"/>
      <c r="F50" s="262">
        <v>0.68</v>
      </c>
      <c r="G50" s="262"/>
      <c r="H50" s="146">
        <f t="shared" si="2"/>
        <v>2156616000</v>
      </c>
      <c r="J50" s="147">
        <f t="shared" si="1"/>
        <v>2772000000</v>
      </c>
    </row>
    <row r="51" spans="1:10" x14ac:dyDescent="0.25">
      <c r="A51"/>
      <c r="B51" s="142">
        <v>4501</v>
      </c>
      <c r="C51" s="55"/>
      <c r="D51" s="266">
        <v>1.2</v>
      </c>
      <c r="E51" s="266"/>
      <c r="F51" s="262">
        <v>0.65</v>
      </c>
      <c r="G51" s="262"/>
      <c r="H51" s="146">
        <f t="shared" si="2"/>
        <v>2772616000</v>
      </c>
      <c r="J51" s="147">
        <f t="shared" si="1"/>
        <v>0</v>
      </c>
    </row>
  </sheetData>
  <mergeCells count="37">
    <mergeCell ref="C6:H6"/>
    <mergeCell ref="B1:H1"/>
    <mergeCell ref="B2:H2"/>
    <mergeCell ref="B3:H3"/>
    <mergeCell ref="B4:H4"/>
    <mergeCell ref="B5:H5"/>
    <mergeCell ref="C34:H34"/>
    <mergeCell ref="C7:H7"/>
    <mergeCell ref="C8:E8"/>
    <mergeCell ref="G8:H8"/>
    <mergeCell ref="C10:E10"/>
    <mergeCell ref="G10:H10"/>
    <mergeCell ref="C11:E11"/>
    <mergeCell ref="G11:H11"/>
    <mergeCell ref="G12:H12"/>
    <mergeCell ref="G13:H13"/>
    <mergeCell ref="B27:H27"/>
    <mergeCell ref="B28:H28"/>
    <mergeCell ref="C32:H32"/>
    <mergeCell ref="D43:E43"/>
    <mergeCell ref="F43:G43"/>
    <mergeCell ref="D44:E44"/>
    <mergeCell ref="F44:G44"/>
    <mergeCell ref="D45:E45"/>
    <mergeCell ref="F45:G45"/>
    <mergeCell ref="D46:E46"/>
    <mergeCell ref="F46:G46"/>
    <mergeCell ref="D47:E47"/>
    <mergeCell ref="F47:G47"/>
    <mergeCell ref="D48:E48"/>
    <mergeCell ref="F48:G48"/>
    <mergeCell ref="D49:E49"/>
    <mergeCell ref="F49:G49"/>
    <mergeCell ref="D50:E50"/>
    <mergeCell ref="F50:G50"/>
    <mergeCell ref="D51:E51"/>
    <mergeCell ref="F51:G51"/>
  </mergeCells>
  <pageMargins left="0.7" right="0.7" top="0.75" bottom="0.75" header="0.3" footer="0.3"/>
  <pageSetup scale="73"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1"/>
  <sheetViews>
    <sheetView view="pageBreakPreview" topLeftCell="A7" zoomScale="110" zoomScaleNormal="100" zoomScaleSheetLayoutView="110" workbookViewId="0">
      <selection activeCell="I10" sqref="I10:J10"/>
    </sheetView>
  </sheetViews>
  <sheetFormatPr baseColWidth="10" defaultRowHeight="15" x14ac:dyDescent="0.25"/>
  <cols>
    <col min="1" max="1" width="2.28515625" style="143" customWidth="1"/>
    <col min="2" max="2" width="31.140625" bestFit="1" customWidth="1"/>
    <col min="3" max="3" width="24.5703125" customWidth="1"/>
    <col min="4" max="4" width="4.42578125" customWidth="1"/>
    <col min="5" max="5" width="18.85546875" customWidth="1"/>
    <col min="6" max="6" width="4" style="46" customWidth="1"/>
    <col min="7" max="7" width="19" customWidth="1"/>
    <col min="8" max="8" width="4.28515625" style="46" customWidth="1"/>
    <col min="9" max="9" width="17.28515625" style="143" customWidth="1"/>
    <col min="10" max="10" width="12.5703125" style="46" bestFit="1" customWidth="1"/>
    <col min="11" max="11" width="5.140625" style="46" customWidth="1"/>
  </cols>
  <sheetData>
    <row r="1" spans="1:12" s="1" customFormat="1" ht="15.75" customHeight="1" x14ac:dyDescent="0.25">
      <c r="A1" s="151"/>
      <c r="B1" s="272" t="s">
        <v>0</v>
      </c>
      <c r="C1" s="272"/>
      <c r="D1" s="272"/>
      <c r="E1" s="272"/>
      <c r="F1" s="272"/>
      <c r="G1" s="272"/>
      <c r="H1" s="272"/>
      <c r="I1" s="272"/>
      <c r="J1" s="272"/>
      <c r="K1" s="30"/>
    </row>
    <row r="2" spans="1:12" s="1" customFormat="1" ht="15.75" customHeight="1" x14ac:dyDescent="0.25">
      <c r="A2" s="2"/>
      <c r="B2" s="263" t="s">
        <v>1</v>
      </c>
      <c r="C2" s="263"/>
      <c r="D2" s="263"/>
      <c r="E2" s="263"/>
      <c r="F2" s="263"/>
      <c r="G2" s="263"/>
      <c r="H2" s="263"/>
      <c r="I2" s="263"/>
      <c r="J2" s="263"/>
      <c r="K2" s="5"/>
    </row>
    <row r="3" spans="1:12" s="1" customFormat="1" ht="20.25" customHeight="1" x14ac:dyDescent="0.25">
      <c r="A3" s="98"/>
      <c r="B3" s="263" t="s">
        <v>2</v>
      </c>
      <c r="C3" s="263"/>
      <c r="D3" s="263"/>
      <c r="E3" s="263"/>
      <c r="F3" s="263"/>
      <c r="G3" s="263"/>
      <c r="H3" s="263"/>
      <c r="I3" s="263"/>
      <c r="J3" s="263"/>
      <c r="K3" s="5"/>
    </row>
    <row r="4" spans="1:12" s="1" customFormat="1" ht="15.75" customHeight="1" x14ac:dyDescent="0.25">
      <c r="A4" s="152"/>
      <c r="B4" s="263" t="s">
        <v>28</v>
      </c>
      <c r="C4" s="263"/>
      <c r="D4" s="263"/>
      <c r="E4" s="263"/>
      <c r="F4" s="263"/>
      <c r="G4" s="263"/>
      <c r="H4" s="263"/>
      <c r="I4" s="263"/>
      <c r="J4" s="263"/>
      <c r="K4" s="5"/>
    </row>
    <row r="5" spans="1:12" s="1" customFormat="1" ht="78" customHeight="1" thickBot="1" x14ac:dyDescent="0.3">
      <c r="A5" s="3"/>
      <c r="B5" s="264" t="s">
        <v>29</v>
      </c>
      <c r="C5" s="264"/>
      <c r="D5" s="264"/>
      <c r="E5" s="264"/>
      <c r="F5" s="264"/>
      <c r="G5" s="264"/>
      <c r="H5" s="264"/>
      <c r="I5" s="264"/>
      <c r="J5" s="264"/>
      <c r="K5" s="5"/>
    </row>
    <row r="6" spans="1:12" s="1" customFormat="1" ht="15.75" customHeight="1" thickBot="1" x14ac:dyDescent="0.3">
      <c r="A6" s="3"/>
      <c r="B6" s="6" t="s">
        <v>3</v>
      </c>
      <c r="C6" s="273" t="s">
        <v>64</v>
      </c>
      <c r="D6" s="273"/>
      <c r="E6" s="273"/>
      <c r="F6" s="273"/>
      <c r="G6" s="273"/>
      <c r="H6" s="273"/>
      <c r="I6" s="273"/>
      <c r="J6" s="274"/>
      <c r="K6" s="5"/>
    </row>
    <row r="7" spans="1:12" s="1" customFormat="1" ht="15.75" customHeight="1" thickBot="1" x14ac:dyDescent="0.3">
      <c r="A7" s="3"/>
      <c r="B7" s="6" t="s">
        <v>38</v>
      </c>
      <c r="C7" s="273">
        <v>30</v>
      </c>
      <c r="D7" s="273"/>
      <c r="E7" s="273"/>
      <c r="F7" s="273"/>
      <c r="G7" s="273"/>
      <c r="H7" s="273"/>
      <c r="I7" s="273"/>
      <c r="J7" s="274"/>
      <c r="K7" s="5"/>
    </row>
    <row r="8" spans="1:12" s="1" customFormat="1" ht="26.25" customHeight="1" x14ac:dyDescent="0.25">
      <c r="A8" s="3"/>
      <c r="B8" s="130" t="s">
        <v>23</v>
      </c>
      <c r="C8" s="192"/>
      <c r="D8" s="278" t="s">
        <v>24</v>
      </c>
      <c r="E8" s="278"/>
      <c r="F8" s="278"/>
      <c r="G8" s="278"/>
      <c r="H8" s="140"/>
      <c r="I8" s="278" t="s">
        <v>25</v>
      </c>
      <c r="J8" s="279"/>
      <c r="K8" s="5"/>
      <c r="L8" s="20"/>
    </row>
    <row r="9" spans="1:12" s="1" customFormat="1" ht="13.5" x14ac:dyDescent="0.25">
      <c r="A9" s="3"/>
      <c r="B9" s="133"/>
      <c r="C9" s="336"/>
      <c r="D9" s="135"/>
      <c r="E9" s="135"/>
      <c r="F9" s="135"/>
      <c r="G9" s="135"/>
      <c r="H9" s="203"/>
      <c r="I9" s="135"/>
      <c r="J9" s="99"/>
      <c r="K9" s="5"/>
      <c r="L9" s="20"/>
    </row>
    <row r="10" spans="1:12" s="20" customFormat="1" ht="15" customHeight="1" x14ac:dyDescent="0.25">
      <c r="A10" s="3"/>
      <c r="B10" s="160">
        <v>10</v>
      </c>
      <c r="C10" s="195"/>
      <c r="D10" s="271" t="s">
        <v>68</v>
      </c>
      <c r="E10" s="271"/>
      <c r="F10" s="271"/>
      <c r="G10" s="271"/>
      <c r="H10" s="179"/>
      <c r="I10" s="280">
        <v>2130046620</v>
      </c>
      <c r="J10" s="281"/>
      <c r="K10" s="5"/>
    </row>
    <row r="11" spans="1:12" s="20" customFormat="1" ht="14.25" thickBot="1" x14ac:dyDescent="0.3">
      <c r="A11" s="3"/>
      <c r="B11" s="160"/>
      <c r="C11" s="271"/>
      <c r="D11" s="271"/>
      <c r="E11" s="271"/>
      <c r="F11" s="179"/>
      <c r="G11" s="179"/>
      <c r="H11" s="179"/>
      <c r="I11" s="280"/>
      <c r="J11" s="281"/>
      <c r="K11" s="5"/>
    </row>
    <row r="12" spans="1:12" s="1" customFormat="1" ht="15.75" customHeight="1" thickBot="1" x14ac:dyDescent="0.3">
      <c r="A12" s="3"/>
      <c r="B12" s="6" t="s">
        <v>4</v>
      </c>
      <c r="C12" s="54"/>
      <c r="D12" s="161"/>
      <c r="E12" s="161"/>
      <c r="F12" s="161"/>
      <c r="G12" s="161"/>
      <c r="H12" s="161"/>
      <c r="I12" s="282">
        <f>+SUM(I10:J11)</f>
        <v>2130046620</v>
      </c>
      <c r="J12" s="283"/>
      <c r="K12" s="5"/>
      <c r="L12" s="20"/>
    </row>
    <row r="13" spans="1:12" s="1" customFormat="1" ht="15.75" customHeight="1" thickBot="1" x14ac:dyDescent="0.3">
      <c r="A13" s="3"/>
      <c r="B13" s="31" t="s">
        <v>5</v>
      </c>
      <c r="C13" s="20"/>
      <c r="D13" s="162"/>
      <c r="E13" s="162"/>
      <c r="F13" s="162"/>
      <c r="G13" s="162"/>
      <c r="H13" s="162"/>
      <c r="I13" s="284">
        <f>ROUND(I12/616000,0)</f>
        <v>3458</v>
      </c>
      <c r="J13" s="285"/>
      <c r="K13" s="5"/>
      <c r="L13" s="20"/>
    </row>
    <row r="14" spans="1:12" s="1" customFormat="1" ht="13.5" x14ac:dyDescent="0.25">
      <c r="A14" s="3"/>
      <c r="B14" s="136"/>
      <c r="C14" s="64"/>
      <c r="D14" s="65"/>
      <c r="E14" s="69"/>
      <c r="F14" s="29"/>
      <c r="G14" s="69"/>
      <c r="H14" s="29"/>
      <c r="I14" s="4"/>
      <c r="J14" s="4"/>
      <c r="K14" s="5"/>
    </row>
    <row r="15" spans="1:12" s="4" customFormat="1" ht="13.5" x14ac:dyDescent="0.25">
      <c r="A15" s="3"/>
      <c r="B15" s="18"/>
      <c r="C15" s="19"/>
      <c r="D15" s="56"/>
      <c r="K15" s="5"/>
    </row>
    <row r="16" spans="1:12" s="4" customFormat="1" ht="14.25" thickBot="1" x14ac:dyDescent="0.3">
      <c r="A16" s="3"/>
      <c r="B16" s="18" t="s">
        <v>19</v>
      </c>
      <c r="C16" s="19"/>
      <c r="D16" s="56"/>
      <c r="K16" s="5"/>
    </row>
    <row r="17" spans="1:12" s="4" customFormat="1" ht="13.5" x14ac:dyDescent="0.25">
      <c r="A17" s="3"/>
      <c r="B17" s="16" t="s">
        <v>13</v>
      </c>
      <c r="C17" s="67">
        <f>+IF($I$13&gt;$B$51,$D$51,IF(AND($I$13&gt;=$B$50,$I$13&lt;=$C$50),$D$50,IF(AND($I$13&gt;=$B$48,$I$13&lt;=$C$49),$D$48,IF(AND($I$13&gt;=$B$46,$I$13&lt;=$C$47),$D$46,IF(AND($I$13&gt;$B$44,$I$13&lt;=$C$45),$D$44)))))</f>
        <v>1</v>
      </c>
      <c r="D17" s="56"/>
      <c r="K17" s="5"/>
    </row>
    <row r="18" spans="1:12" s="4" customFormat="1" ht="14.25" thickBot="1" x14ac:dyDescent="0.3">
      <c r="A18" s="3"/>
      <c r="B18" s="17" t="s">
        <v>14</v>
      </c>
      <c r="C18" s="68">
        <f>+IF($I$13&gt;$B$51,$F$51,IF(AND($I$13&gt;=$B$49,$I$13&lt;=$C$50),$F$49,IF(AND($I$13&gt;=$B$47,$I$13&lt;=$C$48),$F$47,IF(AND($I$13&gt;=$B$45,$I$13&lt;=$C$46),$F$45,IF(AND($I$13&gt;$B$44,$I$13&lt;=$C$44),$F$44)))))</f>
        <v>0.68</v>
      </c>
      <c r="D18" s="56"/>
      <c r="K18" s="5"/>
    </row>
    <row r="19" spans="1:12" s="4" customFormat="1" ht="14.25" thickBot="1" x14ac:dyDescent="0.3">
      <c r="A19" s="3"/>
      <c r="B19" s="137"/>
      <c r="C19" s="32"/>
      <c r="D19" s="33"/>
      <c r="E19" s="25"/>
      <c r="F19" s="25"/>
      <c r="G19" s="25"/>
      <c r="H19" s="25"/>
      <c r="K19" s="5"/>
    </row>
    <row r="20" spans="1:12" s="22" customFormat="1" ht="64.5" customHeight="1" thickBot="1" x14ac:dyDescent="0.3">
      <c r="A20" s="3"/>
      <c r="B20" s="6" t="s">
        <v>18</v>
      </c>
      <c r="C20" s="59" t="s">
        <v>65</v>
      </c>
      <c r="D20" s="7"/>
      <c r="E20" s="59" t="s">
        <v>66</v>
      </c>
      <c r="F20" s="189"/>
      <c r="G20" s="159" t="s">
        <v>67</v>
      </c>
      <c r="H20" s="60"/>
      <c r="I20" s="159" t="s">
        <v>64</v>
      </c>
      <c r="J20" s="35"/>
      <c r="K20" s="5"/>
      <c r="L20" s="4"/>
    </row>
    <row r="21" spans="1:12" s="22" customFormat="1" ht="13.5" customHeight="1" thickBot="1" x14ac:dyDescent="0.3">
      <c r="A21" s="3"/>
      <c r="B21" s="6" t="s">
        <v>31</v>
      </c>
      <c r="C21" s="157">
        <v>900642214</v>
      </c>
      <c r="D21" s="7"/>
      <c r="E21" s="157">
        <v>900114628</v>
      </c>
      <c r="F21" s="190"/>
      <c r="G21" s="157">
        <v>800218607</v>
      </c>
      <c r="H21" s="158"/>
      <c r="I21" s="157"/>
      <c r="J21" s="35"/>
      <c r="K21" s="5"/>
      <c r="L21" s="4"/>
    </row>
    <row r="22" spans="1:12" s="22" customFormat="1" ht="14.25" thickBot="1" x14ac:dyDescent="0.3">
      <c r="A22" s="3"/>
      <c r="B22" s="138"/>
      <c r="C22" s="9"/>
      <c r="D22" s="9"/>
      <c r="E22" s="4"/>
      <c r="F22" s="4"/>
      <c r="G22" s="4"/>
      <c r="H22" s="4"/>
      <c r="I22" s="4"/>
      <c r="J22" s="4"/>
      <c r="K22" s="5"/>
    </row>
    <row r="23" spans="1:12" s="1" customFormat="1" ht="13.5" x14ac:dyDescent="0.25">
      <c r="A23" s="3"/>
      <c r="B23" s="10" t="s">
        <v>7</v>
      </c>
      <c r="C23" s="11">
        <v>64674600</v>
      </c>
      <c r="D23" s="37"/>
      <c r="E23" s="11">
        <v>203082202</v>
      </c>
      <c r="F23" s="37"/>
      <c r="G23" s="11">
        <v>337951496</v>
      </c>
      <c r="H23" s="91"/>
      <c r="I23" s="11">
        <f>+SUM(C23:G23)</f>
        <v>605708298</v>
      </c>
      <c r="J23" s="30"/>
      <c r="K23" s="5"/>
      <c r="L23" s="20"/>
    </row>
    <row r="24" spans="1:12" s="1" customFormat="1" ht="13.5" x14ac:dyDescent="0.25">
      <c r="A24" s="3"/>
      <c r="B24" s="12" t="s">
        <v>8</v>
      </c>
      <c r="C24" s="13">
        <v>371244700</v>
      </c>
      <c r="D24" s="38"/>
      <c r="E24" s="13">
        <v>310930515</v>
      </c>
      <c r="F24" s="38"/>
      <c r="G24" s="13">
        <v>359281611</v>
      </c>
      <c r="H24" s="19"/>
      <c r="I24" s="13">
        <f t="shared" ref="I24:I26" si="0">+SUM(C24:G24)</f>
        <v>1041456826</v>
      </c>
      <c r="J24" s="5"/>
      <c r="K24" s="5"/>
      <c r="L24" s="20"/>
    </row>
    <row r="25" spans="1:12" s="1" customFormat="1" ht="13.5" x14ac:dyDescent="0.25">
      <c r="A25" s="3"/>
      <c r="B25" s="12" t="s">
        <v>9</v>
      </c>
      <c r="C25" s="13">
        <v>35963321</v>
      </c>
      <c r="D25" s="38"/>
      <c r="E25" s="13">
        <v>89561010</v>
      </c>
      <c r="F25" s="38"/>
      <c r="G25" s="13">
        <v>166844997</v>
      </c>
      <c r="H25" s="19"/>
      <c r="I25" s="13">
        <f t="shared" si="0"/>
        <v>292369328</v>
      </c>
      <c r="J25" s="5"/>
      <c r="K25" s="5"/>
      <c r="L25" s="20"/>
    </row>
    <row r="26" spans="1:12" s="1" customFormat="1" ht="14.25" thickBot="1" x14ac:dyDescent="0.3">
      <c r="A26" s="3"/>
      <c r="B26" s="14" t="s">
        <v>10</v>
      </c>
      <c r="C26" s="15">
        <v>35963321</v>
      </c>
      <c r="D26" s="50"/>
      <c r="E26" s="15">
        <v>89561010</v>
      </c>
      <c r="F26" s="50"/>
      <c r="G26" s="15">
        <v>166844997</v>
      </c>
      <c r="H26" s="92"/>
      <c r="I26" s="15">
        <f t="shared" si="0"/>
        <v>292369328</v>
      </c>
      <c r="J26" s="21"/>
      <c r="K26" s="5"/>
      <c r="L26" s="20"/>
    </row>
    <row r="27" spans="1:12" s="1" customFormat="1" ht="15.75" customHeight="1" thickBot="1" x14ac:dyDescent="0.3">
      <c r="A27" s="3"/>
      <c r="B27" s="293" t="s">
        <v>11</v>
      </c>
      <c r="C27" s="294"/>
      <c r="D27" s="294"/>
      <c r="E27" s="294"/>
      <c r="F27" s="294"/>
      <c r="G27" s="294"/>
      <c r="H27" s="294"/>
      <c r="I27" s="294"/>
      <c r="J27" s="295"/>
      <c r="K27" s="5"/>
      <c r="L27" s="20"/>
    </row>
    <row r="28" spans="1:12" s="1" customFormat="1" ht="15.75" customHeight="1" thickBot="1" x14ac:dyDescent="0.3">
      <c r="A28" s="3"/>
      <c r="B28" s="275" t="s">
        <v>12</v>
      </c>
      <c r="C28" s="276"/>
      <c r="D28" s="276"/>
      <c r="E28" s="276"/>
      <c r="F28" s="276"/>
      <c r="G28" s="276"/>
      <c r="H28" s="276"/>
      <c r="I28" s="276"/>
      <c r="J28" s="277"/>
      <c r="K28" s="5"/>
      <c r="L28" s="20"/>
    </row>
    <row r="29" spans="1:12" s="1" customFormat="1" ht="13.5" x14ac:dyDescent="0.25">
      <c r="A29" s="3"/>
      <c r="B29" s="16" t="s">
        <v>13</v>
      </c>
      <c r="C29" s="124">
        <f>+IFERROR(C23/C25,"INDETERMINADO")</f>
        <v>1.7983489344601962</v>
      </c>
      <c r="D29" s="125"/>
      <c r="E29" s="124">
        <f>+IFERROR(E23/E25,"INDETERMINADO")</f>
        <v>2.2675291625228433</v>
      </c>
      <c r="F29" s="125"/>
      <c r="G29" s="124">
        <f>+IFERROR(G23/G25,"INDETERMINADO")</f>
        <v>2.0255416828590911</v>
      </c>
      <c r="H29" s="58"/>
      <c r="I29" s="124">
        <f>+IFERROR(I23/I25,"INDETERMINADO")</f>
        <v>2.0717231254846267</v>
      </c>
      <c r="J29" s="40" t="str">
        <f>+IF(I29&gt;=$C$17,"CUMPLE","NO CUMPLE")</f>
        <v>CUMPLE</v>
      </c>
      <c r="K29" s="5"/>
    </row>
    <row r="30" spans="1:12" s="1" customFormat="1" ht="14.25" thickBot="1" x14ac:dyDescent="0.3">
      <c r="A30" s="3"/>
      <c r="B30" s="17" t="s">
        <v>14</v>
      </c>
      <c r="C30" s="41">
        <f>+C26/C24</f>
        <v>9.6872281274318531E-2</v>
      </c>
      <c r="D30" s="42"/>
      <c r="E30" s="41">
        <f>+E26/E24</f>
        <v>0.28804187971064854</v>
      </c>
      <c r="F30" s="42"/>
      <c r="G30" s="41">
        <f>+G26/G24</f>
        <v>0.46438501691087108</v>
      </c>
      <c r="H30" s="43"/>
      <c r="I30" s="41">
        <f>+I26/I24</f>
        <v>0.28073110733060769</v>
      </c>
      <c r="J30" s="44" t="str">
        <f>+IF(I30&lt;=$C$18,"CUMPLE","NO CUMPLE")</f>
        <v>CUMPLE</v>
      </c>
      <c r="K30" s="5"/>
    </row>
    <row r="31" spans="1:12" s="20" customFormat="1" ht="14.25" thickBot="1" x14ac:dyDescent="0.3">
      <c r="A31" s="3"/>
      <c r="B31" s="139"/>
      <c r="C31" s="18"/>
      <c r="D31" s="19"/>
      <c r="F31" s="4"/>
      <c r="H31" s="4"/>
      <c r="I31" s="4"/>
      <c r="J31" s="4"/>
      <c r="K31" s="5"/>
    </row>
    <row r="32" spans="1:12" s="1" customFormat="1" ht="20.25" customHeight="1" thickBot="1" x14ac:dyDescent="0.3">
      <c r="A32" s="3"/>
      <c r="B32" s="6" t="s">
        <v>15</v>
      </c>
      <c r="C32" s="267" t="s">
        <v>36</v>
      </c>
      <c r="D32" s="267"/>
      <c r="E32" s="267"/>
      <c r="F32" s="267"/>
      <c r="G32" s="267"/>
      <c r="H32" s="267"/>
      <c r="I32" s="267"/>
      <c r="J32" s="268"/>
      <c r="K32" s="5"/>
    </row>
    <row r="33" spans="1:12" s="4" customFormat="1" ht="14.25" thickBot="1" x14ac:dyDescent="0.3">
      <c r="A33" s="3"/>
      <c r="B33" s="45"/>
      <c r="C33" s="45"/>
      <c r="D33" s="45"/>
      <c r="K33" s="5"/>
    </row>
    <row r="34" spans="1:12" s="46" customFormat="1" ht="36.75" customHeight="1" thickBot="1" x14ac:dyDescent="0.3">
      <c r="A34" s="153"/>
      <c r="B34" s="79" t="s">
        <v>26</v>
      </c>
      <c r="C34" s="269"/>
      <c r="D34" s="269"/>
      <c r="E34" s="269"/>
      <c r="F34" s="269"/>
      <c r="G34" s="269"/>
      <c r="H34" s="269"/>
      <c r="I34" s="269"/>
      <c r="J34" s="270"/>
      <c r="K34" s="193"/>
    </row>
    <row r="35" spans="1:12" s="46" customFormat="1" ht="15.75" thickBot="1" x14ac:dyDescent="0.3">
      <c r="A35" s="154"/>
      <c r="B35" s="155"/>
      <c r="C35" s="155"/>
      <c r="D35" s="25"/>
      <c r="E35" s="25"/>
      <c r="F35" s="25"/>
      <c r="G35" s="25"/>
      <c r="H35" s="156"/>
      <c r="I35" s="25"/>
      <c r="J35" s="155"/>
      <c r="K35" s="194"/>
    </row>
    <row r="36" spans="1:12" x14ac:dyDescent="0.25">
      <c r="D36" s="22"/>
      <c r="E36" s="22"/>
      <c r="F36" s="22"/>
      <c r="G36" s="22"/>
      <c r="H36" s="23"/>
      <c r="I36" s="4"/>
    </row>
    <row r="37" spans="1:12" x14ac:dyDescent="0.25">
      <c r="D37" s="22"/>
      <c r="E37" s="22"/>
      <c r="F37" s="22"/>
      <c r="G37" s="22"/>
      <c r="H37" s="23"/>
      <c r="I37" s="4"/>
    </row>
    <row r="38" spans="1:12" x14ac:dyDescent="0.25">
      <c r="D38" s="22"/>
      <c r="E38" s="22"/>
      <c r="F38" s="22"/>
      <c r="G38" s="22"/>
      <c r="H38" s="23"/>
      <c r="I38" s="4"/>
    </row>
    <row r="39" spans="1:12" x14ac:dyDescent="0.25">
      <c r="D39" s="22"/>
      <c r="E39" s="22"/>
      <c r="F39" s="22"/>
      <c r="G39" s="22"/>
      <c r="H39" s="23"/>
      <c r="I39" s="4"/>
    </row>
    <row r="40" spans="1:12" x14ac:dyDescent="0.25">
      <c r="D40" s="22"/>
      <c r="E40" s="22"/>
      <c r="F40" s="22"/>
      <c r="G40" s="22"/>
      <c r="H40" s="23"/>
      <c r="I40" s="4"/>
    </row>
    <row r="41" spans="1:12" x14ac:dyDescent="0.25">
      <c r="D41" s="22"/>
      <c r="E41" s="22"/>
      <c r="F41" s="22"/>
      <c r="G41" s="22"/>
      <c r="H41" s="22"/>
      <c r="I41" s="4"/>
    </row>
    <row r="42" spans="1:12" x14ac:dyDescent="0.25">
      <c r="B42" s="24">
        <v>616000</v>
      </c>
      <c r="D42" s="22"/>
      <c r="E42" s="22"/>
      <c r="F42" s="22"/>
      <c r="G42" s="22"/>
      <c r="H42" s="22"/>
      <c r="I42" s="4"/>
    </row>
    <row r="43" spans="1:12" x14ac:dyDescent="0.25">
      <c r="B43" s="141" t="s">
        <v>21</v>
      </c>
      <c r="C43" s="66" t="s">
        <v>20</v>
      </c>
      <c r="D43" s="265" t="s">
        <v>16</v>
      </c>
      <c r="E43" s="265"/>
      <c r="F43" s="265" t="s">
        <v>17</v>
      </c>
      <c r="G43" s="265"/>
    </row>
    <row r="44" spans="1:12" x14ac:dyDescent="0.25">
      <c r="B44" s="142">
        <v>0</v>
      </c>
      <c r="C44" s="55">
        <v>250</v>
      </c>
      <c r="D44" s="266">
        <v>0.8</v>
      </c>
      <c r="E44" s="266"/>
      <c r="F44" s="262">
        <v>0.8</v>
      </c>
      <c r="G44" s="262"/>
      <c r="H44" s="145"/>
      <c r="J44" s="191">
        <f t="shared" ref="J44:J51" si="1">+C44*$B$42</f>
        <v>154000000</v>
      </c>
    </row>
    <row r="45" spans="1:12" x14ac:dyDescent="0.25">
      <c r="B45" s="142">
        <v>251</v>
      </c>
      <c r="C45" s="55">
        <v>1000</v>
      </c>
      <c r="D45" s="266">
        <v>0.8</v>
      </c>
      <c r="E45" s="266"/>
      <c r="F45" s="262">
        <v>0.75</v>
      </c>
      <c r="G45" s="262"/>
      <c r="H45" s="146">
        <f t="shared" ref="H45:H51" si="2">+B45*$B$42</f>
        <v>154616000</v>
      </c>
      <c r="J45" s="191">
        <f t="shared" si="1"/>
        <v>616000000</v>
      </c>
    </row>
    <row r="46" spans="1:12" x14ac:dyDescent="0.25">
      <c r="B46" s="142">
        <v>1001</v>
      </c>
      <c r="C46" s="55">
        <v>1500</v>
      </c>
      <c r="D46" s="266">
        <v>0.9</v>
      </c>
      <c r="E46" s="266"/>
      <c r="F46" s="262">
        <v>0.75</v>
      </c>
      <c r="G46" s="262"/>
      <c r="H46" s="146">
        <f t="shared" si="2"/>
        <v>616616000</v>
      </c>
      <c r="J46" s="191">
        <f t="shared" si="1"/>
        <v>924000000</v>
      </c>
    </row>
    <row r="47" spans="1:12" x14ac:dyDescent="0.25">
      <c r="B47" s="142">
        <v>1501</v>
      </c>
      <c r="C47" s="55">
        <v>2500</v>
      </c>
      <c r="D47" s="266">
        <v>0.9</v>
      </c>
      <c r="E47" s="266"/>
      <c r="F47" s="262">
        <v>0.7</v>
      </c>
      <c r="G47" s="262"/>
      <c r="H47" s="146">
        <f t="shared" si="2"/>
        <v>924616000</v>
      </c>
      <c r="J47" s="191">
        <f t="shared" si="1"/>
        <v>1540000000</v>
      </c>
    </row>
    <row r="48" spans="1:12" s="46" customFormat="1" x14ac:dyDescent="0.25">
      <c r="A48" s="143"/>
      <c r="B48" s="142">
        <v>2501</v>
      </c>
      <c r="C48" s="55">
        <v>3000</v>
      </c>
      <c r="D48" s="266">
        <v>1</v>
      </c>
      <c r="E48" s="266"/>
      <c r="F48" s="262">
        <v>0.7</v>
      </c>
      <c r="G48" s="262"/>
      <c r="H48" s="146">
        <f t="shared" si="2"/>
        <v>1540616000</v>
      </c>
      <c r="I48" s="143"/>
      <c r="J48" s="191">
        <f t="shared" si="1"/>
        <v>1848000000</v>
      </c>
      <c r="L48"/>
    </row>
    <row r="49" spans="1:12" s="46" customFormat="1" x14ac:dyDescent="0.25">
      <c r="A49" s="143"/>
      <c r="B49" s="142">
        <v>3001</v>
      </c>
      <c r="C49" s="55">
        <v>3500</v>
      </c>
      <c r="D49" s="266">
        <v>1</v>
      </c>
      <c r="E49" s="266"/>
      <c r="F49" s="262">
        <v>0.68</v>
      </c>
      <c r="G49" s="262"/>
      <c r="H49" s="146">
        <f t="shared" si="2"/>
        <v>1848616000</v>
      </c>
      <c r="I49" s="143"/>
      <c r="J49" s="191">
        <f t="shared" si="1"/>
        <v>2156000000</v>
      </c>
      <c r="L49"/>
    </row>
    <row r="50" spans="1:12" s="46" customFormat="1" x14ac:dyDescent="0.25">
      <c r="A50" s="143"/>
      <c r="B50" s="142">
        <v>3501</v>
      </c>
      <c r="C50" s="55">
        <v>4500</v>
      </c>
      <c r="D50" s="266">
        <v>1.1000000000000001</v>
      </c>
      <c r="E50" s="266"/>
      <c r="F50" s="262">
        <v>0.68</v>
      </c>
      <c r="G50" s="262"/>
      <c r="H50" s="146">
        <f t="shared" si="2"/>
        <v>2156616000</v>
      </c>
      <c r="I50" s="143"/>
      <c r="J50" s="191">
        <f t="shared" si="1"/>
        <v>2772000000</v>
      </c>
      <c r="L50"/>
    </row>
    <row r="51" spans="1:12" s="46" customFormat="1" x14ac:dyDescent="0.25">
      <c r="A51" s="143"/>
      <c r="B51" s="142">
        <v>4501</v>
      </c>
      <c r="C51" s="55"/>
      <c r="D51" s="266">
        <v>1.2</v>
      </c>
      <c r="E51" s="266"/>
      <c r="F51" s="262">
        <v>0.65</v>
      </c>
      <c r="G51" s="262"/>
      <c r="H51" s="146">
        <f t="shared" si="2"/>
        <v>2772616000</v>
      </c>
      <c r="I51" s="143"/>
      <c r="J51" s="191">
        <f t="shared" si="1"/>
        <v>0</v>
      </c>
      <c r="L51"/>
    </row>
  </sheetData>
  <mergeCells count="37">
    <mergeCell ref="C6:J6"/>
    <mergeCell ref="B1:J1"/>
    <mergeCell ref="B2:J2"/>
    <mergeCell ref="B3:J3"/>
    <mergeCell ref="B4:J4"/>
    <mergeCell ref="B5:J5"/>
    <mergeCell ref="I12:J12"/>
    <mergeCell ref="I13:J13"/>
    <mergeCell ref="B27:J27"/>
    <mergeCell ref="B28:J28"/>
    <mergeCell ref="C7:J7"/>
    <mergeCell ref="D8:G8"/>
    <mergeCell ref="I8:J8"/>
    <mergeCell ref="I10:J10"/>
    <mergeCell ref="C11:E11"/>
    <mergeCell ref="I11:J11"/>
    <mergeCell ref="C34:J34"/>
    <mergeCell ref="D43:E43"/>
    <mergeCell ref="F43:G43"/>
    <mergeCell ref="D44:E44"/>
    <mergeCell ref="F44:G44"/>
    <mergeCell ref="D51:E51"/>
    <mergeCell ref="F51:G51"/>
    <mergeCell ref="D10:G10"/>
    <mergeCell ref="D48:E48"/>
    <mergeCell ref="F48:G48"/>
    <mergeCell ref="D49:E49"/>
    <mergeCell ref="F49:G49"/>
    <mergeCell ref="D50:E50"/>
    <mergeCell ref="F50:G50"/>
    <mergeCell ref="D45:E45"/>
    <mergeCell ref="F45:G45"/>
    <mergeCell ref="D46:E46"/>
    <mergeCell ref="F46:G46"/>
    <mergeCell ref="D47:E47"/>
    <mergeCell ref="F47:G47"/>
    <mergeCell ref="C32:J32"/>
  </mergeCells>
  <pageMargins left="0.70866141732283472" right="0.70866141732283472" top="0.74803149606299213" bottom="0.74803149606299213" header="0.31496062992125984" footer="0.31496062992125984"/>
  <pageSetup scale="76" orientation="landscape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I52"/>
  <sheetViews>
    <sheetView view="pageBreakPreview" topLeftCell="A6" zoomScale="130" zoomScaleNormal="100" zoomScaleSheetLayoutView="130" workbookViewId="0">
      <selection activeCell="C13" sqref="C13"/>
    </sheetView>
  </sheetViews>
  <sheetFormatPr baseColWidth="10" defaultRowHeight="13.5" x14ac:dyDescent="0.25"/>
  <cols>
    <col min="1" max="1" width="3.140625" style="84" customWidth="1"/>
    <col min="2" max="2" width="31.85546875" style="84" customWidth="1"/>
    <col min="3" max="3" width="31.42578125" style="84" customWidth="1"/>
    <col min="4" max="4" width="21.7109375" style="84" customWidth="1"/>
    <col min="5" max="5" width="3.5703125" style="84" customWidth="1"/>
    <col min="6" max="6" width="16.5703125" style="84" customWidth="1"/>
    <col min="7" max="7" width="3.140625" style="84" customWidth="1"/>
    <col min="8" max="8" width="18.140625" style="84" customWidth="1"/>
    <col min="9" max="9" width="12.7109375" style="84" bestFit="1" customWidth="1"/>
    <col min="10" max="16384" width="11.42578125" style="84"/>
  </cols>
  <sheetData>
    <row r="1" spans="1:5" s="93" customFormat="1" ht="20.25" customHeight="1" x14ac:dyDescent="0.25">
      <c r="A1" s="253" t="s">
        <v>0</v>
      </c>
      <c r="B1" s="254"/>
      <c r="C1" s="254"/>
      <c r="D1" s="254"/>
      <c r="E1" s="255"/>
    </row>
    <row r="2" spans="1:5" s="93" customFormat="1" ht="15.75" customHeight="1" x14ac:dyDescent="0.25">
      <c r="A2" s="196"/>
      <c r="B2" s="256" t="s">
        <v>1</v>
      </c>
      <c r="C2" s="256"/>
      <c r="D2" s="256"/>
      <c r="E2" s="95"/>
    </row>
    <row r="3" spans="1:5" s="93" customFormat="1" ht="15.75" customHeight="1" x14ac:dyDescent="0.25">
      <c r="A3" s="257" t="s">
        <v>27</v>
      </c>
      <c r="B3" s="256"/>
      <c r="C3" s="256"/>
      <c r="D3" s="256"/>
      <c r="E3" s="258"/>
    </row>
    <row r="4" spans="1:5" s="93" customFormat="1" ht="20.25" x14ac:dyDescent="0.3">
      <c r="A4" s="96"/>
      <c r="B4" s="256" t="s">
        <v>2</v>
      </c>
      <c r="C4" s="256"/>
      <c r="D4" s="256"/>
      <c r="E4" s="97"/>
    </row>
    <row r="5" spans="1:5" s="93" customFormat="1" ht="20.25" customHeight="1" x14ac:dyDescent="0.25">
      <c r="A5" s="257" t="s">
        <v>28</v>
      </c>
      <c r="B5" s="256"/>
      <c r="C5" s="256"/>
      <c r="D5" s="256"/>
      <c r="E5" s="258"/>
    </row>
    <row r="6" spans="1:5" s="93" customFormat="1" ht="96" customHeight="1" x14ac:dyDescent="0.25">
      <c r="A6" s="259" t="s">
        <v>29</v>
      </c>
      <c r="B6" s="260"/>
      <c r="C6" s="260"/>
      <c r="D6" s="260"/>
      <c r="E6" s="261"/>
    </row>
    <row r="7" spans="1:5" s="93" customFormat="1" ht="14.25" thickBot="1" x14ac:dyDescent="0.3">
      <c r="A7" s="98"/>
      <c r="B7" s="70"/>
      <c r="C7" s="70"/>
      <c r="D7" s="70"/>
      <c r="E7" s="75"/>
    </row>
    <row r="8" spans="1:5" s="93" customFormat="1" ht="37.5" customHeight="1" thickBot="1" x14ac:dyDescent="0.3">
      <c r="A8" s="98"/>
      <c r="B8" s="72" t="s">
        <v>3</v>
      </c>
      <c r="C8" s="247" t="s">
        <v>172</v>
      </c>
      <c r="D8" s="248"/>
      <c r="E8" s="75"/>
    </row>
    <row r="9" spans="1:5" s="93" customFormat="1" ht="14.25" thickBot="1" x14ac:dyDescent="0.3">
      <c r="A9" s="98"/>
      <c r="B9" s="72" t="s">
        <v>38</v>
      </c>
      <c r="C9" s="247">
        <v>31</v>
      </c>
      <c r="D9" s="248"/>
      <c r="E9" s="75"/>
    </row>
    <row r="10" spans="1:5" s="93" customFormat="1" ht="14.25" thickBot="1" x14ac:dyDescent="0.3">
      <c r="A10" s="98"/>
      <c r="B10" s="79" t="s">
        <v>6</v>
      </c>
      <c r="C10" s="247">
        <v>802021835</v>
      </c>
      <c r="D10" s="248"/>
      <c r="E10" s="75"/>
    </row>
    <row r="11" spans="1:5" s="93" customFormat="1" ht="26.25" customHeight="1" x14ac:dyDescent="0.25">
      <c r="A11" s="98"/>
      <c r="B11" s="130" t="s">
        <v>23</v>
      </c>
      <c r="C11" s="197" t="s">
        <v>24</v>
      </c>
      <c r="D11" s="199" t="s">
        <v>25</v>
      </c>
      <c r="E11" s="75"/>
    </row>
    <row r="12" spans="1:5" s="93" customFormat="1" x14ac:dyDescent="0.25">
      <c r="A12" s="98"/>
      <c r="B12" s="133">
        <v>15</v>
      </c>
      <c r="C12" s="135" t="s">
        <v>208</v>
      </c>
      <c r="D12" s="134">
        <v>9251084830</v>
      </c>
      <c r="E12" s="75"/>
    </row>
    <row r="13" spans="1:5" s="93" customFormat="1" x14ac:dyDescent="0.25">
      <c r="A13" s="98"/>
      <c r="B13" s="133" t="s">
        <v>173</v>
      </c>
      <c r="C13" s="135" t="s">
        <v>209</v>
      </c>
      <c r="D13" s="134">
        <v>5763655560</v>
      </c>
      <c r="E13" s="75"/>
    </row>
    <row r="14" spans="1:5" s="93" customFormat="1" x14ac:dyDescent="0.25">
      <c r="A14" s="98"/>
      <c r="B14" s="133" t="s">
        <v>174</v>
      </c>
      <c r="C14" s="135" t="s">
        <v>59</v>
      </c>
      <c r="D14" s="134">
        <f>269068845+208615164+25721692+893784268+184439015+93972645+304676090+100131020+194210133</f>
        <v>2274618872</v>
      </c>
      <c r="E14" s="75"/>
    </row>
    <row r="15" spans="1:5" s="93" customFormat="1" x14ac:dyDescent="0.25">
      <c r="A15" s="98"/>
      <c r="B15" s="133">
        <v>13</v>
      </c>
      <c r="C15" s="135" t="s">
        <v>117</v>
      </c>
      <c r="D15" s="134">
        <v>2505937200</v>
      </c>
      <c r="E15" s="75"/>
    </row>
    <row r="16" spans="1:5" s="93" customFormat="1" ht="14.25" thickBot="1" x14ac:dyDescent="0.3">
      <c r="A16" s="98"/>
      <c r="B16" s="74"/>
      <c r="C16" s="135"/>
      <c r="D16" s="99"/>
      <c r="E16" s="75"/>
    </row>
    <row r="17" spans="1:8" s="93" customFormat="1" ht="14.25" thickBot="1" x14ac:dyDescent="0.3">
      <c r="A17" s="98"/>
      <c r="B17" s="72" t="s">
        <v>30</v>
      </c>
      <c r="C17" s="249">
        <f>+SUM(D12:D15)</f>
        <v>19795296462</v>
      </c>
      <c r="D17" s="250"/>
      <c r="E17" s="75"/>
    </row>
    <row r="18" spans="1:8" s="93" customFormat="1" ht="14.25" thickBot="1" x14ac:dyDescent="0.3">
      <c r="A18" s="98"/>
      <c r="B18" s="72" t="s">
        <v>5</v>
      </c>
      <c r="C18" s="251">
        <f>+ROUND(C17/616000,0)</f>
        <v>32135</v>
      </c>
      <c r="D18" s="252"/>
      <c r="E18" s="75"/>
    </row>
    <row r="19" spans="1:8" s="93" customFormat="1" x14ac:dyDescent="0.25">
      <c r="A19" s="98"/>
      <c r="B19" s="70"/>
      <c r="C19" s="70"/>
      <c r="D19" s="99"/>
      <c r="E19" s="75"/>
    </row>
    <row r="20" spans="1:8" s="93" customFormat="1" ht="14.25" thickBot="1" x14ac:dyDescent="0.3">
      <c r="A20" s="98"/>
      <c r="B20" s="100" t="s">
        <v>19</v>
      </c>
      <c r="C20" s="76"/>
      <c r="D20" s="99"/>
      <c r="E20" s="75"/>
    </row>
    <row r="21" spans="1:8" s="93" customFormat="1" x14ac:dyDescent="0.25">
      <c r="A21" s="98"/>
      <c r="B21" s="77" t="s">
        <v>13</v>
      </c>
      <c r="C21" s="85">
        <f>+IF($C$18&gt;$B$52,$D$52,IF(AND($C$18&gt;=$B$51,$C$18&lt;=$C$51),$D$51,IF(AND($C$18&gt;=$B$49,$C$18&lt;=$C$50),$D$49,IF(AND($C$18&gt;=$B$47,$C$18&lt;=$C$48),$D$47,IF(AND($C$18&gt;$B$45,$C$18&lt;=$C$46),$D$45)))))</f>
        <v>1.2</v>
      </c>
      <c r="D21" s="99"/>
      <c r="E21" s="75"/>
    </row>
    <row r="22" spans="1:8" s="93" customFormat="1" ht="14.25" thickBot="1" x14ac:dyDescent="0.3">
      <c r="A22" s="98"/>
      <c r="B22" s="78" t="s">
        <v>14</v>
      </c>
      <c r="C22" s="86">
        <f>+IF($C$18&gt;$B$52,$F$52,IF(AND($C$18&gt;=$B$50,$C$18&lt;=$C$51),$F$50,IF(AND($C$18&gt;=$B$48,$C$18&lt;=$C$49),$F$48,IF(AND($C$18&gt;=$B$46,$C$18&lt;=$C$47),$F$46,IF(AND($C$18&gt;$B$45,$C$18&lt;=$C$45),$F$45)))))</f>
        <v>0.65</v>
      </c>
      <c r="D22" s="99"/>
      <c r="E22" s="75"/>
    </row>
    <row r="23" spans="1:8" s="93" customFormat="1" ht="14.25" thickBot="1" x14ac:dyDescent="0.3">
      <c r="A23" s="98"/>
      <c r="B23" s="101"/>
      <c r="C23" s="102"/>
      <c r="D23" s="103"/>
      <c r="E23" s="75"/>
    </row>
    <row r="24" spans="1:8" s="93" customFormat="1" x14ac:dyDescent="0.25">
      <c r="A24" s="98"/>
      <c r="B24" s="80" t="s">
        <v>7</v>
      </c>
      <c r="C24" s="127">
        <v>1152435000</v>
      </c>
      <c r="D24" s="104"/>
      <c r="E24" s="75"/>
    </row>
    <row r="25" spans="1:8" s="93" customFormat="1" x14ac:dyDescent="0.25">
      <c r="A25" s="98"/>
      <c r="B25" s="81" t="s">
        <v>8</v>
      </c>
      <c r="C25" s="129">
        <v>1440348000</v>
      </c>
      <c r="D25" s="105"/>
      <c r="E25" s="75"/>
    </row>
    <row r="26" spans="1:8" s="93" customFormat="1" ht="15" x14ac:dyDescent="0.25">
      <c r="A26" s="98"/>
      <c r="B26" s="81" t="s">
        <v>9</v>
      </c>
      <c r="C26" s="129">
        <v>360500000</v>
      </c>
      <c r="D26" s="105"/>
      <c r="E26" s="75"/>
      <c r="F26" s="106"/>
      <c r="H26" s="239"/>
    </row>
    <row r="27" spans="1:8" s="93" customFormat="1" ht="15.75" thickBot="1" x14ac:dyDescent="0.3">
      <c r="A27" s="98"/>
      <c r="B27" s="81" t="s">
        <v>10</v>
      </c>
      <c r="C27" s="129">
        <v>360500000</v>
      </c>
      <c r="D27" s="105"/>
      <c r="E27" s="75"/>
      <c r="F27" s="106"/>
    </row>
    <row r="28" spans="1:8" s="93" customFormat="1" ht="14.25" thickBot="1" x14ac:dyDescent="0.3">
      <c r="A28" s="98"/>
      <c r="B28" s="241" t="s">
        <v>11</v>
      </c>
      <c r="C28" s="242"/>
      <c r="D28" s="243"/>
      <c r="E28" s="75"/>
    </row>
    <row r="29" spans="1:8" s="93" customFormat="1" ht="14.25" thickBot="1" x14ac:dyDescent="0.3">
      <c r="A29" s="98"/>
      <c r="B29" s="241" t="s">
        <v>12</v>
      </c>
      <c r="C29" s="242"/>
      <c r="D29" s="243"/>
      <c r="E29" s="75"/>
    </row>
    <row r="30" spans="1:8" s="93" customFormat="1" ht="16.5" x14ac:dyDescent="0.3">
      <c r="A30" s="98"/>
      <c r="B30" s="77" t="s">
        <v>13</v>
      </c>
      <c r="C30" s="126">
        <f>+IFERROR(C24/C26,"INDETERMINADO")</f>
        <v>3.196768377253814</v>
      </c>
      <c r="D30" s="118" t="str">
        <f>+IF(C30&gt;=C21,"CUMPLE","NO CUMPLE")</f>
        <v>CUMPLE</v>
      </c>
      <c r="E30" s="75"/>
    </row>
    <row r="31" spans="1:8" s="93" customFormat="1" ht="17.25" thickBot="1" x14ac:dyDescent="0.35">
      <c r="A31" s="98"/>
      <c r="B31" s="78" t="s">
        <v>14</v>
      </c>
      <c r="C31" s="120">
        <f>+C27/C25</f>
        <v>0.25028673626095915</v>
      </c>
      <c r="D31" s="119" t="str">
        <f>+IF(C31&lt;=C22,"CUMPLE","NO CUMPLE")</f>
        <v>CUMPLE</v>
      </c>
      <c r="E31" s="75"/>
    </row>
    <row r="32" spans="1:8" s="110" customFormat="1" ht="14.25" thickBot="1" x14ac:dyDescent="0.3">
      <c r="A32" s="98"/>
      <c r="B32" s="108"/>
      <c r="C32" s="100"/>
      <c r="D32" s="76"/>
      <c r="E32" s="109"/>
    </row>
    <row r="33" spans="1:9" s="93" customFormat="1" ht="41.25" customHeight="1" thickBot="1" x14ac:dyDescent="0.3">
      <c r="A33" s="98"/>
      <c r="B33" s="72" t="s">
        <v>15</v>
      </c>
      <c r="C33" s="244" t="s">
        <v>171</v>
      </c>
      <c r="D33" s="245"/>
      <c r="E33" s="75"/>
    </row>
    <row r="34" spans="1:9" s="70" customFormat="1" ht="14.25" thickBot="1" x14ac:dyDescent="0.3">
      <c r="A34" s="98"/>
      <c r="B34" s="83"/>
      <c r="C34" s="83"/>
      <c r="D34" s="83"/>
      <c r="E34" s="75"/>
    </row>
    <row r="35" spans="1:9" s="70" customFormat="1" ht="45.75" customHeight="1" thickBot="1" x14ac:dyDescent="0.3">
      <c r="A35" s="98"/>
      <c r="B35" s="72" t="s">
        <v>26</v>
      </c>
      <c r="C35" s="244"/>
      <c r="D35" s="245"/>
      <c r="E35" s="75"/>
    </row>
    <row r="36" spans="1:9" s="70" customFormat="1" ht="14.25" thickBot="1" x14ac:dyDescent="0.3">
      <c r="A36" s="111"/>
      <c r="B36" s="112"/>
      <c r="C36" s="112"/>
      <c r="D36" s="112"/>
      <c r="E36" s="71"/>
    </row>
    <row r="37" spans="1:9" s="70" customFormat="1" x14ac:dyDescent="0.25">
      <c r="B37" s="83"/>
      <c r="C37" s="83"/>
      <c r="D37" s="83"/>
    </row>
    <row r="38" spans="1:9" s="70" customFormat="1" x14ac:dyDescent="0.25">
      <c r="B38" s="83"/>
      <c r="C38" s="83"/>
      <c r="D38" s="83"/>
    </row>
    <row r="39" spans="1:9" s="70" customFormat="1" x14ac:dyDescent="0.25">
      <c r="B39" s="83"/>
      <c r="C39" s="83"/>
      <c r="D39" s="83"/>
    </row>
    <row r="40" spans="1:9" s="70" customFormat="1" x14ac:dyDescent="0.25">
      <c r="B40" s="83"/>
      <c r="C40" s="83"/>
      <c r="D40" s="83"/>
    </row>
    <row r="42" spans="1:9" x14ac:dyDescent="0.25">
      <c r="B42" s="100"/>
      <c r="C42" s="70"/>
    </row>
    <row r="43" spans="1:9" x14ac:dyDescent="0.25">
      <c r="B43" s="88">
        <v>616000</v>
      </c>
      <c r="C43" s="87"/>
      <c r="D43" s="87"/>
      <c r="E43" s="87"/>
      <c r="F43" s="87"/>
      <c r="G43" s="87"/>
      <c r="H43" s="87"/>
      <c r="I43" s="87"/>
    </row>
    <row r="44" spans="1:9" ht="25.5" x14ac:dyDescent="0.25">
      <c r="B44" s="89" t="s">
        <v>21</v>
      </c>
      <c r="C44" s="89" t="s">
        <v>20</v>
      </c>
      <c r="D44" s="200" t="s">
        <v>16</v>
      </c>
      <c r="E44" s="87"/>
      <c r="F44" s="200" t="s">
        <v>17</v>
      </c>
      <c r="G44" s="87"/>
      <c r="H44" s="246"/>
      <c r="I44" s="246"/>
    </row>
    <row r="45" spans="1:9" x14ac:dyDescent="0.25">
      <c r="B45" s="90">
        <v>0</v>
      </c>
      <c r="C45" s="90">
        <v>250</v>
      </c>
      <c r="D45" s="201">
        <v>0.8</v>
      </c>
      <c r="E45" s="87"/>
      <c r="F45" s="202">
        <v>0.8</v>
      </c>
      <c r="G45" s="87"/>
      <c r="H45" s="116"/>
      <c r="I45" s="117">
        <f t="shared" ref="I45:I52" si="0">+C45*$B$43</f>
        <v>154000000</v>
      </c>
    </row>
    <row r="46" spans="1:9" x14ac:dyDescent="0.25">
      <c r="B46" s="90">
        <v>251</v>
      </c>
      <c r="C46" s="90">
        <v>1000</v>
      </c>
      <c r="D46" s="201">
        <v>0.8</v>
      </c>
      <c r="E46" s="87"/>
      <c r="F46" s="202">
        <v>0.75</v>
      </c>
      <c r="G46" s="87"/>
      <c r="H46" s="117">
        <f t="shared" ref="H46:H52" si="1">+B46*$B$43</f>
        <v>154616000</v>
      </c>
      <c r="I46" s="117">
        <f t="shared" si="0"/>
        <v>616000000</v>
      </c>
    </row>
    <row r="47" spans="1:9" x14ac:dyDescent="0.25">
      <c r="B47" s="90">
        <v>1001</v>
      </c>
      <c r="C47" s="90">
        <v>1500</v>
      </c>
      <c r="D47" s="201">
        <v>0.9</v>
      </c>
      <c r="E47" s="87"/>
      <c r="F47" s="202">
        <v>0.75</v>
      </c>
      <c r="G47" s="87"/>
      <c r="H47" s="117">
        <f t="shared" si="1"/>
        <v>616616000</v>
      </c>
      <c r="I47" s="117">
        <f t="shared" si="0"/>
        <v>924000000</v>
      </c>
    </row>
    <row r="48" spans="1:9" x14ac:dyDescent="0.25">
      <c r="B48" s="90">
        <v>1501</v>
      </c>
      <c r="C48" s="90">
        <v>2500</v>
      </c>
      <c r="D48" s="201">
        <v>0.9</v>
      </c>
      <c r="E48" s="87"/>
      <c r="F48" s="202">
        <v>0.7</v>
      </c>
      <c r="G48" s="87"/>
      <c r="H48" s="117">
        <f t="shared" si="1"/>
        <v>924616000</v>
      </c>
      <c r="I48" s="117">
        <f t="shared" si="0"/>
        <v>1540000000</v>
      </c>
    </row>
    <row r="49" spans="1:9" x14ac:dyDescent="0.25">
      <c r="B49" s="90">
        <v>2501</v>
      </c>
      <c r="C49" s="90">
        <v>3000</v>
      </c>
      <c r="D49" s="201">
        <v>1</v>
      </c>
      <c r="E49" s="87"/>
      <c r="F49" s="202">
        <v>0.7</v>
      </c>
      <c r="G49" s="87"/>
      <c r="H49" s="117">
        <f t="shared" si="1"/>
        <v>1540616000</v>
      </c>
      <c r="I49" s="117">
        <f t="shared" si="0"/>
        <v>1848000000</v>
      </c>
    </row>
    <row r="50" spans="1:9" x14ac:dyDescent="0.25">
      <c r="B50" s="90">
        <v>3001</v>
      </c>
      <c r="C50" s="90">
        <v>3500</v>
      </c>
      <c r="D50" s="201">
        <v>1</v>
      </c>
      <c r="E50" s="87"/>
      <c r="F50" s="202">
        <v>0.68</v>
      </c>
      <c r="G50" s="87"/>
      <c r="H50" s="117">
        <f t="shared" si="1"/>
        <v>1848616000</v>
      </c>
      <c r="I50" s="117">
        <f t="shared" si="0"/>
        <v>2156000000</v>
      </c>
    </row>
    <row r="51" spans="1:9" x14ac:dyDescent="0.25">
      <c r="B51" s="90">
        <v>3501</v>
      </c>
      <c r="C51" s="90">
        <v>4500</v>
      </c>
      <c r="D51" s="201">
        <v>1.1000000000000001</v>
      </c>
      <c r="E51" s="87"/>
      <c r="F51" s="202">
        <v>0.68</v>
      </c>
      <c r="G51" s="87"/>
      <c r="H51" s="117">
        <f t="shared" si="1"/>
        <v>2156616000</v>
      </c>
      <c r="I51" s="117">
        <f t="shared" si="0"/>
        <v>2772000000</v>
      </c>
    </row>
    <row r="52" spans="1:9" x14ac:dyDescent="0.25">
      <c r="A52" s="84" t="s">
        <v>22</v>
      </c>
      <c r="B52" s="90">
        <v>4501</v>
      </c>
      <c r="C52" s="90"/>
      <c r="D52" s="201">
        <v>1.2</v>
      </c>
      <c r="E52" s="87"/>
      <c r="F52" s="202">
        <v>0.65</v>
      </c>
      <c r="G52" s="87"/>
      <c r="H52" s="117">
        <f t="shared" si="1"/>
        <v>2772616000</v>
      </c>
      <c r="I52" s="117">
        <f t="shared" si="0"/>
        <v>0</v>
      </c>
    </row>
  </sheetData>
  <mergeCells count="16">
    <mergeCell ref="A6:E6"/>
    <mergeCell ref="A1:E1"/>
    <mergeCell ref="B2:D2"/>
    <mergeCell ref="A3:E3"/>
    <mergeCell ref="B4:D4"/>
    <mergeCell ref="A5:E5"/>
    <mergeCell ref="B29:D29"/>
    <mergeCell ref="C33:D33"/>
    <mergeCell ref="C35:D35"/>
    <mergeCell ref="H44:I44"/>
    <mergeCell ref="C8:D8"/>
    <mergeCell ref="C9:D9"/>
    <mergeCell ref="C10:D10"/>
    <mergeCell ref="C17:D17"/>
    <mergeCell ref="C18:D18"/>
    <mergeCell ref="B28:D28"/>
  </mergeCells>
  <pageMargins left="0.7" right="0.7" top="0.75" bottom="0.75" header="0.3" footer="0.3"/>
  <pageSetup scale="98"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view="pageBreakPreview" topLeftCell="A3" zoomScale="110" zoomScaleNormal="100" zoomScaleSheetLayoutView="110" workbookViewId="0">
      <selection activeCell="B3" sqref="B3:H3"/>
    </sheetView>
  </sheetViews>
  <sheetFormatPr baseColWidth="10" defaultRowHeight="15" x14ac:dyDescent="0.25"/>
  <cols>
    <col min="1" max="1" width="2.28515625" style="143" customWidth="1"/>
    <col min="2" max="2" width="31.140625" bestFit="1" customWidth="1"/>
    <col min="3" max="3" width="24.5703125" customWidth="1"/>
    <col min="4" max="4" width="4.42578125" customWidth="1"/>
    <col min="5" max="5" width="18.85546875" customWidth="1"/>
    <col min="6" max="6" width="4" style="46" customWidth="1"/>
    <col min="7" max="7" width="19" customWidth="1"/>
    <col min="8" max="8" width="14" style="46" customWidth="1"/>
    <col min="9" max="9" width="4.140625" style="143" customWidth="1"/>
    <col min="10" max="10" width="12.5703125" bestFit="1" customWidth="1"/>
  </cols>
  <sheetData>
    <row r="1" spans="1:9" s="1" customFormat="1" ht="15.75" x14ac:dyDescent="0.25">
      <c r="A1" s="151"/>
      <c r="B1" s="272" t="s">
        <v>0</v>
      </c>
      <c r="C1" s="272"/>
      <c r="D1" s="272"/>
      <c r="E1" s="272"/>
      <c r="F1" s="272"/>
      <c r="G1" s="272"/>
      <c r="H1" s="272"/>
      <c r="I1" s="30"/>
    </row>
    <row r="2" spans="1:9" s="1" customFormat="1" ht="15.75" customHeight="1" x14ac:dyDescent="0.25">
      <c r="A2" s="2"/>
      <c r="B2" s="263" t="s">
        <v>1</v>
      </c>
      <c r="C2" s="263"/>
      <c r="D2" s="263"/>
      <c r="E2" s="263"/>
      <c r="F2" s="263"/>
      <c r="G2" s="263"/>
      <c r="H2" s="263"/>
      <c r="I2" s="5"/>
    </row>
    <row r="3" spans="1:9" s="1" customFormat="1" ht="20.25" customHeight="1" x14ac:dyDescent="0.25">
      <c r="A3" s="98"/>
      <c r="B3" s="263" t="s">
        <v>2</v>
      </c>
      <c r="C3" s="263"/>
      <c r="D3" s="263"/>
      <c r="E3" s="263"/>
      <c r="F3" s="263"/>
      <c r="G3" s="263"/>
      <c r="H3" s="263"/>
      <c r="I3" s="5"/>
    </row>
    <row r="4" spans="1:9" s="1" customFormat="1" ht="15.75" customHeight="1" x14ac:dyDescent="0.25">
      <c r="A4" s="152"/>
      <c r="B4" s="263" t="s">
        <v>28</v>
      </c>
      <c r="C4" s="263"/>
      <c r="D4" s="263"/>
      <c r="E4" s="263"/>
      <c r="F4" s="263"/>
      <c r="G4" s="263"/>
      <c r="H4" s="263"/>
      <c r="I4" s="5"/>
    </row>
    <row r="5" spans="1:9" s="1" customFormat="1" ht="78" customHeight="1" thickBot="1" x14ac:dyDescent="0.3">
      <c r="A5" s="3"/>
      <c r="B5" s="264" t="s">
        <v>29</v>
      </c>
      <c r="C5" s="264"/>
      <c r="D5" s="264"/>
      <c r="E5" s="264"/>
      <c r="F5" s="264"/>
      <c r="G5" s="264"/>
      <c r="H5" s="264"/>
      <c r="I5" s="5"/>
    </row>
    <row r="6" spans="1:9" s="1" customFormat="1" ht="14.25" thickBot="1" x14ac:dyDescent="0.3">
      <c r="A6" s="3"/>
      <c r="B6" s="6" t="s">
        <v>3</v>
      </c>
      <c r="C6" s="273" t="s">
        <v>210</v>
      </c>
      <c r="D6" s="273"/>
      <c r="E6" s="273"/>
      <c r="F6" s="273"/>
      <c r="G6" s="273"/>
      <c r="H6" s="274"/>
      <c r="I6" s="5"/>
    </row>
    <row r="7" spans="1:9" s="1" customFormat="1" ht="15.75" customHeight="1" thickBot="1" x14ac:dyDescent="0.3">
      <c r="A7" s="3"/>
      <c r="B7" s="26" t="s">
        <v>37</v>
      </c>
      <c r="C7" s="273">
        <v>32</v>
      </c>
      <c r="D7" s="273"/>
      <c r="E7" s="273"/>
      <c r="F7" s="273"/>
      <c r="G7" s="273"/>
      <c r="H7" s="274"/>
      <c r="I7" s="5"/>
    </row>
    <row r="8" spans="1:9" s="1" customFormat="1" ht="26.25" customHeight="1" x14ac:dyDescent="0.25">
      <c r="A8" s="3"/>
      <c r="B8" s="130" t="s">
        <v>23</v>
      </c>
      <c r="C8" s="278" t="s">
        <v>24</v>
      </c>
      <c r="D8" s="278"/>
      <c r="E8" s="278"/>
      <c r="F8" s="140"/>
      <c r="G8" s="278" t="s">
        <v>25</v>
      </c>
      <c r="H8" s="279"/>
      <c r="I8" s="5"/>
    </row>
    <row r="9" spans="1:9" s="1" customFormat="1" ht="13.5" x14ac:dyDescent="0.25">
      <c r="A9" s="3"/>
      <c r="B9" s="133"/>
      <c r="C9" s="135"/>
      <c r="D9" s="135"/>
      <c r="E9" s="135"/>
      <c r="F9" s="203"/>
      <c r="G9" s="135"/>
      <c r="H9" s="99"/>
      <c r="I9" s="5"/>
    </row>
    <row r="10" spans="1:9" s="20" customFormat="1" ht="13.5" x14ac:dyDescent="0.25">
      <c r="A10" s="3"/>
      <c r="B10" s="160">
        <v>8</v>
      </c>
      <c r="C10" s="271" t="s">
        <v>117</v>
      </c>
      <c r="D10" s="271"/>
      <c r="E10" s="271"/>
      <c r="F10" s="198"/>
      <c r="G10" s="280">
        <v>3550077700</v>
      </c>
      <c r="H10" s="281"/>
      <c r="I10" s="5"/>
    </row>
    <row r="11" spans="1:9" s="20" customFormat="1" ht="14.25" thickBot="1" x14ac:dyDescent="0.3">
      <c r="A11" s="3"/>
      <c r="B11" s="160"/>
      <c r="C11" s="271"/>
      <c r="D11" s="271"/>
      <c r="E11" s="271"/>
      <c r="F11" s="198"/>
      <c r="G11" s="280"/>
      <c r="H11" s="281"/>
      <c r="I11" s="5"/>
    </row>
    <row r="12" spans="1:9" s="1" customFormat="1" ht="15.75" customHeight="1" thickBot="1" x14ac:dyDescent="0.3">
      <c r="A12" s="3"/>
      <c r="B12" s="6" t="s">
        <v>4</v>
      </c>
      <c r="C12" s="54"/>
      <c r="D12" s="161"/>
      <c r="E12" s="161"/>
      <c r="F12" s="161"/>
      <c r="G12" s="282">
        <f>+SUM(G10:H11)</f>
        <v>3550077700</v>
      </c>
      <c r="H12" s="283"/>
      <c r="I12" s="5"/>
    </row>
    <row r="13" spans="1:9" s="1" customFormat="1" ht="15.75" customHeight="1" thickBot="1" x14ac:dyDescent="0.3">
      <c r="A13" s="3"/>
      <c r="B13" s="31" t="s">
        <v>5</v>
      </c>
      <c r="D13" s="162"/>
      <c r="E13" s="162"/>
      <c r="F13" s="162"/>
      <c r="G13" s="284">
        <f>ROUND(G12/616000,0)</f>
        <v>5763</v>
      </c>
      <c r="H13" s="285"/>
      <c r="I13" s="5"/>
    </row>
    <row r="14" spans="1:9" s="1" customFormat="1" ht="13.5" x14ac:dyDescent="0.25">
      <c r="A14" s="3"/>
      <c r="B14" s="136"/>
      <c r="C14" s="64"/>
      <c r="D14" s="65"/>
      <c r="E14" s="69"/>
      <c r="F14" s="29"/>
      <c r="G14" s="69"/>
      <c r="H14" s="29"/>
      <c r="I14" s="5"/>
    </row>
    <row r="15" spans="1:9" s="4" customFormat="1" ht="13.5" x14ac:dyDescent="0.25">
      <c r="A15" s="3"/>
      <c r="B15" s="18"/>
      <c r="C15" s="19"/>
      <c r="D15" s="56"/>
      <c r="I15" s="5"/>
    </row>
    <row r="16" spans="1:9" s="4" customFormat="1" ht="14.25" thickBot="1" x14ac:dyDescent="0.3">
      <c r="A16" s="3"/>
      <c r="B16" s="18" t="s">
        <v>19</v>
      </c>
      <c r="C16" s="19"/>
      <c r="D16" s="56"/>
      <c r="I16" s="5"/>
    </row>
    <row r="17" spans="1:9" s="4" customFormat="1" ht="13.5" x14ac:dyDescent="0.25">
      <c r="A17" s="3"/>
      <c r="B17" s="16" t="s">
        <v>13</v>
      </c>
      <c r="C17" s="67">
        <f>+IF($G$13&gt;$B$51,$D$51,IF(AND($G$13&gt;=$B$50,$G$13&lt;=$C$50),$D$50,IF(AND($G$13&gt;=$B$48,$G$13&lt;=$C$49),$D$48,IF(AND($G$13&gt;=$B$46,$G$13&lt;=$C$47),$D$46,IF(AND($G$13&gt;$B$44,$G$13&lt;=$C$45),$D$44)))))</f>
        <v>1.2</v>
      </c>
      <c r="D17" s="56"/>
      <c r="I17" s="5"/>
    </row>
    <row r="18" spans="1:9" s="4" customFormat="1" ht="14.25" thickBot="1" x14ac:dyDescent="0.3">
      <c r="A18" s="3"/>
      <c r="B18" s="17" t="s">
        <v>14</v>
      </c>
      <c r="C18" s="68">
        <f>+IF($G$13&gt;$B$51,$F$51,IF(AND($G$13&gt;=$B$49,$G$13&lt;=$C$50),$F$49,IF(AND($G$13&gt;=$B$47,$G$13&lt;=$C$48),$F$47,IF(AND($G$13&gt;=$B$45,$G$13&lt;=$C$46),$F$45,IF(AND($G$13&gt;$B$44,$G$13&lt;=$C$44),$F$44)))))</f>
        <v>0.65</v>
      </c>
      <c r="D18" s="56"/>
      <c r="I18" s="5"/>
    </row>
    <row r="19" spans="1:9" s="4" customFormat="1" ht="14.25" thickBot="1" x14ac:dyDescent="0.3">
      <c r="A19" s="3"/>
      <c r="B19" s="137"/>
      <c r="C19" s="32"/>
      <c r="D19" s="33"/>
      <c r="E19" s="25"/>
      <c r="F19" s="25"/>
      <c r="G19" s="25"/>
      <c r="H19" s="25"/>
      <c r="I19" s="5"/>
    </row>
    <row r="20" spans="1:9" s="22" customFormat="1" ht="42.75" customHeight="1" thickBot="1" x14ac:dyDescent="0.3">
      <c r="A20" s="3"/>
      <c r="B20" s="6" t="s">
        <v>18</v>
      </c>
      <c r="C20" s="59" t="s">
        <v>118</v>
      </c>
      <c r="D20" s="7"/>
      <c r="E20" s="159" t="s">
        <v>119</v>
      </c>
      <c r="F20" s="60"/>
      <c r="G20" s="159" t="s">
        <v>120</v>
      </c>
      <c r="H20" s="35"/>
      <c r="I20" s="5"/>
    </row>
    <row r="21" spans="1:9" s="22" customFormat="1" ht="13.5" customHeight="1" thickBot="1" x14ac:dyDescent="0.3">
      <c r="A21" s="3"/>
      <c r="B21" s="6" t="s">
        <v>31</v>
      </c>
      <c r="C21" s="59">
        <v>830510073</v>
      </c>
      <c r="D21" s="7"/>
      <c r="E21" s="157">
        <v>802007970</v>
      </c>
      <c r="F21" s="158"/>
      <c r="G21" s="157"/>
      <c r="H21" s="35"/>
      <c r="I21" s="5"/>
    </row>
    <row r="22" spans="1:9" s="22" customFormat="1" ht="14.25" thickBot="1" x14ac:dyDescent="0.3">
      <c r="A22" s="3"/>
      <c r="B22" s="138"/>
      <c r="C22" s="9"/>
      <c r="D22" s="9"/>
      <c r="E22" s="4"/>
      <c r="F22" s="4"/>
      <c r="G22" s="4"/>
      <c r="H22" s="4"/>
      <c r="I22" s="5"/>
    </row>
    <row r="23" spans="1:9" s="1" customFormat="1" ht="13.5" x14ac:dyDescent="0.25">
      <c r="A23" s="3"/>
      <c r="B23" s="10" t="s">
        <v>7</v>
      </c>
      <c r="C23" s="11">
        <v>337951496</v>
      </c>
      <c r="D23" s="37"/>
      <c r="E23" s="11">
        <v>576059642.84000003</v>
      </c>
      <c r="F23" s="91"/>
      <c r="G23" s="11">
        <f>+E23+C23</f>
        <v>914011138.84000003</v>
      </c>
      <c r="H23" s="30"/>
      <c r="I23" s="5"/>
    </row>
    <row r="24" spans="1:9" s="1" customFormat="1" ht="13.5" x14ac:dyDescent="0.25">
      <c r="A24" s="3"/>
      <c r="B24" s="12" t="s">
        <v>8</v>
      </c>
      <c r="C24" s="13">
        <v>359281611</v>
      </c>
      <c r="D24" s="38"/>
      <c r="E24" s="13">
        <v>669062576.33000004</v>
      </c>
      <c r="F24" s="19"/>
      <c r="G24" s="13">
        <f t="shared" ref="G24:G26" si="0">+E24+C24</f>
        <v>1028344187.33</v>
      </c>
      <c r="H24" s="5"/>
      <c r="I24" s="5"/>
    </row>
    <row r="25" spans="1:9" s="1" customFormat="1" ht="13.5" x14ac:dyDescent="0.25">
      <c r="A25" s="3"/>
      <c r="B25" s="12" t="s">
        <v>9</v>
      </c>
      <c r="C25" s="13">
        <v>166844997</v>
      </c>
      <c r="D25" s="38"/>
      <c r="E25" s="13">
        <v>152280956.33000001</v>
      </c>
      <c r="F25" s="19"/>
      <c r="G25" s="13">
        <f t="shared" si="0"/>
        <v>319125953.33000004</v>
      </c>
      <c r="H25" s="5"/>
      <c r="I25" s="5"/>
    </row>
    <row r="26" spans="1:9" s="1" customFormat="1" ht="14.25" thickBot="1" x14ac:dyDescent="0.3">
      <c r="A26" s="3"/>
      <c r="B26" s="14" t="s">
        <v>10</v>
      </c>
      <c r="C26" s="15">
        <v>166844997</v>
      </c>
      <c r="D26" s="50"/>
      <c r="E26" s="15">
        <v>194326367.81999999</v>
      </c>
      <c r="F26" s="92"/>
      <c r="G26" s="15">
        <f t="shared" si="0"/>
        <v>361171364.81999999</v>
      </c>
      <c r="H26" s="21"/>
      <c r="I26" s="5"/>
    </row>
    <row r="27" spans="1:9" s="1" customFormat="1" ht="14.25" thickBot="1" x14ac:dyDescent="0.3">
      <c r="A27" s="3"/>
      <c r="B27" s="275" t="s">
        <v>11</v>
      </c>
      <c r="C27" s="276"/>
      <c r="D27" s="276"/>
      <c r="E27" s="276"/>
      <c r="F27" s="276"/>
      <c r="G27" s="276"/>
      <c r="H27" s="277"/>
      <c r="I27" s="5"/>
    </row>
    <row r="28" spans="1:9" s="1" customFormat="1" ht="14.25" thickBot="1" x14ac:dyDescent="0.3">
      <c r="A28" s="3"/>
      <c r="B28" s="275" t="s">
        <v>12</v>
      </c>
      <c r="C28" s="276"/>
      <c r="D28" s="276"/>
      <c r="E28" s="276"/>
      <c r="F28" s="276"/>
      <c r="G28" s="276"/>
      <c r="H28" s="277"/>
      <c r="I28" s="5"/>
    </row>
    <row r="29" spans="1:9" s="1" customFormat="1" ht="13.5" x14ac:dyDescent="0.25">
      <c r="A29" s="3"/>
      <c r="B29" s="16" t="s">
        <v>13</v>
      </c>
      <c r="C29" s="124">
        <f>+IFERROR(C23/C25,"INDETERMINADO")</f>
        <v>2.0255416828590911</v>
      </c>
      <c r="D29" s="125"/>
      <c r="E29" s="124">
        <f>+IFERROR(E23/E25,"INDETERMINADO")</f>
        <v>3.7828738190457094</v>
      </c>
      <c r="F29" s="58"/>
      <c r="G29" s="124">
        <f>+IFERROR(G23/G25,"INDETERMINADO")</f>
        <v>2.864107821073532</v>
      </c>
      <c r="H29" s="40" t="str">
        <f>+IF(G29&gt;=C16,"CUMPLE","NO CUMPLE")</f>
        <v>CUMPLE</v>
      </c>
      <c r="I29" s="5"/>
    </row>
    <row r="30" spans="1:9" s="1" customFormat="1" ht="14.25" thickBot="1" x14ac:dyDescent="0.3">
      <c r="A30" s="3"/>
      <c r="B30" s="17" t="s">
        <v>14</v>
      </c>
      <c r="C30" s="41">
        <f>+C26/C24</f>
        <v>0.46438501691087108</v>
      </c>
      <c r="D30" s="42"/>
      <c r="E30" s="41">
        <f>+E26/E24</f>
        <v>0.29044572913633254</v>
      </c>
      <c r="F30" s="43"/>
      <c r="G30" s="41">
        <f>+G26/G24</f>
        <v>0.35121642079559745</v>
      </c>
      <c r="H30" s="44" t="str">
        <f>+IF(G30&lt;=C17,"CUMPLE","NO CUMPLE")</f>
        <v>CUMPLE</v>
      </c>
      <c r="I30" s="5"/>
    </row>
    <row r="31" spans="1:9" s="20" customFormat="1" ht="14.25" thickBot="1" x14ac:dyDescent="0.3">
      <c r="A31" s="3"/>
      <c r="B31" s="139"/>
      <c r="C31" s="18"/>
      <c r="D31" s="19"/>
      <c r="F31" s="4"/>
      <c r="H31" s="4"/>
      <c r="I31" s="5"/>
    </row>
    <row r="32" spans="1:9" s="1" customFormat="1" ht="20.25" customHeight="1" thickBot="1" x14ac:dyDescent="0.3">
      <c r="A32" s="3"/>
      <c r="B32" s="6" t="s">
        <v>15</v>
      </c>
      <c r="C32" s="267" t="s">
        <v>36</v>
      </c>
      <c r="D32" s="267"/>
      <c r="E32" s="267"/>
      <c r="F32" s="267"/>
      <c r="G32" s="267"/>
      <c r="H32" s="268"/>
      <c r="I32" s="5"/>
    </row>
    <row r="33" spans="1:10" s="4" customFormat="1" ht="14.25" thickBot="1" x14ac:dyDescent="0.3">
      <c r="A33" s="3"/>
      <c r="B33" s="45"/>
      <c r="C33" s="45"/>
      <c r="D33" s="45"/>
      <c r="I33" s="5"/>
    </row>
    <row r="34" spans="1:10" s="46" customFormat="1" ht="36.75" customHeight="1" thickBot="1" x14ac:dyDescent="0.3">
      <c r="A34" s="153"/>
      <c r="B34" s="79" t="s">
        <v>26</v>
      </c>
      <c r="C34" s="269"/>
      <c r="D34" s="269"/>
      <c r="E34" s="269"/>
      <c r="F34" s="269"/>
      <c r="G34" s="269"/>
      <c r="H34" s="270"/>
      <c r="I34" s="5"/>
    </row>
    <row r="35" spans="1:10" s="46" customFormat="1" ht="15.75" thickBot="1" x14ac:dyDescent="0.3">
      <c r="A35" s="154"/>
      <c r="B35" s="155"/>
      <c r="C35" s="155"/>
      <c r="D35" s="25"/>
      <c r="E35" s="25"/>
      <c r="F35" s="25"/>
      <c r="G35" s="25"/>
      <c r="H35" s="156"/>
      <c r="I35" s="21"/>
    </row>
    <row r="36" spans="1:10" x14ac:dyDescent="0.25">
      <c r="D36" s="22"/>
      <c r="E36" s="22"/>
      <c r="F36" s="22"/>
      <c r="G36" s="22"/>
      <c r="H36" s="23"/>
      <c r="I36" s="4"/>
    </row>
    <row r="37" spans="1:10" x14ac:dyDescent="0.25">
      <c r="D37" s="22"/>
      <c r="E37" s="22"/>
      <c r="F37" s="22"/>
      <c r="G37" s="22"/>
      <c r="H37" s="23"/>
      <c r="I37" s="4"/>
    </row>
    <row r="38" spans="1:10" x14ac:dyDescent="0.25">
      <c r="D38" s="22"/>
      <c r="E38" s="22"/>
      <c r="F38" s="22"/>
      <c r="G38" s="22"/>
      <c r="H38" s="23"/>
      <c r="I38" s="4"/>
    </row>
    <row r="39" spans="1:10" x14ac:dyDescent="0.25">
      <c r="D39" s="22"/>
      <c r="E39" s="22"/>
      <c r="F39" s="22"/>
      <c r="G39" s="22"/>
      <c r="H39" s="23"/>
      <c r="I39" s="4"/>
    </row>
    <row r="40" spans="1:10" x14ac:dyDescent="0.25">
      <c r="D40" s="22"/>
      <c r="E40" s="22"/>
      <c r="F40" s="22"/>
      <c r="G40" s="22"/>
      <c r="H40" s="23"/>
      <c r="I40" s="4"/>
    </row>
    <row r="41" spans="1:10" x14ac:dyDescent="0.25">
      <c r="D41" s="22"/>
      <c r="E41" s="22"/>
      <c r="F41" s="22"/>
      <c r="G41" s="22"/>
      <c r="H41" s="22"/>
      <c r="I41" s="4"/>
    </row>
    <row r="42" spans="1:10" x14ac:dyDescent="0.25">
      <c r="B42" s="24">
        <v>616000</v>
      </c>
      <c r="D42" s="22"/>
      <c r="E42" s="22"/>
      <c r="F42" s="22"/>
      <c r="G42" s="22"/>
      <c r="H42" s="22"/>
      <c r="I42" s="4"/>
    </row>
    <row r="43" spans="1:10" x14ac:dyDescent="0.25">
      <c r="B43" s="141" t="s">
        <v>21</v>
      </c>
      <c r="C43" s="66" t="s">
        <v>20</v>
      </c>
      <c r="D43" s="265" t="s">
        <v>16</v>
      </c>
      <c r="E43" s="265"/>
      <c r="F43" s="265" t="s">
        <v>17</v>
      </c>
      <c r="G43" s="265"/>
    </row>
    <row r="44" spans="1:10" x14ac:dyDescent="0.25">
      <c r="B44" s="142">
        <v>0</v>
      </c>
      <c r="C44" s="55">
        <v>250</v>
      </c>
      <c r="D44" s="266">
        <v>0.8</v>
      </c>
      <c r="E44" s="266"/>
      <c r="F44" s="262">
        <v>0.8</v>
      </c>
      <c r="G44" s="262"/>
      <c r="H44" s="145"/>
      <c r="J44" s="147">
        <f t="shared" ref="J44:J51" si="1">+C44*$B$42</f>
        <v>154000000</v>
      </c>
    </row>
    <row r="45" spans="1:10" x14ac:dyDescent="0.25">
      <c r="B45" s="142">
        <v>251</v>
      </c>
      <c r="C45" s="55">
        <v>1000</v>
      </c>
      <c r="D45" s="266">
        <v>0.8</v>
      </c>
      <c r="E45" s="266"/>
      <c r="F45" s="262">
        <v>0.75</v>
      </c>
      <c r="G45" s="262"/>
      <c r="H45" s="146">
        <f t="shared" ref="H45:H51" si="2">+B45*$B$42</f>
        <v>154616000</v>
      </c>
      <c r="J45" s="147">
        <f t="shared" si="1"/>
        <v>616000000</v>
      </c>
    </row>
    <row r="46" spans="1:10" x14ac:dyDescent="0.25">
      <c r="B46" s="142">
        <v>1001</v>
      </c>
      <c r="C46" s="55">
        <v>1500</v>
      </c>
      <c r="D46" s="266">
        <v>0.9</v>
      </c>
      <c r="E46" s="266"/>
      <c r="F46" s="262">
        <v>0.75</v>
      </c>
      <c r="G46" s="262"/>
      <c r="H46" s="146">
        <f t="shared" si="2"/>
        <v>616616000</v>
      </c>
      <c r="J46" s="147">
        <f t="shared" si="1"/>
        <v>924000000</v>
      </c>
    </row>
    <row r="47" spans="1:10" x14ac:dyDescent="0.25">
      <c r="B47" s="142">
        <v>1501</v>
      </c>
      <c r="C47" s="55">
        <v>2500</v>
      </c>
      <c r="D47" s="266">
        <v>0.9</v>
      </c>
      <c r="E47" s="266"/>
      <c r="F47" s="262">
        <v>0.7</v>
      </c>
      <c r="G47" s="262"/>
      <c r="H47" s="146">
        <f t="shared" si="2"/>
        <v>924616000</v>
      </c>
      <c r="J47" s="147">
        <f t="shared" si="1"/>
        <v>1540000000</v>
      </c>
    </row>
    <row r="48" spans="1:10" x14ac:dyDescent="0.25">
      <c r="B48" s="142">
        <v>2501</v>
      </c>
      <c r="C48" s="55">
        <v>3000</v>
      </c>
      <c r="D48" s="266">
        <v>1</v>
      </c>
      <c r="E48" s="266"/>
      <c r="F48" s="262">
        <v>0.7</v>
      </c>
      <c r="G48" s="262"/>
      <c r="H48" s="146">
        <f t="shared" si="2"/>
        <v>1540616000</v>
      </c>
      <c r="J48" s="147">
        <f t="shared" si="1"/>
        <v>1848000000</v>
      </c>
    </row>
    <row r="49" spans="2:10" x14ac:dyDescent="0.25">
      <c r="B49" s="142">
        <v>3001</v>
      </c>
      <c r="C49" s="55">
        <v>3500</v>
      </c>
      <c r="D49" s="266">
        <v>1</v>
      </c>
      <c r="E49" s="266"/>
      <c r="F49" s="262">
        <v>0.68</v>
      </c>
      <c r="G49" s="262"/>
      <c r="H49" s="146">
        <f t="shared" si="2"/>
        <v>1848616000</v>
      </c>
      <c r="J49" s="147">
        <f t="shared" si="1"/>
        <v>2156000000</v>
      </c>
    </row>
    <row r="50" spans="2:10" x14ac:dyDescent="0.25">
      <c r="B50" s="142">
        <v>3501</v>
      </c>
      <c r="C50" s="55">
        <v>4500</v>
      </c>
      <c r="D50" s="266">
        <v>1.1000000000000001</v>
      </c>
      <c r="E50" s="266"/>
      <c r="F50" s="262">
        <v>0.68</v>
      </c>
      <c r="G50" s="262"/>
      <c r="H50" s="146">
        <f t="shared" si="2"/>
        <v>2156616000</v>
      </c>
      <c r="J50" s="147">
        <f t="shared" si="1"/>
        <v>2772000000</v>
      </c>
    </row>
    <row r="51" spans="2:10" x14ac:dyDescent="0.25">
      <c r="B51" s="142">
        <v>4501</v>
      </c>
      <c r="C51" s="55"/>
      <c r="D51" s="266">
        <v>1.2</v>
      </c>
      <c r="E51" s="266"/>
      <c r="F51" s="262">
        <v>0.65</v>
      </c>
      <c r="G51" s="262"/>
      <c r="H51" s="146">
        <f t="shared" si="2"/>
        <v>2772616000</v>
      </c>
      <c r="J51" s="147">
        <f t="shared" si="1"/>
        <v>0</v>
      </c>
    </row>
  </sheetData>
  <mergeCells count="37">
    <mergeCell ref="C6:H6"/>
    <mergeCell ref="B1:H1"/>
    <mergeCell ref="B2:H2"/>
    <mergeCell ref="B3:H3"/>
    <mergeCell ref="B4:H4"/>
    <mergeCell ref="B5:H5"/>
    <mergeCell ref="B28:H28"/>
    <mergeCell ref="C7:H7"/>
    <mergeCell ref="C8:E8"/>
    <mergeCell ref="G8:H8"/>
    <mergeCell ref="C10:E10"/>
    <mergeCell ref="G10:H10"/>
    <mergeCell ref="C11:E11"/>
    <mergeCell ref="G11:H11"/>
    <mergeCell ref="G12:H12"/>
    <mergeCell ref="G13:H13"/>
    <mergeCell ref="B27:H27"/>
    <mergeCell ref="C32:H32"/>
    <mergeCell ref="C34:H34"/>
    <mergeCell ref="D43:E43"/>
    <mergeCell ref="F43:G43"/>
    <mergeCell ref="D44:E44"/>
    <mergeCell ref="F44:G44"/>
    <mergeCell ref="D45:E45"/>
    <mergeCell ref="F45:G45"/>
    <mergeCell ref="D46:E46"/>
    <mergeCell ref="F46:G46"/>
    <mergeCell ref="D47:E47"/>
    <mergeCell ref="F47:G47"/>
    <mergeCell ref="D51:E51"/>
    <mergeCell ref="F51:G51"/>
    <mergeCell ref="D48:E48"/>
    <mergeCell ref="F48:G48"/>
    <mergeCell ref="D49:E49"/>
    <mergeCell ref="F49:G49"/>
    <mergeCell ref="D50:E50"/>
    <mergeCell ref="F50:G50"/>
  </mergeCells>
  <pageMargins left="0.70866141732283472" right="0.70866141732283472" top="0.74803149606299213" bottom="0.74803149606299213" header="0.31496062992125984" footer="0.31496062992125984"/>
  <pageSetup scale="77" orientation="landscape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1"/>
  <sheetViews>
    <sheetView view="pageBreakPreview" zoomScaleNormal="100" zoomScaleSheetLayoutView="100" workbookViewId="0">
      <selection activeCell="C6" sqref="C6:J6"/>
    </sheetView>
  </sheetViews>
  <sheetFormatPr baseColWidth="10" defaultRowHeight="15" x14ac:dyDescent="0.25"/>
  <cols>
    <col min="1" max="1" width="2.28515625" style="143" customWidth="1"/>
    <col min="2" max="2" width="31.140625" bestFit="1" customWidth="1"/>
    <col min="3" max="3" width="24.5703125" customWidth="1"/>
    <col min="4" max="4" width="4.42578125" customWidth="1"/>
    <col min="5" max="5" width="18.85546875" customWidth="1"/>
    <col min="6" max="7" width="4" style="46" customWidth="1"/>
    <col min="8" max="8" width="13" style="46" customWidth="1"/>
    <col min="9" max="9" width="19" customWidth="1"/>
    <col min="10" max="10" width="14" style="46" customWidth="1"/>
    <col min="11" max="11" width="4.140625" style="143" customWidth="1"/>
    <col min="12" max="12" width="12.5703125" bestFit="1" customWidth="1"/>
  </cols>
  <sheetData>
    <row r="1" spans="1:11" s="1" customFormat="1" ht="15.75" x14ac:dyDescent="0.25">
      <c r="A1" s="151"/>
      <c r="B1" s="272" t="s">
        <v>0</v>
      </c>
      <c r="C1" s="272"/>
      <c r="D1" s="272"/>
      <c r="E1" s="272"/>
      <c r="F1" s="272"/>
      <c r="G1" s="272"/>
      <c r="H1" s="272"/>
      <c r="I1" s="272"/>
      <c r="J1" s="272"/>
      <c r="K1" s="30"/>
    </row>
    <row r="2" spans="1:11" s="1" customFormat="1" ht="15.75" x14ac:dyDescent="0.25">
      <c r="A2" s="2"/>
      <c r="B2" s="263" t="s">
        <v>1</v>
      </c>
      <c r="C2" s="263"/>
      <c r="D2" s="263"/>
      <c r="E2" s="263"/>
      <c r="F2" s="263"/>
      <c r="G2" s="263"/>
      <c r="H2" s="263"/>
      <c r="I2" s="263"/>
      <c r="J2" s="263"/>
      <c r="K2" s="5"/>
    </row>
    <row r="3" spans="1:11" s="1" customFormat="1" ht="15.75" x14ac:dyDescent="0.25">
      <c r="A3" s="98"/>
      <c r="B3" s="263" t="s">
        <v>2</v>
      </c>
      <c r="C3" s="263"/>
      <c r="D3" s="263"/>
      <c r="E3" s="263"/>
      <c r="F3" s="263"/>
      <c r="G3" s="263"/>
      <c r="H3" s="263"/>
      <c r="I3" s="263"/>
      <c r="J3" s="263"/>
      <c r="K3" s="5"/>
    </row>
    <row r="4" spans="1:11" s="1" customFormat="1" ht="15.75" x14ac:dyDescent="0.25">
      <c r="A4" s="152"/>
      <c r="B4" s="263" t="s">
        <v>28</v>
      </c>
      <c r="C4" s="263"/>
      <c r="D4" s="263"/>
      <c r="E4" s="263"/>
      <c r="F4" s="263"/>
      <c r="G4" s="263"/>
      <c r="H4" s="263"/>
      <c r="I4" s="263"/>
      <c r="J4" s="263"/>
      <c r="K4" s="5"/>
    </row>
    <row r="5" spans="1:11" s="1" customFormat="1" ht="72" customHeight="1" thickBot="1" x14ac:dyDescent="0.3">
      <c r="A5" s="3"/>
      <c r="B5" s="264" t="s">
        <v>29</v>
      </c>
      <c r="C5" s="264"/>
      <c r="D5" s="264"/>
      <c r="E5" s="264"/>
      <c r="F5" s="264"/>
      <c r="G5" s="264"/>
      <c r="H5" s="264"/>
      <c r="I5" s="264"/>
      <c r="J5" s="264"/>
      <c r="K5" s="5"/>
    </row>
    <row r="6" spans="1:11" s="1" customFormat="1" ht="14.25" thickBot="1" x14ac:dyDescent="0.3">
      <c r="A6" s="3"/>
      <c r="B6" s="6" t="s">
        <v>3</v>
      </c>
      <c r="C6" s="273" t="s">
        <v>108</v>
      </c>
      <c r="D6" s="273"/>
      <c r="E6" s="273"/>
      <c r="F6" s="273"/>
      <c r="G6" s="273"/>
      <c r="H6" s="273"/>
      <c r="I6" s="273"/>
      <c r="J6" s="274"/>
      <c r="K6" s="5"/>
    </row>
    <row r="7" spans="1:11" s="1" customFormat="1" ht="14.25" thickBot="1" x14ac:dyDescent="0.3">
      <c r="A7" s="3"/>
      <c r="B7" s="26" t="s">
        <v>37</v>
      </c>
      <c r="C7" s="273">
        <v>33</v>
      </c>
      <c r="D7" s="273"/>
      <c r="E7" s="273"/>
      <c r="F7" s="273"/>
      <c r="G7" s="273"/>
      <c r="H7" s="273"/>
      <c r="I7" s="273"/>
      <c r="J7" s="274"/>
      <c r="K7" s="5"/>
    </row>
    <row r="8" spans="1:11" s="1" customFormat="1" ht="13.5" x14ac:dyDescent="0.25">
      <c r="A8" s="3"/>
      <c r="B8" s="130" t="s">
        <v>23</v>
      </c>
      <c r="C8" s="278" t="s">
        <v>24</v>
      </c>
      <c r="D8" s="278"/>
      <c r="E8" s="278"/>
      <c r="F8" s="140"/>
      <c r="G8" s="140"/>
      <c r="H8" s="140"/>
      <c r="I8" s="278" t="s">
        <v>25</v>
      </c>
      <c r="J8" s="279"/>
      <c r="K8" s="5"/>
    </row>
    <row r="9" spans="1:11" s="1" customFormat="1" ht="13.5" x14ac:dyDescent="0.25">
      <c r="A9" s="3"/>
      <c r="B9" s="133"/>
      <c r="C9" s="135"/>
      <c r="D9" s="135"/>
      <c r="E9" s="135"/>
      <c r="F9" s="203"/>
      <c r="G9" s="203"/>
      <c r="H9" s="203"/>
      <c r="I9" s="135"/>
      <c r="J9" s="99"/>
      <c r="K9" s="5"/>
    </row>
    <row r="10" spans="1:11" s="20" customFormat="1" ht="13.5" x14ac:dyDescent="0.25">
      <c r="A10" s="3"/>
      <c r="B10" s="160">
        <v>7</v>
      </c>
      <c r="C10" s="271" t="s">
        <v>109</v>
      </c>
      <c r="D10" s="271"/>
      <c r="E10" s="271"/>
      <c r="F10" s="198"/>
      <c r="G10" s="198"/>
      <c r="H10" s="198"/>
      <c r="I10" s="280">
        <v>7818524064</v>
      </c>
      <c r="J10" s="281"/>
      <c r="K10" s="5"/>
    </row>
    <row r="11" spans="1:11" s="20" customFormat="1" ht="14.25" thickBot="1" x14ac:dyDescent="0.3">
      <c r="A11" s="3"/>
      <c r="B11" s="160"/>
      <c r="C11" s="271"/>
      <c r="D11" s="271"/>
      <c r="E11" s="271"/>
      <c r="F11" s="198"/>
      <c r="G11" s="198"/>
      <c r="H11" s="198"/>
      <c r="I11" s="280"/>
      <c r="J11" s="281"/>
      <c r="K11" s="5"/>
    </row>
    <row r="12" spans="1:11" s="1" customFormat="1" ht="14.25" thickBot="1" x14ac:dyDescent="0.3">
      <c r="A12" s="3"/>
      <c r="B12" s="6" t="s">
        <v>4</v>
      </c>
      <c r="C12" s="54"/>
      <c r="D12" s="161"/>
      <c r="E12" s="161"/>
      <c r="F12" s="161"/>
      <c r="G12" s="161"/>
      <c r="H12" s="161"/>
      <c r="I12" s="282">
        <f>+SUM(I10:J11)</f>
        <v>7818524064</v>
      </c>
      <c r="J12" s="283"/>
      <c r="K12" s="5"/>
    </row>
    <row r="13" spans="1:11" s="1" customFormat="1" ht="14.25" thickBot="1" x14ac:dyDescent="0.3">
      <c r="A13" s="3"/>
      <c r="B13" s="31" t="s">
        <v>5</v>
      </c>
      <c r="D13" s="162"/>
      <c r="E13" s="162"/>
      <c r="F13" s="162"/>
      <c r="G13" s="162"/>
      <c r="H13" s="162"/>
      <c r="I13" s="284">
        <f>ROUND(I12/616000,0)</f>
        <v>12692</v>
      </c>
      <c r="J13" s="285"/>
      <c r="K13" s="5"/>
    </row>
    <row r="14" spans="1:11" s="1" customFormat="1" ht="13.5" x14ac:dyDescent="0.25">
      <c r="A14" s="3"/>
      <c r="B14" s="136"/>
      <c r="C14" s="64"/>
      <c r="D14" s="65"/>
      <c r="E14" s="69"/>
      <c r="F14" s="29"/>
      <c r="G14" s="29"/>
      <c r="H14" s="29"/>
      <c r="I14" s="69"/>
      <c r="J14" s="29"/>
      <c r="K14" s="5"/>
    </row>
    <row r="15" spans="1:11" s="4" customFormat="1" ht="13.5" x14ac:dyDescent="0.25">
      <c r="A15" s="3"/>
      <c r="B15" s="18"/>
      <c r="C15" s="19"/>
      <c r="D15" s="56"/>
      <c r="K15" s="5"/>
    </row>
    <row r="16" spans="1:11" s="4" customFormat="1" ht="14.25" thickBot="1" x14ac:dyDescent="0.3">
      <c r="A16" s="3"/>
      <c r="B16" s="18" t="s">
        <v>19</v>
      </c>
      <c r="C16" s="19"/>
      <c r="D16" s="56"/>
      <c r="K16" s="5"/>
    </row>
    <row r="17" spans="1:11" s="4" customFormat="1" ht="13.5" x14ac:dyDescent="0.25">
      <c r="A17" s="3"/>
      <c r="B17" s="16" t="s">
        <v>13</v>
      </c>
      <c r="C17" s="67">
        <f>+IF($I$13&gt;$B$51,$D$51,IF(AND($I$13&gt;=$B$50,$I$13&lt;=$C$50),$D$50,IF(AND($I$13&gt;=$B$48,$I$13&lt;=$C$49),$D$48,IF(AND($I$13&gt;=$B$46,$I$13&lt;=$C$47),$D$46,IF(AND($I$13&gt;$B$44,$I$13&lt;=$C$45),$D$44)))))</f>
        <v>1.2</v>
      </c>
      <c r="D17" s="56"/>
      <c r="K17" s="5"/>
    </row>
    <row r="18" spans="1:11" s="4" customFormat="1" ht="14.25" thickBot="1" x14ac:dyDescent="0.3">
      <c r="A18" s="3"/>
      <c r="B18" s="17" t="s">
        <v>14</v>
      </c>
      <c r="C18" s="68">
        <f>+IF($I$13&gt;$B$51,$F$51,IF(AND($I$13&gt;=$B$49,$I$13&lt;=$C$50),$F$49,IF(AND($I$13&gt;=$B$47,$I$13&lt;=$C$48),$F$47,IF(AND($I$13&gt;=$B$45,$I$13&lt;=$C$46),$F$45,IF(AND($I$13&gt;$B$44,$I$13&lt;=$C$44),$F$44)))))</f>
        <v>0.65</v>
      </c>
      <c r="D18" s="56"/>
      <c r="K18" s="5"/>
    </row>
    <row r="19" spans="1:11" s="4" customFormat="1" ht="14.25" thickBot="1" x14ac:dyDescent="0.3">
      <c r="A19" s="3"/>
      <c r="B19" s="137"/>
      <c r="C19" s="32"/>
      <c r="D19" s="33"/>
      <c r="E19" s="25"/>
      <c r="F19" s="25"/>
      <c r="G19" s="25"/>
      <c r="H19" s="25"/>
      <c r="I19" s="25"/>
      <c r="J19" s="25"/>
      <c r="K19" s="5"/>
    </row>
    <row r="20" spans="1:11" s="22" customFormat="1" ht="68.25" thickBot="1" x14ac:dyDescent="0.3">
      <c r="A20" s="3"/>
      <c r="B20" s="6" t="s">
        <v>18</v>
      </c>
      <c r="C20" s="232" t="s">
        <v>110</v>
      </c>
      <c r="D20" s="7"/>
      <c r="E20" s="159" t="s">
        <v>111</v>
      </c>
      <c r="F20" s="60"/>
      <c r="G20" s="60"/>
      <c r="H20" s="222" t="s">
        <v>112</v>
      </c>
      <c r="I20" s="232" t="s">
        <v>108</v>
      </c>
      <c r="J20" s="35"/>
      <c r="K20" s="5"/>
    </row>
    <row r="21" spans="1:11" s="22" customFormat="1" ht="14.25" thickBot="1" x14ac:dyDescent="0.3">
      <c r="A21" s="3"/>
      <c r="B21" s="6" t="s">
        <v>31</v>
      </c>
      <c r="C21" s="157">
        <v>900642214</v>
      </c>
      <c r="D21" s="7"/>
      <c r="E21" s="157">
        <v>800218607</v>
      </c>
      <c r="F21" s="158"/>
      <c r="G21" s="158"/>
      <c r="H21" s="157">
        <v>802016669</v>
      </c>
      <c r="I21" s="157"/>
      <c r="J21" s="35"/>
      <c r="K21" s="5"/>
    </row>
    <row r="22" spans="1:11" s="22" customFormat="1" ht="14.25" thickBot="1" x14ac:dyDescent="0.3">
      <c r="A22" s="3"/>
      <c r="B22" s="138"/>
      <c r="C22" s="9"/>
      <c r="D22" s="9"/>
      <c r="E22" s="4"/>
      <c r="F22" s="4"/>
      <c r="G22" s="4"/>
      <c r="H22" s="223"/>
      <c r="I22" s="4"/>
      <c r="J22" s="4"/>
      <c r="K22" s="5"/>
    </row>
    <row r="23" spans="1:11" s="1" customFormat="1" ht="13.5" x14ac:dyDescent="0.25">
      <c r="A23" s="3"/>
      <c r="B23" s="10" t="s">
        <v>7</v>
      </c>
      <c r="C23" s="11">
        <v>64674600</v>
      </c>
      <c r="D23" s="37"/>
      <c r="E23" s="11">
        <v>337951496</v>
      </c>
      <c r="F23" s="91"/>
      <c r="G23" s="91"/>
      <c r="H23" s="11">
        <v>129841700</v>
      </c>
      <c r="I23" s="11">
        <f>+C23+E23+H23</f>
        <v>532467796</v>
      </c>
      <c r="J23" s="30"/>
      <c r="K23" s="5"/>
    </row>
    <row r="24" spans="1:11" s="1" customFormat="1" ht="13.5" x14ac:dyDescent="0.25">
      <c r="A24" s="3"/>
      <c r="B24" s="12" t="s">
        <v>8</v>
      </c>
      <c r="C24" s="13">
        <v>371244700</v>
      </c>
      <c r="D24" s="38"/>
      <c r="E24" s="13">
        <v>359281611</v>
      </c>
      <c r="F24" s="19"/>
      <c r="G24" s="19"/>
      <c r="H24" s="13">
        <v>220919900</v>
      </c>
      <c r="I24" s="13">
        <f t="shared" ref="I24:I26" si="0">+C24+E24+H24</f>
        <v>951446211</v>
      </c>
      <c r="J24" s="5"/>
      <c r="K24" s="5"/>
    </row>
    <row r="25" spans="1:11" s="1" customFormat="1" ht="13.5" x14ac:dyDescent="0.25">
      <c r="A25" s="3"/>
      <c r="B25" s="12" t="s">
        <v>9</v>
      </c>
      <c r="C25" s="13">
        <v>35963321</v>
      </c>
      <c r="D25" s="38"/>
      <c r="E25" s="13">
        <v>166844997</v>
      </c>
      <c r="F25" s="19"/>
      <c r="G25" s="19"/>
      <c r="H25" s="13">
        <v>2456900</v>
      </c>
      <c r="I25" s="13">
        <f t="shared" si="0"/>
        <v>205265218</v>
      </c>
      <c r="J25" s="5"/>
      <c r="K25" s="5"/>
    </row>
    <row r="26" spans="1:11" s="1" customFormat="1" ht="14.25" thickBot="1" x14ac:dyDescent="0.3">
      <c r="A26" s="3"/>
      <c r="B26" s="14" t="s">
        <v>10</v>
      </c>
      <c r="C26" s="15">
        <v>35963321</v>
      </c>
      <c r="D26" s="50"/>
      <c r="E26" s="15">
        <v>166844997</v>
      </c>
      <c r="F26" s="92"/>
      <c r="G26" s="92"/>
      <c r="H26" s="15">
        <v>2456900</v>
      </c>
      <c r="I26" s="15">
        <f t="shared" si="0"/>
        <v>205265218</v>
      </c>
      <c r="J26" s="21"/>
      <c r="K26" s="5"/>
    </row>
    <row r="27" spans="1:11" s="1" customFormat="1" ht="14.25" thickBot="1" x14ac:dyDescent="0.3">
      <c r="A27" s="3"/>
      <c r="B27" s="293" t="s">
        <v>11</v>
      </c>
      <c r="C27" s="294"/>
      <c r="D27" s="294"/>
      <c r="E27" s="294"/>
      <c r="F27" s="294"/>
      <c r="G27" s="294"/>
      <c r="H27" s="294"/>
      <c r="I27" s="294"/>
      <c r="J27" s="295"/>
      <c r="K27" s="5"/>
    </row>
    <row r="28" spans="1:11" s="1" customFormat="1" ht="14.25" thickBot="1" x14ac:dyDescent="0.3">
      <c r="A28" s="3"/>
      <c r="B28" s="275" t="s">
        <v>12</v>
      </c>
      <c r="C28" s="276"/>
      <c r="D28" s="276"/>
      <c r="E28" s="276"/>
      <c r="F28" s="276"/>
      <c r="G28" s="276"/>
      <c r="H28" s="276"/>
      <c r="I28" s="276"/>
      <c r="J28" s="277"/>
      <c r="K28" s="5"/>
    </row>
    <row r="29" spans="1:11" s="1" customFormat="1" ht="13.5" x14ac:dyDescent="0.25">
      <c r="A29" s="3"/>
      <c r="B29" s="16" t="s">
        <v>13</v>
      </c>
      <c r="C29" s="124">
        <f>+IFERROR(C23/C25,"INDETERMINADO")</f>
        <v>1.7983489344601962</v>
      </c>
      <c r="D29" s="125"/>
      <c r="E29" s="124">
        <f>+IFERROR(E23/E25,"INDETERMINADO")</f>
        <v>2.0255416828590911</v>
      </c>
      <c r="F29" s="58"/>
      <c r="G29" s="58"/>
      <c r="H29" s="124">
        <f>+IFERROR(H23/H25,"INDETERMINADO")</f>
        <v>52.8477756522447</v>
      </c>
      <c r="I29" s="124">
        <f>+IFERROR(I23/I25,"INDETERMINADO")</f>
        <v>2.5940478430203409</v>
      </c>
      <c r="J29" s="40" t="str">
        <f>+IF(I29&gt;=C16,"CUMPLE","NO CUMPLE")</f>
        <v>CUMPLE</v>
      </c>
      <c r="K29" s="5"/>
    </row>
    <row r="30" spans="1:11" s="1" customFormat="1" ht="14.25" thickBot="1" x14ac:dyDescent="0.3">
      <c r="A30" s="3"/>
      <c r="B30" s="17" t="s">
        <v>14</v>
      </c>
      <c r="C30" s="41">
        <f>+C26/C24</f>
        <v>9.6872281274318531E-2</v>
      </c>
      <c r="D30" s="42"/>
      <c r="E30" s="41">
        <f>+E26/E24</f>
        <v>0.46438501691087108</v>
      </c>
      <c r="F30" s="43"/>
      <c r="G30" s="43"/>
      <c r="H30" s="41">
        <f>+H26/H24</f>
        <v>1.1121225385309337E-2</v>
      </c>
      <c r="I30" s="41">
        <f>+I26/I24</f>
        <v>0.21574022327994746</v>
      </c>
      <c r="J30" s="44" t="str">
        <f>+IF(I30&lt;=C17,"CUMPLE","NO CUMPLE")</f>
        <v>CUMPLE</v>
      </c>
      <c r="K30" s="5"/>
    </row>
    <row r="31" spans="1:11" s="20" customFormat="1" ht="14.25" thickBot="1" x14ac:dyDescent="0.3">
      <c r="A31" s="3"/>
      <c r="B31" s="139"/>
      <c r="C31" s="18"/>
      <c r="D31" s="19"/>
      <c r="F31" s="4"/>
      <c r="G31" s="4"/>
      <c r="H31" s="4"/>
      <c r="J31" s="4"/>
      <c r="K31" s="5"/>
    </row>
    <row r="32" spans="1:11" s="1" customFormat="1" ht="20.25" customHeight="1" thickBot="1" x14ac:dyDescent="0.3">
      <c r="A32" s="3"/>
      <c r="B32" s="6" t="s">
        <v>15</v>
      </c>
      <c r="C32" s="267" t="s">
        <v>36</v>
      </c>
      <c r="D32" s="267"/>
      <c r="E32" s="267"/>
      <c r="F32" s="267"/>
      <c r="G32" s="267"/>
      <c r="H32" s="267"/>
      <c r="I32" s="267"/>
      <c r="J32" s="268"/>
      <c r="K32" s="5"/>
    </row>
    <row r="33" spans="1:12" s="4" customFormat="1" ht="14.25" thickBot="1" x14ac:dyDescent="0.3">
      <c r="A33" s="3"/>
      <c r="B33" s="45"/>
      <c r="C33" s="45"/>
      <c r="D33" s="45"/>
      <c r="K33" s="5"/>
    </row>
    <row r="34" spans="1:12" s="46" customFormat="1" ht="36.75" customHeight="1" thickBot="1" x14ac:dyDescent="0.3">
      <c r="A34" s="153"/>
      <c r="B34" s="79" t="s">
        <v>26</v>
      </c>
      <c r="C34" s="269"/>
      <c r="D34" s="269"/>
      <c r="E34" s="269"/>
      <c r="F34" s="269"/>
      <c r="G34" s="269"/>
      <c r="H34" s="269"/>
      <c r="I34" s="269"/>
      <c r="J34" s="270"/>
      <c r="K34" s="5"/>
    </row>
    <row r="35" spans="1:12" s="46" customFormat="1" ht="15.75" thickBot="1" x14ac:dyDescent="0.3">
      <c r="A35" s="154"/>
      <c r="B35" s="155"/>
      <c r="C35" s="155"/>
      <c r="D35" s="25"/>
      <c r="E35" s="25"/>
      <c r="F35" s="25"/>
      <c r="G35" s="25"/>
      <c r="H35" s="25"/>
      <c r="I35" s="25"/>
      <c r="J35" s="156"/>
      <c r="K35" s="21"/>
    </row>
    <row r="36" spans="1:12" x14ac:dyDescent="0.25">
      <c r="D36" s="22"/>
      <c r="E36" s="22"/>
      <c r="F36" s="22"/>
      <c r="G36" s="22"/>
      <c r="H36" s="22"/>
      <c r="I36" s="22"/>
      <c r="J36" s="23"/>
      <c r="K36" s="4"/>
    </row>
    <row r="37" spans="1:12" x14ac:dyDescent="0.25">
      <c r="D37" s="22"/>
      <c r="E37" s="22"/>
      <c r="F37" s="22"/>
      <c r="G37" s="22"/>
      <c r="H37" s="22"/>
      <c r="I37" s="22"/>
      <c r="J37" s="23"/>
      <c r="K37" s="4"/>
    </row>
    <row r="38" spans="1:12" x14ac:dyDescent="0.25">
      <c r="D38" s="22"/>
      <c r="E38" s="22"/>
      <c r="F38" s="22"/>
      <c r="G38" s="22"/>
      <c r="H38" s="22"/>
      <c r="I38" s="22"/>
      <c r="J38" s="23"/>
      <c r="K38" s="4"/>
    </row>
    <row r="39" spans="1:12" x14ac:dyDescent="0.25">
      <c r="D39" s="22"/>
      <c r="E39" s="22"/>
      <c r="F39" s="22"/>
      <c r="G39" s="22"/>
      <c r="H39" s="22"/>
      <c r="I39" s="22"/>
      <c r="J39" s="23"/>
      <c r="K39" s="4"/>
    </row>
    <row r="40" spans="1:12" x14ac:dyDescent="0.25">
      <c r="D40" s="22"/>
      <c r="E40" s="22"/>
      <c r="F40" s="22"/>
      <c r="G40" s="22"/>
      <c r="H40" s="22"/>
      <c r="I40" s="22"/>
      <c r="J40" s="23"/>
      <c r="K40" s="4"/>
    </row>
    <row r="41" spans="1:12" x14ac:dyDescent="0.25">
      <c r="D41" s="22"/>
      <c r="E41" s="22"/>
      <c r="F41" s="22"/>
      <c r="G41" s="22"/>
      <c r="H41" s="22"/>
      <c r="I41" s="22"/>
      <c r="J41" s="22"/>
      <c r="K41" s="4"/>
    </row>
    <row r="42" spans="1:12" x14ac:dyDescent="0.25">
      <c r="B42" s="24">
        <v>616000</v>
      </c>
      <c r="D42" s="22"/>
      <c r="E42" s="22"/>
      <c r="F42" s="22"/>
      <c r="G42" s="22"/>
      <c r="H42" s="22"/>
      <c r="I42" s="22"/>
      <c r="J42" s="22"/>
      <c r="K42" s="4"/>
    </row>
    <row r="43" spans="1:12" x14ac:dyDescent="0.25">
      <c r="B43" s="141" t="s">
        <v>21</v>
      </c>
      <c r="C43" s="66" t="s">
        <v>20</v>
      </c>
      <c r="D43" s="265" t="s">
        <v>16</v>
      </c>
      <c r="E43" s="265"/>
      <c r="F43" s="265" t="s">
        <v>17</v>
      </c>
      <c r="G43" s="265"/>
      <c r="H43" s="265"/>
      <c r="I43" s="265"/>
    </row>
    <row r="44" spans="1:12" x14ac:dyDescent="0.25">
      <c r="B44" s="142">
        <v>0</v>
      </c>
      <c r="C44" s="55">
        <v>250</v>
      </c>
      <c r="D44" s="266">
        <v>0.8</v>
      </c>
      <c r="E44" s="266"/>
      <c r="F44" s="262">
        <v>0.8</v>
      </c>
      <c r="G44" s="262"/>
      <c r="H44" s="262"/>
      <c r="I44" s="262"/>
      <c r="J44" s="145"/>
      <c r="L44" s="147">
        <f t="shared" ref="L44:L51" si="1">+C44*$B$42</f>
        <v>154000000</v>
      </c>
    </row>
    <row r="45" spans="1:12" x14ac:dyDescent="0.25">
      <c r="B45" s="142">
        <v>251</v>
      </c>
      <c r="C45" s="55">
        <v>1000</v>
      </c>
      <c r="D45" s="266">
        <v>0.8</v>
      </c>
      <c r="E45" s="266"/>
      <c r="F45" s="262">
        <v>0.75</v>
      </c>
      <c r="G45" s="262"/>
      <c r="H45" s="262"/>
      <c r="I45" s="262"/>
      <c r="J45" s="146">
        <f t="shared" ref="J45:J51" si="2">+B45*$B$42</f>
        <v>154616000</v>
      </c>
      <c r="L45" s="147">
        <f t="shared" si="1"/>
        <v>616000000</v>
      </c>
    </row>
    <row r="46" spans="1:12" x14ac:dyDescent="0.25">
      <c r="B46" s="142">
        <v>1001</v>
      </c>
      <c r="C46" s="55">
        <v>1500</v>
      </c>
      <c r="D46" s="266">
        <v>0.9</v>
      </c>
      <c r="E46" s="266"/>
      <c r="F46" s="262">
        <v>0.75</v>
      </c>
      <c r="G46" s="262"/>
      <c r="H46" s="262"/>
      <c r="I46" s="262"/>
      <c r="J46" s="146">
        <f t="shared" si="2"/>
        <v>616616000</v>
      </c>
      <c r="L46" s="147">
        <f t="shared" si="1"/>
        <v>924000000</v>
      </c>
    </row>
    <row r="47" spans="1:12" x14ac:dyDescent="0.25">
      <c r="B47" s="142">
        <v>1501</v>
      </c>
      <c r="C47" s="55">
        <v>2500</v>
      </c>
      <c r="D47" s="266">
        <v>0.9</v>
      </c>
      <c r="E47" s="266"/>
      <c r="F47" s="262">
        <v>0.7</v>
      </c>
      <c r="G47" s="262"/>
      <c r="H47" s="262"/>
      <c r="I47" s="262"/>
      <c r="J47" s="146">
        <f t="shared" si="2"/>
        <v>924616000</v>
      </c>
      <c r="L47" s="147">
        <f t="shared" si="1"/>
        <v>1540000000</v>
      </c>
    </row>
    <row r="48" spans="1:12" x14ac:dyDescent="0.25">
      <c r="A48"/>
      <c r="B48" s="142">
        <v>2501</v>
      </c>
      <c r="C48" s="55">
        <v>3000</v>
      </c>
      <c r="D48" s="266">
        <v>1</v>
      </c>
      <c r="E48" s="266"/>
      <c r="F48" s="262">
        <v>0.7</v>
      </c>
      <c r="G48" s="262"/>
      <c r="H48" s="262"/>
      <c r="I48" s="262"/>
      <c r="J48" s="146">
        <f t="shared" si="2"/>
        <v>1540616000</v>
      </c>
      <c r="L48" s="147">
        <f t="shared" si="1"/>
        <v>1848000000</v>
      </c>
    </row>
    <row r="49" spans="1:12" x14ac:dyDescent="0.25">
      <c r="A49"/>
      <c r="B49" s="142">
        <v>3001</v>
      </c>
      <c r="C49" s="55">
        <v>3500</v>
      </c>
      <c r="D49" s="266">
        <v>1</v>
      </c>
      <c r="E49" s="266"/>
      <c r="F49" s="262">
        <v>0.68</v>
      </c>
      <c r="G49" s="262"/>
      <c r="H49" s="262"/>
      <c r="I49" s="262"/>
      <c r="J49" s="146">
        <f t="shared" si="2"/>
        <v>1848616000</v>
      </c>
      <c r="L49" s="147">
        <f t="shared" si="1"/>
        <v>2156000000</v>
      </c>
    </row>
    <row r="50" spans="1:12" x14ac:dyDescent="0.25">
      <c r="A50"/>
      <c r="B50" s="142">
        <v>3501</v>
      </c>
      <c r="C50" s="55">
        <v>4500</v>
      </c>
      <c r="D50" s="266">
        <v>1.1000000000000001</v>
      </c>
      <c r="E50" s="266"/>
      <c r="F50" s="262">
        <v>0.68</v>
      </c>
      <c r="G50" s="262"/>
      <c r="H50" s="262"/>
      <c r="I50" s="262"/>
      <c r="J50" s="146">
        <f t="shared" si="2"/>
        <v>2156616000</v>
      </c>
      <c r="L50" s="147">
        <f t="shared" si="1"/>
        <v>2772000000</v>
      </c>
    </row>
    <row r="51" spans="1:12" x14ac:dyDescent="0.25">
      <c r="A51"/>
      <c r="B51" s="142">
        <v>4501</v>
      </c>
      <c r="C51" s="55"/>
      <c r="D51" s="266">
        <v>1.2</v>
      </c>
      <c r="E51" s="266"/>
      <c r="F51" s="262">
        <v>0.65</v>
      </c>
      <c r="G51" s="262"/>
      <c r="H51" s="262"/>
      <c r="I51" s="262"/>
      <c r="J51" s="146">
        <f t="shared" si="2"/>
        <v>2772616000</v>
      </c>
      <c r="L51" s="147">
        <f t="shared" si="1"/>
        <v>0</v>
      </c>
    </row>
  </sheetData>
  <mergeCells count="37">
    <mergeCell ref="C6:J6"/>
    <mergeCell ref="B1:J1"/>
    <mergeCell ref="B2:J2"/>
    <mergeCell ref="B3:J3"/>
    <mergeCell ref="B4:J4"/>
    <mergeCell ref="B5:J5"/>
    <mergeCell ref="I12:J12"/>
    <mergeCell ref="I13:J13"/>
    <mergeCell ref="B27:J27"/>
    <mergeCell ref="B28:J28"/>
    <mergeCell ref="C7:J7"/>
    <mergeCell ref="C8:E8"/>
    <mergeCell ref="I8:J8"/>
    <mergeCell ref="C10:E10"/>
    <mergeCell ref="I10:J10"/>
    <mergeCell ref="C11:E11"/>
    <mergeCell ref="I11:J11"/>
    <mergeCell ref="C32:J32"/>
    <mergeCell ref="C34:J34"/>
    <mergeCell ref="D43:E43"/>
    <mergeCell ref="F43:I43"/>
    <mergeCell ref="D44:E44"/>
    <mergeCell ref="F44:I44"/>
    <mergeCell ref="D45:E45"/>
    <mergeCell ref="F45:I45"/>
    <mergeCell ref="D46:E46"/>
    <mergeCell ref="F46:I46"/>
    <mergeCell ref="D47:E47"/>
    <mergeCell ref="F47:I47"/>
    <mergeCell ref="D51:E51"/>
    <mergeCell ref="F51:I51"/>
    <mergeCell ref="D48:E48"/>
    <mergeCell ref="F48:I48"/>
    <mergeCell ref="D49:E49"/>
    <mergeCell ref="F49:I49"/>
    <mergeCell ref="D50:E50"/>
    <mergeCell ref="F50:I50"/>
  </mergeCells>
  <pageMargins left="0.7" right="0.7" top="0.75" bottom="0.75" header="0.3" footer="0.3"/>
  <pageSetup scale="64" orientation="portrait" r:id="rId1"/>
  <colBreaks count="1" manualBreakCount="1">
    <brk id="11" max="1048575" man="1"/>
  </colBreaks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view="pageBreakPreview" zoomScale="110" zoomScaleNormal="100" zoomScaleSheetLayoutView="110" workbookViewId="0">
      <selection activeCell="A11" sqref="A11:XFD11"/>
    </sheetView>
  </sheetViews>
  <sheetFormatPr baseColWidth="10" defaultRowHeight="15" x14ac:dyDescent="0.25"/>
  <cols>
    <col min="1" max="1" width="2.28515625" style="143" customWidth="1"/>
    <col min="2" max="2" width="31.140625" bestFit="1" customWidth="1"/>
    <col min="3" max="3" width="24.5703125" customWidth="1"/>
    <col min="4" max="4" width="4.42578125" customWidth="1"/>
    <col min="5" max="5" width="22.28515625" customWidth="1"/>
    <col min="6" max="6" width="4" style="46" customWidth="1"/>
    <col min="7" max="7" width="19" customWidth="1"/>
    <col min="8" max="8" width="14" style="46" customWidth="1"/>
    <col min="9" max="9" width="4.140625" style="143" customWidth="1"/>
    <col min="10" max="10" width="12.5703125" bestFit="1" customWidth="1"/>
  </cols>
  <sheetData>
    <row r="1" spans="1:9" s="1" customFormat="1" ht="15.75" x14ac:dyDescent="0.25">
      <c r="A1" s="151"/>
      <c r="B1" s="272" t="s">
        <v>0</v>
      </c>
      <c r="C1" s="272"/>
      <c r="D1" s="272"/>
      <c r="E1" s="272"/>
      <c r="F1" s="272"/>
      <c r="G1" s="272"/>
      <c r="H1" s="272"/>
      <c r="I1" s="30"/>
    </row>
    <row r="2" spans="1:9" s="1" customFormat="1" ht="15.75" customHeight="1" x14ac:dyDescent="0.25">
      <c r="A2" s="2"/>
      <c r="B2" s="263" t="s">
        <v>1</v>
      </c>
      <c r="C2" s="263"/>
      <c r="D2" s="263"/>
      <c r="E2" s="263"/>
      <c r="F2" s="263"/>
      <c r="G2" s="263"/>
      <c r="H2" s="263"/>
      <c r="I2" s="5"/>
    </row>
    <row r="3" spans="1:9" s="1" customFormat="1" ht="20.25" customHeight="1" x14ac:dyDescent="0.25">
      <c r="A3" s="98"/>
      <c r="B3" s="263" t="s">
        <v>2</v>
      </c>
      <c r="C3" s="263"/>
      <c r="D3" s="263"/>
      <c r="E3" s="263"/>
      <c r="F3" s="263"/>
      <c r="G3" s="263"/>
      <c r="H3" s="263"/>
      <c r="I3" s="5"/>
    </row>
    <row r="4" spans="1:9" s="1" customFormat="1" ht="15.75" customHeight="1" x14ac:dyDescent="0.25">
      <c r="A4" s="152"/>
      <c r="B4" s="263" t="s">
        <v>28</v>
      </c>
      <c r="C4" s="263"/>
      <c r="D4" s="263"/>
      <c r="E4" s="263"/>
      <c r="F4" s="263"/>
      <c r="G4" s="263"/>
      <c r="H4" s="263"/>
      <c r="I4" s="5"/>
    </row>
    <row r="5" spans="1:9" s="1" customFormat="1" ht="78" customHeight="1" thickBot="1" x14ac:dyDescent="0.3">
      <c r="A5" s="3"/>
      <c r="B5" s="264" t="s">
        <v>29</v>
      </c>
      <c r="C5" s="264"/>
      <c r="D5" s="264"/>
      <c r="E5" s="264"/>
      <c r="F5" s="264"/>
      <c r="G5" s="264"/>
      <c r="H5" s="264"/>
      <c r="I5" s="5"/>
    </row>
    <row r="6" spans="1:9" s="1" customFormat="1" ht="14.25" thickBot="1" x14ac:dyDescent="0.3">
      <c r="A6" s="3"/>
      <c r="B6" s="6" t="s">
        <v>3</v>
      </c>
      <c r="C6" s="273" t="s">
        <v>211</v>
      </c>
      <c r="D6" s="273"/>
      <c r="E6" s="273"/>
      <c r="F6" s="273"/>
      <c r="G6" s="273"/>
      <c r="H6" s="274"/>
      <c r="I6" s="5"/>
    </row>
    <row r="7" spans="1:9" s="1" customFormat="1" ht="15.75" customHeight="1" thickBot="1" x14ac:dyDescent="0.3">
      <c r="A7" s="3"/>
      <c r="B7" s="26" t="s">
        <v>37</v>
      </c>
      <c r="C7" s="273">
        <v>34</v>
      </c>
      <c r="D7" s="273"/>
      <c r="E7" s="273"/>
      <c r="F7" s="273"/>
      <c r="G7" s="273"/>
      <c r="H7" s="274"/>
      <c r="I7" s="5"/>
    </row>
    <row r="8" spans="1:9" s="1" customFormat="1" ht="26.25" customHeight="1" x14ac:dyDescent="0.25">
      <c r="A8" s="3"/>
      <c r="B8" s="130" t="s">
        <v>23</v>
      </c>
      <c r="C8" s="278" t="s">
        <v>24</v>
      </c>
      <c r="D8" s="278"/>
      <c r="E8" s="278"/>
      <c r="F8" s="140"/>
      <c r="G8" s="278" t="s">
        <v>25</v>
      </c>
      <c r="H8" s="279"/>
      <c r="I8" s="5"/>
    </row>
    <row r="9" spans="1:9" s="1" customFormat="1" ht="13.5" x14ac:dyDescent="0.25">
      <c r="A9" s="3"/>
      <c r="B9" s="133"/>
      <c r="C9" s="135"/>
      <c r="D9" s="135"/>
      <c r="E9" s="135"/>
      <c r="F9" s="203"/>
      <c r="G9" s="135"/>
      <c r="H9" s="99"/>
      <c r="I9" s="5"/>
    </row>
    <row r="10" spans="1:9" s="20" customFormat="1" ht="13.5" x14ac:dyDescent="0.25">
      <c r="A10" s="3"/>
      <c r="B10" s="160">
        <v>10</v>
      </c>
      <c r="C10" s="271" t="s">
        <v>68</v>
      </c>
      <c r="D10" s="271"/>
      <c r="E10" s="271"/>
      <c r="F10" s="198"/>
      <c r="G10" s="280">
        <v>2130046620</v>
      </c>
      <c r="H10" s="281"/>
      <c r="I10" s="5"/>
    </row>
    <row r="11" spans="1:9" s="20" customFormat="1" ht="14.25" thickBot="1" x14ac:dyDescent="0.3">
      <c r="A11" s="3"/>
      <c r="B11" s="160"/>
      <c r="C11" s="271"/>
      <c r="D11" s="271"/>
      <c r="E11" s="271"/>
      <c r="F11" s="198"/>
      <c r="G11" s="280"/>
      <c r="H11" s="281"/>
      <c r="I11" s="5"/>
    </row>
    <row r="12" spans="1:9" s="1" customFormat="1" ht="15.75" customHeight="1" thickBot="1" x14ac:dyDescent="0.3">
      <c r="A12" s="3"/>
      <c r="B12" s="6" t="s">
        <v>4</v>
      </c>
      <c r="C12" s="54"/>
      <c r="D12" s="161"/>
      <c r="E12" s="161"/>
      <c r="F12" s="161"/>
      <c r="G12" s="282">
        <f>+SUM(G10:H11)</f>
        <v>2130046620</v>
      </c>
      <c r="H12" s="283"/>
      <c r="I12" s="5"/>
    </row>
    <row r="13" spans="1:9" s="1" customFormat="1" ht="15.75" customHeight="1" thickBot="1" x14ac:dyDescent="0.3">
      <c r="A13" s="3"/>
      <c r="B13" s="31" t="s">
        <v>5</v>
      </c>
      <c r="D13" s="162"/>
      <c r="E13" s="162"/>
      <c r="F13" s="162"/>
      <c r="G13" s="284">
        <f>ROUND(G12/616000,0)</f>
        <v>3458</v>
      </c>
      <c r="H13" s="285"/>
      <c r="I13" s="5"/>
    </row>
    <row r="14" spans="1:9" s="1" customFormat="1" ht="13.5" x14ac:dyDescent="0.25">
      <c r="A14" s="3"/>
      <c r="B14" s="136"/>
      <c r="C14" s="64"/>
      <c r="D14" s="65"/>
      <c r="E14" s="69"/>
      <c r="F14" s="29"/>
      <c r="G14" s="69"/>
      <c r="H14" s="29"/>
      <c r="I14" s="5"/>
    </row>
    <row r="15" spans="1:9" s="4" customFormat="1" ht="13.5" x14ac:dyDescent="0.25">
      <c r="A15" s="3"/>
      <c r="B15" s="18"/>
      <c r="C15" s="19"/>
      <c r="D15" s="56"/>
      <c r="I15" s="5"/>
    </row>
    <row r="16" spans="1:9" s="4" customFormat="1" ht="14.25" thickBot="1" x14ac:dyDescent="0.3">
      <c r="A16" s="3"/>
      <c r="B16" s="18" t="s">
        <v>19</v>
      </c>
      <c r="C16" s="19"/>
      <c r="D16" s="56"/>
      <c r="I16" s="5"/>
    </row>
    <row r="17" spans="1:9" s="4" customFormat="1" ht="13.5" x14ac:dyDescent="0.25">
      <c r="A17" s="3"/>
      <c r="B17" s="16" t="s">
        <v>13</v>
      </c>
      <c r="C17" s="67">
        <f>+IF($G$13&gt;$B$51,$D$51,IF(AND($G$13&gt;=$B$50,$G$13&lt;=$C$50),$D$50,IF(AND($G$13&gt;=$B$48,$G$13&lt;=$C$49),$D$48,IF(AND($G$13&gt;=$B$46,$G$13&lt;=$C$47),$D$46,IF(AND($G$13&gt;$B$44,$G$13&lt;=$C$45),$D$44)))))</f>
        <v>1</v>
      </c>
      <c r="D17" s="56"/>
      <c r="I17" s="5"/>
    </row>
    <row r="18" spans="1:9" s="4" customFormat="1" ht="14.25" thickBot="1" x14ac:dyDescent="0.3">
      <c r="A18" s="3"/>
      <c r="B18" s="17" t="s">
        <v>14</v>
      </c>
      <c r="C18" s="68">
        <f>+IF($G$13&gt;$B$51,$F$51,IF(AND($G$13&gt;=$B$49,$G$13&lt;=$C$50),$F$49,IF(AND($G$13&gt;=$B$47,$G$13&lt;=$C$48),$F$47,IF(AND($G$13&gt;=$B$45,$G$13&lt;=$C$46),$F$45,IF(AND($G$13&gt;$B$44,$G$13&lt;=$C$44),$F$44)))))</f>
        <v>0.68</v>
      </c>
      <c r="D18" s="56"/>
      <c r="I18" s="5"/>
    </row>
    <row r="19" spans="1:9" s="4" customFormat="1" ht="14.25" thickBot="1" x14ac:dyDescent="0.3">
      <c r="A19" s="3"/>
      <c r="B19" s="137"/>
      <c r="C19" s="32"/>
      <c r="D19" s="33"/>
      <c r="E19" s="25"/>
      <c r="F19" s="25"/>
      <c r="G19" s="25"/>
      <c r="H19" s="25"/>
      <c r="I19" s="5"/>
    </row>
    <row r="20" spans="1:9" s="22" customFormat="1" ht="42.75" customHeight="1" thickBot="1" x14ac:dyDescent="0.3">
      <c r="A20" s="3"/>
      <c r="B20" s="6" t="s">
        <v>18</v>
      </c>
      <c r="C20" s="59" t="s">
        <v>76</v>
      </c>
      <c r="D20" s="7"/>
      <c r="E20" s="159" t="s">
        <v>77</v>
      </c>
      <c r="F20" s="60"/>
      <c r="G20" s="159" t="str">
        <f>+C6</f>
        <v>UNION TEMPORAL INFANCIA CARIBE 2015</v>
      </c>
      <c r="H20" s="35"/>
      <c r="I20" s="5"/>
    </row>
    <row r="21" spans="1:9" s="22" customFormat="1" ht="13.5" customHeight="1" thickBot="1" x14ac:dyDescent="0.3">
      <c r="A21" s="3"/>
      <c r="B21" s="6" t="s">
        <v>31</v>
      </c>
      <c r="C21" s="59">
        <v>806008896</v>
      </c>
      <c r="D21" s="7"/>
      <c r="E21" s="157">
        <v>806009011</v>
      </c>
      <c r="F21" s="158"/>
      <c r="G21" s="157"/>
      <c r="H21" s="35"/>
      <c r="I21" s="5"/>
    </row>
    <row r="22" spans="1:9" s="22" customFormat="1" ht="14.25" thickBot="1" x14ac:dyDescent="0.3">
      <c r="A22" s="3"/>
      <c r="B22" s="138"/>
      <c r="C22" s="9"/>
      <c r="D22" s="9"/>
      <c r="E22" s="4"/>
      <c r="F22" s="4"/>
      <c r="G22" s="4"/>
      <c r="H22" s="4"/>
      <c r="I22" s="5"/>
    </row>
    <row r="23" spans="1:9" s="1" customFormat="1" ht="13.5" x14ac:dyDescent="0.25">
      <c r="A23" s="3"/>
      <c r="B23" s="10" t="s">
        <v>7</v>
      </c>
      <c r="C23" s="204">
        <v>4056837609</v>
      </c>
      <c r="D23" s="205"/>
      <c r="E23" s="204">
        <f>36146890+474294000</f>
        <v>510440890</v>
      </c>
      <c r="F23" s="206"/>
      <c r="G23" s="204">
        <f>+E23+C23</f>
        <v>4567278499</v>
      </c>
      <c r="H23" s="30"/>
      <c r="I23" s="5"/>
    </row>
    <row r="24" spans="1:9" s="1" customFormat="1" ht="13.5" x14ac:dyDescent="0.25">
      <c r="A24" s="3"/>
      <c r="B24" s="12" t="s">
        <v>8</v>
      </c>
      <c r="C24" s="207">
        <v>4319855709</v>
      </c>
      <c r="D24" s="208"/>
      <c r="E24" s="207">
        <v>682380190</v>
      </c>
      <c r="F24" s="209"/>
      <c r="G24" s="207">
        <f>+E24+C24</f>
        <v>5002235899</v>
      </c>
      <c r="H24" s="5"/>
      <c r="I24" s="5"/>
    </row>
    <row r="25" spans="1:9" s="1" customFormat="1" ht="13.5" x14ac:dyDescent="0.25">
      <c r="A25" s="3"/>
      <c r="B25" s="12" t="s">
        <v>9</v>
      </c>
      <c r="C25" s="207">
        <v>184750000</v>
      </c>
      <c r="D25" s="208"/>
      <c r="E25" s="207">
        <v>43216320</v>
      </c>
      <c r="F25" s="209"/>
      <c r="G25" s="207">
        <f>+E25+C25</f>
        <v>227966320</v>
      </c>
      <c r="H25" s="5"/>
      <c r="I25" s="5"/>
    </row>
    <row r="26" spans="1:9" s="1" customFormat="1" ht="14.25" thickBot="1" x14ac:dyDescent="0.3">
      <c r="A26" s="3"/>
      <c r="B26" s="14" t="s">
        <v>10</v>
      </c>
      <c r="C26" s="210">
        <v>184750000</v>
      </c>
      <c r="D26" s="211"/>
      <c r="E26" s="207">
        <v>43216320</v>
      </c>
      <c r="F26" s="212"/>
      <c r="G26" s="210">
        <f>+E26+C26</f>
        <v>227966320</v>
      </c>
      <c r="H26" s="21"/>
      <c r="I26" s="5"/>
    </row>
    <row r="27" spans="1:9" s="1" customFormat="1" ht="14.25" thickBot="1" x14ac:dyDescent="0.3">
      <c r="A27" s="3"/>
      <c r="B27" s="275" t="s">
        <v>11</v>
      </c>
      <c r="C27" s="276"/>
      <c r="D27" s="276"/>
      <c r="E27" s="276"/>
      <c r="F27" s="276"/>
      <c r="G27" s="276"/>
      <c r="H27" s="277"/>
      <c r="I27" s="5"/>
    </row>
    <row r="28" spans="1:9" s="1" customFormat="1" ht="14.25" thickBot="1" x14ac:dyDescent="0.3">
      <c r="A28" s="3"/>
      <c r="B28" s="275" t="s">
        <v>12</v>
      </c>
      <c r="C28" s="276"/>
      <c r="D28" s="276"/>
      <c r="E28" s="276"/>
      <c r="F28" s="276"/>
      <c r="G28" s="276"/>
      <c r="H28" s="277"/>
      <c r="I28" s="5"/>
    </row>
    <row r="29" spans="1:9" s="1" customFormat="1" ht="13.5" x14ac:dyDescent="0.25">
      <c r="A29" s="3"/>
      <c r="B29" s="16" t="s">
        <v>13</v>
      </c>
      <c r="C29" s="124">
        <f>+IFERROR(C23/C25,"INDETERMINADO")</f>
        <v>21.958525623815966</v>
      </c>
      <c r="D29" s="125"/>
      <c r="E29" s="124">
        <f>+IFERROR(E23/E25,"INDETERMINADO")</f>
        <v>11.811299296191809</v>
      </c>
      <c r="F29" s="58"/>
      <c r="G29" s="124">
        <f>+IFERROR(G23/G25,"INDETERMINADO")</f>
        <v>20.034882780052772</v>
      </c>
      <c r="H29" s="40" t="str">
        <f>+IF(G29&gt;=C17,"CUMPLE","NO CUMPLE")</f>
        <v>CUMPLE</v>
      </c>
      <c r="I29" s="5"/>
    </row>
    <row r="30" spans="1:9" s="1" customFormat="1" ht="14.25" thickBot="1" x14ac:dyDescent="0.3">
      <c r="A30" s="3"/>
      <c r="B30" s="17" t="s">
        <v>14</v>
      </c>
      <c r="C30" s="41">
        <f>+C26/C24</f>
        <v>4.2767632172318007E-2</v>
      </c>
      <c r="D30" s="42"/>
      <c r="E30" s="41">
        <f>+E26/E24</f>
        <v>6.3331733003562138E-2</v>
      </c>
      <c r="F30" s="43"/>
      <c r="G30" s="41">
        <f>+G26/G24</f>
        <v>4.5572884726522572E-2</v>
      </c>
      <c r="H30" s="44" t="str">
        <f>+IF(G30&lt;=C18,"CUMPLE","NO CUMPLE")</f>
        <v>CUMPLE</v>
      </c>
      <c r="I30" s="5"/>
    </row>
    <row r="31" spans="1:9" s="20" customFormat="1" ht="14.25" thickBot="1" x14ac:dyDescent="0.3">
      <c r="A31" s="3"/>
      <c r="B31" s="139"/>
      <c r="C31" s="18"/>
      <c r="D31" s="19"/>
      <c r="F31" s="4"/>
      <c r="H31" s="4"/>
      <c r="I31" s="5"/>
    </row>
    <row r="32" spans="1:9" s="1" customFormat="1" ht="20.25" customHeight="1" thickBot="1" x14ac:dyDescent="0.3">
      <c r="A32" s="3"/>
      <c r="B32" s="6" t="s">
        <v>15</v>
      </c>
      <c r="C32" s="267" t="s">
        <v>72</v>
      </c>
      <c r="D32" s="267"/>
      <c r="E32" s="267"/>
      <c r="F32" s="267"/>
      <c r="G32" s="267"/>
      <c r="H32" s="268"/>
      <c r="I32" s="5"/>
    </row>
    <row r="33" spans="1:10" s="4" customFormat="1" ht="14.25" thickBot="1" x14ac:dyDescent="0.3">
      <c r="A33" s="3"/>
      <c r="B33" s="45"/>
      <c r="C33" s="45"/>
      <c r="D33" s="45"/>
      <c r="I33" s="5"/>
    </row>
    <row r="34" spans="1:10" s="46" customFormat="1" ht="36.75" customHeight="1" thickBot="1" x14ac:dyDescent="0.3">
      <c r="A34" s="153"/>
      <c r="B34" s="79" t="s">
        <v>26</v>
      </c>
      <c r="C34" s="269"/>
      <c r="D34" s="269"/>
      <c r="E34" s="269"/>
      <c r="F34" s="269"/>
      <c r="G34" s="269"/>
      <c r="H34" s="270"/>
      <c r="I34" s="5"/>
    </row>
    <row r="35" spans="1:10" s="46" customFormat="1" ht="15.75" thickBot="1" x14ac:dyDescent="0.3">
      <c r="A35" s="154"/>
      <c r="B35" s="155"/>
      <c r="C35" s="155"/>
      <c r="D35" s="25"/>
      <c r="E35" s="25"/>
      <c r="F35" s="25"/>
      <c r="G35" s="25"/>
      <c r="H35" s="156"/>
      <c r="I35" s="21"/>
    </row>
    <row r="36" spans="1:10" x14ac:dyDescent="0.25">
      <c r="D36" s="22"/>
      <c r="E36" s="22"/>
      <c r="F36" s="22"/>
      <c r="G36" s="22"/>
      <c r="H36" s="23"/>
      <c r="I36" s="4"/>
    </row>
    <row r="37" spans="1:10" x14ac:dyDescent="0.25">
      <c r="D37" s="22"/>
      <c r="E37" s="22"/>
      <c r="F37" s="22"/>
      <c r="G37" s="22"/>
      <c r="H37" s="23"/>
      <c r="I37" s="4"/>
    </row>
    <row r="38" spans="1:10" x14ac:dyDescent="0.25">
      <c r="D38" s="22"/>
      <c r="E38" s="22"/>
      <c r="F38" s="22"/>
      <c r="G38" s="22"/>
      <c r="H38" s="23"/>
      <c r="I38" s="4"/>
    </row>
    <row r="39" spans="1:10" x14ac:dyDescent="0.25">
      <c r="D39" s="22"/>
      <c r="E39" s="22"/>
      <c r="F39" s="22"/>
      <c r="G39" s="22"/>
      <c r="H39" s="23"/>
      <c r="I39" s="4"/>
    </row>
    <row r="40" spans="1:10" x14ac:dyDescent="0.25">
      <c r="D40" s="22"/>
      <c r="E40" s="22"/>
      <c r="F40" s="22"/>
      <c r="G40" s="22"/>
      <c r="H40" s="23"/>
      <c r="I40" s="4"/>
    </row>
    <row r="41" spans="1:10" x14ac:dyDescent="0.25">
      <c r="D41" s="22"/>
      <c r="E41" s="22"/>
      <c r="F41" s="22"/>
      <c r="G41" s="22"/>
      <c r="H41" s="22"/>
      <c r="I41" s="4"/>
    </row>
    <row r="42" spans="1:10" x14ac:dyDescent="0.25">
      <c r="B42" s="24">
        <v>616000</v>
      </c>
      <c r="D42" s="22"/>
      <c r="E42" s="22"/>
      <c r="F42" s="22"/>
      <c r="G42" s="22"/>
      <c r="H42" s="22"/>
      <c r="I42" s="4"/>
    </row>
    <row r="43" spans="1:10" x14ac:dyDescent="0.25">
      <c r="B43" s="141" t="s">
        <v>21</v>
      </c>
      <c r="C43" s="66" t="s">
        <v>20</v>
      </c>
      <c r="D43" s="265" t="s">
        <v>16</v>
      </c>
      <c r="E43" s="265"/>
      <c r="F43" s="265" t="s">
        <v>17</v>
      </c>
      <c r="G43" s="265"/>
    </row>
    <row r="44" spans="1:10" x14ac:dyDescent="0.25">
      <c r="B44" s="142">
        <v>0</v>
      </c>
      <c r="C44" s="55">
        <v>250</v>
      </c>
      <c r="D44" s="266">
        <v>0.8</v>
      </c>
      <c r="E44" s="266"/>
      <c r="F44" s="262">
        <v>0.8</v>
      </c>
      <c r="G44" s="262"/>
      <c r="H44" s="145"/>
      <c r="J44" s="147">
        <f t="shared" ref="J44:J51" si="0">+C44*$B$42</f>
        <v>154000000</v>
      </c>
    </row>
    <row r="45" spans="1:10" x14ac:dyDescent="0.25">
      <c r="B45" s="142">
        <v>251</v>
      </c>
      <c r="C45" s="55">
        <v>1000</v>
      </c>
      <c r="D45" s="266">
        <v>0.8</v>
      </c>
      <c r="E45" s="266"/>
      <c r="F45" s="262">
        <v>0.75</v>
      </c>
      <c r="G45" s="262"/>
      <c r="H45" s="146">
        <f t="shared" ref="H45:H51" si="1">+B45*$B$42</f>
        <v>154616000</v>
      </c>
      <c r="J45" s="147">
        <f t="shared" si="0"/>
        <v>616000000</v>
      </c>
    </row>
    <row r="46" spans="1:10" x14ac:dyDescent="0.25">
      <c r="B46" s="142">
        <v>1001</v>
      </c>
      <c r="C46" s="55">
        <v>1500</v>
      </c>
      <c r="D46" s="266">
        <v>0.9</v>
      </c>
      <c r="E46" s="266"/>
      <c r="F46" s="262">
        <v>0.75</v>
      </c>
      <c r="G46" s="262"/>
      <c r="H46" s="146">
        <f t="shared" si="1"/>
        <v>616616000</v>
      </c>
      <c r="J46" s="147">
        <f t="shared" si="0"/>
        <v>924000000</v>
      </c>
    </row>
    <row r="47" spans="1:10" x14ac:dyDescent="0.25">
      <c r="B47" s="142">
        <v>1501</v>
      </c>
      <c r="C47" s="55">
        <v>2500</v>
      </c>
      <c r="D47" s="266">
        <v>0.9</v>
      </c>
      <c r="E47" s="266"/>
      <c r="F47" s="262">
        <v>0.7</v>
      </c>
      <c r="G47" s="262"/>
      <c r="H47" s="146">
        <f t="shared" si="1"/>
        <v>924616000</v>
      </c>
      <c r="J47" s="147">
        <f t="shared" si="0"/>
        <v>1540000000</v>
      </c>
    </row>
    <row r="48" spans="1:10" x14ac:dyDescent="0.25">
      <c r="B48" s="142">
        <v>2501</v>
      </c>
      <c r="C48" s="55">
        <v>3000</v>
      </c>
      <c r="D48" s="266">
        <v>1</v>
      </c>
      <c r="E48" s="266"/>
      <c r="F48" s="262">
        <v>0.7</v>
      </c>
      <c r="G48" s="262"/>
      <c r="H48" s="146">
        <f t="shared" si="1"/>
        <v>1540616000</v>
      </c>
      <c r="J48" s="147">
        <f t="shared" si="0"/>
        <v>1848000000</v>
      </c>
    </row>
    <row r="49" spans="2:10" x14ac:dyDescent="0.25">
      <c r="B49" s="142">
        <v>3001</v>
      </c>
      <c r="C49" s="55">
        <v>3500</v>
      </c>
      <c r="D49" s="266">
        <v>1</v>
      </c>
      <c r="E49" s="266"/>
      <c r="F49" s="262">
        <v>0.68</v>
      </c>
      <c r="G49" s="262"/>
      <c r="H49" s="146">
        <f t="shared" si="1"/>
        <v>1848616000</v>
      </c>
      <c r="J49" s="147">
        <f t="shared" si="0"/>
        <v>2156000000</v>
      </c>
    </row>
    <row r="50" spans="2:10" x14ac:dyDescent="0.25">
      <c r="B50" s="142">
        <v>3501</v>
      </c>
      <c r="C50" s="55">
        <v>4500</v>
      </c>
      <c r="D50" s="266">
        <v>1.1000000000000001</v>
      </c>
      <c r="E50" s="266"/>
      <c r="F50" s="262">
        <v>0.68</v>
      </c>
      <c r="G50" s="262"/>
      <c r="H50" s="146">
        <f t="shared" si="1"/>
        <v>2156616000</v>
      </c>
      <c r="J50" s="147">
        <f t="shared" si="0"/>
        <v>2772000000</v>
      </c>
    </row>
    <row r="51" spans="2:10" x14ac:dyDescent="0.25">
      <c r="B51" s="142">
        <v>4501</v>
      </c>
      <c r="C51" s="55"/>
      <c r="D51" s="266">
        <v>1.2</v>
      </c>
      <c r="E51" s="266"/>
      <c r="F51" s="262">
        <v>0.65</v>
      </c>
      <c r="G51" s="262"/>
      <c r="H51" s="146">
        <f t="shared" si="1"/>
        <v>2772616000</v>
      </c>
      <c r="J51" s="147">
        <f t="shared" si="0"/>
        <v>0</v>
      </c>
    </row>
  </sheetData>
  <mergeCells count="37">
    <mergeCell ref="C6:H6"/>
    <mergeCell ref="B1:H1"/>
    <mergeCell ref="B2:H2"/>
    <mergeCell ref="B3:H3"/>
    <mergeCell ref="B4:H4"/>
    <mergeCell ref="B5:H5"/>
    <mergeCell ref="G12:H12"/>
    <mergeCell ref="G13:H13"/>
    <mergeCell ref="B27:H27"/>
    <mergeCell ref="B28:H28"/>
    <mergeCell ref="C7:H7"/>
    <mergeCell ref="C8:E8"/>
    <mergeCell ref="G8:H8"/>
    <mergeCell ref="C10:E10"/>
    <mergeCell ref="G10:H10"/>
    <mergeCell ref="C11:E11"/>
    <mergeCell ref="G11:H11"/>
    <mergeCell ref="C32:H32"/>
    <mergeCell ref="C34:H34"/>
    <mergeCell ref="D43:E43"/>
    <mergeCell ref="F43:G43"/>
    <mergeCell ref="D44:E44"/>
    <mergeCell ref="F44:G44"/>
    <mergeCell ref="D45:E45"/>
    <mergeCell ref="F45:G45"/>
    <mergeCell ref="D46:E46"/>
    <mergeCell ref="F46:G46"/>
    <mergeCell ref="D47:E47"/>
    <mergeCell ref="F47:G47"/>
    <mergeCell ref="D51:E51"/>
    <mergeCell ref="F51:G51"/>
    <mergeCell ref="D48:E48"/>
    <mergeCell ref="F48:G48"/>
    <mergeCell ref="D49:E49"/>
    <mergeCell ref="F49:G49"/>
    <mergeCell ref="D50:E50"/>
    <mergeCell ref="F50:G50"/>
  </mergeCells>
  <pageMargins left="0.70866141732283472" right="0.70866141732283472" top="0.74803149606299213" bottom="0.74803149606299213" header="0.31496062992125984" footer="0.31496062992125984"/>
  <pageSetup scale="7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I60"/>
  <sheetViews>
    <sheetView view="pageBreakPreview" topLeftCell="A10" zoomScale="130" zoomScaleNormal="100" zoomScaleSheetLayoutView="130" workbookViewId="0">
      <selection activeCell="B14" sqref="B14"/>
    </sheetView>
  </sheetViews>
  <sheetFormatPr baseColWidth="10" defaultRowHeight="13.5" x14ac:dyDescent="0.25"/>
  <cols>
    <col min="1" max="1" width="3.140625" style="84" customWidth="1"/>
    <col min="2" max="2" width="31.85546875" style="84" customWidth="1"/>
    <col min="3" max="3" width="27.7109375" style="84" customWidth="1"/>
    <col min="4" max="4" width="21.7109375" style="84" customWidth="1"/>
    <col min="5" max="5" width="3.5703125" style="84" customWidth="1"/>
    <col min="6" max="6" width="16.5703125" style="84" customWidth="1"/>
    <col min="7" max="7" width="3.140625" style="84" customWidth="1"/>
    <col min="8" max="8" width="18.140625" style="84" customWidth="1"/>
    <col min="9" max="9" width="12.7109375" style="84" bestFit="1" customWidth="1"/>
    <col min="10" max="16384" width="11.42578125" style="84"/>
  </cols>
  <sheetData>
    <row r="1" spans="1:5" s="93" customFormat="1" ht="20.25" customHeight="1" x14ac:dyDescent="0.25">
      <c r="A1" s="253" t="s">
        <v>0</v>
      </c>
      <c r="B1" s="254"/>
      <c r="C1" s="254"/>
      <c r="D1" s="254"/>
      <c r="E1" s="255"/>
    </row>
    <row r="2" spans="1:5" s="93" customFormat="1" ht="15.75" customHeight="1" x14ac:dyDescent="0.25">
      <c r="A2" s="196"/>
      <c r="B2" s="256" t="s">
        <v>1</v>
      </c>
      <c r="C2" s="256"/>
      <c r="D2" s="256"/>
      <c r="E2" s="95"/>
    </row>
    <row r="3" spans="1:5" s="93" customFormat="1" ht="15.75" customHeight="1" x14ac:dyDescent="0.25">
      <c r="A3" s="257" t="s">
        <v>27</v>
      </c>
      <c r="B3" s="256"/>
      <c r="C3" s="256"/>
      <c r="D3" s="256"/>
      <c r="E3" s="258"/>
    </row>
    <row r="4" spans="1:5" s="93" customFormat="1" ht="20.25" x14ac:dyDescent="0.3">
      <c r="A4" s="96"/>
      <c r="B4" s="256" t="s">
        <v>2</v>
      </c>
      <c r="C4" s="256"/>
      <c r="D4" s="256"/>
      <c r="E4" s="97"/>
    </row>
    <row r="5" spans="1:5" s="93" customFormat="1" ht="20.25" customHeight="1" x14ac:dyDescent="0.25">
      <c r="A5" s="257" t="s">
        <v>28</v>
      </c>
      <c r="B5" s="256"/>
      <c r="C5" s="256"/>
      <c r="D5" s="256"/>
      <c r="E5" s="258"/>
    </row>
    <row r="6" spans="1:5" s="93" customFormat="1" ht="96" customHeight="1" x14ac:dyDescent="0.25">
      <c r="A6" s="259" t="s">
        <v>29</v>
      </c>
      <c r="B6" s="260"/>
      <c r="C6" s="260"/>
      <c r="D6" s="260"/>
      <c r="E6" s="261"/>
    </row>
    <row r="7" spans="1:5" s="93" customFormat="1" ht="14.25" thickBot="1" x14ac:dyDescent="0.3">
      <c r="A7" s="98"/>
      <c r="B7" s="70"/>
      <c r="C7" s="70"/>
      <c r="D7" s="70"/>
      <c r="E7" s="75"/>
    </row>
    <row r="8" spans="1:5" s="93" customFormat="1" ht="37.5" customHeight="1" thickBot="1" x14ac:dyDescent="0.3">
      <c r="A8" s="98"/>
      <c r="B8" s="72" t="s">
        <v>3</v>
      </c>
      <c r="C8" s="247" t="s">
        <v>157</v>
      </c>
      <c r="D8" s="248"/>
      <c r="E8" s="75"/>
    </row>
    <row r="9" spans="1:5" s="93" customFormat="1" ht="14.25" thickBot="1" x14ac:dyDescent="0.3">
      <c r="A9" s="98"/>
      <c r="B9" s="72" t="s">
        <v>38</v>
      </c>
      <c r="C9" s="247">
        <v>4</v>
      </c>
      <c r="D9" s="248"/>
      <c r="E9" s="75"/>
    </row>
    <row r="10" spans="1:5" s="93" customFormat="1" ht="14.25" thickBot="1" x14ac:dyDescent="0.3">
      <c r="A10" s="98"/>
      <c r="B10" s="79" t="s">
        <v>6</v>
      </c>
      <c r="C10" s="247">
        <v>809010583</v>
      </c>
      <c r="D10" s="248"/>
      <c r="E10" s="75"/>
    </row>
    <row r="11" spans="1:5" s="93" customFormat="1" ht="26.25" customHeight="1" x14ac:dyDescent="0.25">
      <c r="A11" s="98"/>
      <c r="B11" s="130" t="s">
        <v>23</v>
      </c>
      <c r="C11" s="197" t="s">
        <v>24</v>
      </c>
      <c r="D11" s="199" t="s">
        <v>25</v>
      </c>
      <c r="E11" s="75"/>
    </row>
    <row r="12" spans="1:5" s="93" customFormat="1" x14ac:dyDescent="0.25">
      <c r="A12" s="98"/>
      <c r="B12" s="133">
        <v>5</v>
      </c>
      <c r="C12" s="135" t="s">
        <v>186</v>
      </c>
      <c r="D12" s="134">
        <v>6337932835</v>
      </c>
      <c r="E12" s="75"/>
    </row>
    <row r="13" spans="1:5" s="93" customFormat="1" x14ac:dyDescent="0.25">
      <c r="A13" s="98"/>
      <c r="B13" s="133">
        <v>42</v>
      </c>
      <c r="C13" s="135" t="s">
        <v>158</v>
      </c>
      <c r="D13" s="134">
        <v>659896796</v>
      </c>
      <c r="E13" s="75"/>
    </row>
    <row r="14" spans="1:5" s="93" customFormat="1" x14ac:dyDescent="0.25">
      <c r="A14" s="98"/>
      <c r="B14" s="133">
        <v>36</v>
      </c>
      <c r="C14" s="135" t="s">
        <v>158</v>
      </c>
      <c r="D14" s="134">
        <v>2242813794</v>
      </c>
      <c r="E14" s="75"/>
    </row>
    <row r="15" spans="1:5" s="93" customFormat="1" x14ac:dyDescent="0.25">
      <c r="A15" s="98"/>
      <c r="B15" s="133">
        <v>17</v>
      </c>
      <c r="C15" s="135" t="s">
        <v>158</v>
      </c>
      <c r="D15" s="134">
        <v>455245258</v>
      </c>
      <c r="E15" s="75"/>
    </row>
    <row r="16" spans="1:5" s="93" customFormat="1" x14ac:dyDescent="0.25">
      <c r="A16" s="98"/>
      <c r="B16" s="133">
        <v>37</v>
      </c>
      <c r="C16" s="135" t="s">
        <v>158</v>
      </c>
      <c r="D16" s="134">
        <v>315330431</v>
      </c>
      <c r="E16" s="75"/>
    </row>
    <row r="17" spans="1:5" s="93" customFormat="1" x14ac:dyDescent="0.25">
      <c r="A17" s="98"/>
      <c r="B17" s="133">
        <v>64</v>
      </c>
      <c r="C17" s="135" t="s">
        <v>158</v>
      </c>
      <c r="D17" s="134">
        <v>227622629</v>
      </c>
      <c r="E17" s="75"/>
    </row>
    <row r="18" spans="1:5" s="93" customFormat="1" x14ac:dyDescent="0.25">
      <c r="A18" s="98"/>
      <c r="B18" s="133">
        <v>12</v>
      </c>
      <c r="C18" s="135" t="s">
        <v>158</v>
      </c>
      <c r="D18" s="134">
        <v>939726450</v>
      </c>
      <c r="E18" s="75"/>
    </row>
    <row r="19" spans="1:5" s="93" customFormat="1" x14ac:dyDescent="0.25">
      <c r="A19" s="98"/>
      <c r="B19" s="133">
        <v>22</v>
      </c>
      <c r="C19" s="135" t="s">
        <v>158</v>
      </c>
      <c r="D19" s="134">
        <v>1246101290</v>
      </c>
      <c r="E19" s="75"/>
    </row>
    <row r="20" spans="1:5" s="93" customFormat="1" x14ac:dyDescent="0.25">
      <c r="A20" s="98"/>
      <c r="B20" s="133">
        <v>15</v>
      </c>
      <c r="C20" s="135" t="s">
        <v>158</v>
      </c>
      <c r="D20" s="134">
        <v>1104700649</v>
      </c>
      <c r="E20" s="75"/>
    </row>
    <row r="21" spans="1:5" s="93" customFormat="1" x14ac:dyDescent="0.25">
      <c r="A21" s="98"/>
      <c r="B21" s="133">
        <v>73</v>
      </c>
      <c r="C21" s="135" t="s">
        <v>158</v>
      </c>
      <c r="D21" s="134">
        <v>1073376434</v>
      </c>
      <c r="E21" s="75"/>
    </row>
    <row r="22" spans="1:5" s="93" customFormat="1" x14ac:dyDescent="0.25">
      <c r="A22" s="98"/>
      <c r="B22" s="133">
        <v>72</v>
      </c>
      <c r="C22" s="135" t="s">
        <v>158</v>
      </c>
      <c r="D22" s="134">
        <v>1154819393</v>
      </c>
      <c r="E22" s="75"/>
    </row>
    <row r="23" spans="1:5" s="93" customFormat="1" x14ac:dyDescent="0.25">
      <c r="A23" s="98"/>
      <c r="B23" s="133">
        <v>65</v>
      </c>
      <c r="C23" s="135" t="s">
        <v>158</v>
      </c>
      <c r="D23" s="134">
        <v>906313954</v>
      </c>
      <c r="E23" s="75"/>
    </row>
    <row r="24" spans="1:5" s="93" customFormat="1" ht="14.25" thickBot="1" x14ac:dyDescent="0.3">
      <c r="A24" s="98"/>
      <c r="B24" s="74"/>
      <c r="C24" s="135"/>
      <c r="D24" s="99"/>
      <c r="E24" s="75"/>
    </row>
    <row r="25" spans="1:5" s="93" customFormat="1" ht="14.25" thickBot="1" x14ac:dyDescent="0.3">
      <c r="A25" s="98"/>
      <c r="B25" s="72" t="s">
        <v>30</v>
      </c>
      <c r="C25" s="249">
        <f>+SUM(D12:D23)</f>
        <v>16663879913</v>
      </c>
      <c r="D25" s="250"/>
      <c r="E25" s="75"/>
    </row>
    <row r="26" spans="1:5" s="93" customFormat="1" ht="14.25" thickBot="1" x14ac:dyDescent="0.3">
      <c r="A26" s="98"/>
      <c r="B26" s="72" t="s">
        <v>5</v>
      </c>
      <c r="C26" s="302">
        <f>+ROUND(C25/616000,0)</f>
        <v>27052</v>
      </c>
      <c r="D26" s="303"/>
      <c r="E26" s="75"/>
    </row>
    <row r="27" spans="1:5" s="93" customFormat="1" x14ac:dyDescent="0.25">
      <c r="A27" s="98"/>
      <c r="B27" s="70"/>
      <c r="C27" s="70"/>
      <c r="D27" s="99"/>
      <c r="E27" s="75"/>
    </row>
    <row r="28" spans="1:5" s="93" customFormat="1" ht="14.25" thickBot="1" x14ac:dyDescent="0.3">
      <c r="A28" s="98"/>
      <c r="B28" s="100" t="s">
        <v>19</v>
      </c>
      <c r="C28" s="76"/>
      <c r="D28" s="99"/>
      <c r="E28" s="75"/>
    </row>
    <row r="29" spans="1:5" s="93" customFormat="1" x14ac:dyDescent="0.25">
      <c r="A29" s="98"/>
      <c r="B29" s="77" t="s">
        <v>13</v>
      </c>
      <c r="C29" s="85">
        <f>+IF($C$26&gt;$B$60,$D$60,IF(AND($C$26&gt;=$B$59,$C$26&lt;=$C$59),$D$59,IF(AND($C$26&gt;=$B$57,$C$26&lt;=$C$58),$D$57,IF(AND($C$26&gt;=$B$55,$C$26&lt;=$C$56),$D$55,IF(AND($C$26&gt;$B$53,$C$26&lt;=$C$54),$D$53)))))</f>
        <v>1.2</v>
      </c>
      <c r="D29" s="99"/>
      <c r="E29" s="75"/>
    </row>
    <row r="30" spans="1:5" s="93" customFormat="1" ht="14.25" thickBot="1" x14ac:dyDescent="0.3">
      <c r="A30" s="98"/>
      <c r="B30" s="78" t="s">
        <v>14</v>
      </c>
      <c r="C30" s="86">
        <f>+IF($C$26&gt;$B$60,$F$60,IF(AND($C$26&gt;=$B$58,$C$26&lt;=$C$59),$F$58,IF(AND($C$26&gt;=$B$56,$C$26&lt;=$C$57),$F$56,IF(AND($C$26&gt;=$B$54,$C$26&lt;=$C$55),$F$54,IF(AND($C$26&gt;$B$53,$C$26&lt;=$C$53),$F$53)))))</f>
        <v>0.65</v>
      </c>
      <c r="D30" s="99"/>
      <c r="E30" s="75"/>
    </row>
    <row r="31" spans="1:5" s="93" customFormat="1" ht="14.25" thickBot="1" x14ac:dyDescent="0.3">
      <c r="A31" s="98"/>
      <c r="B31" s="101"/>
      <c r="C31" s="102"/>
      <c r="D31" s="103"/>
      <c r="E31" s="75"/>
    </row>
    <row r="32" spans="1:5" s="93" customFormat="1" x14ac:dyDescent="0.25">
      <c r="A32" s="98"/>
      <c r="B32" s="80" t="s">
        <v>7</v>
      </c>
      <c r="C32" s="127">
        <f>1295048462+45591474</f>
        <v>1340639936</v>
      </c>
      <c r="D32" s="104"/>
      <c r="E32" s="75"/>
    </row>
    <row r="33" spans="1:8" s="93" customFormat="1" x14ac:dyDescent="0.25">
      <c r="A33" s="98"/>
      <c r="B33" s="81" t="s">
        <v>8</v>
      </c>
      <c r="C33" s="129">
        <v>2034998386</v>
      </c>
      <c r="D33" s="105"/>
      <c r="E33" s="75"/>
    </row>
    <row r="34" spans="1:8" s="93" customFormat="1" ht="15" x14ac:dyDescent="0.25">
      <c r="A34" s="98"/>
      <c r="B34" s="81" t="s">
        <v>9</v>
      </c>
      <c r="C34" s="129">
        <v>790117743</v>
      </c>
      <c r="D34" s="105"/>
      <c r="E34" s="75"/>
      <c r="F34" s="106"/>
      <c r="H34" s="239"/>
    </row>
    <row r="35" spans="1:8" s="93" customFormat="1" ht="15.75" thickBot="1" x14ac:dyDescent="0.3">
      <c r="A35" s="98"/>
      <c r="B35" s="81" t="s">
        <v>10</v>
      </c>
      <c r="C35" s="129">
        <v>790117743</v>
      </c>
      <c r="D35" s="105"/>
      <c r="E35" s="75"/>
      <c r="F35" s="106"/>
    </row>
    <row r="36" spans="1:8" s="93" customFormat="1" ht="14.25" thickBot="1" x14ac:dyDescent="0.3">
      <c r="A36" s="98"/>
      <c r="B36" s="241" t="s">
        <v>11</v>
      </c>
      <c r="C36" s="242"/>
      <c r="D36" s="243"/>
      <c r="E36" s="75"/>
    </row>
    <row r="37" spans="1:8" s="93" customFormat="1" ht="14.25" thickBot="1" x14ac:dyDescent="0.3">
      <c r="A37" s="98"/>
      <c r="B37" s="241" t="s">
        <v>12</v>
      </c>
      <c r="C37" s="242"/>
      <c r="D37" s="243"/>
      <c r="E37" s="75"/>
    </row>
    <row r="38" spans="1:8" s="93" customFormat="1" ht="16.5" x14ac:dyDescent="0.3">
      <c r="A38" s="98"/>
      <c r="B38" s="77" t="s">
        <v>13</v>
      </c>
      <c r="C38" s="126">
        <f>+IFERROR(C32/C34,"INDETERMINADO")</f>
        <v>1.6967596891442038</v>
      </c>
      <c r="D38" s="118" t="str">
        <f>+IF(C38&gt;=C29,"CUMPLE","NO CUMPLE")</f>
        <v>CUMPLE</v>
      </c>
      <c r="E38" s="75"/>
    </row>
    <row r="39" spans="1:8" s="93" customFormat="1" ht="17.25" thickBot="1" x14ac:dyDescent="0.35">
      <c r="A39" s="98"/>
      <c r="B39" s="78" t="s">
        <v>14</v>
      </c>
      <c r="C39" s="120">
        <f>+C35/C33</f>
        <v>0.38826455511498376</v>
      </c>
      <c r="D39" s="119" t="str">
        <f>+IF(C39&lt;=C30,"CUMPLE","NO CUMPLE")</f>
        <v>CUMPLE</v>
      </c>
      <c r="E39" s="75"/>
    </row>
    <row r="40" spans="1:8" s="110" customFormat="1" ht="14.25" thickBot="1" x14ac:dyDescent="0.3">
      <c r="A40" s="98"/>
      <c r="B40" s="108"/>
      <c r="C40" s="100"/>
      <c r="D40" s="76"/>
      <c r="E40" s="109"/>
    </row>
    <row r="41" spans="1:8" s="93" customFormat="1" ht="41.25" customHeight="1" thickBot="1" x14ac:dyDescent="0.3">
      <c r="A41" s="98"/>
      <c r="B41" s="72" t="s">
        <v>15</v>
      </c>
      <c r="C41" s="244" t="s">
        <v>43</v>
      </c>
      <c r="D41" s="245"/>
      <c r="E41" s="75"/>
    </row>
    <row r="42" spans="1:8" s="70" customFormat="1" ht="14.25" thickBot="1" x14ac:dyDescent="0.3">
      <c r="A42" s="98"/>
      <c r="B42" s="83"/>
      <c r="C42" s="83"/>
      <c r="D42" s="83"/>
      <c r="E42" s="75"/>
    </row>
    <row r="43" spans="1:8" s="70" customFormat="1" ht="45.75" customHeight="1" thickBot="1" x14ac:dyDescent="0.3">
      <c r="A43" s="98"/>
      <c r="B43" s="72" t="s">
        <v>26</v>
      </c>
      <c r="C43" s="244"/>
      <c r="D43" s="245"/>
      <c r="E43" s="75"/>
    </row>
    <row r="44" spans="1:8" s="70" customFormat="1" ht="14.25" thickBot="1" x14ac:dyDescent="0.3">
      <c r="A44" s="111"/>
      <c r="B44" s="112"/>
      <c r="C44" s="112"/>
      <c r="D44" s="112"/>
      <c r="E44" s="71"/>
    </row>
    <row r="45" spans="1:8" s="70" customFormat="1" x14ac:dyDescent="0.25">
      <c r="B45" s="83"/>
      <c r="C45" s="83"/>
      <c r="D45" s="83"/>
    </row>
    <row r="46" spans="1:8" s="70" customFormat="1" x14ac:dyDescent="0.25">
      <c r="B46" s="83"/>
      <c r="C46" s="83"/>
      <c r="D46" s="83"/>
    </row>
    <row r="47" spans="1:8" s="70" customFormat="1" x14ac:dyDescent="0.25">
      <c r="B47" s="83"/>
      <c r="C47" s="83"/>
      <c r="D47" s="83"/>
    </row>
    <row r="48" spans="1:8" s="70" customFormat="1" x14ac:dyDescent="0.25">
      <c r="B48" s="83"/>
      <c r="C48" s="83"/>
      <c r="D48" s="83"/>
    </row>
    <row r="50" spans="1:9" x14ac:dyDescent="0.25">
      <c r="B50" s="100"/>
      <c r="C50" s="70"/>
    </row>
    <row r="51" spans="1:9" x14ac:dyDescent="0.25">
      <c r="B51" s="88">
        <v>616000</v>
      </c>
      <c r="C51" s="87"/>
      <c r="D51" s="87"/>
      <c r="E51" s="87"/>
      <c r="F51" s="87"/>
      <c r="G51" s="87"/>
      <c r="H51" s="87"/>
      <c r="I51" s="87"/>
    </row>
    <row r="52" spans="1:9" ht="25.5" x14ac:dyDescent="0.25">
      <c r="B52" s="89" t="s">
        <v>21</v>
      </c>
      <c r="C52" s="89" t="s">
        <v>20</v>
      </c>
      <c r="D52" s="200" t="s">
        <v>16</v>
      </c>
      <c r="E52" s="87"/>
      <c r="F52" s="200" t="s">
        <v>17</v>
      </c>
      <c r="G52" s="87"/>
      <c r="H52" s="246"/>
      <c r="I52" s="246"/>
    </row>
    <row r="53" spans="1:9" x14ac:dyDescent="0.25">
      <c r="B53" s="90">
        <v>0</v>
      </c>
      <c r="C53" s="90">
        <v>250</v>
      </c>
      <c r="D53" s="201">
        <v>0.8</v>
      </c>
      <c r="E53" s="87"/>
      <c r="F53" s="202">
        <v>0.8</v>
      </c>
      <c r="G53" s="87"/>
      <c r="H53" s="116"/>
      <c r="I53" s="117">
        <f t="shared" ref="I53:I60" si="0">+C53*$B$51</f>
        <v>154000000</v>
      </c>
    </row>
    <row r="54" spans="1:9" x14ac:dyDescent="0.25">
      <c r="B54" s="90">
        <v>251</v>
      </c>
      <c r="C54" s="90">
        <v>1000</v>
      </c>
      <c r="D54" s="201">
        <v>0.8</v>
      </c>
      <c r="E54" s="87"/>
      <c r="F54" s="202">
        <v>0.75</v>
      </c>
      <c r="G54" s="87"/>
      <c r="H54" s="117">
        <f t="shared" ref="H54:H60" si="1">+B54*$B$51</f>
        <v>154616000</v>
      </c>
      <c r="I54" s="117">
        <f t="shared" si="0"/>
        <v>616000000</v>
      </c>
    </row>
    <row r="55" spans="1:9" x14ac:dyDescent="0.25">
      <c r="B55" s="90">
        <v>1001</v>
      </c>
      <c r="C55" s="90">
        <v>1500</v>
      </c>
      <c r="D55" s="201">
        <v>0.9</v>
      </c>
      <c r="E55" s="87"/>
      <c r="F55" s="202">
        <v>0.75</v>
      </c>
      <c r="G55" s="87"/>
      <c r="H55" s="117">
        <f t="shared" si="1"/>
        <v>616616000</v>
      </c>
      <c r="I55" s="117">
        <f t="shared" si="0"/>
        <v>924000000</v>
      </c>
    </row>
    <row r="56" spans="1:9" x14ac:dyDescent="0.25">
      <c r="B56" s="90">
        <v>1501</v>
      </c>
      <c r="C56" s="90">
        <v>2500</v>
      </c>
      <c r="D56" s="201">
        <v>0.9</v>
      </c>
      <c r="E56" s="87"/>
      <c r="F56" s="202">
        <v>0.7</v>
      </c>
      <c r="G56" s="87"/>
      <c r="H56" s="117">
        <f t="shared" si="1"/>
        <v>924616000</v>
      </c>
      <c r="I56" s="117">
        <f t="shared" si="0"/>
        <v>1540000000</v>
      </c>
    </row>
    <row r="57" spans="1:9" x14ac:dyDescent="0.25">
      <c r="B57" s="90">
        <v>2501</v>
      </c>
      <c r="C57" s="90">
        <v>3000</v>
      </c>
      <c r="D57" s="201">
        <v>1</v>
      </c>
      <c r="E57" s="87"/>
      <c r="F57" s="202">
        <v>0.7</v>
      </c>
      <c r="G57" s="87"/>
      <c r="H57" s="117">
        <f t="shared" si="1"/>
        <v>1540616000</v>
      </c>
      <c r="I57" s="117">
        <f t="shared" si="0"/>
        <v>1848000000</v>
      </c>
    </row>
    <row r="58" spans="1:9" x14ac:dyDescent="0.25">
      <c r="B58" s="90">
        <v>3001</v>
      </c>
      <c r="C58" s="90">
        <v>3500</v>
      </c>
      <c r="D58" s="201">
        <v>1</v>
      </c>
      <c r="E58" s="87"/>
      <c r="F58" s="202">
        <v>0.68</v>
      </c>
      <c r="G58" s="87"/>
      <c r="H58" s="117">
        <f t="shared" si="1"/>
        <v>1848616000</v>
      </c>
      <c r="I58" s="117">
        <f t="shared" si="0"/>
        <v>2156000000</v>
      </c>
    </row>
    <row r="59" spans="1:9" x14ac:dyDescent="0.25">
      <c r="B59" s="90">
        <v>3501</v>
      </c>
      <c r="C59" s="90">
        <v>4500</v>
      </c>
      <c r="D59" s="201">
        <v>1.1000000000000001</v>
      </c>
      <c r="E59" s="87"/>
      <c r="F59" s="202">
        <v>0.68</v>
      </c>
      <c r="G59" s="87"/>
      <c r="H59" s="117">
        <f t="shared" si="1"/>
        <v>2156616000</v>
      </c>
      <c r="I59" s="117">
        <f t="shared" si="0"/>
        <v>2772000000</v>
      </c>
    </row>
    <row r="60" spans="1:9" x14ac:dyDescent="0.25">
      <c r="A60" s="84" t="s">
        <v>22</v>
      </c>
      <c r="B60" s="90">
        <v>4501</v>
      </c>
      <c r="C60" s="90"/>
      <c r="D60" s="201">
        <v>1.2</v>
      </c>
      <c r="E60" s="87"/>
      <c r="F60" s="202">
        <v>0.65</v>
      </c>
      <c r="G60" s="87"/>
      <c r="H60" s="117">
        <f t="shared" si="1"/>
        <v>2772616000</v>
      </c>
      <c r="I60" s="117">
        <f t="shared" si="0"/>
        <v>0</v>
      </c>
    </row>
  </sheetData>
  <mergeCells count="16">
    <mergeCell ref="A6:E6"/>
    <mergeCell ref="A1:E1"/>
    <mergeCell ref="B2:D2"/>
    <mergeCell ref="A3:E3"/>
    <mergeCell ref="B4:D4"/>
    <mergeCell ref="A5:E5"/>
    <mergeCell ref="B37:D37"/>
    <mergeCell ref="C41:D41"/>
    <mergeCell ref="C43:D43"/>
    <mergeCell ref="H52:I52"/>
    <mergeCell ref="C8:D8"/>
    <mergeCell ref="C9:D9"/>
    <mergeCell ref="C10:D10"/>
    <mergeCell ref="C25:D25"/>
    <mergeCell ref="C26:D26"/>
    <mergeCell ref="B36:D36"/>
  </mergeCells>
  <pageMargins left="0.7" right="0.7" top="0.75" bottom="0.75" header="0.3" footer="0.3"/>
  <pageSetup scale="84" orientation="portrait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0"/>
  <sheetViews>
    <sheetView view="pageBreakPreview" zoomScale="110" zoomScaleNormal="100" zoomScaleSheetLayoutView="110" workbookViewId="0">
      <selection activeCell="A6" sqref="A6:E6"/>
    </sheetView>
  </sheetViews>
  <sheetFormatPr baseColWidth="10" defaultRowHeight="13.5" x14ac:dyDescent="0.25"/>
  <cols>
    <col min="1" max="1" width="3.140625" style="84" customWidth="1"/>
    <col min="2" max="2" width="34.7109375" style="84" customWidth="1"/>
    <col min="3" max="3" width="27.7109375" style="84" customWidth="1"/>
    <col min="4" max="4" width="21.7109375" style="84" customWidth="1"/>
    <col min="5" max="5" width="3.5703125" style="84" customWidth="1"/>
    <col min="6" max="6" width="16.5703125" style="84" customWidth="1"/>
    <col min="7" max="7" width="3.140625" style="84" customWidth="1"/>
    <col min="8" max="8" width="18.140625" style="84" customWidth="1"/>
    <col min="9" max="9" width="12.7109375" style="84" bestFit="1" customWidth="1"/>
    <col min="10" max="16384" width="11.42578125" style="84"/>
  </cols>
  <sheetData>
    <row r="1" spans="1:5" s="93" customFormat="1" ht="20.25" customHeight="1" x14ac:dyDescent="0.25">
      <c r="A1" s="253" t="s">
        <v>0</v>
      </c>
      <c r="B1" s="254"/>
      <c r="C1" s="254"/>
      <c r="D1" s="254"/>
      <c r="E1" s="255"/>
    </row>
    <row r="2" spans="1:5" s="93" customFormat="1" ht="15.75" customHeight="1" x14ac:dyDescent="0.25">
      <c r="A2" s="176"/>
      <c r="B2" s="256" t="s">
        <v>1</v>
      </c>
      <c r="C2" s="256"/>
      <c r="D2" s="256"/>
      <c r="E2" s="95"/>
    </row>
    <row r="3" spans="1:5" s="93" customFormat="1" ht="15.75" customHeight="1" x14ac:dyDescent="0.25">
      <c r="A3" s="257" t="s">
        <v>27</v>
      </c>
      <c r="B3" s="256"/>
      <c r="C3" s="256"/>
      <c r="D3" s="256"/>
      <c r="E3" s="258"/>
    </row>
    <row r="4" spans="1:5" s="93" customFormat="1" ht="20.25" x14ac:dyDescent="0.3">
      <c r="A4" s="96"/>
      <c r="B4" s="256" t="s">
        <v>2</v>
      </c>
      <c r="C4" s="256"/>
      <c r="D4" s="256"/>
      <c r="E4" s="97"/>
    </row>
    <row r="5" spans="1:5" s="93" customFormat="1" ht="20.25" customHeight="1" x14ac:dyDescent="0.25">
      <c r="A5" s="257" t="s">
        <v>28</v>
      </c>
      <c r="B5" s="256"/>
      <c r="C5" s="256"/>
      <c r="D5" s="256"/>
      <c r="E5" s="258"/>
    </row>
    <row r="6" spans="1:5" s="93" customFormat="1" ht="96" customHeight="1" x14ac:dyDescent="0.25">
      <c r="A6" s="259" t="s">
        <v>29</v>
      </c>
      <c r="B6" s="260"/>
      <c r="C6" s="260"/>
      <c r="D6" s="260"/>
      <c r="E6" s="261"/>
    </row>
    <row r="7" spans="1:5" s="93" customFormat="1" ht="14.25" thickBot="1" x14ac:dyDescent="0.3">
      <c r="A7" s="98"/>
      <c r="B7" s="70"/>
      <c r="C7" s="70"/>
      <c r="D7" s="70"/>
      <c r="E7" s="75"/>
    </row>
    <row r="8" spans="1:5" s="93" customFormat="1" ht="14.25" thickBot="1" x14ac:dyDescent="0.3">
      <c r="A8" s="98"/>
      <c r="B8" s="72" t="s">
        <v>3</v>
      </c>
      <c r="C8" s="247" t="s">
        <v>62</v>
      </c>
      <c r="D8" s="248"/>
      <c r="E8" s="75"/>
    </row>
    <row r="9" spans="1:5" s="93" customFormat="1" ht="14.25" thickBot="1" x14ac:dyDescent="0.3">
      <c r="A9" s="98"/>
      <c r="B9" s="72" t="s">
        <v>38</v>
      </c>
      <c r="C9" s="247">
        <v>35</v>
      </c>
      <c r="D9" s="248"/>
      <c r="E9" s="75"/>
    </row>
    <row r="10" spans="1:5" s="93" customFormat="1" ht="14.25" thickBot="1" x14ac:dyDescent="0.3">
      <c r="A10" s="98"/>
      <c r="B10" s="79" t="s">
        <v>6</v>
      </c>
      <c r="C10" s="247">
        <v>900231743</v>
      </c>
      <c r="D10" s="248"/>
      <c r="E10" s="75"/>
    </row>
    <row r="11" spans="1:5" s="93" customFormat="1" ht="26.25" customHeight="1" x14ac:dyDescent="0.25">
      <c r="A11" s="98"/>
      <c r="B11" s="130" t="s">
        <v>23</v>
      </c>
      <c r="C11" s="177" t="s">
        <v>24</v>
      </c>
      <c r="D11" s="178" t="s">
        <v>25</v>
      </c>
      <c r="E11" s="75"/>
    </row>
    <row r="12" spans="1:5" s="93" customFormat="1" x14ac:dyDescent="0.25">
      <c r="A12" s="98"/>
      <c r="B12" s="133"/>
      <c r="C12" s="135"/>
      <c r="D12" s="99"/>
      <c r="E12" s="75"/>
    </row>
    <row r="13" spans="1:5" s="93" customFormat="1" x14ac:dyDescent="0.25">
      <c r="A13" s="98"/>
      <c r="B13" s="133">
        <v>20</v>
      </c>
      <c r="C13" s="135" t="s">
        <v>63</v>
      </c>
      <c r="D13" s="187">
        <v>3550077700</v>
      </c>
      <c r="E13" s="75"/>
    </row>
    <row r="14" spans="1:5" s="93" customFormat="1" ht="14.25" thickBot="1" x14ac:dyDescent="0.3">
      <c r="A14" s="98"/>
      <c r="B14" s="133"/>
      <c r="C14" s="135"/>
      <c r="D14" s="99"/>
      <c r="E14" s="75"/>
    </row>
    <row r="15" spans="1:5" s="93" customFormat="1" ht="14.25" thickBot="1" x14ac:dyDescent="0.3">
      <c r="A15" s="98"/>
      <c r="B15" s="72" t="s">
        <v>30</v>
      </c>
      <c r="C15" s="249">
        <f>+SUM(D12:D14)</f>
        <v>3550077700</v>
      </c>
      <c r="D15" s="250"/>
      <c r="E15" s="75"/>
    </row>
    <row r="16" spans="1:5" s="93" customFormat="1" ht="14.25" thickBot="1" x14ac:dyDescent="0.3">
      <c r="A16" s="98"/>
      <c r="B16" s="72" t="s">
        <v>5</v>
      </c>
      <c r="C16" s="251">
        <f>+ROUND(C15/616000,0)</f>
        <v>5763</v>
      </c>
      <c r="D16" s="252"/>
      <c r="E16" s="75"/>
    </row>
    <row r="17" spans="1:6" s="93" customFormat="1" x14ac:dyDescent="0.25">
      <c r="A17" s="98"/>
      <c r="B17" s="70"/>
      <c r="C17" s="70"/>
      <c r="D17" s="99"/>
      <c r="E17" s="75"/>
    </row>
    <row r="18" spans="1:6" s="93" customFormat="1" ht="14.25" thickBot="1" x14ac:dyDescent="0.3">
      <c r="A18" s="98"/>
      <c r="B18" s="100" t="s">
        <v>19</v>
      </c>
      <c r="C18" s="76"/>
      <c r="D18" s="99"/>
      <c r="E18" s="75"/>
    </row>
    <row r="19" spans="1:6" s="93" customFormat="1" x14ac:dyDescent="0.25">
      <c r="A19" s="98"/>
      <c r="B19" s="77" t="s">
        <v>13</v>
      </c>
      <c r="C19" s="85">
        <f>+IF($C$16&gt;$B$50,$D$50,IF(AND($C$16&gt;=$B$49,$C$16&lt;=$C$49),$D$49,IF(AND($C$16&gt;=$B$47,$C$16&lt;=$C$48),$D$47,IF(AND($C$16&gt;=$B$45,$C$16&lt;=$C$46),$D$45,IF(AND($C$16&gt;$B$43,$C$16&lt;=$C$44),$D$43)))))</f>
        <v>1.2</v>
      </c>
      <c r="D19" s="99"/>
      <c r="E19" s="75"/>
    </row>
    <row r="20" spans="1:6" s="93" customFormat="1" ht="14.25" thickBot="1" x14ac:dyDescent="0.3">
      <c r="A20" s="98"/>
      <c r="B20" s="78" t="s">
        <v>14</v>
      </c>
      <c r="C20" s="86">
        <f>+IF($C$16&gt;$B$50,$F$50,IF(AND($C$16&gt;=$B$48,$C$16&lt;=$C$49),$F$48,IF(AND($C$16&gt;=$B$46,$C$16&lt;=$C$47),$F$46,IF(AND($C$16&gt;=$B$44,$C$16&lt;=$C$45),$F$44,IF(AND($C$16&gt;$B$43,$C$16&lt;=$C$43),$F$43)))))</f>
        <v>0.65</v>
      </c>
      <c r="D20" s="99"/>
      <c r="E20" s="75"/>
    </row>
    <row r="21" spans="1:6" s="93" customFormat="1" ht="14.25" thickBot="1" x14ac:dyDescent="0.3">
      <c r="A21" s="98"/>
      <c r="B21" s="101"/>
      <c r="C21" s="102"/>
      <c r="D21" s="103"/>
      <c r="E21" s="75"/>
    </row>
    <row r="22" spans="1:6" s="93" customFormat="1" x14ac:dyDescent="0.25">
      <c r="A22" s="98"/>
      <c r="B22" s="80" t="s">
        <v>7</v>
      </c>
      <c r="C22" s="127">
        <v>100321460</v>
      </c>
      <c r="D22" s="104"/>
      <c r="E22" s="75"/>
    </row>
    <row r="23" spans="1:6" s="93" customFormat="1" x14ac:dyDescent="0.25">
      <c r="A23" s="98"/>
      <c r="B23" s="81" t="s">
        <v>8</v>
      </c>
      <c r="C23" s="129">
        <v>142258797</v>
      </c>
      <c r="D23" s="105"/>
      <c r="E23" s="75"/>
    </row>
    <row r="24" spans="1:6" s="93" customFormat="1" ht="15" x14ac:dyDescent="0.25">
      <c r="A24" s="98"/>
      <c r="B24" s="81" t="s">
        <v>9</v>
      </c>
      <c r="C24" s="129">
        <v>1000000</v>
      </c>
      <c r="D24" s="105"/>
      <c r="E24" s="75"/>
      <c r="F24" s="106"/>
    </row>
    <row r="25" spans="1:6" s="93" customFormat="1" ht="15.75" thickBot="1" x14ac:dyDescent="0.3">
      <c r="A25" s="98"/>
      <c r="B25" s="81" t="s">
        <v>10</v>
      </c>
      <c r="C25" s="129">
        <v>1000000</v>
      </c>
      <c r="D25" s="105"/>
      <c r="E25" s="75"/>
      <c r="F25" s="106"/>
    </row>
    <row r="26" spans="1:6" s="93" customFormat="1" ht="14.25" thickBot="1" x14ac:dyDescent="0.3">
      <c r="A26" s="98"/>
      <c r="B26" s="241" t="s">
        <v>11</v>
      </c>
      <c r="C26" s="242"/>
      <c r="D26" s="243"/>
      <c r="E26" s="75"/>
    </row>
    <row r="27" spans="1:6" s="93" customFormat="1" ht="14.25" thickBot="1" x14ac:dyDescent="0.3">
      <c r="A27" s="98"/>
      <c r="B27" s="241" t="s">
        <v>12</v>
      </c>
      <c r="C27" s="242"/>
      <c r="D27" s="243"/>
      <c r="E27" s="75"/>
    </row>
    <row r="28" spans="1:6" s="93" customFormat="1" ht="16.5" x14ac:dyDescent="0.3">
      <c r="A28" s="98"/>
      <c r="B28" s="77" t="s">
        <v>13</v>
      </c>
      <c r="C28" s="126">
        <f>+IFERROR(C22/C24,"INDETERMINADO")</f>
        <v>100.32146</v>
      </c>
      <c r="D28" s="118" t="str">
        <f>+IF(C28&gt;=C19,"CUMPLE","NO CUMPLE")</f>
        <v>CUMPLE</v>
      </c>
      <c r="E28" s="75"/>
    </row>
    <row r="29" spans="1:6" s="93" customFormat="1" ht="17.25" thickBot="1" x14ac:dyDescent="0.35">
      <c r="A29" s="98"/>
      <c r="B29" s="78" t="s">
        <v>14</v>
      </c>
      <c r="C29" s="188">
        <f>+C25/C23</f>
        <v>7.0294422635951296E-3</v>
      </c>
      <c r="D29" s="119" t="str">
        <f>+IF(C29&lt;=C20,"CUMPLE","NO CUMPLE")</f>
        <v>CUMPLE</v>
      </c>
      <c r="E29" s="75"/>
    </row>
    <row r="30" spans="1:6" s="110" customFormat="1" ht="14.25" thickBot="1" x14ac:dyDescent="0.3">
      <c r="A30" s="98"/>
      <c r="B30" s="108"/>
      <c r="C30" s="100"/>
      <c r="D30" s="76"/>
      <c r="E30" s="109"/>
    </row>
    <row r="31" spans="1:6" s="93" customFormat="1" ht="41.25" customHeight="1" thickBot="1" x14ac:dyDescent="0.3">
      <c r="A31" s="98"/>
      <c r="B31" s="72" t="s">
        <v>15</v>
      </c>
      <c r="C31" s="244" t="s">
        <v>43</v>
      </c>
      <c r="D31" s="245"/>
      <c r="E31" s="75"/>
    </row>
    <row r="32" spans="1:6" s="70" customFormat="1" ht="14.25" thickBot="1" x14ac:dyDescent="0.3">
      <c r="A32" s="98"/>
      <c r="B32" s="83"/>
      <c r="C32" s="83"/>
      <c r="D32" s="83"/>
      <c r="E32" s="75"/>
    </row>
    <row r="33" spans="1:9" s="70" customFormat="1" ht="45.75" customHeight="1" thickBot="1" x14ac:dyDescent="0.3">
      <c r="A33" s="98"/>
      <c r="B33" s="72" t="s">
        <v>26</v>
      </c>
      <c r="C33" s="244"/>
      <c r="D33" s="245"/>
      <c r="E33" s="75"/>
    </row>
    <row r="34" spans="1:9" s="70" customFormat="1" ht="14.25" thickBot="1" x14ac:dyDescent="0.3">
      <c r="A34" s="111"/>
      <c r="B34" s="112"/>
      <c r="C34" s="112"/>
      <c r="D34" s="112"/>
      <c r="E34" s="71"/>
    </row>
    <row r="35" spans="1:9" s="70" customFormat="1" x14ac:dyDescent="0.25">
      <c r="B35" s="83"/>
      <c r="C35" s="83"/>
      <c r="D35" s="83"/>
    </row>
    <row r="36" spans="1:9" s="70" customFormat="1" x14ac:dyDescent="0.25">
      <c r="B36" s="83"/>
      <c r="C36" s="83"/>
      <c r="D36" s="83"/>
    </row>
    <row r="37" spans="1:9" s="70" customFormat="1" x14ac:dyDescent="0.25">
      <c r="B37" s="83"/>
      <c r="C37" s="83"/>
      <c r="D37" s="83"/>
    </row>
    <row r="38" spans="1:9" s="70" customFormat="1" x14ac:dyDescent="0.25">
      <c r="B38" s="83"/>
      <c r="C38" s="83"/>
      <c r="D38" s="83"/>
    </row>
    <row r="40" spans="1:9" x14ac:dyDescent="0.25">
      <c r="B40" s="100"/>
      <c r="C40" s="70"/>
    </row>
    <row r="41" spans="1:9" x14ac:dyDescent="0.25">
      <c r="B41" s="88">
        <v>616000</v>
      </c>
      <c r="C41" s="87"/>
      <c r="D41" s="87"/>
      <c r="E41" s="87"/>
      <c r="F41" s="87"/>
      <c r="G41" s="87"/>
      <c r="H41" s="87"/>
      <c r="I41" s="87"/>
    </row>
    <row r="42" spans="1:9" ht="25.5" x14ac:dyDescent="0.25">
      <c r="B42" s="89" t="s">
        <v>21</v>
      </c>
      <c r="C42" s="89" t="s">
        <v>20</v>
      </c>
      <c r="D42" s="180" t="s">
        <v>16</v>
      </c>
      <c r="E42" s="87"/>
      <c r="F42" s="180" t="s">
        <v>17</v>
      </c>
      <c r="G42" s="87"/>
      <c r="H42" s="246"/>
      <c r="I42" s="246"/>
    </row>
    <row r="43" spans="1:9" x14ac:dyDescent="0.25">
      <c r="B43" s="90">
        <v>0</v>
      </c>
      <c r="C43" s="90">
        <v>250</v>
      </c>
      <c r="D43" s="181">
        <v>0.8</v>
      </c>
      <c r="E43" s="87"/>
      <c r="F43" s="182">
        <v>0.8</v>
      </c>
      <c r="G43" s="87"/>
      <c r="H43" s="116"/>
      <c r="I43" s="117">
        <f t="shared" ref="I43:I50" si="0">+C43*$B$41</f>
        <v>154000000</v>
      </c>
    </row>
    <row r="44" spans="1:9" x14ac:dyDescent="0.25">
      <c r="B44" s="90">
        <v>251</v>
      </c>
      <c r="C44" s="90">
        <v>1000</v>
      </c>
      <c r="D44" s="181">
        <v>0.8</v>
      </c>
      <c r="E44" s="87"/>
      <c r="F44" s="182">
        <v>0.75</v>
      </c>
      <c r="G44" s="87"/>
      <c r="H44" s="117">
        <f t="shared" ref="H44:H50" si="1">+B44*$B$41</f>
        <v>154616000</v>
      </c>
      <c r="I44" s="117">
        <f t="shared" si="0"/>
        <v>616000000</v>
      </c>
    </row>
    <row r="45" spans="1:9" x14ac:dyDescent="0.25">
      <c r="B45" s="90">
        <v>1001</v>
      </c>
      <c r="C45" s="90">
        <v>1500</v>
      </c>
      <c r="D45" s="181">
        <v>0.9</v>
      </c>
      <c r="E45" s="87"/>
      <c r="F45" s="182">
        <v>0.75</v>
      </c>
      <c r="G45" s="87"/>
      <c r="H45" s="117">
        <f t="shared" si="1"/>
        <v>616616000</v>
      </c>
      <c r="I45" s="117">
        <f t="shared" si="0"/>
        <v>924000000</v>
      </c>
    </row>
    <row r="46" spans="1:9" x14ac:dyDescent="0.25">
      <c r="B46" s="90">
        <v>1501</v>
      </c>
      <c r="C46" s="90">
        <v>2500</v>
      </c>
      <c r="D46" s="181">
        <v>0.9</v>
      </c>
      <c r="E46" s="87"/>
      <c r="F46" s="182">
        <v>0.7</v>
      </c>
      <c r="G46" s="87"/>
      <c r="H46" s="117">
        <f t="shared" si="1"/>
        <v>924616000</v>
      </c>
      <c r="I46" s="117">
        <f t="shared" si="0"/>
        <v>1540000000</v>
      </c>
    </row>
    <row r="47" spans="1:9" x14ac:dyDescent="0.25">
      <c r="B47" s="90">
        <v>2501</v>
      </c>
      <c r="C47" s="90">
        <v>3000</v>
      </c>
      <c r="D47" s="181">
        <v>1</v>
      </c>
      <c r="E47" s="87"/>
      <c r="F47" s="182">
        <v>0.7</v>
      </c>
      <c r="G47" s="87"/>
      <c r="H47" s="117">
        <f t="shared" si="1"/>
        <v>1540616000</v>
      </c>
      <c r="I47" s="117">
        <f t="shared" si="0"/>
        <v>1848000000</v>
      </c>
    </row>
    <row r="48" spans="1:9" x14ac:dyDescent="0.25">
      <c r="B48" s="90">
        <v>3001</v>
      </c>
      <c r="C48" s="90">
        <v>3500</v>
      </c>
      <c r="D48" s="181">
        <v>1</v>
      </c>
      <c r="E48" s="87"/>
      <c r="F48" s="182">
        <v>0.68</v>
      </c>
      <c r="G48" s="87"/>
      <c r="H48" s="117">
        <f t="shared" si="1"/>
        <v>1848616000</v>
      </c>
      <c r="I48" s="117">
        <f t="shared" si="0"/>
        <v>2156000000</v>
      </c>
    </row>
    <row r="49" spans="1:9" x14ac:dyDescent="0.25">
      <c r="B49" s="90">
        <v>3501</v>
      </c>
      <c r="C49" s="90">
        <v>4500</v>
      </c>
      <c r="D49" s="181">
        <v>1.1000000000000001</v>
      </c>
      <c r="E49" s="87"/>
      <c r="F49" s="182">
        <v>0.68</v>
      </c>
      <c r="G49" s="87"/>
      <c r="H49" s="117">
        <f t="shared" si="1"/>
        <v>2156616000</v>
      </c>
      <c r="I49" s="117">
        <f t="shared" si="0"/>
        <v>2772000000</v>
      </c>
    </row>
    <row r="50" spans="1:9" x14ac:dyDescent="0.25">
      <c r="A50" s="84" t="s">
        <v>22</v>
      </c>
      <c r="B50" s="90">
        <v>4501</v>
      </c>
      <c r="C50" s="90"/>
      <c r="D50" s="181">
        <v>1.2</v>
      </c>
      <c r="E50" s="87"/>
      <c r="F50" s="182">
        <v>0.65</v>
      </c>
      <c r="G50" s="87"/>
      <c r="H50" s="117">
        <f t="shared" si="1"/>
        <v>2772616000</v>
      </c>
      <c r="I50" s="117">
        <f t="shared" si="0"/>
        <v>0</v>
      </c>
    </row>
  </sheetData>
  <mergeCells count="16">
    <mergeCell ref="A6:E6"/>
    <mergeCell ref="A1:E1"/>
    <mergeCell ref="B2:D2"/>
    <mergeCell ref="A3:E3"/>
    <mergeCell ref="B4:D4"/>
    <mergeCell ref="A5:E5"/>
    <mergeCell ref="B27:D27"/>
    <mergeCell ref="C31:D31"/>
    <mergeCell ref="C33:D33"/>
    <mergeCell ref="H42:I42"/>
    <mergeCell ref="C8:D8"/>
    <mergeCell ref="C9:D9"/>
    <mergeCell ref="C10:D10"/>
    <mergeCell ref="C15:D15"/>
    <mergeCell ref="C16:D16"/>
    <mergeCell ref="B26:D26"/>
  </mergeCells>
  <pageMargins left="0.7" right="0.7" top="0.75" bottom="0.75" header="0.3" footer="0.3"/>
  <pageSetup orientation="portrait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1"/>
  <sheetViews>
    <sheetView view="pageBreakPreview" topLeftCell="A6" zoomScale="130" zoomScaleNormal="100" zoomScaleSheetLayoutView="130" workbookViewId="0">
      <selection activeCell="A7" sqref="A7:E7"/>
    </sheetView>
  </sheetViews>
  <sheetFormatPr baseColWidth="10" defaultRowHeight="13.5" x14ac:dyDescent="0.25"/>
  <cols>
    <col min="1" max="1" width="3.140625" style="84" customWidth="1"/>
    <col min="2" max="2" width="34.7109375" style="84" customWidth="1"/>
    <col min="3" max="3" width="27.7109375" style="84" customWidth="1"/>
    <col min="4" max="4" width="21.7109375" style="84" customWidth="1"/>
    <col min="5" max="5" width="3.5703125" style="84" customWidth="1"/>
    <col min="6" max="6" width="16.5703125" style="84" customWidth="1"/>
    <col min="7" max="7" width="3.140625" style="84" customWidth="1"/>
    <col min="8" max="8" width="18.140625" style="84" customWidth="1"/>
    <col min="9" max="9" width="12.7109375" style="84" bestFit="1" customWidth="1"/>
    <col min="10" max="16384" width="11.42578125" style="84"/>
  </cols>
  <sheetData>
    <row r="1" spans="1:5" s="93" customFormat="1" ht="20.25" customHeight="1" x14ac:dyDescent="0.25">
      <c r="A1" s="253" t="s">
        <v>0</v>
      </c>
      <c r="B1" s="254"/>
      <c r="C1" s="254"/>
      <c r="D1" s="254"/>
      <c r="E1" s="255"/>
    </row>
    <row r="2" spans="1:5" s="93" customFormat="1" ht="15.75" customHeight="1" x14ac:dyDescent="0.25">
      <c r="A2" s="196"/>
      <c r="B2" s="256" t="s">
        <v>1</v>
      </c>
      <c r="C2" s="256"/>
      <c r="D2" s="256"/>
      <c r="E2" s="95"/>
    </row>
    <row r="3" spans="1:5" s="93" customFormat="1" ht="15.75" customHeight="1" x14ac:dyDescent="0.25">
      <c r="A3" s="257" t="s">
        <v>27</v>
      </c>
      <c r="B3" s="256"/>
      <c r="C3" s="256"/>
      <c r="D3" s="256"/>
      <c r="E3" s="258"/>
    </row>
    <row r="4" spans="1:5" s="93" customFormat="1" ht="20.25" x14ac:dyDescent="0.3">
      <c r="A4" s="96"/>
      <c r="B4" s="256" t="s">
        <v>2</v>
      </c>
      <c r="C4" s="256"/>
      <c r="D4" s="256"/>
      <c r="E4" s="97"/>
    </row>
    <row r="5" spans="1:5" s="93" customFormat="1" ht="15" x14ac:dyDescent="0.25">
      <c r="A5" s="96"/>
      <c r="B5" s="256" t="s">
        <v>128</v>
      </c>
      <c r="C5" s="296"/>
      <c r="D5" s="296"/>
      <c r="E5" s="297"/>
    </row>
    <row r="6" spans="1:5" s="93" customFormat="1" ht="20.25" customHeight="1" x14ac:dyDescent="0.25">
      <c r="A6" s="257" t="s">
        <v>28</v>
      </c>
      <c r="B6" s="256"/>
      <c r="C6" s="256"/>
      <c r="D6" s="256"/>
      <c r="E6" s="258"/>
    </row>
    <row r="7" spans="1:5" s="93" customFormat="1" ht="91.5" customHeight="1" x14ac:dyDescent="0.25">
      <c r="A7" s="259" t="s">
        <v>29</v>
      </c>
      <c r="B7" s="260"/>
      <c r="C7" s="260"/>
      <c r="D7" s="260"/>
      <c r="E7" s="261"/>
    </row>
    <row r="8" spans="1:5" s="93" customFormat="1" ht="14.25" thickBot="1" x14ac:dyDescent="0.3">
      <c r="A8" s="98"/>
      <c r="B8" s="70"/>
      <c r="C8" s="70"/>
      <c r="D8" s="70"/>
      <c r="E8" s="75"/>
    </row>
    <row r="9" spans="1:5" s="93" customFormat="1" ht="26.25" customHeight="1" thickBot="1" x14ac:dyDescent="0.3">
      <c r="A9" s="98"/>
      <c r="B9" s="72" t="s">
        <v>3</v>
      </c>
      <c r="C9" s="247" t="s">
        <v>212</v>
      </c>
      <c r="D9" s="248"/>
      <c r="E9" s="75"/>
    </row>
    <row r="10" spans="1:5" s="93" customFormat="1" ht="14.25" thickBot="1" x14ac:dyDescent="0.3">
      <c r="A10" s="98"/>
      <c r="B10" s="72" t="s">
        <v>38</v>
      </c>
      <c r="C10" s="247">
        <v>36</v>
      </c>
      <c r="D10" s="248"/>
      <c r="E10" s="75"/>
    </row>
    <row r="11" spans="1:5" s="93" customFormat="1" ht="14.25" thickBot="1" x14ac:dyDescent="0.3">
      <c r="A11" s="98"/>
      <c r="B11" s="79" t="s">
        <v>6</v>
      </c>
      <c r="C11" s="247" t="s">
        <v>134</v>
      </c>
      <c r="D11" s="248"/>
      <c r="E11" s="75"/>
    </row>
    <row r="12" spans="1:5" s="93" customFormat="1" ht="26.25" customHeight="1" x14ac:dyDescent="0.25">
      <c r="A12" s="98"/>
      <c r="B12" s="130" t="s">
        <v>23</v>
      </c>
      <c r="C12" s="197" t="s">
        <v>24</v>
      </c>
      <c r="D12" s="199" t="s">
        <v>25</v>
      </c>
      <c r="E12" s="75"/>
    </row>
    <row r="13" spans="1:5" s="93" customFormat="1" x14ac:dyDescent="0.25">
      <c r="A13" s="98"/>
      <c r="B13" s="133">
        <v>5</v>
      </c>
      <c r="C13" s="135" t="s">
        <v>186</v>
      </c>
      <c r="D13" s="134">
        <v>6337932835</v>
      </c>
      <c r="E13" s="75"/>
    </row>
    <row r="14" spans="1:5" s="93" customFormat="1" x14ac:dyDescent="0.25">
      <c r="A14" s="98"/>
      <c r="B14" s="133">
        <v>18</v>
      </c>
      <c r="C14" s="135" t="s">
        <v>213</v>
      </c>
      <c r="D14" s="134">
        <v>1407501394</v>
      </c>
      <c r="E14" s="75"/>
    </row>
    <row r="15" spans="1:5" s="93" customFormat="1" ht="14.25" thickBot="1" x14ac:dyDescent="0.3">
      <c r="A15" s="98"/>
      <c r="B15" s="133"/>
      <c r="C15" s="135"/>
      <c r="D15" s="134"/>
      <c r="E15" s="75"/>
    </row>
    <row r="16" spans="1:5" s="93" customFormat="1" ht="14.25" thickBot="1" x14ac:dyDescent="0.3">
      <c r="A16" s="98"/>
      <c r="B16" s="72" t="s">
        <v>30</v>
      </c>
      <c r="C16" s="249">
        <f>+SUM(D13:D15)</f>
        <v>7745434229</v>
      </c>
      <c r="D16" s="250"/>
      <c r="E16" s="75"/>
    </row>
    <row r="17" spans="1:6" s="93" customFormat="1" ht="14.25" thickBot="1" x14ac:dyDescent="0.3">
      <c r="A17" s="98"/>
      <c r="B17" s="72" t="s">
        <v>5</v>
      </c>
      <c r="C17" s="302">
        <f>+ROUND(C16/616000,0)</f>
        <v>12574</v>
      </c>
      <c r="D17" s="303"/>
      <c r="E17" s="75"/>
    </row>
    <row r="18" spans="1:6" s="93" customFormat="1" x14ac:dyDescent="0.25">
      <c r="A18" s="98"/>
      <c r="B18" s="70"/>
      <c r="C18" s="70"/>
      <c r="D18" s="99"/>
      <c r="E18" s="75"/>
    </row>
    <row r="19" spans="1:6" s="93" customFormat="1" ht="14.25" thickBot="1" x14ac:dyDescent="0.3">
      <c r="A19" s="98"/>
      <c r="B19" s="100" t="s">
        <v>19</v>
      </c>
      <c r="C19" s="76"/>
      <c r="D19" s="99"/>
      <c r="E19" s="75"/>
    </row>
    <row r="20" spans="1:6" s="93" customFormat="1" x14ac:dyDescent="0.25">
      <c r="A20" s="98"/>
      <c r="B20" s="77" t="s">
        <v>13</v>
      </c>
      <c r="C20" s="85">
        <f>+IF($C$17&gt;$B$51,$D$51,IF(AND($C$17&gt;=$B$50,$C$17&lt;=$C$50),$D$50,IF(AND($C$17&gt;=$B$48,$C$17&lt;=$C$49),$D$48,IF(AND($C$17&gt;=$B$46,$C$17&lt;=$C$47),$D$46,IF(AND($C$17&gt;$B$44,$C$17&lt;=$C$45),$D$44)))))</f>
        <v>1.2</v>
      </c>
      <c r="D20" s="99"/>
      <c r="E20" s="75"/>
    </row>
    <row r="21" spans="1:6" s="93" customFormat="1" ht="14.25" thickBot="1" x14ac:dyDescent="0.3">
      <c r="A21" s="98"/>
      <c r="B21" s="78" t="s">
        <v>14</v>
      </c>
      <c r="C21" s="86">
        <f>+IF($C$17&gt;$B$51,$F$51,IF(AND($C$17&gt;=$B$49,$C$17&lt;=$C$50),$F$49,IF(AND($C$17&gt;=$B$47,$C$17&lt;=$C$48),$F$47,IF(AND($C$17&gt;=$B$45,$C$17&lt;=$C$46),$F$45,IF(AND($C$17&gt;$B$44,$C$17&lt;=$C$44),$F$44)))))</f>
        <v>0.65</v>
      </c>
      <c r="D21" s="99"/>
      <c r="E21" s="75"/>
    </row>
    <row r="22" spans="1:6" s="93" customFormat="1" ht="11.25" customHeight="1" thickBot="1" x14ac:dyDescent="0.3">
      <c r="A22" s="98"/>
      <c r="B22" s="101"/>
      <c r="C22" s="102"/>
      <c r="D22" s="103"/>
      <c r="E22" s="75"/>
    </row>
    <row r="23" spans="1:6" s="93" customFormat="1" x14ac:dyDescent="0.25">
      <c r="A23" s="98"/>
      <c r="B23" s="80" t="s">
        <v>7</v>
      </c>
      <c r="C23" s="127">
        <v>868199225.90999997</v>
      </c>
      <c r="D23" s="104"/>
      <c r="E23" s="75"/>
    </row>
    <row r="24" spans="1:6" s="93" customFormat="1" x14ac:dyDescent="0.25">
      <c r="A24" s="98"/>
      <c r="B24" s="81" t="s">
        <v>8</v>
      </c>
      <c r="C24" s="129">
        <v>876991518.90999997</v>
      </c>
      <c r="D24" s="105"/>
      <c r="E24" s="75"/>
    </row>
    <row r="25" spans="1:6" s="93" customFormat="1" ht="15" x14ac:dyDescent="0.25">
      <c r="A25" s="98"/>
      <c r="B25" s="81" t="s">
        <v>9</v>
      </c>
      <c r="C25" s="129">
        <v>822315429</v>
      </c>
      <c r="D25" s="105"/>
      <c r="E25" s="75"/>
      <c r="F25" s="106"/>
    </row>
    <row r="26" spans="1:6" s="93" customFormat="1" ht="15.75" thickBot="1" x14ac:dyDescent="0.3">
      <c r="A26" s="98"/>
      <c r="B26" s="82" t="s">
        <v>10</v>
      </c>
      <c r="C26" s="128">
        <v>866432283.5</v>
      </c>
      <c r="D26" s="107"/>
      <c r="E26" s="75"/>
      <c r="F26" s="106"/>
    </row>
    <row r="27" spans="1:6" s="93" customFormat="1" ht="14.25" thickBot="1" x14ac:dyDescent="0.3">
      <c r="A27" s="98"/>
      <c r="B27" s="286" t="s">
        <v>11</v>
      </c>
      <c r="C27" s="287"/>
      <c r="D27" s="288"/>
      <c r="E27" s="75"/>
    </row>
    <row r="28" spans="1:6" s="93" customFormat="1" ht="14.25" thickBot="1" x14ac:dyDescent="0.3">
      <c r="A28" s="98"/>
      <c r="B28" s="241" t="s">
        <v>12</v>
      </c>
      <c r="C28" s="242"/>
      <c r="D28" s="243"/>
      <c r="E28" s="75"/>
    </row>
    <row r="29" spans="1:6" s="93" customFormat="1" ht="16.5" x14ac:dyDescent="0.3">
      <c r="A29" s="98"/>
      <c r="B29" s="77" t="s">
        <v>13</v>
      </c>
      <c r="C29" s="126">
        <f>+IFERROR(C23/C25,"INDETERMINADO")</f>
        <v>1.0557982925916862</v>
      </c>
      <c r="D29" s="118" t="str">
        <f>+IF(C29&gt;=C20,"CUMPLE","NO CUMPLE")</f>
        <v>NO CUMPLE</v>
      </c>
      <c r="E29" s="75"/>
    </row>
    <row r="30" spans="1:6" s="93" customFormat="1" ht="17.25" thickBot="1" x14ac:dyDescent="0.35">
      <c r="A30" s="98"/>
      <c r="B30" s="78" t="s">
        <v>14</v>
      </c>
      <c r="C30" s="225">
        <f>+C26/C24</f>
        <v>0.98795970635711061</v>
      </c>
      <c r="D30" s="119" t="str">
        <f>+IF(C30&lt;=C21,"CUMPLE","NO CUMPLE")</f>
        <v>NO CUMPLE</v>
      </c>
      <c r="E30" s="75"/>
    </row>
    <row r="31" spans="1:6" s="110" customFormat="1" ht="8.25" customHeight="1" thickBot="1" x14ac:dyDescent="0.3">
      <c r="A31" s="98"/>
      <c r="B31" s="108"/>
      <c r="C31" s="100"/>
      <c r="D31" s="76"/>
      <c r="E31" s="109"/>
    </row>
    <row r="32" spans="1:6" s="93" customFormat="1" ht="41.25" customHeight="1" thickBot="1" x14ac:dyDescent="0.3">
      <c r="A32" s="98"/>
      <c r="B32" s="72" t="s">
        <v>15</v>
      </c>
      <c r="C32" s="244" t="s">
        <v>135</v>
      </c>
      <c r="D32" s="245"/>
      <c r="E32" s="75"/>
    </row>
    <row r="33" spans="1:9" s="70" customFormat="1" ht="7.5" customHeight="1" thickBot="1" x14ac:dyDescent="0.3">
      <c r="A33" s="98"/>
      <c r="B33" s="83"/>
      <c r="C33" s="83"/>
      <c r="D33" s="83"/>
      <c r="E33" s="75"/>
    </row>
    <row r="34" spans="1:9" s="70" customFormat="1" ht="45.75" customHeight="1" thickBot="1" x14ac:dyDescent="0.3">
      <c r="A34" s="98"/>
      <c r="B34" s="72" t="s">
        <v>26</v>
      </c>
      <c r="C34" s="244"/>
      <c r="D34" s="245"/>
      <c r="E34" s="75"/>
    </row>
    <row r="35" spans="1:9" s="70" customFormat="1" ht="14.25" thickBot="1" x14ac:dyDescent="0.3">
      <c r="A35" s="111"/>
      <c r="B35" s="112"/>
      <c r="C35" s="112"/>
      <c r="D35" s="112"/>
      <c r="E35" s="71"/>
    </row>
    <row r="36" spans="1:9" s="70" customFormat="1" x14ac:dyDescent="0.25">
      <c r="B36" s="83"/>
      <c r="C36" s="83"/>
      <c r="D36" s="83"/>
    </row>
    <row r="37" spans="1:9" s="70" customFormat="1" x14ac:dyDescent="0.25">
      <c r="B37" s="83"/>
      <c r="C37" s="83"/>
      <c r="D37" s="83"/>
    </row>
    <row r="38" spans="1:9" s="70" customFormat="1" x14ac:dyDescent="0.25">
      <c r="B38" s="83"/>
      <c r="C38" s="83"/>
      <c r="D38" s="83"/>
    </row>
    <row r="39" spans="1:9" s="70" customFormat="1" x14ac:dyDescent="0.25">
      <c r="B39" s="83"/>
      <c r="C39" s="83"/>
      <c r="D39" s="83"/>
    </row>
    <row r="41" spans="1:9" x14ac:dyDescent="0.25">
      <c r="B41" s="100"/>
      <c r="C41" s="70"/>
    </row>
    <row r="42" spans="1:9" x14ac:dyDescent="0.25">
      <c r="B42" s="88">
        <v>616000</v>
      </c>
      <c r="C42" s="87"/>
      <c r="D42" s="87"/>
      <c r="E42" s="87"/>
      <c r="F42" s="87"/>
      <c r="G42" s="87"/>
      <c r="H42" s="87"/>
      <c r="I42" s="87"/>
    </row>
    <row r="43" spans="1:9" ht="25.5" x14ac:dyDescent="0.25">
      <c r="B43" s="89" t="s">
        <v>21</v>
      </c>
      <c r="C43" s="89" t="s">
        <v>20</v>
      </c>
      <c r="D43" s="200" t="s">
        <v>16</v>
      </c>
      <c r="E43" s="87"/>
      <c r="F43" s="200" t="s">
        <v>17</v>
      </c>
      <c r="G43" s="87"/>
      <c r="H43" s="246"/>
      <c r="I43" s="246"/>
    </row>
    <row r="44" spans="1:9" x14ac:dyDescent="0.25">
      <c r="B44" s="90">
        <v>0</v>
      </c>
      <c r="C44" s="90">
        <v>250</v>
      </c>
      <c r="D44" s="201">
        <v>0.8</v>
      </c>
      <c r="E44" s="87"/>
      <c r="F44" s="202">
        <v>0.8</v>
      </c>
      <c r="G44" s="87"/>
      <c r="H44" s="116"/>
      <c r="I44" s="117">
        <f t="shared" ref="I44:I51" si="0">+C44*$B$42</f>
        <v>154000000</v>
      </c>
    </row>
    <row r="45" spans="1:9" x14ac:dyDescent="0.25">
      <c r="B45" s="90">
        <v>251</v>
      </c>
      <c r="C45" s="90">
        <v>1000</v>
      </c>
      <c r="D45" s="201">
        <v>0.8</v>
      </c>
      <c r="E45" s="87"/>
      <c r="F45" s="202">
        <v>0.75</v>
      </c>
      <c r="G45" s="87"/>
      <c r="H45" s="117">
        <f t="shared" ref="H45:H51" si="1">+B45*$B$42</f>
        <v>154616000</v>
      </c>
      <c r="I45" s="117">
        <f t="shared" si="0"/>
        <v>616000000</v>
      </c>
    </row>
    <row r="46" spans="1:9" x14ac:dyDescent="0.25">
      <c r="B46" s="90">
        <v>1001</v>
      </c>
      <c r="C46" s="90">
        <v>1500</v>
      </c>
      <c r="D46" s="201">
        <v>0.9</v>
      </c>
      <c r="E46" s="87"/>
      <c r="F46" s="202">
        <v>0.75</v>
      </c>
      <c r="G46" s="87"/>
      <c r="H46" s="117">
        <f t="shared" si="1"/>
        <v>616616000</v>
      </c>
      <c r="I46" s="117">
        <f t="shared" si="0"/>
        <v>924000000</v>
      </c>
    </row>
    <row r="47" spans="1:9" x14ac:dyDescent="0.25">
      <c r="B47" s="90">
        <v>1501</v>
      </c>
      <c r="C47" s="90">
        <v>2500</v>
      </c>
      <c r="D47" s="201">
        <v>0.9</v>
      </c>
      <c r="E47" s="87"/>
      <c r="F47" s="202">
        <v>0.7</v>
      </c>
      <c r="G47" s="87"/>
      <c r="H47" s="117">
        <f t="shared" si="1"/>
        <v>924616000</v>
      </c>
      <c r="I47" s="117">
        <f t="shared" si="0"/>
        <v>1540000000</v>
      </c>
    </row>
    <row r="48" spans="1:9" x14ac:dyDescent="0.25">
      <c r="B48" s="90">
        <v>2501</v>
      </c>
      <c r="C48" s="90">
        <v>3000</v>
      </c>
      <c r="D48" s="201">
        <v>1</v>
      </c>
      <c r="E48" s="87"/>
      <c r="F48" s="202">
        <v>0.7</v>
      </c>
      <c r="G48" s="87"/>
      <c r="H48" s="117">
        <f t="shared" si="1"/>
        <v>1540616000</v>
      </c>
      <c r="I48" s="117">
        <f t="shared" si="0"/>
        <v>1848000000</v>
      </c>
    </row>
    <row r="49" spans="1:9" x14ac:dyDescent="0.25">
      <c r="B49" s="90">
        <v>3001</v>
      </c>
      <c r="C49" s="90">
        <v>3500</v>
      </c>
      <c r="D49" s="201">
        <v>1</v>
      </c>
      <c r="E49" s="87"/>
      <c r="F49" s="202">
        <v>0.68</v>
      </c>
      <c r="G49" s="87"/>
      <c r="H49" s="117">
        <f t="shared" si="1"/>
        <v>1848616000</v>
      </c>
      <c r="I49" s="117">
        <f t="shared" si="0"/>
        <v>2156000000</v>
      </c>
    </row>
    <row r="50" spans="1:9" x14ac:dyDescent="0.25">
      <c r="B50" s="90">
        <v>3501</v>
      </c>
      <c r="C50" s="90">
        <v>4500</v>
      </c>
      <c r="D50" s="201">
        <v>1.1000000000000001</v>
      </c>
      <c r="E50" s="87"/>
      <c r="F50" s="202">
        <v>0.68</v>
      </c>
      <c r="G50" s="87"/>
      <c r="H50" s="117">
        <f t="shared" si="1"/>
        <v>2156616000</v>
      </c>
      <c r="I50" s="117">
        <f t="shared" si="0"/>
        <v>2772000000</v>
      </c>
    </row>
    <row r="51" spans="1:9" x14ac:dyDescent="0.25">
      <c r="A51" s="84" t="s">
        <v>22</v>
      </c>
      <c r="B51" s="90">
        <v>4501</v>
      </c>
      <c r="C51" s="90"/>
      <c r="D51" s="201">
        <v>1.2</v>
      </c>
      <c r="E51" s="87"/>
      <c r="F51" s="202">
        <v>0.65</v>
      </c>
      <c r="G51" s="87"/>
      <c r="H51" s="117">
        <f t="shared" si="1"/>
        <v>2772616000</v>
      </c>
      <c r="I51" s="117">
        <f t="shared" si="0"/>
        <v>0</v>
      </c>
    </row>
  </sheetData>
  <mergeCells count="17">
    <mergeCell ref="C17:D17"/>
    <mergeCell ref="A1:E1"/>
    <mergeCell ref="B2:D2"/>
    <mergeCell ref="A3:E3"/>
    <mergeCell ref="B4:D4"/>
    <mergeCell ref="B5:E5"/>
    <mergeCell ref="A6:E6"/>
    <mergeCell ref="A7:E7"/>
    <mergeCell ref="C9:D9"/>
    <mergeCell ref="C10:D10"/>
    <mergeCell ref="C11:D11"/>
    <mergeCell ref="C16:D16"/>
    <mergeCell ref="B27:D27"/>
    <mergeCell ref="B28:D28"/>
    <mergeCell ref="C32:D32"/>
    <mergeCell ref="C34:D34"/>
    <mergeCell ref="H43:I43"/>
  </mergeCells>
  <pageMargins left="0.7" right="0.7" top="0.75" bottom="0.75" header="0.3" footer="0.3"/>
  <pageSetup scale="99" orientation="portrait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9"/>
  <sheetViews>
    <sheetView view="pageBreakPreview" topLeftCell="A4" zoomScale="110" zoomScaleNormal="100" zoomScaleSheetLayoutView="110" workbookViewId="0">
      <selection activeCell="C8" sqref="C8:K8"/>
    </sheetView>
  </sheetViews>
  <sheetFormatPr baseColWidth="10" defaultRowHeight="15" x14ac:dyDescent="0.25"/>
  <cols>
    <col min="1" max="1" width="2.28515625" style="143" customWidth="1"/>
    <col min="2" max="2" width="31.140625" bestFit="1" customWidth="1"/>
    <col min="3" max="3" width="20.28515625" customWidth="1"/>
    <col min="4" max="4" width="3.28515625" customWidth="1"/>
    <col min="5" max="5" width="16.85546875" customWidth="1"/>
    <col min="6" max="6" width="2.5703125" style="46" customWidth="1"/>
    <col min="7" max="7" width="15.85546875" customWidth="1"/>
    <col min="8" max="8" width="3.85546875" customWidth="1"/>
    <col min="9" max="9" width="14" style="46" customWidth="1"/>
    <col min="10" max="10" width="9.7109375" style="143" customWidth="1"/>
    <col min="11" max="11" width="14.85546875" customWidth="1"/>
  </cols>
  <sheetData>
    <row r="1" spans="1:11" s="1" customFormat="1" ht="15.75" customHeight="1" x14ac:dyDescent="0.25">
      <c r="A1" s="318" t="s">
        <v>0</v>
      </c>
      <c r="B1" s="319"/>
      <c r="C1" s="319"/>
      <c r="D1" s="319"/>
      <c r="E1" s="319"/>
      <c r="F1" s="319"/>
      <c r="G1" s="319"/>
      <c r="H1" s="319"/>
      <c r="I1" s="319"/>
      <c r="J1" s="319"/>
      <c r="K1" s="320"/>
    </row>
    <row r="2" spans="1:11" s="1" customFormat="1" ht="12" customHeight="1" x14ac:dyDescent="0.25">
      <c r="A2" s="321" t="s">
        <v>1</v>
      </c>
      <c r="B2" s="322"/>
      <c r="C2" s="322"/>
      <c r="D2" s="322"/>
      <c r="E2" s="322"/>
      <c r="F2" s="322"/>
      <c r="G2" s="322"/>
      <c r="H2" s="322"/>
      <c r="I2" s="322"/>
      <c r="J2" s="322"/>
      <c r="K2" s="323"/>
    </row>
    <row r="3" spans="1:11" s="1" customFormat="1" ht="16.5" customHeight="1" x14ac:dyDescent="0.25">
      <c r="A3" s="324" t="s">
        <v>2</v>
      </c>
      <c r="B3" s="325"/>
      <c r="C3" s="325"/>
      <c r="D3" s="325"/>
      <c r="E3" s="325"/>
      <c r="F3" s="325"/>
      <c r="G3" s="325"/>
      <c r="H3" s="325"/>
      <c r="I3" s="325"/>
      <c r="J3" s="325"/>
      <c r="K3" s="326"/>
    </row>
    <row r="4" spans="1:11" s="1" customFormat="1" ht="15" customHeight="1" x14ac:dyDescent="0.25">
      <c r="A4" s="321" t="s">
        <v>128</v>
      </c>
      <c r="B4" s="327"/>
      <c r="C4" s="327"/>
      <c r="D4" s="327"/>
      <c r="E4" s="327"/>
      <c r="F4" s="327"/>
      <c r="G4" s="327"/>
      <c r="H4" s="327"/>
      <c r="I4" s="327"/>
      <c r="J4" s="327"/>
      <c r="K4" s="297"/>
    </row>
    <row r="5" spans="1:11" s="1" customFormat="1" ht="15.75" customHeight="1" x14ac:dyDescent="0.25">
      <c r="A5" s="321" t="s">
        <v>28</v>
      </c>
      <c r="B5" s="327"/>
      <c r="C5" s="327"/>
      <c r="D5" s="327"/>
      <c r="E5" s="327"/>
      <c r="F5" s="327"/>
      <c r="G5" s="327"/>
      <c r="H5" s="327"/>
      <c r="I5" s="327"/>
      <c r="J5" s="327"/>
      <c r="K5" s="297"/>
    </row>
    <row r="6" spans="1:11" s="1" customFormat="1" ht="61.5" customHeight="1" thickBot="1" x14ac:dyDescent="0.3">
      <c r="A6" s="328" t="s">
        <v>29</v>
      </c>
      <c r="B6" s="329"/>
      <c r="C6" s="329"/>
      <c r="D6" s="329"/>
      <c r="E6" s="329"/>
      <c r="F6" s="329"/>
      <c r="G6" s="329"/>
      <c r="H6" s="329"/>
      <c r="I6" s="329"/>
      <c r="J6" s="329"/>
      <c r="K6" s="330"/>
    </row>
    <row r="7" spans="1:11" s="1" customFormat="1" ht="19.5" customHeight="1" thickBot="1" x14ac:dyDescent="0.3">
      <c r="A7" s="3"/>
      <c r="B7" s="6" t="s">
        <v>3</v>
      </c>
      <c r="C7" s="273" t="s">
        <v>144</v>
      </c>
      <c r="D7" s="273"/>
      <c r="E7" s="273"/>
      <c r="F7" s="273"/>
      <c r="G7" s="273"/>
      <c r="H7" s="273"/>
      <c r="I7" s="273"/>
      <c r="J7" s="273"/>
      <c r="K7" s="274"/>
    </row>
    <row r="8" spans="1:11" s="1" customFormat="1" ht="17.25" customHeight="1" thickBot="1" x14ac:dyDescent="0.3">
      <c r="A8" s="3"/>
      <c r="B8" s="47" t="s">
        <v>145</v>
      </c>
      <c r="C8" s="315">
        <v>37</v>
      </c>
      <c r="D8" s="316"/>
      <c r="E8" s="316"/>
      <c r="F8" s="316"/>
      <c r="G8" s="316"/>
      <c r="H8" s="316"/>
      <c r="I8" s="316"/>
      <c r="J8" s="316"/>
      <c r="K8" s="317"/>
    </row>
    <row r="9" spans="1:11" s="1" customFormat="1" ht="14.25" customHeight="1" x14ac:dyDescent="0.25">
      <c r="A9" s="3"/>
      <c r="B9" s="130" t="s">
        <v>23</v>
      </c>
      <c r="C9" s="278" t="s">
        <v>24</v>
      </c>
      <c r="D9" s="278"/>
      <c r="E9" s="278"/>
      <c r="F9" s="226"/>
      <c r="G9" s="278" t="s">
        <v>25</v>
      </c>
      <c r="H9" s="278"/>
      <c r="I9" s="278"/>
      <c r="J9" s="29"/>
      <c r="K9" s="227"/>
    </row>
    <row r="10" spans="1:11" s="20" customFormat="1" ht="14.25" customHeight="1" x14ac:dyDescent="0.25">
      <c r="A10" s="4"/>
      <c r="B10" s="133"/>
      <c r="C10" s="135"/>
      <c r="D10" s="135"/>
      <c r="E10" s="135"/>
      <c r="F10" s="203"/>
      <c r="G10" s="135"/>
      <c r="H10" s="135"/>
      <c r="I10" s="135"/>
      <c r="J10" s="4"/>
      <c r="K10" s="224"/>
    </row>
    <row r="11" spans="1:11" s="1" customFormat="1" ht="14.25" customHeight="1" x14ac:dyDescent="0.25">
      <c r="A11" s="3"/>
      <c r="B11" s="160">
        <v>7</v>
      </c>
      <c r="C11" s="271" t="s">
        <v>153</v>
      </c>
      <c r="D11" s="271"/>
      <c r="E11" s="271"/>
      <c r="F11" s="203"/>
      <c r="G11" s="280">
        <v>7818524064</v>
      </c>
      <c r="H11" s="280"/>
      <c r="I11" s="280"/>
      <c r="J11" s="4"/>
      <c r="K11" s="228"/>
    </row>
    <row r="12" spans="1:11" s="1" customFormat="1" ht="14.25" customHeight="1" thickBot="1" x14ac:dyDescent="0.3">
      <c r="A12" s="3"/>
      <c r="B12" s="160"/>
      <c r="C12" s="271"/>
      <c r="D12" s="271"/>
      <c r="E12" s="271"/>
      <c r="F12" s="203"/>
      <c r="G12" s="280"/>
      <c r="H12" s="280"/>
      <c r="I12" s="280"/>
      <c r="J12" s="4"/>
      <c r="K12" s="228"/>
    </row>
    <row r="13" spans="1:11" s="1" customFormat="1" ht="15.75" customHeight="1" thickBot="1" x14ac:dyDescent="0.3">
      <c r="A13" s="3"/>
      <c r="B13" s="26" t="s">
        <v>4</v>
      </c>
      <c r="C13" s="27">
        <f>G11</f>
        <v>7818524064</v>
      </c>
      <c r="D13" s="28"/>
      <c r="E13" s="28"/>
      <c r="F13" s="29"/>
      <c r="G13" s="29"/>
      <c r="H13" s="29"/>
      <c r="I13" s="29"/>
      <c r="J13" s="29"/>
      <c r="K13" s="30"/>
    </row>
    <row r="14" spans="1:11" s="1" customFormat="1" ht="16.5" customHeight="1" thickBot="1" x14ac:dyDescent="0.3">
      <c r="A14" s="3"/>
      <c r="B14" s="6" t="s">
        <v>5</v>
      </c>
      <c r="C14" s="229">
        <f>ROUND(C13/616000,0)</f>
        <v>12692</v>
      </c>
      <c r="D14" s="230"/>
      <c r="E14" s="34"/>
      <c r="F14" s="34"/>
      <c r="G14" s="34"/>
      <c r="H14" s="34"/>
      <c r="I14" s="34"/>
      <c r="J14" s="34"/>
      <c r="K14" s="35"/>
    </row>
    <row r="15" spans="1:11" s="20" customFormat="1" ht="18" customHeight="1" thickBot="1" x14ac:dyDescent="0.3">
      <c r="A15" s="3"/>
      <c r="B15" s="339" t="s">
        <v>19</v>
      </c>
      <c r="C15" s="53"/>
      <c r="D15" s="230"/>
      <c r="E15" s="34"/>
      <c r="F15" s="34"/>
      <c r="G15" s="34"/>
      <c r="H15" s="34"/>
      <c r="I15" s="34"/>
      <c r="J15" s="34"/>
      <c r="K15" s="35"/>
    </row>
    <row r="16" spans="1:11" s="1" customFormat="1" ht="13.5" x14ac:dyDescent="0.25">
      <c r="A16" s="3"/>
      <c r="B16" s="57" t="s">
        <v>13</v>
      </c>
      <c r="C16" s="337">
        <v>1.2</v>
      </c>
      <c r="D16" s="338"/>
      <c r="E16" s="4"/>
      <c r="F16" s="4"/>
      <c r="G16" s="4"/>
      <c r="H16" s="4"/>
      <c r="I16" s="4"/>
      <c r="J16" s="4"/>
      <c r="K16" s="5"/>
    </row>
    <row r="17" spans="1:11" s="1" customFormat="1" ht="12" customHeight="1" thickBot="1" x14ac:dyDescent="0.3">
      <c r="A17" s="3"/>
      <c r="B17" s="57" t="s">
        <v>14</v>
      </c>
      <c r="C17" s="231">
        <v>0.65</v>
      </c>
      <c r="D17" s="56"/>
      <c r="E17" s="4"/>
      <c r="F17" s="4"/>
      <c r="G17" s="4"/>
      <c r="H17" s="4"/>
      <c r="I17" s="4"/>
      <c r="J17" s="4"/>
      <c r="K17" s="5"/>
    </row>
    <row r="18" spans="1:11" s="1" customFormat="1" ht="48.75" customHeight="1" thickBot="1" x14ac:dyDescent="0.3">
      <c r="A18" s="3"/>
      <c r="B18" s="6" t="s">
        <v>18</v>
      </c>
      <c r="C18" s="59" t="s">
        <v>146</v>
      </c>
      <c r="D18" s="7"/>
      <c r="E18" s="232" t="s">
        <v>147</v>
      </c>
      <c r="F18" s="60"/>
      <c r="G18" s="232" t="s">
        <v>148</v>
      </c>
      <c r="H18" s="189"/>
      <c r="I18" s="301" t="s">
        <v>144</v>
      </c>
      <c r="J18" s="313"/>
      <c r="K18" s="314"/>
    </row>
    <row r="19" spans="1:11" s="4" customFormat="1" ht="14.25" thickBot="1" x14ac:dyDescent="0.3">
      <c r="A19" s="3"/>
      <c r="B19" s="8" t="s">
        <v>6</v>
      </c>
      <c r="C19" s="233" t="s">
        <v>149</v>
      </c>
      <c r="D19" s="36"/>
      <c r="E19" s="234" t="s">
        <v>150</v>
      </c>
      <c r="F19" s="34"/>
      <c r="G19" s="234" t="s">
        <v>151</v>
      </c>
      <c r="H19" s="235"/>
      <c r="I19" s="34"/>
      <c r="J19" s="34"/>
      <c r="K19" s="48"/>
    </row>
    <row r="20" spans="1:11" s="4" customFormat="1" ht="12.75" customHeight="1" thickBot="1" x14ac:dyDescent="0.3">
      <c r="A20" s="3"/>
      <c r="B20" s="49"/>
      <c r="C20" s="39"/>
      <c r="D20" s="39"/>
      <c r="E20" s="29"/>
      <c r="F20" s="29"/>
      <c r="G20" s="29"/>
      <c r="H20" s="29"/>
      <c r="I20" s="29"/>
      <c r="J20" s="29"/>
      <c r="K20" s="30"/>
    </row>
    <row r="21" spans="1:11" s="4" customFormat="1" ht="13.5" x14ac:dyDescent="0.25">
      <c r="A21" s="3"/>
      <c r="B21" s="10" t="s">
        <v>7</v>
      </c>
      <c r="C21" s="11">
        <v>260398753</v>
      </c>
      <c r="D21" s="37"/>
      <c r="E21" s="11">
        <v>487206000</v>
      </c>
      <c r="F21" s="91"/>
      <c r="G21" s="11">
        <v>28789610</v>
      </c>
      <c r="H21" s="61"/>
      <c r="I21" s="304">
        <f>+C21+E21+G21</f>
        <v>776394363</v>
      </c>
      <c r="J21" s="305">
        <f>+G21+E21</f>
        <v>515995610</v>
      </c>
      <c r="K21" s="306">
        <f>+I21+F21</f>
        <v>776394363</v>
      </c>
    </row>
    <row r="22" spans="1:11" s="4" customFormat="1" ht="13.5" x14ac:dyDescent="0.25">
      <c r="A22" s="3"/>
      <c r="B22" s="12" t="s">
        <v>8</v>
      </c>
      <c r="C22" s="13">
        <v>849938493</v>
      </c>
      <c r="D22" s="38"/>
      <c r="E22" s="13">
        <v>562464000</v>
      </c>
      <c r="F22" s="19"/>
      <c r="G22" s="13">
        <v>129762910</v>
      </c>
      <c r="H22" s="62"/>
      <c r="I22" s="307">
        <f t="shared" ref="I22:I24" si="0">+C22+E22+G22</f>
        <v>1542165403</v>
      </c>
      <c r="J22" s="308">
        <f t="shared" ref="J22:J24" si="1">+G22+E22</f>
        <v>692226910</v>
      </c>
      <c r="K22" s="309">
        <f t="shared" ref="K22:K24" si="2">+I22+F22</f>
        <v>1542165403</v>
      </c>
    </row>
    <row r="23" spans="1:11" s="4" customFormat="1" ht="13.5" x14ac:dyDescent="0.25">
      <c r="A23" s="3"/>
      <c r="B23" s="12" t="s">
        <v>9</v>
      </c>
      <c r="C23" s="13">
        <v>102706712.84999999</v>
      </c>
      <c r="D23" s="38"/>
      <c r="E23" s="13">
        <v>140855000</v>
      </c>
      <c r="F23" s="19"/>
      <c r="G23" s="13">
        <v>8200000</v>
      </c>
      <c r="H23" s="62"/>
      <c r="I23" s="307">
        <f t="shared" si="0"/>
        <v>251761712.84999999</v>
      </c>
      <c r="J23" s="308">
        <f t="shared" si="1"/>
        <v>149055000</v>
      </c>
      <c r="K23" s="309">
        <f t="shared" si="2"/>
        <v>251761712.84999999</v>
      </c>
    </row>
    <row r="24" spans="1:11" s="22" customFormat="1" ht="16.5" customHeight="1" thickBot="1" x14ac:dyDescent="0.3">
      <c r="A24" s="3"/>
      <c r="B24" s="14" t="s">
        <v>10</v>
      </c>
      <c r="C24" s="15">
        <v>252706712.84999999</v>
      </c>
      <c r="D24" s="50"/>
      <c r="E24" s="15">
        <v>140855000</v>
      </c>
      <c r="F24" s="92"/>
      <c r="G24" s="15">
        <v>8200000</v>
      </c>
      <c r="H24" s="63"/>
      <c r="I24" s="310">
        <f t="shared" si="0"/>
        <v>401761712.85000002</v>
      </c>
      <c r="J24" s="311">
        <f t="shared" si="1"/>
        <v>149055000</v>
      </c>
      <c r="K24" s="312">
        <f t="shared" si="2"/>
        <v>401761712.85000002</v>
      </c>
    </row>
    <row r="25" spans="1:11" s="22" customFormat="1" ht="13.5" customHeight="1" thickBot="1" x14ac:dyDescent="0.3">
      <c r="A25" s="3"/>
      <c r="B25" s="293" t="s">
        <v>11</v>
      </c>
      <c r="C25" s="294"/>
      <c r="D25" s="294"/>
      <c r="E25" s="294"/>
      <c r="F25" s="294"/>
      <c r="G25" s="294"/>
      <c r="H25" s="294"/>
      <c r="I25" s="294"/>
      <c r="J25" s="294"/>
      <c r="K25" s="295"/>
    </row>
    <row r="26" spans="1:11" s="22" customFormat="1" ht="14.25" thickBot="1" x14ac:dyDescent="0.3">
      <c r="A26" s="3"/>
      <c r="B26" s="275" t="s">
        <v>12</v>
      </c>
      <c r="C26" s="276"/>
      <c r="D26" s="276"/>
      <c r="E26" s="276"/>
      <c r="F26" s="276"/>
      <c r="G26" s="276"/>
      <c r="H26" s="276"/>
      <c r="I26" s="276"/>
      <c r="J26" s="276"/>
      <c r="K26" s="277"/>
    </row>
    <row r="27" spans="1:11" s="1" customFormat="1" ht="13.5" x14ac:dyDescent="0.25">
      <c r="A27" s="3"/>
      <c r="B27" s="16" t="s">
        <v>13</v>
      </c>
      <c r="C27" s="121">
        <f>+IFERROR(C21/C23,"INDETERMINADO")</f>
        <v>2.5353625461687632</v>
      </c>
      <c r="D27" s="122"/>
      <c r="E27" s="121">
        <f>+IFERROR(E21/E23,"INDETERMINADO")</f>
        <v>3.4589187462283908</v>
      </c>
      <c r="F27" s="123"/>
      <c r="G27" s="121">
        <f>+IFERROR(G21/G23,"INDETERMINADO")</f>
        <v>3.5109280487804879</v>
      </c>
      <c r="H27" s="121"/>
      <c r="I27" s="123"/>
      <c r="J27" s="121">
        <f>+IFERROR(J21/J23,"INDETERMINADO")</f>
        <v>3.4617799469994299</v>
      </c>
      <c r="K27" s="40" t="str">
        <f>+IF(J27&gt;=C16,"CUMPLE","NO CUMPLE")</f>
        <v>CUMPLE</v>
      </c>
    </row>
    <row r="28" spans="1:11" s="1" customFormat="1" ht="14.25" thickBot="1" x14ac:dyDescent="0.3">
      <c r="A28" s="3"/>
      <c r="B28" s="17" t="s">
        <v>14</v>
      </c>
      <c r="C28" s="41">
        <f>+C24/C22</f>
        <v>0.29732352979805565</v>
      </c>
      <c r="D28" s="42"/>
      <c r="E28" s="41">
        <f>+E24/E22</f>
        <v>0.25042491608351825</v>
      </c>
      <c r="F28" s="43"/>
      <c r="G28" s="41">
        <f>+G24/G22</f>
        <v>6.3192171014043994E-2</v>
      </c>
      <c r="H28" s="41"/>
      <c r="I28" s="43"/>
      <c r="J28" s="236">
        <f>+J24/J22</f>
        <v>0.21532679219303971</v>
      </c>
      <c r="K28" s="44" t="str">
        <f>+IF(J28&lt;=C17,"CUMPLE","NO CUMPLE")</f>
        <v>CUMPLE</v>
      </c>
    </row>
    <row r="29" spans="1:11" s="1" customFormat="1" ht="14.25" thickBot="1" x14ac:dyDescent="0.3">
      <c r="A29" s="3"/>
      <c r="B29" s="51"/>
      <c r="C29" s="52"/>
      <c r="D29" s="53"/>
      <c r="E29" s="54"/>
      <c r="F29" s="34"/>
      <c r="G29" s="54"/>
      <c r="H29" s="54"/>
      <c r="I29" s="34"/>
      <c r="J29" s="34"/>
      <c r="K29" s="35"/>
    </row>
    <row r="30" spans="1:11" s="1" customFormat="1" ht="30.75" customHeight="1" thickBot="1" x14ac:dyDescent="0.3">
      <c r="A30" s="3"/>
      <c r="B30" s="6" t="s">
        <v>15</v>
      </c>
      <c r="C30" s="267" t="s">
        <v>152</v>
      </c>
      <c r="D30" s="267"/>
      <c r="E30" s="267"/>
      <c r="F30" s="267"/>
      <c r="G30" s="267"/>
      <c r="H30" s="267"/>
      <c r="I30" s="267"/>
      <c r="J30" s="267"/>
      <c r="K30" s="268"/>
    </row>
    <row r="31" spans="1:11" s="4" customFormat="1" ht="7.5" customHeight="1" thickBot="1" x14ac:dyDescent="0.3">
      <c r="A31" s="3"/>
      <c r="B31" s="45"/>
      <c r="C31" s="45"/>
      <c r="D31" s="45"/>
    </row>
    <row r="32" spans="1:11" s="46" customFormat="1" ht="36.75" customHeight="1" thickBot="1" x14ac:dyDescent="0.3">
      <c r="A32" s="153"/>
      <c r="B32" s="79" t="s">
        <v>26</v>
      </c>
      <c r="C32" s="269"/>
      <c r="D32" s="269"/>
      <c r="E32" s="269"/>
      <c r="F32" s="269"/>
      <c r="G32" s="269"/>
      <c r="H32" s="269"/>
      <c r="I32" s="269"/>
      <c r="J32" s="269"/>
      <c r="K32" s="270"/>
    </row>
    <row r="33" spans="1:11" s="46" customFormat="1" ht="9" customHeight="1" thickBot="1" x14ac:dyDescent="0.3">
      <c r="A33" s="154"/>
      <c r="B33" s="155"/>
      <c r="C33" s="155"/>
      <c r="D33" s="25"/>
      <c r="E33" s="25"/>
      <c r="F33" s="25"/>
      <c r="G33" s="25"/>
      <c r="H33" s="25"/>
      <c r="I33" s="156"/>
      <c r="J33" s="25"/>
      <c r="K33" s="143"/>
    </row>
    <row r="34" spans="1:11" x14ac:dyDescent="0.25">
      <c r="D34" s="22"/>
      <c r="E34" s="22"/>
      <c r="F34" s="22"/>
      <c r="G34" s="22"/>
      <c r="H34" s="22"/>
      <c r="I34" s="23"/>
      <c r="J34" s="4"/>
    </row>
    <row r="35" spans="1:11" x14ac:dyDescent="0.25">
      <c r="D35" s="22"/>
      <c r="E35" s="22"/>
      <c r="F35" s="22"/>
      <c r="G35" s="22"/>
      <c r="H35" s="22"/>
      <c r="I35" s="23"/>
      <c r="J35" s="4"/>
    </row>
    <row r="36" spans="1:11" x14ac:dyDescent="0.25">
      <c r="D36" s="22"/>
      <c r="E36" s="22"/>
      <c r="F36" s="22"/>
      <c r="G36" s="22"/>
      <c r="H36" s="22"/>
      <c r="I36" s="23"/>
      <c r="J36" s="4"/>
    </row>
    <row r="37" spans="1:11" x14ac:dyDescent="0.25">
      <c r="D37" s="22"/>
      <c r="E37" s="22"/>
      <c r="F37" s="22"/>
      <c r="G37" s="22"/>
      <c r="H37" s="22"/>
      <c r="I37" s="23"/>
      <c r="J37" s="4"/>
    </row>
    <row r="38" spans="1:11" x14ac:dyDescent="0.25">
      <c r="D38" s="22"/>
      <c r="E38" s="22"/>
      <c r="F38" s="22"/>
      <c r="G38" s="22"/>
      <c r="H38" s="22"/>
      <c r="I38" s="23"/>
      <c r="J38" s="4"/>
    </row>
    <row r="39" spans="1:11" x14ac:dyDescent="0.25">
      <c r="D39" s="22"/>
      <c r="E39" s="22"/>
      <c r="F39" s="22"/>
      <c r="G39" s="22"/>
      <c r="H39" s="22"/>
      <c r="I39" s="22"/>
      <c r="J39" s="4"/>
    </row>
    <row r="40" spans="1:11" x14ac:dyDescent="0.25">
      <c r="B40" s="24">
        <v>616000</v>
      </c>
      <c r="D40" s="22"/>
      <c r="E40" s="22"/>
      <c r="F40" s="22"/>
      <c r="G40" s="22"/>
      <c r="H40" s="22"/>
      <c r="I40" s="22"/>
      <c r="J40" s="4"/>
    </row>
    <row r="41" spans="1:11" ht="24.75" customHeight="1" x14ac:dyDescent="0.25">
      <c r="B41" s="141" t="s">
        <v>21</v>
      </c>
      <c r="C41" s="66" t="s">
        <v>20</v>
      </c>
      <c r="D41" s="265" t="s">
        <v>16</v>
      </c>
      <c r="E41" s="265"/>
      <c r="F41" s="265" t="s">
        <v>17</v>
      </c>
      <c r="G41" s="265"/>
      <c r="H41" s="237"/>
    </row>
    <row r="42" spans="1:11" x14ac:dyDescent="0.25">
      <c r="B42" s="142">
        <v>0</v>
      </c>
      <c r="C42" s="55">
        <v>250</v>
      </c>
      <c r="D42" s="266">
        <v>0.8</v>
      </c>
      <c r="E42" s="266"/>
      <c r="F42" s="262">
        <v>0.8</v>
      </c>
      <c r="G42" s="262"/>
      <c r="H42" s="238"/>
      <c r="I42" s="145"/>
      <c r="K42" s="147">
        <f t="shared" ref="K42:K49" si="3">+C42*$B$40</f>
        <v>154000000</v>
      </c>
    </row>
    <row r="43" spans="1:11" x14ac:dyDescent="0.25">
      <c r="B43" s="142">
        <v>251</v>
      </c>
      <c r="C43" s="55">
        <v>1000</v>
      </c>
      <c r="D43" s="266">
        <v>0.8</v>
      </c>
      <c r="E43" s="266"/>
      <c r="F43" s="262">
        <v>0.75</v>
      </c>
      <c r="G43" s="262"/>
      <c r="H43" s="238"/>
      <c r="I43" s="146">
        <f t="shared" ref="I43:I49" si="4">+B43*$B$40</f>
        <v>154616000</v>
      </c>
      <c r="K43" s="147">
        <f t="shared" si="3"/>
        <v>616000000</v>
      </c>
    </row>
    <row r="44" spans="1:11" x14ac:dyDescent="0.25">
      <c r="B44" s="142">
        <v>1001</v>
      </c>
      <c r="C44" s="55">
        <v>1500</v>
      </c>
      <c r="D44" s="266">
        <v>0.9</v>
      </c>
      <c r="E44" s="266"/>
      <c r="F44" s="262">
        <v>0.75</v>
      </c>
      <c r="G44" s="262"/>
      <c r="H44" s="238"/>
      <c r="I44" s="146">
        <f t="shared" si="4"/>
        <v>616616000</v>
      </c>
      <c r="K44" s="147">
        <f t="shared" si="3"/>
        <v>924000000</v>
      </c>
    </row>
    <row r="45" spans="1:11" x14ac:dyDescent="0.25">
      <c r="B45" s="142">
        <v>1501</v>
      </c>
      <c r="C45" s="55">
        <v>2500</v>
      </c>
      <c r="D45" s="266">
        <v>0.9</v>
      </c>
      <c r="E45" s="266"/>
      <c r="F45" s="262">
        <v>0.7</v>
      </c>
      <c r="G45" s="262"/>
      <c r="H45" s="238"/>
      <c r="I45" s="146">
        <f t="shared" si="4"/>
        <v>924616000</v>
      </c>
      <c r="K45" s="147">
        <f t="shared" si="3"/>
        <v>1540000000</v>
      </c>
    </row>
    <row r="46" spans="1:11" x14ac:dyDescent="0.25">
      <c r="B46" s="142">
        <v>2501</v>
      </c>
      <c r="C46" s="55">
        <v>3000</v>
      </c>
      <c r="D46" s="266">
        <v>1</v>
      </c>
      <c r="E46" s="266"/>
      <c r="F46" s="262">
        <v>0.7</v>
      </c>
      <c r="G46" s="262"/>
      <c r="H46" s="238"/>
      <c r="I46" s="146">
        <f t="shared" si="4"/>
        <v>1540616000</v>
      </c>
      <c r="K46" s="147">
        <f t="shared" si="3"/>
        <v>1848000000</v>
      </c>
    </row>
    <row r="47" spans="1:11" x14ac:dyDescent="0.25">
      <c r="B47" s="142">
        <v>3001</v>
      </c>
      <c r="C47" s="55">
        <v>3500</v>
      </c>
      <c r="D47" s="266">
        <v>1</v>
      </c>
      <c r="E47" s="266"/>
      <c r="F47" s="262">
        <v>0.68</v>
      </c>
      <c r="G47" s="262"/>
      <c r="H47" s="238"/>
      <c r="I47" s="146">
        <f t="shared" si="4"/>
        <v>1848616000</v>
      </c>
      <c r="K47" s="147">
        <f t="shared" si="3"/>
        <v>2156000000</v>
      </c>
    </row>
    <row r="48" spans="1:11" x14ac:dyDescent="0.25">
      <c r="B48" s="142">
        <v>3501</v>
      </c>
      <c r="C48" s="55">
        <v>4500</v>
      </c>
      <c r="D48" s="266">
        <v>1.1000000000000001</v>
      </c>
      <c r="E48" s="266"/>
      <c r="F48" s="262">
        <v>0.68</v>
      </c>
      <c r="G48" s="262"/>
      <c r="H48" s="238"/>
      <c r="I48" s="146">
        <f t="shared" si="4"/>
        <v>2156616000</v>
      </c>
      <c r="K48" s="147">
        <f t="shared" si="3"/>
        <v>2772000000</v>
      </c>
    </row>
    <row r="49" spans="2:11" x14ac:dyDescent="0.25">
      <c r="B49" s="142">
        <v>4501</v>
      </c>
      <c r="C49" s="55"/>
      <c r="D49" s="266">
        <v>1.2</v>
      </c>
      <c r="E49" s="266"/>
      <c r="F49" s="262">
        <v>0.65</v>
      </c>
      <c r="G49" s="262"/>
      <c r="H49" s="238"/>
      <c r="I49" s="146">
        <f t="shared" si="4"/>
        <v>2772616000</v>
      </c>
      <c r="K49" s="147">
        <f t="shared" si="3"/>
        <v>0</v>
      </c>
    </row>
  </sheetData>
  <mergeCells count="41">
    <mergeCell ref="A6:K6"/>
    <mergeCell ref="A1:K1"/>
    <mergeCell ref="A2:K2"/>
    <mergeCell ref="A3:K3"/>
    <mergeCell ref="A4:K4"/>
    <mergeCell ref="A5:K5"/>
    <mergeCell ref="C7:K7"/>
    <mergeCell ref="C8:K8"/>
    <mergeCell ref="C9:E9"/>
    <mergeCell ref="G9:I9"/>
    <mergeCell ref="C11:E11"/>
    <mergeCell ref="G11:I11"/>
    <mergeCell ref="B26:K26"/>
    <mergeCell ref="C12:E12"/>
    <mergeCell ref="G12:I12"/>
    <mergeCell ref="I18:K18"/>
    <mergeCell ref="I21:K21"/>
    <mergeCell ref="I22:K22"/>
    <mergeCell ref="I23:K23"/>
    <mergeCell ref="I24:K24"/>
    <mergeCell ref="B25:K25"/>
    <mergeCell ref="C30:K30"/>
    <mergeCell ref="C32:K32"/>
    <mergeCell ref="D41:E41"/>
    <mergeCell ref="F41:G41"/>
    <mergeCell ref="D42:E42"/>
    <mergeCell ref="F42:G42"/>
    <mergeCell ref="D43:E43"/>
    <mergeCell ref="F43:G43"/>
    <mergeCell ref="D44:E44"/>
    <mergeCell ref="F44:G44"/>
    <mergeCell ref="D45:E45"/>
    <mergeCell ref="F45:G45"/>
    <mergeCell ref="D49:E49"/>
    <mergeCell ref="F49:G49"/>
    <mergeCell ref="D46:E46"/>
    <mergeCell ref="F46:G46"/>
    <mergeCell ref="D47:E47"/>
    <mergeCell ref="F47:G47"/>
    <mergeCell ref="D48:E48"/>
    <mergeCell ref="F48:G48"/>
  </mergeCells>
  <printOptions horizontalCentered="1" verticalCentered="1"/>
  <pageMargins left="0.59055118110236227" right="0.59055118110236227" top="0.59055118110236227" bottom="0.59055118110236227" header="0.31496062992125984" footer="0.31496062992125984"/>
  <pageSetup scale="89" orientation="landscape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1"/>
  <sheetViews>
    <sheetView view="pageBreakPreview" topLeftCell="A6" zoomScale="130" zoomScaleNormal="100" zoomScaleSheetLayoutView="130" workbookViewId="0">
      <selection activeCell="D13" sqref="D13"/>
    </sheetView>
  </sheetViews>
  <sheetFormatPr baseColWidth="10" defaultRowHeight="13.5" x14ac:dyDescent="0.25"/>
  <cols>
    <col min="1" max="1" width="3.140625" style="84" customWidth="1"/>
    <col min="2" max="2" width="31.140625" style="84" bestFit="1" customWidth="1"/>
    <col min="3" max="3" width="27.7109375" style="84" customWidth="1"/>
    <col min="4" max="4" width="21.7109375" style="84" customWidth="1"/>
    <col min="5" max="5" width="3.5703125" style="84" customWidth="1"/>
    <col min="6" max="6" width="16.5703125" style="84" customWidth="1"/>
    <col min="7" max="7" width="3.140625" style="84" customWidth="1"/>
    <col min="8" max="8" width="18.140625" style="84" customWidth="1"/>
    <col min="9" max="9" width="12.7109375" style="84" bestFit="1" customWidth="1"/>
    <col min="10" max="16384" width="11.42578125" style="84"/>
  </cols>
  <sheetData>
    <row r="1" spans="1:5" s="93" customFormat="1" ht="20.25" customHeight="1" x14ac:dyDescent="0.25">
      <c r="A1" s="253" t="s">
        <v>0</v>
      </c>
      <c r="B1" s="254"/>
      <c r="C1" s="254"/>
      <c r="D1" s="254"/>
      <c r="E1" s="255"/>
    </row>
    <row r="2" spans="1:5" s="93" customFormat="1" ht="15.75" customHeight="1" x14ac:dyDescent="0.25">
      <c r="A2" s="196"/>
      <c r="B2" s="256" t="s">
        <v>1</v>
      </c>
      <c r="C2" s="256"/>
      <c r="D2" s="256"/>
      <c r="E2" s="95"/>
    </row>
    <row r="3" spans="1:5" s="93" customFormat="1" ht="15.75" customHeight="1" x14ac:dyDescent="0.25">
      <c r="A3" s="257" t="s">
        <v>27</v>
      </c>
      <c r="B3" s="256"/>
      <c r="C3" s="256"/>
      <c r="D3" s="256"/>
      <c r="E3" s="258"/>
    </row>
    <row r="4" spans="1:5" s="93" customFormat="1" ht="20.25" x14ac:dyDescent="0.3">
      <c r="A4" s="96"/>
      <c r="B4" s="256" t="s">
        <v>2</v>
      </c>
      <c r="C4" s="256"/>
      <c r="D4" s="256"/>
      <c r="E4" s="97"/>
    </row>
    <row r="5" spans="1:5" s="93" customFormat="1" ht="20.25" customHeight="1" x14ac:dyDescent="0.25">
      <c r="A5" s="257" t="s">
        <v>28</v>
      </c>
      <c r="B5" s="256"/>
      <c r="C5" s="256"/>
      <c r="D5" s="256"/>
      <c r="E5" s="258"/>
    </row>
    <row r="6" spans="1:5" s="93" customFormat="1" ht="96" customHeight="1" x14ac:dyDescent="0.25">
      <c r="A6" s="259" t="s">
        <v>29</v>
      </c>
      <c r="B6" s="260"/>
      <c r="C6" s="260"/>
      <c r="D6" s="260"/>
      <c r="E6" s="261"/>
    </row>
    <row r="7" spans="1:5" s="93" customFormat="1" ht="14.25" thickBot="1" x14ac:dyDescent="0.3">
      <c r="A7" s="98"/>
      <c r="B7" s="70"/>
      <c r="C7" s="70"/>
      <c r="D7" s="70"/>
      <c r="E7" s="75"/>
    </row>
    <row r="8" spans="1:5" s="93" customFormat="1" ht="26.25" customHeight="1" thickBot="1" x14ac:dyDescent="0.3">
      <c r="A8" s="98"/>
      <c r="B8" s="72" t="s">
        <v>3</v>
      </c>
      <c r="C8" s="247" t="s">
        <v>121</v>
      </c>
      <c r="D8" s="248"/>
      <c r="E8" s="75"/>
    </row>
    <row r="9" spans="1:5" s="93" customFormat="1" ht="14.25" thickBot="1" x14ac:dyDescent="0.3">
      <c r="A9" s="98"/>
      <c r="B9" s="72" t="s">
        <v>38</v>
      </c>
      <c r="C9" s="247">
        <v>38</v>
      </c>
      <c r="D9" s="248"/>
      <c r="E9" s="75"/>
    </row>
    <row r="10" spans="1:5" s="93" customFormat="1" ht="14.25" thickBot="1" x14ac:dyDescent="0.3">
      <c r="A10" s="98"/>
      <c r="B10" s="79" t="s">
        <v>6</v>
      </c>
      <c r="C10" s="247">
        <v>825001140</v>
      </c>
      <c r="D10" s="248"/>
      <c r="E10" s="75"/>
    </row>
    <row r="11" spans="1:5" s="93" customFormat="1" ht="26.25" customHeight="1" x14ac:dyDescent="0.25">
      <c r="A11" s="98"/>
      <c r="B11" s="130" t="s">
        <v>23</v>
      </c>
      <c r="C11" s="197" t="s">
        <v>24</v>
      </c>
      <c r="D11" s="199" t="s">
        <v>25</v>
      </c>
      <c r="E11" s="75"/>
    </row>
    <row r="12" spans="1:5" s="93" customFormat="1" x14ac:dyDescent="0.25">
      <c r="A12" s="98"/>
      <c r="B12" s="133"/>
      <c r="C12" s="135"/>
      <c r="D12" s="99"/>
      <c r="E12" s="75"/>
    </row>
    <row r="13" spans="1:5" s="93" customFormat="1" x14ac:dyDescent="0.25">
      <c r="A13" s="98"/>
      <c r="B13" s="133">
        <v>9</v>
      </c>
      <c r="C13" s="135" t="s">
        <v>214</v>
      </c>
      <c r="D13" s="134">
        <v>8528539604</v>
      </c>
      <c r="E13" s="75"/>
    </row>
    <row r="14" spans="1:5" s="93" customFormat="1" x14ac:dyDescent="0.25">
      <c r="A14" s="98"/>
      <c r="B14" s="133" t="s">
        <v>216</v>
      </c>
      <c r="C14" s="135" t="s">
        <v>215</v>
      </c>
      <c r="D14" s="134">
        <v>8201683948</v>
      </c>
      <c r="E14" s="75"/>
    </row>
    <row r="15" spans="1:5" s="93" customFormat="1" ht="14.25" thickBot="1" x14ac:dyDescent="0.3">
      <c r="A15" s="98"/>
      <c r="B15" s="133"/>
      <c r="C15" s="135"/>
      <c r="D15" s="134"/>
      <c r="E15" s="75"/>
    </row>
    <row r="16" spans="1:5" s="93" customFormat="1" ht="14.25" thickBot="1" x14ac:dyDescent="0.3">
      <c r="A16" s="98"/>
      <c r="B16" s="72" t="s">
        <v>30</v>
      </c>
      <c r="C16" s="249">
        <f>+SUM(D13:D15)</f>
        <v>16730223552</v>
      </c>
      <c r="D16" s="250"/>
      <c r="E16" s="75"/>
    </row>
    <row r="17" spans="1:6" s="93" customFormat="1" ht="14.25" thickBot="1" x14ac:dyDescent="0.3">
      <c r="A17" s="98"/>
      <c r="B17" s="72" t="s">
        <v>5</v>
      </c>
      <c r="C17" s="302">
        <f>+ROUND(C16/616000,0)</f>
        <v>27159</v>
      </c>
      <c r="D17" s="303"/>
      <c r="E17" s="75"/>
    </row>
    <row r="18" spans="1:6" s="93" customFormat="1" x14ac:dyDescent="0.25">
      <c r="A18" s="98"/>
      <c r="B18" s="70"/>
      <c r="C18" s="70"/>
      <c r="D18" s="99"/>
      <c r="E18" s="75"/>
    </row>
    <row r="19" spans="1:6" s="93" customFormat="1" ht="14.25" thickBot="1" x14ac:dyDescent="0.3">
      <c r="A19" s="98"/>
      <c r="B19" s="100" t="s">
        <v>19</v>
      </c>
      <c r="C19" s="76"/>
      <c r="D19" s="99"/>
      <c r="E19" s="75"/>
    </row>
    <row r="20" spans="1:6" s="93" customFormat="1" x14ac:dyDescent="0.25">
      <c r="A20" s="98"/>
      <c r="B20" s="77" t="s">
        <v>13</v>
      </c>
      <c r="C20" s="85">
        <f>+IF($C$17&gt;$B$51,$D$51,IF(AND($C$17&gt;=$B$50,$C$17&lt;=$C$50),$D$50,IF(AND($C$17&gt;=$B$48,$C$17&lt;=$C$49),$D$48,IF(AND($C$17&gt;=$B$46,$C$17&lt;=$C$47),$D$46,IF(AND($C$17&gt;$B$44,$C$17&lt;=$C$45),$D$44)))))</f>
        <v>1.2</v>
      </c>
      <c r="D20" s="99"/>
      <c r="E20" s="75"/>
    </row>
    <row r="21" spans="1:6" s="93" customFormat="1" ht="14.25" thickBot="1" x14ac:dyDescent="0.3">
      <c r="A21" s="98"/>
      <c r="B21" s="78" t="s">
        <v>14</v>
      </c>
      <c r="C21" s="86">
        <f>+IF($C$17&gt;$B$51,$F$51,IF(AND($C$17&gt;=$B$49,$C$17&lt;=$C$50),$F$49,IF(AND($C$17&gt;=$B$47,$C$17&lt;=$C$48),$F$47,IF(AND($C$17&gt;=$B$45,$C$17&lt;=$C$46),$F$45,IF(AND($C$17&gt;$B$44,$C$17&lt;=$C$44),$F$44)))))</f>
        <v>0.65</v>
      </c>
      <c r="D21" s="99"/>
      <c r="E21" s="75"/>
    </row>
    <row r="22" spans="1:6" s="93" customFormat="1" ht="14.25" thickBot="1" x14ac:dyDescent="0.3">
      <c r="A22" s="98"/>
      <c r="B22" s="101"/>
      <c r="C22" s="102"/>
      <c r="D22" s="103"/>
      <c r="E22" s="75"/>
    </row>
    <row r="23" spans="1:6" s="93" customFormat="1" x14ac:dyDescent="0.25">
      <c r="A23" s="98"/>
      <c r="B23" s="80" t="s">
        <v>7</v>
      </c>
      <c r="C23" s="127">
        <v>354768180</v>
      </c>
      <c r="D23" s="104"/>
      <c r="E23" s="75"/>
    </row>
    <row r="24" spans="1:6" s="93" customFormat="1" x14ac:dyDescent="0.25">
      <c r="A24" s="98"/>
      <c r="B24" s="81" t="s">
        <v>8</v>
      </c>
      <c r="C24" s="129">
        <v>550851265</v>
      </c>
      <c r="D24" s="105"/>
      <c r="E24" s="75"/>
    </row>
    <row r="25" spans="1:6" s="93" customFormat="1" ht="15" x14ac:dyDescent="0.25">
      <c r="A25" s="98"/>
      <c r="B25" s="81" t="s">
        <v>9</v>
      </c>
      <c r="C25" s="129">
        <v>140049313</v>
      </c>
      <c r="D25" s="105"/>
      <c r="E25" s="75"/>
      <c r="F25" s="106"/>
    </row>
    <row r="26" spans="1:6" s="93" customFormat="1" ht="15.75" thickBot="1" x14ac:dyDescent="0.3">
      <c r="A26" s="98"/>
      <c r="B26" s="82" t="s">
        <v>10</v>
      </c>
      <c r="C26" s="128">
        <v>140049313</v>
      </c>
      <c r="D26" s="107"/>
      <c r="E26" s="75"/>
      <c r="F26" s="106"/>
    </row>
    <row r="27" spans="1:6" s="93" customFormat="1" ht="14.25" thickBot="1" x14ac:dyDescent="0.3">
      <c r="A27" s="98"/>
      <c r="B27" s="286" t="s">
        <v>11</v>
      </c>
      <c r="C27" s="287"/>
      <c r="D27" s="288"/>
      <c r="E27" s="75"/>
    </row>
    <row r="28" spans="1:6" s="93" customFormat="1" ht="14.25" thickBot="1" x14ac:dyDescent="0.3">
      <c r="A28" s="98"/>
      <c r="B28" s="241" t="s">
        <v>12</v>
      </c>
      <c r="C28" s="242"/>
      <c r="D28" s="243"/>
      <c r="E28" s="75"/>
    </row>
    <row r="29" spans="1:6" s="93" customFormat="1" ht="16.5" x14ac:dyDescent="0.3">
      <c r="A29" s="98"/>
      <c r="B29" s="77" t="s">
        <v>13</v>
      </c>
      <c r="C29" s="126">
        <f>+IFERROR(C23/C25,"INDETERMINADO")</f>
        <v>2.53316615698072</v>
      </c>
      <c r="D29" s="118" t="str">
        <f>+IF(C29&gt;=C20,"CUMPLE","NO CUMPLE")</f>
        <v>CUMPLE</v>
      </c>
      <c r="E29" s="75"/>
    </row>
    <row r="30" spans="1:6" s="93" customFormat="1" ht="17.25" thickBot="1" x14ac:dyDescent="0.35">
      <c r="A30" s="98"/>
      <c r="B30" s="78" t="s">
        <v>14</v>
      </c>
      <c r="C30" s="120">
        <f>+C26/C24</f>
        <v>0.2542416109364839</v>
      </c>
      <c r="D30" s="119" t="str">
        <f>+IF(C30&lt;=C21,"CUMPLE","NO CUMPLE")</f>
        <v>CUMPLE</v>
      </c>
      <c r="E30" s="75"/>
    </row>
    <row r="31" spans="1:6" s="110" customFormat="1" ht="14.25" thickBot="1" x14ac:dyDescent="0.3">
      <c r="A31" s="98"/>
      <c r="B31" s="108"/>
      <c r="C31" s="100"/>
      <c r="D31" s="76"/>
      <c r="E31" s="109"/>
    </row>
    <row r="32" spans="1:6" s="93" customFormat="1" ht="41.25" customHeight="1" thickBot="1" x14ac:dyDescent="0.3">
      <c r="A32" s="98"/>
      <c r="B32" s="72" t="s">
        <v>15</v>
      </c>
      <c r="C32" s="244" t="s">
        <v>43</v>
      </c>
      <c r="D32" s="245"/>
      <c r="E32" s="75"/>
    </row>
    <row r="33" spans="1:9" s="70" customFormat="1" ht="14.25" thickBot="1" x14ac:dyDescent="0.3">
      <c r="A33" s="98"/>
      <c r="B33" s="83"/>
      <c r="C33" s="83"/>
      <c r="D33" s="83"/>
      <c r="E33" s="75"/>
    </row>
    <row r="34" spans="1:9" s="70" customFormat="1" ht="45.75" customHeight="1" thickBot="1" x14ac:dyDescent="0.3">
      <c r="A34" s="98"/>
      <c r="B34" s="72" t="s">
        <v>26</v>
      </c>
      <c r="C34" s="244"/>
      <c r="D34" s="245"/>
      <c r="E34" s="75"/>
    </row>
    <row r="35" spans="1:9" s="70" customFormat="1" ht="14.25" thickBot="1" x14ac:dyDescent="0.3">
      <c r="A35" s="111"/>
      <c r="B35" s="112"/>
      <c r="C35" s="112"/>
      <c r="D35" s="112"/>
      <c r="E35" s="71"/>
    </row>
    <row r="36" spans="1:9" s="70" customFormat="1" x14ac:dyDescent="0.25">
      <c r="B36" s="83"/>
      <c r="C36" s="83"/>
      <c r="D36" s="83"/>
    </row>
    <row r="37" spans="1:9" s="70" customFormat="1" x14ac:dyDescent="0.25">
      <c r="B37" s="83"/>
      <c r="C37" s="83"/>
      <c r="D37" s="83"/>
    </row>
    <row r="38" spans="1:9" s="70" customFormat="1" x14ac:dyDescent="0.25">
      <c r="B38" s="83"/>
      <c r="C38" s="83"/>
      <c r="D38" s="83"/>
    </row>
    <row r="39" spans="1:9" s="70" customFormat="1" x14ac:dyDescent="0.25">
      <c r="B39" s="83"/>
      <c r="C39" s="83"/>
      <c r="D39" s="83"/>
    </row>
    <row r="41" spans="1:9" x14ac:dyDescent="0.25">
      <c r="B41" s="100"/>
      <c r="C41" s="70"/>
    </row>
    <row r="42" spans="1:9" x14ac:dyDescent="0.25">
      <c r="B42" s="88">
        <v>616000</v>
      </c>
      <c r="C42" s="87"/>
      <c r="D42" s="87"/>
      <c r="E42" s="87"/>
      <c r="F42" s="87"/>
      <c r="G42" s="87"/>
      <c r="H42" s="87"/>
      <c r="I42" s="87"/>
    </row>
    <row r="43" spans="1:9" ht="25.5" x14ac:dyDescent="0.25">
      <c r="B43" s="89" t="s">
        <v>21</v>
      </c>
      <c r="C43" s="89" t="s">
        <v>20</v>
      </c>
      <c r="D43" s="200" t="s">
        <v>16</v>
      </c>
      <c r="E43" s="87"/>
      <c r="F43" s="200" t="s">
        <v>17</v>
      </c>
      <c r="G43" s="87"/>
      <c r="H43" s="246"/>
      <c r="I43" s="246"/>
    </row>
    <row r="44" spans="1:9" x14ac:dyDescent="0.25">
      <c r="B44" s="90">
        <v>0</v>
      </c>
      <c r="C44" s="90">
        <v>250</v>
      </c>
      <c r="D44" s="201">
        <v>0.8</v>
      </c>
      <c r="E44" s="87"/>
      <c r="F44" s="202">
        <v>0.8</v>
      </c>
      <c r="G44" s="87"/>
      <c r="H44" s="116"/>
      <c r="I44" s="117">
        <f t="shared" ref="I44:I51" si="0">+C44*$B$42</f>
        <v>154000000</v>
      </c>
    </row>
    <row r="45" spans="1:9" x14ac:dyDescent="0.25">
      <c r="B45" s="90">
        <v>251</v>
      </c>
      <c r="C45" s="90">
        <v>1000</v>
      </c>
      <c r="D45" s="201">
        <v>0.8</v>
      </c>
      <c r="E45" s="87"/>
      <c r="F45" s="202">
        <v>0.75</v>
      </c>
      <c r="G45" s="87"/>
      <c r="H45" s="117">
        <f t="shared" ref="H45:H51" si="1">+B45*$B$42</f>
        <v>154616000</v>
      </c>
      <c r="I45" s="117">
        <f t="shared" si="0"/>
        <v>616000000</v>
      </c>
    </row>
    <row r="46" spans="1:9" x14ac:dyDescent="0.25">
      <c r="B46" s="90">
        <v>1001</v>
      </c>
      <c r="C46" s="90">
        <v>1500</v>
      </c>
      <c r="D46" s="201">
        <v>0.9</v>
      </c>
      <c r="E46" s="87"/>
      <c r="F46" s="202">
        <v>0.75</v>
      </c>
      <c r="G46" s="87"/>
      <c r="H46" s="117">
        <f t="shared" si="1"/>
        <v>616616000</v>
      </c>
      <c r="I46" s="117">
        <f t="shared" si="0"/>
        <v>924000000</v>
      </c>
    </row>
    <row r="47" spans="1:9" x14ac:dyDescent="0.25">
      <c r="B47" s="90">
        <v>1501</v>
      </c>
      <c r="C47" s="90">
        <v>2500</v>
      </c>
      <c r="D47" s="201">
        <v>0.9</v>
      </c>
      <c r="E47" s="87"/>
      <c r="F47" s="202">
        <v>0.7</v>
      </c>
      <c r="G47" s="87"/>
      <c r="H47" s="117">
        <f t="shared" si="1"/>
        <v>924616000</v>
      </c>
      <c r="I47" s="117">
        <f t="shared" si="0"/>
        <v>1540000000</v>
      </c>
    </row>
    <row r="48" spans="1:9" x14ac:dyDescent="0.25">
      <c r="B48" s="90">
        <v>2501</v>
      </c>
      <c r="C48" s="90">
        <v>3000</v>
      </c>
      <c r="D48" s="201">
        <v>1</v>
      </c>
      <c r="E48" s="87"/>
      <c r="F48" s="202">
        <v>0.7</v>
      </c>
      <c r="G48" s="87"/>
      <c r="H48" s="117">
        <f t="shared" si="1"/>
        <v>1540616000</v>
      </c>
      <c r="I48" s="117">
        <f t="shared" si="0"/>
        <v>1848000000</v>
      </c>
    </row>
    <row r="49" spans="1:9" x14ac:dyDescent="0.25">
      <c r="B49" s="90">
        <v>3001</v>
      </c>
      <c r="C49" s="90">
        <v>3500</v>
      </c>
      <c r="D49" s="201">
        <v>1</v>
      </c>
      <c r="E49" s="87"/>
      <c r="F49" s="202">
        <v>0.68</v>
      </c>
      <c r="G49" s="87"/>
      <c r="H49" s="117">
        <f t="shared" si="1"/>
        <v>1848616000</v>
      </c>
      <c r="I49" s="117">
        <f t="shared" si="0"/>
        <v>2156000000</v>
      </c>
    </row>
    <row r="50" spans="1:9" x14ac:dyDescent="0.25">
      <c r="B50" s="90">
        <v>3501</v>
      </c>
      <c r="C50" s="90">
        <v>4500</v>
      </c>
      <c r="D50" s="201">
        <v>1.1000000000000001</v>
      </c>
      <c r="E50" s="87"/>
      <c r="F50" s="202">
        <v>0.68</v>
      </c>
      <c r="G50" s="87"/>
      <c r="H50" s="117">
        <f t="shared" si="1"/>
        <v>2156616000</v>
      </c>
      <c r="I50" s="117">
        <f t="shared" si="0"/>
        <v>2772000000</v>
      </c>
    </row>
    <row r="51" spans="1:9" x14ac:dyDescent="0.25">
      <c r="A51" s="84" t="s">
        <v>22</v>
      </c>
      <c r="B51" s="90">
        <v>4501</v>
      </c>
      <c r="C51" s="90"/>
      <c r="D51" s="201">
        <v>1.2</v>
      </c>
      <c r="E51" s="87"/>
      <c r="F51" s="202">
        <v>0.65</v>
      </c>
      <c r="G51" s="87"/>
      <c r="H51" s="117">
        <f t="shared" si="1"/>
        <v>2772616000</v>
      </c>
      <c r="I51" s="117">
        <f t="shared" si="0"/>
        <v>0</v>
      </c>
    </row>
  </sheetData>
  <mergeCells count="16">
    <mergeCell ref="A6:E6"/>
    <mergeCell ref="A1:E1"/>
    <mergeCell ref="B2:D2"/>
    <mergeCell ref="A3:E3"/>
    <mergeCell ref="B4:D4"/>
    <mergeCell ref="A5:E5"/>
    <mergeCell ref="B28:D28"/>
    <mergeCell ref="C32:D32"/>
    <mergeCell ref="C34:D34"/>
    <mergeCell ref="H43:I43"/>
    <mergeCell ref="C8:D8"/>
    <mergeCell ref="C9:D9"/>
    <mergeCell ref="C10:D10"/>
    <mergeCell ref="C16:D16"/>
    <mergeCell ref="C17:D17"/>
    <mergeCell ref="B27:D27"/>
  </mergeCells>
  <pageMargins left="0.7" right="0.7" top="0.75" bottom="0.75" header="0.3" footer="0.3"/>
  <pageSetup orientation="portrait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I51"/>
  <sheetViews>
    <sheetView view="pageBreakPreview" topLeftCell="A4" zoomScale="130" zoomScaleNormal="100" zoomScaleSheetLayoutView="130" workbookViewId="0">
      <selection activeCell="C17" sqref="C17:D17"/>
    </sheetView>
  </sheetViews>
  <sheetFormatPr baseColWidth="10" defaultRowHeight="13.5" x14ac:dyDescent="0.25"/>
  <cols>
    <col min="1" max="1" width="3.140625" style="84" customWidth="1"/>
    <col min="2" max="2" width="31.85546875" style="84" customWidth="1"/>
    <col min="3" max="3" width="27.7109375" style="84" customWidth="1"/>
    <col min="4" max="4" width="21.7109375" style="84" customWidth="1"/>
    <col min="5" max="5" width="3.5703125" style="84" customWidth="1"/>
    <col min="6" max="6" width="16.5703125" style="84" customWidth="1"/>
    <col min="7" max="7" width="3.140625" style="84" customWidth="1"/>
    <col min="8" max="8" width="18.140625" style="84" customWidth="1"/>
    <col min="9" max="9" width="12.7109375" style="84" bestFit="1" customWidth="1"/>
    <col min="10" max="16384" width="11.42578125" style="84"/>
  </cols>
  <sheetData>
    <row r="1" spans="1:5" s="93" customFormat="1" ht="20.25" customHeight="1" x14ac:dyDescent="0.25">
      <c r="A1" s="253" t="s">
        <v>0</v>
      </c>
      <c r="B1" s="254"/>
      <c r="C1" s="254"/>
      <c r="D1" s="254"/>
      <c r="E1" s="255"/>
    </row>
    <row r="2" spans="1:5" s="93" customFormat="1" ht="15.75" customHeight="1" x14ac:dyDescent="0.25">
      <c r="A2" s="196"/>
      <c r="B2" s="256" t="s">
        <v>1</v>
      </c>
      <c r="C2" s="256"/>
      <c r="D2" s="256"/>
      <c r="E2" s="95"/>
    </row>
    <row r="3" spans="1:5" s="93" customFormat="1" ht="15.75" customHeight="1" x14ac:dyDescent="0.25">
      <c r="A3" s="257" t="s">
        <v>27</v>
      </c>
      <c r="B3" s="256"/>
      <c r="C3" s="256"/>
      <c r="D3" s="256"/>
      <c r="E3" s="258"/>
    </row>
    <row r="4" spans="1:5" s="93" customFormat="1" ht="20.25" x14ac:dyDescent="0.3">
      <c r="A4" s="96"/>
      <c r="B4" s="256" t="s">
        <v>2</v>
      </c>
      <c r="C4" s="256"/>
      <c r="D4" s="256"/>
      <c r="E4" s="97"/>
    </row>
    <row r="5" spans="1:5" s="93" customFormat="1" ht="20.25" customHeight="1" x14ac:dyDescent="0.25">
      <c r="A5" s="257" t="s">
        <v>28</v>
      </c>
      <c r="B5" s="256"/>
      <c r="C5" s="256"/>
      <c r="D5" s="256"/>
      <c r="E5" s="258"/>
    </row>
    <row r="6" spans="1:5" s="93" customFormat="1" ht="96" customHeight="1" x14ac:dyDescent="0.25">
      <c r="A6" s="259" t="s">
        <v>29</v>
      </c>
      <c r="B6" s="260"/>
      <c r="C6" s="260"/>
      <c r="D6" s="260"/>
      <c r="E6" s="261"/>
    </row>
    <row r="7" spans="1:5" s="93" customFormat="1" ht="14.25" thickBot="1" x14ac:dyDescent="0.3">
      <c r="A7" s="98"/>
      <c r="B7" s="70"/>
      <c r="C7" s="70"/>
      <c r="D7" s="70"/>
      <c r="E7" s="75"/>
    </row>
    <row r="8" spans="1:5" s="93" customFormat="1" ht="37.5" customHeight="1" thickBot="1" x14ac:dyDescent="0.3">
      <c r="A8" s="98"/>
      <c r="B8" s="72" t="s">
        <v>3</v>
      </c>
      <c r="C8" s="247" t="s">
        <v>162</v>
      </c>
      <c r="D8" s="248"/>
      <c r="E8" s="75"/>
    </row>
    <row r="9" spans="1:5" s="93" customFormat="1" ht="14.25" thickBot="1" x14ac:dyDescent="0.3">
      <c r="A9" s="98"/>
      <c r="B9" s="72" t="s">
        <v>38</v>
      </c>
      <c r="C9" s="247">
        <v>39</v>
      </c>
      <c r="D9" s="248"/>
      <c r="E9" s="75"/>
    </row>
    <row r="10" spans="1:5" s="93" customFormat="1" ht="14.25" thickBot="1" x14ac:dyDescent="0.3">
      <c r="A10" s="98"/>
      <c r="B10" s="79" t="s">
        <v>6</v>
      </c>
      <c r="C10" s="247">
        <v>900208443</v>
      </c>
      <c r="D10" s="248"/>
      <c r="E10" s="75"/>
    </row>
    <row r="11" spans="1:5" s="93" customFormat="1" ht="26.25" customHeight="1" x14ac:dyDescent="0.25">
      <c r="A11" s="98"/>
      <c r="B11" s="130" t="s">
        <v>23</v>
      </c>
      <c r="C11" s="197" t="s">
        <v>24</v>
      </c>
      <c r="D11" s="199" t="s">
        <v>25</v>
      </c>
      <c r="E11" s="75"/>
    </row>
    <row r="12" spans="1:5" s="93" customFormat="1" x14ac:dyDescent="0.25">
      <c r="A12" s="98"/>
      <c r="B12" s="133"/>
      <c r="C12" s="135"/>
      <c r="D12" s="99"/>
      <c r="E12" s="75"/>
    </row>
    <row r="13" spans="1:5" s="93" customFormat="1" x14ac:dyDescent="0.25">
      <c r="A13" s="98"/>
      <c r="B13" s="133">
        <v>13</v>
      </c>
      <c r="C13" s="135" t="s">
        <v>163</v>
      </c>
      <c r="D13" s="134">
        <v>2848415284</v>
      </c>
      <c r="E13" s="75"/>
    </row>
    <row r="14" spans="1:5" s="93" customFormat="1" x14ac:dyDescent="0.25">
      <c r="A14" s="98"/>
      <c r="B14" s="133">
        <v>1</v>
      </c>
      <c r="C14" s="135" t="s">
        <v>217</v>
      </c>
      <c r="D14" s="134">
        <v>685793450</v>
      </c>
      <c r="E14" s="75"/>
    </row>
    <row r="15" spans="1:5" s="93" customFormat="1" ht="14.25" thickBot="1" x14ac:dyDescent="0.3">
      <c r="A15" s="98"/>
      <c r="B15" s="74"/>
      <c r="C15" s="135"/>
      <c r="D15" s="99"/>
      <c r="E15" s="75"/>
    </row>
    <row r="16" spans="1:5" s="93" customFormat="1" ht="14.25" thickBot="1" x14ac:dyDescent="0.3">
      <c r="A16" s="98"/>
      <c r="B16" s="72" t="s">
        <v>30</v>
      </c>
      <c r="C16" s="249">
        <f>+SUM(D13:D14)</f>
        <v>3534208734</v>
      </c>
      <c r="D16" s="250"/>
      <c r="E16" s="75"/>
    </row>
    <row r="17" spans="1:8" s="93" customFormat="1" ht="14.25" thickBot="1" x14ac:dyDescent="0.3">
      <c r="A17" s="98"/>
      <c r="B17" s="72" t="s">
        <v>5</v>
      </c>
      <c r="C17" s="251">
        <f>+ROUND(C16/616000,0)</f>
        <v>5737</v>
      </c>
      <c r="D17" s="252"/>
      <c r="E17" s="75"/>
    </row>
    <row r="18" spans="1:8" s="93" customFormat="1" x14ac:dyDescent="0.25">
      <c r="A18" s="98"/>
      <c r="B18" s="70"/>
      <c r="C18" s="70"/>
      <c r="D18" s="99"/>
      <c r="E18" s="75"/>
    </row>
    <row r="19" spans="1:8" s="93" customFormat="1" ht="14.25" thickBot="1" x14ac:dyDescent="0.3">
      <c r="A19" s="98"/>
      <c r="B19" s="100" t="s">
        <v>19</v>
      </c>
      <c r="C19" s="76"/>
      <c r="D19" s="99"/>
      <c r="E19" s="75"/>
    </row>
    <row r="20" spans="1:8" s="93" customFormat="1" x14ac:dyDescent="0.25">
      <c r="A20" s="98"/>
      <c r="B20" s="77" t="s">
        <v>13</v>
      </c>
      <c r="C20" s="85">
        <f>+IF($C$17&gt;$B$51,$D$51,IF(AND($C$17&gt;=$B$50,$C$17&lt;=$C$50),$D$50,IF(AND($C$17&gt;=$B$48,$C$17&lt;=$C$49),$D$48,IF(AND($C$17&gt;=$B$46,$C$17&lt;=$C$47),$D$46,IF(AND($C$17&gt;$B$44,$C$17&lt;=$C$45),$D$44)))))</f>
        <v>1.2</v>
      </c>
      <c r="D20" s="99"/>
      <c r="E20" s="75"/>
    </row>
    <row r="21" spans="1:8" s="93" customFormat="1" ht="14.25" thickBot="1" x14ac:dyDescent="0.3">
      <c r="A21" s="98"/>
      <c r="B21" s="78" t="s">
        <v>14</v>
      </c>
      <c r="C21" s="86">
        <f>+IF($C$17&gt;$B$51,$F$51,IF(AND($C$17&gt;=$B$49,$C$17&lt;=$C$50),$F$49,IF(AND($C$17&gt;=$B$47,$C$17&lt;=$C$48),$F$47,IF(AND($C$17&gt;=$B$45,$C$17&lt;=$C$46),$F$45,IF(AND($C$17&gt;$B$44,$C$17&lt;=$C$44),$F$44)))))</f>
        <v>0.65</v>
      </c>
      <c r="D21" s="99"/>
      <c r="E21" s="75"/>
    </row>
    <row r="22" spans="1:8" s="93" customFormat="1" ht="14.25" thickBot="1" x14ac:dyDescent="0.3">
      <c r="A22" s="98"/>
      <c r="B22" s="101"/>
      <c r="C22" s="102"/>
      <c r="D22" s="103"/>
      <c r="E22" s="75"/>
    </row>
    <row r="23" spans="1:8" s="93" customFormat="1" x14ac:dyDescent="0.25">
      <c r="A23" s="98"/>
      <c r="B23" s="80" t="s">
        <v>7</v>
      </c>
      <c r="C23" s="127">
        <v>190900179</v>
      </c>
      <c r="D23" s="104"/>
      <c r="E23" s="75"/>
    </row>
    <row r="24" spans="1:8" s="93" customFormat="1" x14ac:dyDescent="0.25">
      <c r="A24" s="98"/>
      <c r="B24" s="81" t="s">
        <v>8</v>
      </c>
      <c r="C24" s="129">
        <v>208900179</v>
      </c>
      <c r="D24" s="105"/>
      <c r="E24" s="75"/>
    </row>
    <row r="25" spans="1:8" s="93" customFormat="1" ht="15" x14ac:dyDescent="0.25">
      <c r="A25" s="98"/>
      <c r="B25" s="81" t="s">
        <v>9</v>
      </c>
      <c r="C25" s="129">
        <v>6121849</v>
      </c>
      <c r="D25" s="105"/>
      <c r="E25" s="75"/>
      <c r="F25" s="106"/>
      <c r="H25" s="239"/>
    </row>
    <row r="26" spans="1:8" s="93" customFormat="1" ht="15.75" thickBot="1" x14ac:dyDescent="0.3">
      <c r="A26" s="98"/>
      <c r="B26" s="81" t="s">
        <v>10</v>
      </c>
      <c r="C26" s="129">
        <v>6121849</v>
      </c>
      <c r="D26" s="105"/>
      <c r="E26" s="75"/>
      <c r="F26" s="106"/>
    </row>
    <row r="27" spans="1:8" s="93" customFormat="1" ht="14.25" thickBot="1" x14ac:dyDescent="0.3">
      <c r="A27" s="98"/>
      <c r="B27" s="241" t="s">
        <v>11</v>
      </c>
      <c r="C27" s="242"/>
      <c r="D27" s="243"/>
      <c r="E27" s="75"/>
    </row>
    <row r="28" spans="1:8" s="93" customFormat="1" ht="14.25" thickBot="1" x14ac:dyDescent="0.3">
      <c r="A28" s="98"/>
      <c r="B28" s="241" t="s">
        <v>12</v>
      </c>
      <c r="C28" s="242"/>
      <c r="D28" s="243"/>
      <c r="E28" s="75"/>
    </row>
    <row r="29" spans="1:8" s="93" customFormat="1" ht="16.5" x14ac:dyDescent="0.3">
      <c r="A29" s="98"/>
      <c r="B29" s="77" t="s">
        <v>13</v>
      </c>
      <c r="C29" s="126">
        <f>+IFERROR(C23/C25,"INDETERMINADO")</f>
        <v>31.183418441062496</v>
      </c>
      <c r="D29" s="118" t="str">
        <f>+IF(C29&gt;=C20,"CUMPLE","NO CUMPLE")</f>
        <v>CUMPLE</v>
      </c>
      <c r="E29" s="75"/>
    </row>
    <row r="30" spans="1:8" s="93" customFormat="1" ht="17.25" thickBot="1" x14ac:dyDescent="0.35">
      <c r="A30" s="98"/>
      <c r="B30" s="78" t="s">
        <v>14</v>
      </c>
      <c r="C30" s="120">
        <f>+C26/C24</f>
        <v>2.9305140040114565E-2</v>
      </c>
      <c r="D30" s="119" t="str">
        <f>+IF(C30&lt;=C21,"CUMPLE","NO CUMPLE")</f>
        <v>CUMPLE</v>
      </c>
      <c r="E30" s="75"/>
    </row>
    <row r="31" spans="1:8" s="110" customFormat="1" ht="14.25" thickBot="1" x14ac:dyDescent="0.3">
      <c r="A31" s="98"/>
      <c r="B31" s="108"/>
      <c r="C31" s="100"/>
      <c r="D31" s="76"/>
      <c r="E31" s="109"/>
    </row>
    <row r="32" spans="1:8" s="93" customFormat="1" ht="41.25" customHeight="1" thickBot="1" x14ac:dyDescent="0.3">
      <c r="A32" s="98"/>
      <c r="B32" s="72" t="s">
        <v>15</v>
      </c>
      <c r="C32" s="244" t="s">
        <v>161</v>
      </c>
      <c r="D32" s="245"/>
      <c r="E32" s="75"/>
    </row>
    <row r="33" spans="1:9" s="70" customFormat="1" ht="14.25" thickBot="1" x14ac:dyDescent="0.3">
      <c r="A33" s="98"/>
      <c r="B33" s="83"/>
      <c r="C33" s="83"/>
      <c r="D33" s="83"/>
      <c r="E33" s="75"/>
    </row>
    <row r="34" spans="1:9" s="70" customFormat="1" ht="45.75" customHeight="1" thickBot="1" x14ac:dyDescent="0.3">
      <c r="A34" s="98"/>
      <c r="B34" s="72" t="s">
        <v>26</v>
      </c>
      <c r="C34" s="244"/>
      <c r="D34" s="245"/>
      <c r="E34" s="75"/>
    </row>
    <row r="35" spans="1:9" s="70" customFormat="1" ht="14.25" thickBot="1" x14ac:dyDescent="0.3">
      <c r="A35" s="111"/>
      <c r="B35" s="112"/>
      <c r="C35" s="112"/>
      <c r="D35" s="112"/>
      <c r="E35" s="71"/>
    </row>
    <row r="36" spans="1:9" s="70" customFormat="1" x14ac:dyDescent="0.25">
      <c r="B36" s="83"/>
      <c r="C36" s="83"/>
      <c r="D36" s="83"/>
    </row>
    <row r="37" spans="1:9" s="70" customFormat="1" x14ac:dyDescent="0.25">
      <c r="B37" s="83"/>
      <c r="C37" s="83"/>
      <c r="D37" s="83"/>
    </row>
    <row r="38" spans="1:9" s="70" customFormat="1" x14ac:dyDescent="0.25">
      <c r="B38" s="83"/>
      <c r="C38" s="83"/>
      <c r="D38" s="83"/>
    </row>
    <row r="39" spans="1:9" s="70" customFormat="1" x14ac:dyDescent="0.25">
      <c r="B39" s="83"/>
      <c r="C39" s="83"/>
      <c r="D39" s="83"/>
    </row>
    <row r="41" spans="1:9" x14ac:dyDescent="0.25">
      <c r="B41" s="100"/>
      <c r="C41" s="70"/>
    </row>
    <row r="42" spans="1:9" x14ac:dyDescent="0.25">
      <c r="B42" s="88">
        <v>616000</v>
      </c>
      <c r="C42" s="87"/>
      <c r="D42" s="87"/>
      <c r="E42" s="87"/>
      <c r="F42" s="87"/>
      <c r="G42" s="87"/>
      <c r="H42" s="87"/>
      <c r="I42" s="87"/>
    </row>
    <row r="43" spans="1:9" ht="25.5" x14ac:dyDescent="0.25">
      <c r="B43" s="89" t="s">
        <v>21</v>
      </c>
      <c r="C43" s="89" t="s">
        <v>20</v>
      </c>
      <c r="D43" s="200" t="s">
        <v>16</v>
      </c>
      <c r="E43" s="87"/>
      <c r="F43" s="200" t="s">
        <v>17</v>
      </c>
      <c r="G43" s="87"/>
      <c r="H43" s="246"/>
      <c r="I43" s="246"/>
    </row>
    <row r="44" spans="1:9" x14ac:dyDescent="0.25">
      <c r="B44" s="90">
        <v>0</v>
      </c>
      <c r="C44" s="90">
        <v>250</v>
      </c>
      <c r="D44" s="201">
        <v>0.8</v>
      </c>
      <c r="E44" s="87"/>
      <c r="F44" s="202">
        <v>0.8</v>
      </c>
      <c r="G44" s="87"/>
      <c r="H44" s="116"/>
      <c r="I44" s="117">
        <f t="shared" ref="I44:I51" si="0">+C44*$B$42</f>
        <v>154000000</v>
      </c>
    </row>
    <row r="45" spans="1:9" x14ac:dyDescent="0.25">
      <c r="B45" s="90">
        <v>251</v>
      </c>
      <c r="C45" s="90">
        <v>1000</v>
      </c>
      <c r="D45" s="201">
        <v>0.8</v>
      </c>
      <c r="E45" s="87"/>
      <c r="F45" s="202">
        <v>0.75</v>
      </c>
      <c r="G45" s="87"/>
      <c r="H45" s="117">
        <f t="shared" ref="H45:H51" si="1">+B45*$B$42</f>
        <v>154616000</v>
      </c>
      <c r="I45" s="117">
        <f t="shared" si="0"/>
        <v>616000000</v>
      </c>
    </row>
    <row r="46" spans="1:9" x14ac:dyDescent="0.25">
      <c r="B46" s="90">
        <v>1001</v>
      </c>
      <c r="C46" s="90">
        <v>1500</v>
      </c>
      <c r="D46" s="201">
        <v>0.9</v>
      </c>
      <c r="E46" s="87"/>
      <c r="F46" s="202">
        <v>0.75</v>
      </c>
      <c r="G46" s="87"/>
      <c r="H46" s="117">
        <f t="shared" si="1"/>
        <v>616616000</v>
      </c>
      <c r="I46" s="117">
        <f t="shared" si="0"/>
        <v>924000000</v>
      </c>
    </row>
    <row r="47" spans="1:9" x14ac:dyDescent="0.25">
      <c r="B47" s="90">
        <v>1501</v>
      </c>
      <c r="C47" s="90">
        <v>2500</v>
      </c>
      <c r="D47" s="201">
        <v>0.9</v>
      </c>
      <c r="E47" s="87"/>
      <c r="F47" s="202">
        <v>0.7</v>
      </c>
      <c r="G47" s="87"/>
      <c r="H47" s="117">
        <f t="shared" si="1"/>
        <v>924616000</v>
      </c>
      <c r="I47" s="117">
        <f t="shared" si="0"/>
        <v>1540000000</v>
      </c>
    </row>
    <row r="48" spans="1:9" x14ac:dyDescent="0.25">
      <c r="B48" s="90">
        <v>2501</v>
      </c>
      <c r="C48" s="90">
        <v>3000</v>
      </c>
      <c r="D48" s="201">
        <v>1</v>
      </c>
      <c r="E48" s="87"/>
      <c r="F48" s="202">
        <v>0.7</v>
      </c>
      <c r="G48" s="87"/>
      <c r="H48" s="117">
        <f t="shared" si="1"/>
        <v>1540616000</v>
      </c>
      <c r="I48" s="117">
        <f t="shared" si="0"/>
        <v>1848000000</v>
      </c>
    </row>
    <row r="49" spans="1:9" x14ac:dyDescent="0.25">
      <c r="B49" s="90">
        <v>3001</v>
      </c>
      <c r="C49" s="90">
        <v>3500</v>
      </c>
      <c r="D49" s="201">
        <v>1</v>
      </c>
      <c r="E49" s="87"/>
      <c r="F49" s="202">
        <v>0.68</v>
      </c>
      <c r="G49" s="87"/>
      <c r="H49" s="117">
        <f t="shared" si="1"/>
        <v>1848616000</v>
      </c>
      <c r="I49" s="117">
        <f t="shared" si="0"/>
        <v>2156000000</v>
      </c>
    </row>
    <row r="50" spans="1:9" x14ac:dyDescent="0.25">
      <c r="B50" s="90">
        <v>3501</v>
      </c>
      <c r="C50" s="90">
        <v>4500</v>
      </c>
      <c r="D50" s="201">
        <v>1.1000000000000001</v>
      </c>
      <c r="E50" s="87"/>
      <c r="F50" s="202">
        <v>0.68</v>
      </c>
      <c r="G50" s="87"/>
      <c r="H50" s="117">
        <f t="shared" si="1"/>
        <v>2156616000</v>
      </c>
      <c r="I50" s="117">
        <f t="shared" si="0"/>
        <v>2772000000</v>
      </c>
    </row>
    <row r="51" spans="1:9" x14ac:dyDescent="0.25">
      <c r="A51" s="84" t="s">
        <v>22</v>
      </c>
      <c r="B51" s="90">
        <v>4501</v>
      </c>
      <c r="C51" s="90"/>
      <c r="D51" s="201">
        <v>1.2</v>
      </c>
      <c r="E51" s="87"/>
      <c r="F51" s="202">
        <v>0.65</v>
      </c>
      <c r="G51" s="87"/>
      <c r="H51" s="117">
        <f t="shared" si="1"/>
        <v>2772616000</v>
      </c>
      <c r="I51" s="117">
        <f t="shared" si="0"/>
        <v>0</v>
      </c>
    </row>
  </sheetData>
  <mergeCells count="16">
    <mergeCell ref="A6:E6"/>
    <mergeCell ref="A1:E1"/>
    <mergeCell ref="B2:D2"/>
    <mergeCell ref="A3:E3"/>
    <mergeCell ref="B4:D4"/>
    <mergeCell ref="A5:E5"/>
    <mergeCell ref="B28:D28"/>
    <mergeCell ref="C32:D32"/>
    <mergeCell ref="C34:D34"/>
    <mergeCell ref="H43:I43"/>
    <mergeCell ref="C8:D8"/>
    <mergeCell ref="C9:D9"/>
    <mergeCell ref="C10:D10"/>
    <mergeCell ref="C16:D16"/>
    <mergeCell ref="C17:D17"/>
    <mergeCell ref="B27:D27"/>
  </mergeCells>
  <pageMargins left="0.7" right="0.7" top="0.75" bottom="0.75" header="0.3" footer="0.3"/>
  <pageSetup orientation="portrait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0"/>
  <sheetViews>
    <sheetView view="pageBreakPreview" topLeftCell="A2" zoomScale="130" zoomScaleNormal="100" zoomScaleSheetLayoutView="130" workbookViewId="0">
      <selection activeCell="C14" sqref="C14"/>
    </sheetView>
  </sheetViews>
  <sheetFormatPr baseColWidth="10" defaultRowHeight="13.5" x14ac:dyDescent="0.25"/>
  <cols>
    <col min="1" max="1" width="3.140625" style="84" customWidth="1"/>
    <col min="2" max="2" width="31.85546875" style="84" customWidth="1"/>
    <col min="3" max="3" width="27.7109375" style="84" customWidth="1"/>
    <col min="4" max="4" width="21.7109375" style="84" customWidth="1"/>
    <col min="5" max="5" width="3.5703125" style="84" customWidth="1"/>
    <col min="6" max="6" width="16.5703125" style="84" customWidth="1"/>
    <col min="7" max="7" width="3.140625" style="84" customWidth="1"/>
    <col min="8" max="8" width="18.140625" style="84" customWidth="1"/>
    <col min="9" max="9" width="12.7109375" style="84" bestFit="1" customWidth="1"/>
    <col min="10" max="16384" width="11.42578125" style="84"/>
  </cols>
  <sheetData>
    <row r="1" spans="1:5" s="93" customFormat="1" ht="20.25" customHeight="1" x14ac:dyDescent="0.25">
      <c r="A1" s="253" t="s">
        <v>0</v>
      </c>
      <c r="B1" s="254"/>
      <c r="C1" s="254"/>
      <c r="D1" s="254"/>
      <c r="E1" s="255"/>
    </row>
    <row r="2" spans="1:5" s="93" customFormat="1" ht="15.75" customHeight="1" x14ac:dyDescent="0.25">
      <c r="A2" s="196"/>
      <c r="B2" s="256" t="s">
        <v>1</v>
      </c>
      <c r="C2" s="256"/>
      <c r="D2" s="256"/>
      <c r="E2" s="95"/>
    </row>
    <row r="3" spans="1:5" s="93" customFormat="1" ht="15.75" customHeight="1" x14ac:dyDescent="0.25">
      <c r="A3" s="257" t="s">
        <v>27</v>
      </c>
      <c r="B3" s="256"/>
      <c r="C3" s="256"/>
      <c r="D3" s="256"/>
      <c r="E3" s="258"/>
    </row>
    <row r="4" spans="1:5" s="93" customFormat="1" ht="20.25" x14ac:dyDescent="0.3">
      <c r="A4" s="96"/>
      <c r="B4" s="256" t="s">
        <v>2</v>
      </c>
      <c r="C4" s="256"/>
      <c r="D4" s="256"/>
      <c r="E4" s="97"/>
    </row>
    <row r="5" spans="1:5" s="93" customFormat="1" ht="20.25" customHeight="1" x14ac:dyDescent="0.25">
      <c r="A5" s="257" t="s">
        <v>28</v>
      </c>
      <c r="B5" s="256"/>
      <c r="C5" s="256"/>
      <c r="D5" s="256"/>
      <c r="E5" s="258"/>
    </row>
    <row r="6" spans="1:5" s="93" customFormat="1" ht="96" customHeight="1" x14ac:dyDescent="0.25">
      <c r="A6" s="259" t="s">
        <v>29</v>
      </c>
      <c r="B6" s="260"/>
      <c r="C6" s="260"/>
      <c r="D6" s="260"/>
      <c r="E6" s="261"/>
    </row>
    <row r="7" spans="1:5" s="93" customFormat="1" ht="14.25" thickBot="1" x14ac:dyDescent="0.3">
      <c r="A7" s="98"/>
      <c r="B7" s="70"/>
      <c r="C7" s="70"/>
      <c r="D7" s="70"/>
      <c r="E7" s="75"/>
    </row>
    <row r="8" spans="1:5" s="93" customFormat="1" ht="26.25" customHeight="1" thickBot="1" x14ac:dyDescent="0.3">
      <c r="A8" s="98"/>
      <c r="B8" s="72" t="s">
        <v>3</v>
      </c>
      <c r="C8" s="247" t="s">
        <v>78</v>
      </c>
      <c r="D8" s="248"/>
      <c r="E8" s="75"/>
    </row>
    <row r="9" spans="1:5" s="93" customFormat="1" ht="14.25" thickBot="1" x14ac:dyDescent="0.3">
      <c r="A9" s="98"/>
      <c r="B9" s="72" t="s">
        <v>38</v>
      </c>
      <c r="C9" s="247">
        <v>40</v>
      </c>
      <c r="D9" s="248"/>
      <c r="E9" s="75"/>
    </row>
    <row r="10" spans="1:5" s="93" customFormat="1" ht="14.25" thickBot="1" x14ac:dyDescent="0.3">
      <c r="A10" s="98"/>
      <c r="B10" s="79" t="s">
        <v>6</v>
      </c>
      <c r="C10" s="247">
        <v>900503441</v>
      </c>
      <c r="D10" s="248"/>
      <c r="E10" s="75"/>
    </row>
    <row r="11" spans="1:5" s="93" customFormat="1" ht="26.25" customHeight="1" x14ac:dyDescent="0.25">
      <c r="A11" s="98"/>
      <c r="B11" s="130" t="s">
        <v>23</v>
      </c>
      <c r="C11" s="197" t="s">
        <v>24</v>
      </c>
      <c r="D11" s="199" t="s">
        <v>25</v>
      </c>
      <c r="E11" s="75"/>
    </row>
    <row r="12" spans="1:5" s="93" customFormat="1" x14ac:dyDescent="0.25">
      <c r="A12" s="98"/>
      <c r="B12" s="133">
        <v>11</v>
      </c>
      <c r="C12" s="135" t="s">
        <v>206</v>
      </c>
      <c r="D12" s="134">
        <v>1420031080</v>
      </c>
      <c r="E12" s="75"/>
    </row>
    <row r="13" spans="1:5" s="93" customFormat="1" x14ac:dyDescent="0.25">
      <c r="A13" s="98"/>
      <c r="B13" s="133" t="s">
        <v>218</v>
      </c>
      <c r="C13" s="135" t="s">
        <v>79</v>
      </c>
      <c r="D13" s="134">
        <v>3803489970</v>
      </c>
      <c r="E13" s="75"/>
    </row>
    <row r="14" spans="1:5" s="93" customFormat="1" ht="14.25" thickBot="1" x14ac:dyDescent="0.3">
      <c r="A14" s="98"/>
      <c r="B14" s="133"/>
      <c r="C14" s="135"/>
      <c r="D14" s="134"/>
      <c r="E14" s="75"/>
    </row>
    <row r="15" spans="1:5" s="93" customFormat="1" ht="14.25" thickBot="1" x14ac:dyDescent="0.3">
      <c r="A15" s="98"/>
      <c r="B15" s="72" t="s">
        <v>30</v>
      </c>
      <c r="C15" s="249">
        <f>+SUM(D12:D14)</f>
        <v>5223521050</v>
      </c>
      <c r="D15" s="250"/>
      <c r="E15" s="75"/>
    </row>
    <row r="16" spans="1:5" s="93" customFormat="1" ht="14.25" thickBot="1" x14ac:dyDescent="0.3">
      <c r="A16" s="98"/>
      <c r="B16" s="72" t="s">
        <v>5</v>
      </c>
      <c r="C16" s="302">
        <f>+ROUND(C15/616000,0)</f>
        <v>8480</v>
      </c>
      <c r="D16" s="303"/>
      <c r="E16" s="75"/>
    </row>
    <row r="17" spans="1:6" s="93" customFormat="1" x14ac:dyDescent="0.25">
      <c r="A17" s="98"/>
      <c r="B17" s="70"/>
      <c r="C17" s="70"/>
      <c r="D17" s="99"/>
      <c r="E17" s="75"/>
    </row>
    <row r="18" spans="1:6" s="93" customFormat="1" ht="14.25" thickBot="1" x14ac:dyDescent="0.3">
      <c r="A18" s="98"/>
      <c r="B18" s="100" t="s">
        <v>19</v>
      </c>
      <c r="C18" s="76"/>
      <c r="D18" s="99"/>
      <c r="E18" s="75"/>
    </row>
    <row r="19" spans="1:6" s="93" customFormat="1" x14ac:dyDescent="0.25">
      <c r="A19" s="98"/>
      <c r="B19" s="77" t="s">
        <v>13</v>
      </c>
      <c r="C19" s="85">
        <f>+IF($C$16&gt;$B$50,$D$50,IF(AND($C$16&gt;=$B$49,$C$16&lt;=$C$49),$D$49,IF(AND($C$16&gt;=$B$47,$C$16&lt;=$C$48),$D$47,IF(AND($C$16&gt;=$B$45,$C$16&lt;=$C$46),$D$45,IF(AND($C$16&gt;$B$43,$C$16&lt;=$C$44),$D$43)))))</f>
        <v>1.2</v>
      </c>
      <c r="D19" s="99"/>
      <c r="E19" s="75"/>
    </row>
    <row r="20" spans="1:6" s="93" customFormat="1" ht="14.25" thickBot="1" x14ac:dyDescent="0.3">
      <c r="A20" s="98"/>
      <c r="B20" s="78" t="s">
        <v>14</v>
      </c>
      <c r="C20" s="86">
        <f>+IF($C$16&gt;$B$50,$F$50,IF(AND($C$16&gt;=$B$48,$C$16&lt;=$C$49),$F$48,IF(AND($C$16&gt;=$B$46,$C$16&lt;=$C$47),$F$46,IF(AND($C$16&gt;=$B$44,$C$16&lt;=$C$45),$F$44,IF(AND($C$16&gt;$B$43,$C$16&lt;=$C$43),$F$43)))))</f>
        <v>0.65</v>
      </c>
      <c r="D20" s="99"/>
      <c r="E20" s="75"/>
    </row>
    <row r="21" spans="1:6" s="93" customFormat="1" ht="14.25" thickBot="1" x14ac:dyDescent="0.3">
      <c r="A21" s="98"/>
      <c r="B21" s="101"/>
      <c r="C21" s="102"/>
      <c r="D21" s="103"/>
      <c r="E21" s="75"/>
    </row>
    <row r="22" spans="1:6" s="93" customFormat="1" x14ac:dyDescent="0.25">
      <c r="A22" s="98"/>
      <c r="B22" s="80" t="s">
        <v>7</v>
      </c>
      <c r="C22" s="127">
        <v>155400751</v>
      </c>
      <c r="D22" s="104"/>
      <c r="E22" s="75"/>
    </row>
    <row r="23" spans="1:6" s="93" customFormat="1" x14ac:dyDescent="0.25">
      <c r="A23" s="98"/>
      <c r="B23" s="81" t="s">
        <v>8</v>
      </c>
      <c r="C23" s="129">
        <v>157900751</v>
      </c>
      <c r="D23" s="105"/>
      <c r="E23" s="75"/>
    </row>
    <row r="24" spans="1:6" s="93" customFormat="1" ht="15" x14ac:dyDescent="0.25">
      <c r="A24" s="98"/>
      <c r="B24" s="81" t="s">
        <v>9</v>
      </c>
      <c r="C24" s="129">
        <v>119697</v>
      </c>
      <c r="D24" s="105"/>
      <c r="E24" s="75"/>
      <c r="F24" s="106"/>
    </row>
    <row r="25" spans="1:6" s="93" customFormat="1" ht="15.75" thickBot="1" x14ac:dyDescent="0.3">
      <c r="A25" s="98"/>
      <c r="B25" s="81" t="s">
        <v>10</v>
      </c>
      <c r="C25" s="129">
        <v>119697</v>
      </c>
      <c r="D25" s="105"/>
      <c r="E25" s="75"/>
      <c r="F25" s="106"/>
    </row>
    <row r="26" spans="1:6" s="93" customFormat="1" ht="14.25" thickBot="1" x14ac:dyDescent="0.3">
      <c r="A26" s="98"/>
      <c r="B26" s="241" t="s">
        <v>11</v>
      </c>
      <c r="C26" s="242"/>
      <c r="D26" s="243"/>
      <c r="E26" s="75"/>
    </row>
    <row r="27" spans="1:6" s="93" customFormat="1" ht="14.25" thickBot="1" x14ac:dyDescent="0.3">
      <c r="A27" s="98"/>
      <c r="B27" s="241" t="s">
        <v>12</v>
      </c>
      <c r="C27" s="242"/>
      <c r="D27" s="243"/>
      <c r="E27" s="75"/>
    </row>
    <row r="28" spans="1:6" s="93" customFormat="1" ht="16.5" x14ac:dyDescent="0.3">
      <c r="A28" s="98"/>
      <c r="B28" s="77" t="s">
        <v>13</v>
      </c>
      <c r="C28" s="126">
        <f>+IFERROR(C22/C24,"INDETERMINADO")</f>
        <v>1298.2844265102717</v>
      </c>
      <c r="D28" s="118" t="str">
        <f>+IF(C28&gt;=C19,"CUMPLE","NO CUMPLE")</f>
        <v>CUMPLE</v>
      </c>
      <c r="E28" s="75"/>
    </row>
    <row r="29" spans="1:6" s="93" customFormat="1" ht="17.25" thickBot="1" x14ac:dyDescent="0.35">
      <c r="A29" s="98"/>
      <c r="B29" s="78" t="s">
        <v>14</v>
      </c>
      <c r="C29" s="120">
        <f>+C25/C23</f>
        <v>7.5805212604720289E-4</v>
      </c>
      <c r="D29" s="119" t="str">
        <f>+IF(C29&lt;=C20,"CUMPLE","NO CUMPLE")</f>
        <v>CUMPLE</v>
      </c>
      <c r="E29" s="75"/>
    </row>
    <row r="30" spans="1:6" s="110" customFormat="1" ht="14.25" thickBot="1" x14ac:dyDescent="0.3">
      <c r="A30" s="98"/>
      <c r="B30" s="108"/>
      <c r="C30" s="100"/>
      <c r="D30" s="76"/>
      <c r="E30" s="109"/>
    </row>
    <row r="31" spans="1:6" s="93" customFormat="1" ht="41.25" customHeight="1" thickBot="1" x14ac:dyDescent="0.3">
      <c r="A31" s="98"/>
      <c r="B31" s="72" t="s">
        <v>15</v>
      </c>
      <c r="C31" s="244" t="s">
        <v>43</v>
      </c>
      <c r="D31" s="245"/>
      <c r="E31" s="75"/>
    </row>
    <row r="32" spans="1:6" s="70" customFormat="1" ht="14.25" thickBot="1" x14ac:dyDescent="0.3">
      <c r="A32" s="98"/>
      <c r="B32" s="83"/>
      <c r="C32" s="83"/>
      <c r="D32" s="83"/>
      <c r="E32" s="75"/>
    </row>
    <row r="33" spans="1:9" s="70" customFormat="1" ht="45.75" customHeight="1" thickBot="1" x14ac:dyDescent="0.3">
      <c r="A33" s="98"/>
      <c r="B33" s="72" t="s">
        <v>26</v>
      </c>
      <c r="C33" s="244"/>
      <c r="D33" s="245"/>
      <c r="E33" s="75"/>
    </row>
    <row r="34" spans="1:9" s="70" customFormat="1" ht="14.25" thickBot="1" x14ac:dyDescent="0.3">
      <c r="A34" s="111"/>
      <c r="B34" s="112"/>
      <c r="C34" s="112"/>
      <c r="D34" s="112"/>
      <c r="E34" s="71"/>
    </row>
    <row r="35" spans="1:9" s="70" customFormat="1" x14ac:dyDescent="0.25">
      <c r="B35" s="83"/>
      <c r="C35" s="83"/>
      <c r="D35" s="83"/>
    </row>
    <row r="36" spans="1:9" s="70" customFormat="1" x14ac:dyDescent="0.25">
      <c r="B36" s="83"/>
      <c r="C36" s="83"/>
      <c r="D36" s="83"/>
    </row>
    <row r="37" spans="1:9" s="70" customFormat="1" x14ac:dyDescent="0.25">
      <c r="B37" s="83"/>
      <c r="C37" s="83"/>
      <c r="D37" s="83"/>
    </row>
    <row r="38" spans="1:9" s="70" customFormat="1" x14ac:dyDescent="0.25">
      <c r="B38" s="83"/>
      <c r="C38" s="83"/>
      <c r="D38" s="83"/>
    </row>
    <row r="40" spans="1:9" x14ac:dyDescent="0.25">
      <c r="B40" s="100"/>
      <c r="C40" s="70"/>
    </row>
    <row r="41" spans="1:9" x14ac:dyDescent="0.25">
      <c r="B41" s="88">
        <v>616000</v>
      </c>
      <c r="C41" s="87"/>
      <c r="D41" s="87"/>
      <c r="E41" s="87"/>
      <c r="F41" s="87"/>
      <c r="G41" s="87"/>
      <c r="H41" s="87"/>
      <c r="I41" s="87"/>
    </row>
    <row r="42" spans="1:9" ht="25.5" x14ac:dyDescent="0.25">
      <c r="B42" s="89" t="s">
        <v>21</v>
      </c>
      <c r="C42" s="89" t="s">
        <v>20</v>
      </c>
      <c r="D42" s="200" t="s">
        <v>16</v>
      </c>
      <c r="E42" s="87"/>
      <c r="F42" s="200" t="s">
        <v>17</v>
      </c>
      <c r="G42" s="87"/>
      <c r="H42" s="246"/>
      <c r="I42" s="246"/>
    </row>
    <row r="43" spans="1:9" x14ac:dyDescent="0.25">
      <c r="B43" s="90">
        <v>0</v>
      </c>
      <c r="C43" s="90">
        <v>250</v>
      </c>
      <c r="D43" s="201">
        <v>0.8</v>
      </c>
      <c r="E43" s="87"/>
      <c r="F43" s="202">
        <v>0.8</v>
      </c>
      <c r="G43" s="87"/>
      <c r="H43" s="116"/>
      <c r="I43" s="117">
        <f t="shared" ref="I43:I50" si="0">+C43*$B$41</f>
        <v>154000000</v>
      </c>
    </row>
    <row r="44" spans="1:9" x14ac:dyDescent="0.25">
      <c r="B44" s="90">
        <v>251</v>
      </c>
      <c r="C44" s="90">
        <v>1000</v>
      </c>
      <c r="D44" s="201">
        <v>0.8</v>
      </c>
      <c r="E44" s="87"/>
      <c r="F44" s="202">
        <v>0.75</v>
      </c>
      <c r="G44" s="87"/>
      <c r="H44" s="117">
        <f t="shared" ref="H44:H50" si="1">+B44*$B$41</f>
        <v>154616000</v>
      </c>
      <c r="I44" s="117">
        <f t="shared" si="0"/>
        <v>616000000</v>
      </c>
    </row>
    <row r="45" spans="1:9" x14ac:dyDescent="0.25">
      <c r="B45" s="90">
        <v>1001</v>
      </c>
      <c r="C45" s="90">
        <v>1500</v>
      </c>
      <c r="D45" s="201">
        <v>0.9</v>
      </c>
      <c r="E45" s="87"/>
      <c r="F45" s="202">
        <v>0.75</v>
      </c>
      <c r="G45" s="87"/>
      <c r="H45" s="117">
        <f t="shared" si="1"/>
        <v>616616000</v>
      </c>
      <c r="I45" s="117">
        <f t="shared" si="0"/>
        <v>924000000</v>
      </c>
    </row>
    <row r="46" spans="1:9" x14ac:dyDescent="0.25">
      <c r="B46" s="90">
        <v>1501</v>
      </c>
      <c r="C46" s="90">
        <v>2500</v>
      </c>
      <c r="D46" s="201">
        <v>0.9</v>
      </c>
      <c r="E46" s="87"/>
      <c r="F46" s="202">
        <v>0.7</v>
      </c>
      <c r="G46" s="87"/>
      <c r="H46" s="117">
        <f t="shared" si="1"/>
        <v>924616000</v>
      </c>
      <c r="I46" s="117">
        <f t="shared" si="0"/>
        <v>1540000000</v>
      </c>
    </row>
    <row r="47" spans="1:9" x14ac:dyDescent="0.25">
      <c r="B47" s="90">
        <v>2501</v>
      </c>
      <c r="C47" s="90">
        <v>3000</v>
      </c>
      <c r="D47" s="201">
        <v>1</v>
      </c>
      <c r="E47" s="87"/>
      <c r="F47" s="202">
        <v>0.7</v>
      </c>
      <c r="G47" s="87"/>
      <c r="H47" s="117">
        <f t="shared" si="1"/>
        <v>1540616000</v>
      </c>
      <c r="I47" s="117">
        <f t="shared" si="0"/>
        <v>1848000000</v>
      </c>
    </row>
    <row r="48" spans="1:9" x14ac:dyDescent="0.25">
      <c r="B48" s="90">
        <v>3001</v>
      </c>
      <c r="C48" s="90">
        <v>3500</v>
      </c>
      <c r="D48" s="201">
        <v>1</v>
      </c>
      <c r="E48" s="87"/>
      <c r="F48" s="202">
        <v>0.68</v>
      </c>
      <c r="G48" s="87"/>
      <c r="H48" s="117">
        <f t="shared" si="1"/>
        <v>1848616000</v>
      </c>
      <c r="I48" s="117">
        <f t="shared" si="0"/>
        <v>2156000000</v>
      </c>
    </row>
    <row r="49" spans="1:9" x14ac:dyDescent="0.25">
      <c r="B49" s="90">
        <v>3501</v>
      </c>
      <c r="C49" s="90">
        <v>4500</v>
      </c>
      <c r="D49" s="201">
        <v>1.1000000000000001</v>
      </c>
      <c r="E49" s="87"/>
      <c r="F49" s="202">
        <v>0.68</v>
      </c>
      <c r="G49" s="87"/>
      <c r="H49" s="117">
        <f t="shared" si="1"/>
        <v>2156616000</v>
      </c>
      <c r="I49" s="117">
        <f t="shared" si="0"/>
        <v>2772000000</v>
      </c>
    </row>
    <row r="50" spans="1:9" x14ac:dyDescent="0.25">
      <c r="A50" s="84" t="s">
        <v>22</v>
      </c>
      <c r="B50" s="90">
        <v>4501</v>
      </c>
      <c r="C50" s="90"/>
      <c r="D50" s="201">
        <v>1.2</v>
      </c>
      <c r="E50" s="87"/>
      <c r="F50" s="202">
        <v>0.65</v>
      </c>
      <c r="G50" s="87"/>
      <c r="H50" s="117">
        <f t="shared" si="1"/>
        <v>2772616000</v>
      </c>
      <c r="I50" s="117">
        <f t="shared" si="0"/>
        <v>0</v>
      </c>
    </row>
  </sheetData>
  <mergeCells count="16">
    <mergeCell ref="A6:E6"/>
    <mergeCell ref="A1:E1"/>
    <mergeCell ref="B2:D2"/>
    <mergeCell ref="A3:E3"/>
    <mergeCell ref="B4:D4"/>
    <mergeCell ref="A5:E5"/>
    <mergeCell ref="B27:D27"/>
    <mergeCell ref="C31:D31"/>
    <mergeCell ref="C33:D33"/>
    <mergeCell ref="H42:I42"/>
    <mergeCell ref="C8:D8"/>
    <mergeCell ref="C9:D9"/>
    <mergeCell ref="C10:D10"/>
    <mergeCell ref="C15:D15"/>
    <mergeCell ref="C16:D16"/>
    <mergeCell ref="B26:D26"/>
  </mergeCells>
  <pageMargins left="0.7" right="0.7" top="0.75" bottom="0.75" header="0.3" footer="0.3"/>
  <pageSetup orientation="portrait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view="pageBreakPreview" zoomScale="130" zoomScaleNormal="100" zoomScaleSheetLayoutView="130" workbookViewId="0">
      <selection activeCell="G13" sqref="G13:H13"/>
    </sheetView>
  </sheetViews>
  <sheetFormatPr baseColWidth="10" defaultRowHeight="15" x14ac:dyDescent="0.25"/>
  <cols>
    <col min="1" max="1" width="2.28515625" style="143" customWidth="1"/>
    <col min="2" max="2" width="31.140625" bestFit="1" customWidth="1"/>
    <col min="3" max="3" width="24.5703125" customWidth="1"/>
    <col min="4" max="4" width="4.42578125" customWidth="1"/>
    <col min="5" max="5" width="18.85546875" customWidth="1"/>
    <col min="6" max="6" width="4" style="46" customWidth="1"/>
    <col min="7" max="7" width="19" customWidth="1"/>
    <col min="8" max="8" width="14" style="46" customWidth="1"/>
    <col min="9" max="9" width="4.140625" style="143" customWidth="1"/>
    <col min="10" max="10" width="12.5703125" bestFit="1" customWidth="1"/>
  </cols>
  <sheetData>
    <row r="1" spans="1:9" s="1" customFormat="1" ht="15.75" x14ac:dyDescent="0.25">
      <c r="A1" s="151"/>
      <c r="B1" s="272" t="s">
        <v>0</v>
      </c>
      <c r="C1" s="272"/>
      <c r="D1" s="272"/>
      <c r="E1" s="272"/>
      <c r="F1" s="272"/>
      <c r="G1" s="272"/>
      <c r="H1" s="272"/>
      <c r="I1" s="30"/>
    </row>
    <row r="2" spans="1:9" s="1" customFormat="1" ht="15.75" customHeight="1" x14ac:dyDescent="0.25">
      <c r="A2" s="2"/>
      <c r="B2" s="263" t="s">
        <v>1</v>
      </c>
      <c r="C2" s="263"/>
      <c r="D2" s="263"/>
      <c r="E2" s="263"/>
      <c r="F2" s="263"/>
      <c r="G2" s="263"/>
      <c r="H2" s="263"/>
      <c r="I2" s="5"/>
    </row>
    <row r="3" spans="1:9" s="1" customFormat="1" ht="20.25" customHeight="1" x14ac:dyDescent="0.25">
      <c r="A3" s="98"/>
      <c r="B3" s="263" t="s">
        <v>2</v>
      </c>
      <c r="C3" s="263"/>
      <c r="D3" s="263"/>
      <c r="E3" s="263"/>
      <c r="F3" s="263"/>
      <c r="G3" s="263"/>
      <c r="H3" s="263"/>
      <c r="I3" s="5"/>
    </row>
    <row r="4" spans="1:9" s="1" customFormat="1" ht="15.75" customHeight="1" x14ac:dyDescent="0.25">
      <c r="A4" s="152"/>
      <c r="B4" s="263" t="s">
        <v>28</v>
      </c>
      <c r="C4" s="263"/>
      <c r="D4" s="263"/>
      <c r="E4" s="263"/>
      <c r="F4" s="263"/>
      <c r="G4" s="263"/>
      <c r="H4" s="263"/>
      <c r="I4" s="5"/>
    </row>
    <row r="5" spans="1:9" s="1" customFormat="1" ht="78" customHeight="1" thickBot="1" x14ac:dyDescent="0.3">
      <c r="A5" s="3"/>
      <c r="B5" s="264" t="s">
        <v>29</v>
      </c>
      <c r="C5" s="264"/>
      <c r="D5" s="264"/>
      <c r="E5" s="264"/>
      <c r="F5" s="264"/>
      <c r="G5" s="264"/>
      <c r="H5" s="264"/>
      <c r="I5" s="5"/>
    </row>
    <row r="6" spans="1:9" s="1" customFormat="1" ht="14.25" thickBot="1" x14ac:dyDescent="0.3">
      <c r="A6" s="3"/>
      <c r="B6" s="6" t="s">
        <v>3</v>
      </c>
      <c r="C6" s="273" t="s">
        <v>44</v>
      </c>
      <c r="D6" s="273"/>
      <c r="E6" s="273"/>
      <c r="F6" s="273"/>
      <c r="G6" s="273"/>
      <c r="H6" s="274"/>
      <c r="I6" s="5"/>
    </row>
    <row r="7" spans="1:9" s="1" customFormat="1" ht="15.75" customHeight="1" thickBot="1" x14ac:dyDescent="0.3">
      <c r="A7" s="3"/>
      <c r="B7" s="26" t="s">
        <v>37</v>
      </c>
      <c r="C7" s="273">
        <v>41</v>
      </c>
      <c r="D7" s="273"/>
      <c r="E7" s="273"/>
      <c r="F7" s="273"/>
      <c r="G7" s="273"/>
      <c r="H7" s="274"/>
      <c r="I7" s="5"/>
    </row>
    <row r="8" spans="1:9" s="1" customFormat="1" ht="26.25" customHeight="1" x14ac:dyDescent="0.25">
      <c r="A8" s="3"/>
      <c r="B8" s="130" t="s">
        <v>23</v>
      </c>
      <c r="C8" s="278" t="s">
        <v>24</v>
      </c>
      <c r="D8" s="278"/>
      <c r="E8" s="278"/>
      <c r="F8" s="140"/>
      <c r="G8" s="278" t="s">
        <v>25</v>
      </c>
      <c r="H8" s="279"/>
      <c r="I8" s="5"/>
    </row>
    <row r="9" spans="1:9" s="1" customFormat="1" ht="13.5" x14ac:dyDescent="0.25">
      <c r="A9" s="3"/>
      <c r="B9" s="133"/>
      <c r="C9" s="135"/>
      <c r="D9" s="135"/>
      <c r="E9" s="135"/>
      <c r="F9" s="203"/>
      <c r="G9" s="135"/>
      <c r="H9" s="99"/>
      <c r="I9" s="5"/>
    </row>
    <row r="10" spans="1:9" s="20" customFormat="1" ht="13.5" x14ac:dyDescent="0.25">
      <c r="A10" s="3"/>
      <c r="B10" s="160">
        <v>6</v>
      </c>
      <c r="C10" s="271" t="s">
        <v>35</v>
      </c>
      <c r="D10" s="271"/>
      <c r="E10" s="271"/>
      <c r="F10" s="171"/>
      <c r="G10" s="280">
        <v>2130046620</v>
      </c>
      <c r="H10" s="281"/>
      <c r="I10" s="5"/>
    </row>
    <row r="11" spans="1:9" s="1" customFormat="1" ht="14.25" thickBot="1" x14ac:dyDescent="0.3">
      <c r="A11" s="3"/>
      <c r="B11" s="148"/>
      <c r="C11" s="149"/>
      <c r="D11" s="149"/>
      <c r="E11" s="149"/>
      <c r="F11" s="149"/>
      <c r="G11" s="149"/>
      <c r="H11" s="150"/>
      <c r="I11" s="5"/>
    </row>
    <row r="12" spans="1:9" s="1" customFormat="1" ht="15.75" customHeight="1" thickBot="1" x14ac:dyDescent="0.3">
      <c r="A12" s="3"/>
      <c r="B12" s="6" t="s">
        <v>4</v>
      </c>
      <c r="C12" s="54"/>
      <c r="D12" s="161"/>
      <c r="E12" s="161"/>
      <c r="F12" s="161"/>
      <c r="G12" s="282">
        <f>+SUM(G10:H10)</f>
        <v>2130046620</v>
      </c>
      <c r="H12" s="283"/>
      <c r="I12" s="5"/>
    </row>
    <row r="13" spans="1:9" s="1" customFormat="1" ht="15.75" customHeight="1" thickBot="1" x14ac:dyDescent="0.3">
      <c r="A13" s="3"/>
      <c r="B13" s="31" t="s">
        <v>5</v>
      </c>
      <c r="D13" s="162"/>
      <c r="E13" s="162"/>
      <c r="F13" s="162"/>
      <c r="G13" s="284">
        <f>ROUND(G12/616000,0)</f>
        <v>3458</v>
      </c>
      <c r="H13" s="285"/>
      <c r="I13" s="5"/>
    </row>
    <row r="14" spans="1:9" s="1" customFormat="1" ht="13.5" x14ac:dyDescent="0.25">
      <c r="A14" s="3"/>
      <c r="B14" s="136"/>
      <c r="C14" s="64"/>
      <c r="D14" s="65"/>
      <c r="E14" s="69"/>
      <c r="F14" s="29"/>
      <c r="G14" s="69"/>
      <c r="H14" s="29"/>
      <c r="I14" s="5"/>
    </row>
    <row r="15" spans="1:9" s="4" customFormat="1" ht="13.5" x14ac:dyDescent="0.25">
      <c r="A15" s="3"/>
      <c r="B15" s="18"/>
      <c r="C15" s="19"/>
      <c r="D15" s="56"/>
      <c r="I15" s="5"/>
    </row>
    <row r="16" spans="1:9" s="4" customFormat="1" ht="14.25" thickBot="1" x14ac:dyDescent="0.3">
      <c r="A16" s="3"/>
      <c r="B16" s="18" t="s">
        <v>19</v>
      </c>
      <c r="C16" s="19"/>
      <c r="D16" s="56"/>
      <c r="I16" s="5"/>
    </row>
    <row r="17" spans="1:9" s="4" customFormat="1" ht="13.5" x14ac:dyDescent="0.25">
      <c r="A17" s="3"/>
      <c r="B17" s="16" t="s">
        <v>13</v>
      </c>
      <c r="C17" s="67">
        <f>+IF($G$13&gt;$B$51,$D$51,IF(AND($G$13&gt;=$B$50,$G$13&lt;=$C$50),$D$50,IF(AND($G$13&gt;=$B$48,$G$13&lt;=$C$49),$D$48,IF(AND($G$13&gt;=$B$46,$G$13&lt;=$C$47),$D$46,IF(AND($G$13&gt;$B$44,$G$13&lt;=$C$45),$D$44)))))</f>
        <v>1</v>
      </c>
      <c r="D17" s="56"/>
      <c r="I17" s="5"/>
    </row>
    <row r="18" spans="1:9" s="4" customFormat="1" ht="14.25" thickBot="1" x14ac:dyDescent="0.3">
      <c r="A18" s="3"/>
      <c r="B18" s="17" t="s">
        <v>14</v>
      </c>
      <c r="C18" s="68">
        <f>+IF($G$13&gt;$B$51,$F$51,IF(AND($G$13&gt;=$B$49,$G$13&lt;=$C$50),$F$49,IF(AND($G$13&gt;=$B$47,$G$13&lt;=$C$48),$F$47,IF(AND($G$13&gt;=$B$45,$G$13&lt;=$C$46),$F$45,IF(AND($G$13&gt;$B$44,$G$13&lt;=$C$44),$F$44)))))</f>
        <v>0.68</v>
      </c>
      <c r="D18" s="56"/>
      <c r="I18" s="5"/>
    </row>
    <row r="19" spans="1:9" s="4" customFormat="1" ht="14.25" thickBot="1" x14ac:dyDescent="0.3">
      <c r="A19" s="3"/>
      <c r="B19" s="137"/>
      <c r="C19" s="32"/>
      <c r="D19" s="33"/>
      <c r="E19" s="25"/>
      <c r="F19" s="25"/>
      <c r="G19" s="25"/>
      <c r="H19" s="25"/>
      <c r="I19" s="5"/>
    </row>
    <row r="20" spans="1:9" s="22" customFormat="1" ht="42.75" customHeight="1" thickBot="1" x14ac:dyDescent="0.3">
      <c r="A20" s="3"/>
      <c r="B20" s="6" t="s">
        <v>18</v>
      </c>
      <c r="C20" s="59" t="s">
        <v>45</v>
      </c>
      <c r="D20" s="7"/>
      <c r="E20" s="159" t="s">
        <v>46</v>
      </c>
      <c r="F20" s="60"/>
      <c r="G20" s="159" t="s">
        <v>44</v>
      </c>
      <c r="H20" s="35"/>
      <c r="I20" s="5"/>
    </row>
    <row r="21" spans="1:9" s="22" customFormat="1" ht="13.5" customHeight="1" thickBot="1" x14ac:dyDescent="0.3">
      <c r="A21" s="3"/>
      <c r="B21" s="6" t="s">
        <v>31</v>
      </c>
      <c r="C21" s="59">
        <v>802022940</v>
      </c>
      <c r="D21" s="7"/>
      <c r="E21" s="157">
        <v>800220054</v>
      </c>
      <c r="F21" s="158"/>
      <c r="G21" s="157"/>
      <c r="H21" s="35"/>
      <c r="I21" s="5"/>
    </row>
    <row r="22" spans="1:9" s="22" customFormat="1" ht="14.25" thickBot="1" x14ac:dyDescent="0.3">
      <c r="A22" s="3"/>
      <c r="B22" s="138"/>
      <c r="C22" s="9"/>
      <c r="D22" s="9"/>
      <c r="E22" s="4"/>
      <c r="F22" s="4"/>
      <c r="G22" s="4"/>
      <c r="H22" s="4"/>
      <c r="I22" s="5"/>
    </row>
    <row r="23" spans="1:9" s="1" customFormat="1" ht="13.5" x14ac:dyDescent="0.25">
      <c r="A23" s="3"/>
      <c r="B23" s="10" t="s">
        <v>7</v>
      </c>
      <c r="C23" s="11">
        <v>1141603756</v>
      </c>
      <c r="D23" s="37"/>
      <c r="E23" s="11">
        <v>352737532</v>
      </c>
      <c r="F23" s="91"/>
      <c r="G23" s="11">
        <f>+E23+C23</f>
        <v>1494341288</v>
      </c>
      <c r="H23" s="30"/>
      <c r="I23" s="5"/>
    </row>
    <row r="24" spans="1:9" s="1" customFormat="1" ht="13.5" x14ac:dyDescent="0.25">
      <c r="A24" s="3"/>
      <c r="B24" s="12" t="s">
        <v>8</v>
      </c>
      <c r="C24" s="13">
        <v>1341800041.96</v>
      </c>
      <c r="D24" s="38"/>
      <c r="E24" s="13">
        <v>557536274</v>
      </c>
      <c r="F24" s="19"/>
      <c r="G24" s="13">
        <f t="shared" ref="G24:G26" si="0">+E24+C24</f>
        <v>1899336315.96</v>
      </c>
      <c r="H24" s="5"/>
      <c r="I24" s="5"/>
    </row>
    <row r="25" spans="1:9" s="1" customFormat="1" ht="13.5" x14ac:dyDescent="0.25">
      <c r="A25" s="3"/>
      <c r="B25" s="12" t="s">
        <v>9</v>
      </c>
      <c r="C25" s="13">
        <v>90901696</v>
      </c>
      <c r="D25" s="38"/>
      <c r="E25" s="13">
        <v>49807531</v>
      </c>
      <c r="F25" s="19"/>
      <c r="G25" s="13">
        <f t="shared" si="0"/>
        <v>140709227</v>
      </c>
      <c r="H25" s="5"/>
      <c r="I25" s="5"/>
    </row>
    <row r="26" spans="1:9" s="1" customFormat="1" ht="14.25" thickBot="1" x14ac:dyDescent="0.3">
      <c r="A26" s="3"/>
      <c r="B26" s="14" t="s">
        <v>10</v>
      </c>
      <c r="C26" s="13">
        <v>90901696</v>
      </c>
      <c r="D26" s="50"/>
      <c r="E26" s="15">
        <v>141943338</v>
      </c>
      <c r="F26" s="92"/>
      <c r="G26" s="15">
        <f t="shared" si="0"/>
        <v>232845034</v>
      </c>
      <c r="H26" s="21"/>
      <c r="I26" s="5"/>
    </row>
    <row r="27" spans="1:9" s="1" customFormat="1" ht="14.25" thickBot="1" x14ac:dyDescent="0.3">
      <c r="A27" s="3"/>
      <c r="B27" s="275" t="s">
        <v>11</v>
      </c>
      <c r="C27" s="276"/>
      <c r="D27" s="276"/>
      <c r="E27" s="276"/>
      <c r="F27" s="276"/>
      <c r="G27" s="276"/>
      <c r="H27" s="277"/>
      <c r="I27" s="5"/>
    </row>
    <row r="28" spans="1:9" s="1" customFormat="1" ht="14.25" thickBot="1" x14ac:dyDescent="0.3">
      <c r="A28" s="3"/>
      <c r="B28" s="275" t="s">
        <v>12</v>
      </c>
      <c r="C28" s="276"/>
      <c r="D28" s="276"/>
      <c r="E28" s="276"/>
      <c r="F28" s="276"/>
      <c r="G28" s="276"/>
      <c r="H28" s="277"/>
      <c r="I28" s="5"/>
    </row>
    <row r="29" spans="1:9" s="1" customFormat="1" ht="13.5" x14ac:dyDescent="0.25">
      <c r="A29" s="3"/>
      <c r="B29" s="16" t="s">
        <v>13</v>
      </c>
      <c r="C29" s="124">
        <f>+IFERROR(C23/C25,"INDETERMINADO")</f>
        <v>12.55866288787395</v>
      </c>
      <c r="D29" s="125"/>
      <c r="E29" s="124">
        <f>+IFERROR(E23/E25,"INDETERMINADO")</f>
        <v>7.082011995334601</v>
      </c>
      <c r="F29" s="58"/>
      <c r="G29" s="124">
        <f>+IFERROR(G23/G25,"INDETERMINADO")</f>
        <v>10.620066074273865</v>
      </c>
      <c r="H29" s="40" t="str">
        <f>+IF(G29&gt;=$C$17,"CUMPLE","NO CUMPLE")</f>
        <v>CUMPLE</v>
      </c>
      <c r="I29" s="5"/>
    </row>
    <row r="30" spans="1:9" s="1" customFormat="1" ht="14.25" thickBot="1" x14ac:dyDescent="0.3">
      <c r="A30" s="3"/>
      <c r="B30" s="17" t="s">
        <v>14</v>
      </c>
      <c r="C30" s="41">
        <f>+C26/C24</f>
        <v>6.7746082245770153E-2</v>
      </c>
      <c r="D30" s="42"/>
      <c r="E30" s="41">
        <f>+E26/E24</f>
        <v>0.25459031926593534</v>
      </c>
      <c r="F30" s="43"/>
      <c r="G30" s="41">
        <f>+G26/G24</f>
        <v>0.122592840479813</v>
      </c>
      <c r="H30" s="44" t="str">
        <f>+IF(G30&lt;=$C$18,"CUMPLE","NO CUMPLE")</f>
        <v>CUMPLE</v>
      </c>
      <c r="I30" s="5"/>
    </row>
    <row r="31" spans="1:9" s="20" customFormat="1" ht="14.25" thickBot="1" x14ac:dyDescent="0.3">
      <c r="A31" s="3"/>
      <c r="B31" s="139"/>
      <c r="C31" s="18"/>
      <c r="D31" s="19"/>
      <c r="F31" s="4"/>
      <c r="H31" s="4"/>
      <c r="I31" s="5"/>
    </row>
    <row r="32" spans="1:9" s="1" customFormat="1" ht="20.25" customHeight="1" thickBot="1" x14ac:dyDescent="0.3">
      <c r="A32" s="3"/>
      <c r="B32" s="6" t="s">
        <v>15</v>
      </c>
      <c r="C32" s="267" t="s">
        <v>36</v>
      </c>
      <c r="D32" s="267"/>
      <c r="E32" s="267"/>
      <c r="F32" s="267"/>
      <c r="G32" s="267"/>
      <c r="H32" s="268"/>
      <c r="I32" s="5"/>
    </row>
    <row r="33" spans="1:10" s="4" customFormat="1" ht="14.25" thickBot="1" x14ac:dyDescent="0.3">
      <c r="A33" s="3"/>
      <c r="B33" s="45"/>
      <c r="C33" s="45"/>
      <c r="D33" s="45"/>
      <c r="I33" s="5"/>
    </row>
    <row r="34" spans="1:10" s="46" customFormat="1" ht="36.75" customHeight="1" thickBot="1" x14ac:dyDescent="0.3">
      <c r="A34" s="153"/>
      <c r="B34" s="79" t="s">
        <v>26</v>
      </c>
      <c r="C34" s="269"/>
      <c r="D34" s="269"/>
      <c r="E34" s="269"/>
      <c r="F34" s="269"/>
      <c r="G34" s="269"/>
      <c r="H34" s="270"/>
      <c r="I34" s="5"/>
    </row>
    <row r="35" spans="1:10" s="46" customFormat="1" ht="15.75" thickBot="1" x14ac:dyDescent="0.3">
      <c r="A35" s="154"/>
      <c r="B35" s="155"/>
      <c r="C35" s="155"/>
      <c r="D35" s="25"/>
      <c r="E35" s="25"/>
      <c r="F35" s="25"/>
      <c r="G35" s="25"/>
      <c r="H35" s="156"/>
      <c r="I35" s="21"/>
    </row>
    <row r="36" spans="1:10" x14ac:dyDescent="0.25">
      <c r="D36" s="22"/>
      <c r="E36" s="22"/>
      <c r="F36" s="22"/>
      <c r="G36" s="22"/>
      <c r="H36" s="23"/>
      <c r="I36" s="4"/>
    </row>
    <row r="37" spans="1:10" x14ac:dyDescent="0.25">
      <c r="D37" s="22"/>
      <c r="E37" s="22"/>
      <c r="F37" s="22"/>
      <c r="G37" s="22"/>
      <c r="H37" s="23"/>
      <c r="I37" s="4"/>
    </row>
    <row r="38" spans="1:10" x14ac:dyDescent="0.25">
      <c r="D38" s="22"/>
      <c r="E38" s="22"/>
      <c r="F38" s="22"/>
      <c r="G38" s="22"/>
      <c r="H38" s="23"/>
      <c r="I38" s="4"/>
    </row>
    <row r="39" spans="1:10" x14ac:dyDescent="0.25">
      <c r="D39" s="22"/>
      <c r="E39" s="22"/>
      <c r="F39" s="22"/>
      <c r="G39" s="22"/>
      <c r="H39" s="23"/>
      <c r="I39" s="4"/>
    </row>
    <row r="40" spans="1:10" x14ac:dyDescent="0.25">
      <c r="D40" s="22"/>
      <c r="E40" s="22"/>
      <c r="F40" s="22"/>
      <c r="G40" s="22"/>
      <c r="H40" s="23"/>
      <c r="I40" s="4"/>
    </row>
    <row r="41" spans="1:10" x14ac:dyDescent="0.25">
      <c r="D41" s="22"/>
      <c r="E41" s="22"/>
      <c r="F41" s="22"/>
      <c r="G41" s="22"/>
      <c r="H41" s="22"/>
      <c r="I41" s="4"/>
    </row>
    <row r="42" spans="1:10" x14ac:dyDescent="0.25">
      <c r="B42" s="24">
        <v>616000</v>
      </c>
      <c r="D42" s="22"/>
      <c r="E42" s="22"/>
      <c r="F42" s="22"/>
      <c r="G42" s="22"/>
      <c r="H42" s="22"/>
      <c r="I42" s="4"/>
    </row>
    <row r="43" spans="1:10" x14ac:dyDescent="0.25">
      <c r="B43" s="141" t="s">
        <v>21</v>
      </c>
      <c r="C43" s="66" t="s">
        <v>20</v>
      </c>
      <c r="D43" s="265" t="s">
        <v>16</v>
      </c>
      <c r="E43" s="265"/>
      <c r="F43" s="265" t="s">
        <v>17</v>
      </c>
      <c r="G43" s="265"/>
    </row>
    <row r="44" spans="1:10" x14ac:dyDescent="0.25">
      <c r="B44" s="142">
        <v>0</v>
      </c>
      <c r="C44" s="55">
        <v>250</v>
      </c>
      <c r="D44" s="266">
        <v>0.8</v>
      </c>
      <c r="E44" s="266"/>
      <c r="F44" s="262">
        <v>0.8</v>
      </c>
      <c r="G44" s="262"/>
      <c r="H44" s="145"/>
      <c r="J44" s="147">
        <f t="shared" ref="J44:J51" si="1">+C44*$B$42</f>
        <v>154000000</v>
      </c>
    </row>
    <row r="45" spans="1:10" x14ac:dyDescent="0.25">
      <c r="B45" s="142">
        <v>251</v>
      </c>
      <c r="C45" s="55">
        <v>1000</v>
      </c>
      <c r="D45" s="266">
        <v>0.8</v>
      </c>
      <c r="E45" s="266"/>
      <c r="F45" s="262">
        <v>0.75</v>
      </c>
      <c r="G45" s="262"/>
      <c r="H45" s="146">
        <f t="shared" ref="H45:H51" si="2">+B45*$B$42</f>
        <v>154616000</v>
      </c>
      <c r="J45" s="147">
        <f t="shared" si="1"/>
        <v>616000000</v>
      </c>
    </row>
    <row r="46" spans="1:10" x14ac:dyDescent="0.25">
      <c r="B46" s="142">
        <v>1001</v>
      </c>
      <c r="C46" s="55">
        <v>1500</v>
      </c>
      <c r="D46" s="266">
        <v>0.9</v>
      </c>
      <c r="E46" s="266"/>
      <c r="F46" s="262">
        <v>0.75</v>
      </c>
      <c r="G46" s="262"/>
      <c r="H46" s="146">
        <f t="shared" si="2"/>
        <v>616616000</v>
      </c>
      <c r="J46" s="147">
        <f t="shared" si="1"/>
        <v>924000000</v>
      </c>
    </row>
    <row r="47" spans="1:10" x14ac:dyDescent="0.25">
      <c r="B47" s="142">
        <v>1501</v>
      </c>
      <c r="C47" s="55">
        <v>2500</v>
      </c>
      <c r="D47" s="266">
        <v>0.9</v>
      </c>
      <c r="E47" s="266"/>
      <c r="F47" s="262">
        <v>0.7</v>
      </c>
      <c r="G47" s="262"/>
      <c r="H47" s="146">
        <f t="shared" si="2"/>
        <v>924616000</v>
      </c>
      <c r="J47" s="147">
        <f t="shared" si="1"/>
        <v>1540000000</v>
      </c>
    </row>
    <row r="48" spans="1:10" x14ac:dyDescent="0.25">
      <c r="B48" s="142">
        <v>2501</v>
      </c>
      <c r="C48" s="55">
        <v>3000</v>
      </c>
      <c r="D48" s="266">
        <v>1</v>
      </c>
      <c r="E48" s="266"/>
      <c r="F48" s="262">
        <v>0.7</v>
      </c>
      <c r="G48" s="262"/>
      <c r="H48" s="146">
        <f t="shared" si="2"/>
        <v>1540616000</v>
      </c>
      <c r="J48" s="147">
        <f t="shared" si="1"/>
        <v>1848000000</v>
      </c>
    </row>
    <row r="49" spans="2:10" x14ac:dyDescent="0.25">
      <c r="B49" s="142">
        <v>3001</v>
      </c>
      <c r="C49" s="55">
        <v>3500</v>
      </c>
      <c r="D49" s="266">
        <v>1</v>
      </c>
      <c r="E49" s="266"/>
      <c r="F49" s="262">
        <v>0.68</v>
      </c>
      <c r="G49" s="262"/>
      <c r="H49" s="146">
        <f t="shared" si="2"/>
        <v>1848616000</v>
      </c>
      <c r="J49" s="147">
        <f t="shared" si="1"/>
        <v>2156000000</v>
      </c>
    </row>
    <row r="50" spans="2:10" x14ac:dyDescent="0.25">
      <c r="B50" s="142">
        <v>3501</v>
      </c>
      <c r="C50" s="55">
        <v>4500</v>
      </c>
      <c r="D50" s="266">
        <v>1.1000000000000001</v>
      </c>
      <c r="E50" s="266"/>
      <c r="F50" s="262">
        <v>0.68</v>
      </c>
      <c r="G50" s="262"/>
      <c r="H50" s="146">
        <f t="shared" si="2"/>
        <v>2156616000</v>
      </c>
      <c r="J50" s="147">
        <f t="shared" si="1"/>
        <v>2772000000</v>
      </c>
    </row>
    <row r="51" spans="2:10" x14ac:dyDescent="0.25">
      <c r="B51" s="142">
        <v>4501</v>
      </c>
      <c r="C51" s="55"/>
      <c r="D51" s="266">
        <v>1.2</v>
      </c>
      <c r="E51" s="266"/>
      <c r="F51" s="262">
        <v>0.65</v>
      </c>
      <c r="G51" s="262"/>
      <c r="H51" s="146">
        <f t="shared" si="2"/>
        <v>2772616000</v>
      </c>
      <c r="J51" s="147">
        <f t="shared" si="1"/>
        <v>0</v>
      </c>
    </row>
  </sheetData>
  <mergeCells count="35">
    <mergeCell ref="D49:E49"/>
    <mergeCell ref="F49:G49"/>
    <mergeCell ref="D50:E50"/>
    <mergeCell ref="F50:G50"/>
    <mergeCell ref="D51:E51"/>
    <mergeCell ref="F51:G51"/>
    <mergeCell ref="D46:E46"/>
    <mergeCell ref="F46:G46"/>
    <mergeCell ref="D47:E47"/>
    <mergeCell ref="F47:G47"/>
    <mergeCell ref="D48:E48"/>
    <mergeCell ref="F48:G48"/>
    <mergeCell ref="D43:E43"/>
    <mergeCell ref="F43:G43"/>
    <mergeCell ref="D44:E44"/>
    <mergeCell ref="F44:G44"/>
    <mergeCell ref="D45:E45"/>
    <mergeCell ref="F45:G45"/>
    <mergeCell ref="C34:H34"/>
    <mergeCell ref="C7:H7"/>
    <mergeCell ref="C8:E8"/>
    <mergeCell ref="G8:H8"/>
    <mergeCell ref="C10:E10"/>
    <mergeCell ref="G10:H10"/>
    <mergeCell ref="G12:H12"/>
    <mergeCell ref="G13:H13"/>
    <mergeCell ref="B27:H27"/>
    <mergeCell ref="B28:H28"/>
    <mergeCell ref="C32:H32"/>
    <mergeCell ref="C6:H6"/>
    <mergeCell ref="B1:H1"/>
    <mergeCell ref="B2:H2"/>
    <mergeCell ref="B3:H3"/>
    <mergeCell ref="B4:H4"/>
    <mergeCell ref="B5:H5"/>
  </mergeCells>
  <pageMargins left="0.70866141732283472" right="0.70866141732283472" top="0.74803149606299213" bottom="0.74803149606299213" header="0.31496062992125984" footer="0.31496062992125984"/>
  <pageSetup scale="79" orientation="landscape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I52"/>
  <sheetViews>
    <sheetView view="pageBreakPreview" topLeftCell="A7" zoomScale="130" zoomScaleNormal="100" zoomScaleSheetLayoutView="130" workbookViewId="0">
      <selection activeCell="D12" sqref="D12"/>
    </sheetView>
  </sheetViews>
  <sheetFormatPr baseColWidth="10" defaultRowHeight="13.5" x14ac:dyDescent="0.25"/>
  <cols>
    <col min="1" max="1" width="3.140625" style="84" customWidth="1"/>
    <col min="2" max="2" width="31.85546875" style="84" customWidth="1"/>
    <col min="3" max="3" width="27.7109375" style="84" customWidth="1"/>
    <col min="4" max="4" width="21.7109375" style="84" customWidth="1"/>
    <col min="5" max="5" width="3.5703125" style="84" customWidth="1"/>
    <col min="6" max="6" width="16.5703125" style="84" customWidth="1"/>
    <col min="7" max="7" width="3.140625" style="84" customWidth="1"/>
    <col min="8" max="8" width="18.140625" style="84" customWidth="1"/>
    <col min="9" max="9" width="12.7109375" style="84" bestFit="1" customWidth="1"/>
    <col min="10" max="16384" width="11.42578125" style="84"/>
  </cols>
  <sheetData>
    <row r="1" spans="1:5" s="93" customFormat="1" ht="20.25" customHeight="1" x14ac:dyDescent="0.25">
      <c r="A1" s="253" t="s">
        <v>0</v>
      </c>
      <c r="B1" s="254"/>
      <c r="C1" s="254"/>
      <c r="D1" s="254"/>
      <c r="E1" s="255"/>
    </row>
    <row r="2" spans="1:5" s="93" customFormat="1" ht="15.75" customHeight="1" x14ac:dyDescent="0.25">
      <c r="A2" s="196"/>
      <c r="B2" s="256" t="s">
        <v>1</v>
      </c>
      <c r="C2" s="256"/>
      <c r="D2" s="256"/>
      <c r="E2" s="95"/>
    </row>
    <row r="3" spans="1:5" s="93" customFormat="1" ht="15.75" customHeight="1" x14ac:dyDescent="0.25">
      <c r="A3" s="257" t="s">
        <v>27</v>
      </c>
      <c r="B3" s="256"/>
      <c r="C3" s="256"/>
      <c r="D3" s="256"/>
      <c r="E3" s="258"/>
    </row>
    <row r="4" spans="1:5" s="93" customFormat="1" ht="20.25" x14ac:dyDescent="0.3">
      <c r="A4" s="96"/>
      <c r="B4" s="256" t="s">
        <v>2</v>
      </c>
      <c r="C4" s="256"/>
      <c r="D4" s="256"/>
      <c r="E4" s="97"/>
    </row>
    <row r="5" spans="1:5" s="93" customFormat="1" ht="20.25" customHeight="1" x14ac:dyDescent="0.25">
      <c r="A5" s="257" t="s">
        <v>28</v>
      </c>
      <c r="B5" s="256"/>
      <c r="C5" s="256"/>
      <c r="D5" s="256"/>
      <c r="E5" s="258"/>
    </row>
    <row r="6" spans="1:5" s="93" customFormat="1" ht="96" customHeight="1" x14ac:dyDescent="0.25">
      <c r="A6" s="259" t="s">
        <v>29</v>
      </c>
      <c r="B6" s="260"/>
      <c r="C6" s="260"/>
      <c r="D6" s="260"/>
      <c r="E6" s="261"/>
    </row>
    <row r="7" spans="1:5" s="93" customFormat="1" ht="14.25" thickBot="1" x14ac:dyDescent="0.3">
      <c r="A7" s="98"/>
      <c r="B7" s="70"/>
      <c r="C7" s="70"/>
      <c r="D7" s="70"/>
      <c r="E7" s="75"/>
    </row>
    <row r="8" spans="1:5" s="93" customFormat="1" ht="37.5" customHeight="1" thickBot="1" x14ac:dyDescent="0.3">
      <c r="A8" s="98"/>
      <c r="B8" s="72" t="s">
        <v>3</v>
      </c>
      <c r="C8" s="247" t="s">
        <v>164</v>
      </c>
      <c r="D8" s="248"/>
      <c r="E8" s="75"/>
    </row>
    <row r="9" spans="1:5" s="93" customFormat="1" ht="14.25" thickBot="1" x14ac:dyDescent="0.3">
      <c r="A9" s="98"/>
      <c r="B9" s="72" t="s">
        <v>38</v>
      </c>
      <c r="C9" s="247">
        <v>42</v>
      </c>
      <c r="D9" s="248"/>
      <c r="E9" s="75"/>
    </row>
    <row r="10" spans="1:5" s="93" customFormat="1" ht="14.25" thickBot="1" x14ac:dyDescent="0.3">
      <c r="A10" s="98"/>
      <c r="B10" s="79" t="s">
        <v>6</v>
      </c>
      <c r="C10" s="247">
        <v>825002350</v>
      </c>
      <c r="D10" s="248"/>
      <c r="E10" s="75"/>
    </row>
    <row r="11" spans="1:5" s="93" customFormat="1" ht="26.25" customHeight="1" x14ac:dyDescent="0.25">
      <c r="A11" s="98"/>
      <c r="B11" s="130" t="s">
        <v>23</v>
      </c>
      <c r="C11" s="197" t="s">
        <v>24</v>
      </c>
      <c r="D11" s="199" t="s">
        <v>25</v>
      </c>
      <c r="E11" s="75"/>
    </row>
    <row r="12" spans="1:5" s="93" customFormat="1" x14ac:dyDescent="0.25">
      <c r="A12" s="98"/>
      <c r="B12" s="133">
        <v>8</v>
      </c>
      <c r="C12" s="135" t="s">
        <v>235</v>
      </c>
      <c r="D12" s="134">
        <v>3550077700</v>
      </c>
      <c r="E12" s="75"/>
    </row>
    <row r="13" spans="1:5" s="93" customFormat="1" x14ac:dyDescent="0.25">
      <c r="A13" s="98"/>
      <c r="B13" s="133">
        <v>5</v>
      </c>
      <c r="C13" s="135" t="s">
        <v>117</v>
      </c>
      <c r="D13" s="134">
        <v>3278601170</v>
      </c>
      <c r="E13" s="75"/>
    </row>
    <row r="14" spans="1:5" s="93" customFormat="1" x14ac:dyDescent="0.25">
      <c r="A14" s="98"/>
      <c r="B14" s="133" t="s">
        <v>165</v>
      </c>
      <c r="C14" s="135" t="s">
        <v>166</v>
      </c>
      <c r="D14" s="134">
        <v>1718674864</v>
      </c>
      <c r="E14" s="75"/>
    </row>
    <row r="15" spans="1:5" s="93" customFormat="1" x14ac:dyDescent="0.25">
      <c r="A15" s="98"/>
      <c r="B15" s="133">
        <v>1</v>
      </c>
      <c r="C15" s="135" t="s">
        <v>117</v>
      </c>
      <c r="D15" s="134">
        <v>1133936583</v>
      </c>
      <c r="E15" s="75"/>
    </row>
    <row r="16" spans="1:5" s="93" customFormat="1" ht="14.25" thickBot="1" x14ac:dyDescent="0.3">
      <c r="A16" s="98"/>
      <c r="B16" s="74"/>
      <c r="C16" s="135"/>
      <c r="D16" s="99"/>
      <c r="E16" s="75"/>
    </row>
    <row r="17" spans="1:8" s="93" customFormat="1" ht="14.25" thickBot="1" x14ac:dyDescent="0.3">
      <c r="A17" s="98"/>
      <c r="B17" s="72" t="s">
        <v>30</v>
      </c>
      <c r="C17" s="249">
        <f>+SUM(D12:D15)</f>
        <v>9681290317</v>
      </c>
      <c r="D17" s="250"/>
      <c r="E17" s="75"/>
    </row>
    <row r="18" spans="1:8" s="93" customFormat="1" ht="14.25" thickBot="1" x14ac:dyDescent="0.3">
      <c r="A18" s="98"/>
      <c r="B18" s="72" t="s">
        <v>5</v>
      </c>
      <c r="C18" s="302">
        <f>+ROUND(C17/616000,0)</f>
        <v>15716</v>
      </c>
      <c r="D18" s="303"/>
      <c r="E18" s="75"/>
    </row>
    <row r="19" spans="1:8" s="93" customFormat="1" x14ac:dyDescent="0.25">
      <c r="A19" s="98"/>
      <c r="B19" s="70"/>
      <c r="C19" s="70"/>
      <c r="D19" s="99"/>
      <c r="E19" s="75"/>
    </row>
    <row r="20" spans="1:8" s="93" customFormat="1" ht="14.25" thickBot="1" x14ac:dyDescent="0.3">
      <c r="A20" s="98"/>
      <c r="B20" s="100" t="s">
        <v>19</v>
      </c>
      <c r="C20" s="76"/>
      <c r="D20" s="99"/>
      <c r="E20" s="75"/>
    </row>
    <row r="21" spans="1:8" s="93" customFormat="1" x14ac:dyDescent="0.25">
      <c r="A21" s="98"/>
      <c r="B21" s="77" t="s">
        <v>13</v>
      </c>
      <c r="C21" s="85">
        <f>+IF($C$18&gt;$B$52,$D$52,IF(AND($C$18&gt;=$B$51,$C$18&lt;=$C$51),$D$51,IF(AND($C$18&gt;=$B$49,$C$18&lt;=$C$50),$D$49,IF(AND($C$18&gt;=$B$47,$C$18&lt;=$C$48),$D$47,IF(AND($C$18&gt;$B$45,$C$18&lt;=$C$46),$D$45)))))</f>
        <v>1.2</v>
      </c>
      <c r="D21" s="99"/>
      <c r="E21" s="75"/>
    </row>
    <row r="22" spans="1:8" s="93" customFormat="1" ht="14.25" thickBot="1" x14ac:dyDescent="0.3">
      <c r="A22" s="98"/>
      <c r="B22" s="78" t="s">
        <v>14</v>
      </c>
      <c r="C22" s="86">
        <f>+IF($C$18&gt;$B$52,$F$52,IF(AND($C$18&gt;=$B$50,$C$18&lt;=$C$51),$F$50,IF(AND($C$18&gt;=$B$48,$C$18&lt;=$C$49),$F$48,IF(AND($C$18&gt;=$B$46,$C$18&lt;=$C$47),$F$46,IF(AND($C$18&gt;$B$45,$C$18&lt;=$C$45),$F$45)))))</f>
        <v>0.65</v>
      </c>
      <c r="D22" s="99"/>
      <c r="E22" s="75"/>
    </row>
    <row r="23" spans="1:8" s="93" customFormat="1" ht="14.25" thickBot="1" x14ac:dyDescent="0.3">
      <c r="A23" s="98"/>
      <c r="B23" s="101"/>
      <c r="C23" s="102"/>
      <c r="D23" s="103"/>
      <c r="E23" s="75"/>
    </row>
    <row r="24" spans="1:8" s="93" customFormat="1" x14ac:dyDescent="0.25">
      <c r="A24" s="98"/>
      <c r="B24" s="80" t="s">
        <v>7</v>
      </c>
      <c r="C24" s="127">
        <v>978391399</v>
      </c>
      <c r="D24" s="104"/>
      <c r="E24" s="75"/>
    </row>
    <row r="25" spans="1:8" s="93" customFormat="1" x14ac:dyDescent="0.25">
      <c r="A25" s="98"/>
      <c r="B25" s="81" t="s">
        <v>8</v>
      </c>
      <c r="C25" s="129">
        <v>1073849066</v>
      </c>
      <c r="D25" s="105"/>
      <c r="E25" s="75"/>
    </row>
    <row r="26" spans="1:8" s="93" customFormat="1" ht="15" x14ac:dyDescent="0.25">
      <c r="A26" s="98"/>
      <c r="B26" s="81" t="s">
        <v>9</v>
      </c>
      <c r="C26" s="129">
        <v>615546262</v>
      </c>
      <c r="D26" s="105"/>
      <c r="E26" s="75"/>
      <c r="F26" s="106"/>
      <c r="H26" s="239"/>
    </row>
    <row r="27" spans="1:8" s="93" customFormat="1" ht="15.75" thickBot="1" x14ac:dyDescent="0.3">
      <c r="A27" s="98"/>
      <c r="B27" s="81" t="s">
        <v>10</v>
      </c>
      <c r="C27" s="129">
        <v>615546262</v>
      </c>
      <c r="D27" s="105"/>
      <c r="E27" s="75"/>
      <c r="F27" s="106"/>
    </row>
    <row r="28" spans="1:8" s="93" customFormat="1" ht="14.25" thickBot="1" x14ac:dyDescent="0.3">
      <c r="A28" s="98"/>
      <c r="B28" s="241" t="s">
        <v>11</v>
      </c>
      <c r="C28" s="242"/>
      <c r="D28" s="243"/>
      <c r="E28" s="75"/>
    </row>
    <row r="29" spans="1:8" s="93" customFormat="1" ht="14.25" thickBot="1" x14ac:dyDescent="0.3">
      <c r="A29" s="98"/>
      <c r="B29" s="241" t="s">
        <v>12</v>
      </c>
      <c r="C29" s="242"/>
      <c r="D29" s="243"/>
      <c r="E29" s="75"/>
    </row>
    <row r="30" spans="1:8" s="93" customFormat="1" ht="16.5" x14ac:dyDescent="0.3">
      <c r="A30" s="98"/>
      <c r="B30" s="77" t="s">
        <v>13</v>
      </c>
      <c r="C30" s="126">
        <f>+IFERROR(C24/C26,"INDETERMINADO")</f>
        <v>1.5894685085424172</v>
      </c>
      <c r="D30" s="118" t="str">
        <f>+IF(C30&gt;=C21,"CUMPLE","NO CUMPLE")</f>
        <v>CUMPLE</v>
      </c>
      <c r="E30" s="75"/>
    </row>
    <row r="31" spans="1:8" s="93" customFormat="1" ht="17.25" thickBot="1" x14ac:dyDescent="0.35">
      <c r="A31" s="98"/>
      <c r="B31" s="78" t="s">
        <v>14</v>
      </c>
      <c r="C31" s="120">
        <f>+C27/C25</f>
        <v>0.57321487859821818</v>
      </c>
      <c r="D31" s="119" t="str">
        <f>+IF(C31&lt;=C22,"CUMPLE","NO CUMPLE")</f>
        <v>CUMPLE</v>
      </c>
      <c r="E31" s="75"/>
    </row>
    <row r="32" spans="1:8" s="110" customFormat="1" ht="14.25" thickBot="1" x14ac:dyDescent="0.3">
      <c r="A32" s="98"/>
      <c r="B32" s="108"/>
      <c r="C32" s="100"/>
      <c r="D32" s="76"/>
      <c r="E32" s="109"/>
    </row>
    <row r="33" spans="1:9" s="93" customFormat="1" ht="41.25" customHeight="1" thickBot="1" x14ac:dyDescent="0.3">
      <c r="A33" s="98"/>
      <c r="B33" s="72" t="s">
        <v>15</v>
      </c>
      <c r="C33" s="244" t="s">
        <v>167</v>
      </c>
      <c r="D33" s="245"/>
      <c r="E33" s="75"/>
    </row>
    <row r="34" spans="1:9" s="70" customFormat="1" ht="14.25" thickBot="1" x14ac:dyDescent="0.3">
      <c r="A34" s="98"/>
      <c r="B34" s="83"/>
      <c r="C34" s="83"/>
      <c r="D34" s="83"/>
      <c r="E34" s="75"/>
    </row>
    <row r="35" spans="1:9" s="70" customFormat="1" ht="49.5" customHeight="1" thickBot="1" x14ac:dyDescent="0.3">
      <c r="A35" s="98"/>
      <c r="B35" s="72" t="s">
        <v>26</v>
      </c>
      <c r="C35" s="244" t="s">
        <v>226</v>
      </c>
      <c r="D35" s="245"/>
      <c r="E35" s="75"/>
    </row>
    <row r="36" spans="1:9" s="70" customFormat="1" ht="14.25" thickBot="1" x14ac:dyDescent="0.3">
      <c r="A36" s="111"/>
      <c r="B36" s="112"/>
      <c r="C36" s="112"/>
      <c r="D36" s="112"/>
      <c r="E36" s="71"/>
    </row>
    <row r="37" spans="1:9" s="70" customFormat="1" x14ac:dyDescent="0.25">
      <c r="B37" s="83"/>
      <c r="C37" s="83"/>
      <c r="D37" s="83"/>
    </row>
    <row r="38" spans="1:9" s="70" customFormat="1" x14ac:dyDescent="0.25">
      <c r="B38" s="83"/>
      <c r="C38" s="83"/>
      <c r="D38" s="83"/>
    </row>
    <row r="39" spans="1:9" s="70" customFormat="1" x14ac:dyDescent="0.25">
      <c r="B39" s="83"/>
      <c r="C39" s="83"/>
      <c r="D39" s="83"/>
    </row>
    <row r="40" spans="1:9" s="70" customFormat="1" x14ac:dyDescent="0.25">
      <c r="B40" s="83"/>
      <c r="C40" s="83"/>
      <c r="D40" s="83"/>
    </row>
    <row r="42" spans="1:9" x14ac:dyDescent="0.25">
      <c r="B42" s="100"/>
      <c r="C42" s="70"/>
    </row>
    <row r="43" spans="1:9" x14ac:dyDescent="0.25">
      <c r="B43" s="88">
        <v>616000</v>
      </c>
      <c r="C43" s="87"/>
      <c r="D43" s="87"/>
      <c r="E43" s="87"/>
      <c r="F43" s="87"/>
      <c r="G43" s="87"/>
      <c r="H43" s="87"/>
      <c r="I43" s="87"/>
    </row>
    <row r="44" spans="1:9" ht="25.5" x14ac:dyDescent="0.25">
      <c r="B44" s="89" t="s">
        <v>21</v>
      </c>
      <c r="C44" s="89" t="s">
        <v>20</v>
      </c>
      <c r="D44" s="200" t="s">
        <v>16</v>
      </c>
      <c r="E44" s="87"/>
      <c r="F44" s="200" t="s">
        <v>17</v>
      </c>
      <c r="G44" s="87"/>
      <c r="H44" s="246"/>
      <c r="I44" s="246"/>
    </row>
    <row r="45" spans="1:9" x14ac:dyDescent="0.25">
      <c r="B45" s="90">
        <v>0</v>
      </c>
      <c r="C45" s="90">
        <v>250</v>
      </c>
      <c r="D45" s="201">
        <v>0.8</v>
      </c>
      <c r="E45" s="87"/>
      <c r="F45" s="202">
        <v>0.8</v>
      </c>
      <c r="G45" s="87"/>
      <c r="H45" s="116"/>
      <c r="I45" s="117">
        <f t="shared" ref="I45:I52" si="0">+C45*$B$43</f>
        <v>154000000</v>
      </c>
    </row>
    <row r="46" spans="1:9" x14ac:dyDescent="0.25">
      <c r="B46" s="90">
        <v>251</v>
      </c>
      <c r="C46" s="90">
        <v>1000</v>
      </c>
      <c r="D46" s="201">
        <v>0.8</v>
      </c>
      <c r="E46" s="87"/>
      <c r="F46" s="202">
        <v>0.75</v>
      </c>
      <c r="G46" s="87"/>
      <c r="H46" s="117">
        <f t="shared" ref="H46:H52" si="1">+B46*$B$43</f>
        <v>154616000</v>
      </c>
      <c r="I46" s="117">
        <f t="shared" si="0"/>
        <v>616000000</v>
      </c>
    </row>
    <row r="47" spans="1:9" x14ac:dyDescent="0.25">
      <c r="B47" s="90">
        <v>1001</v>
      </c>
      <c r="C47" s="90">
        <v>1500</v>
      </c>
      <c r="D47" s="201">
        <v>0.9</v>
      </c>
      <c r="E47" s="87"/>
      <c r="F47" s="202">
        <v>0.75</v>
      </c>
      <c r="G47" s="87"/>
      <c r="H47" s="117">
        <f t="shared" si="1"/>
        <v>616616000</v>
      </c>
      <c r="I47" s="117">
        <f t="shared" si="0"/>
        <v>924000000</v>
      </c>
    </row>
    <row r="48" spans="1:9" x14ac:dyDescent="0.25">
      <c r="B48" s="90">
        <v>1501</v>
      </c>
      <c r="C48" s="90">
        <v>2500</v>
      </c>
      <c r="D48" s="201">
        <v>0.9</v>
      </c>
      <c r="E48" s="87"/>
      <c r="F48" s="202">
        <v>0.7</v>
      </c>
      <c r="G48" s="87"/>
      <c r="H48" s="117">
        <f t="shared" si="1"/>
        <v>924616000</v>
      </c>
      <c r="I48" s="117">
        <f t="shared" si="0"/>
        <v>1540000000</v>
      </c>
    </row>
    <row r="49" spans="1:9" x14ac:dyDescent="0.25">
      <c r="B49" s="90">
        <v>2501</v>
      </c>
      <c r="C49" s="90">
        <v>3000</v>
      </c>
      <c r="D49" s="201">
        <v>1</v>
      </c>
      <c r="E49" s="87"/>
      <c r="F49" s="202">
        <v>0.7</v>
      </c>
      <c r="G49" s="87"/>
      <c r="H49" s="117">
        <f t="shared" si="1"/>
        <v>1540616000</v>
      </c>
      <c r="I49" s="117">
        <f t="shared" si="0"/>
        <v>1848000000</v>
      </c>
    </row>
    <row r="50" spans="1:9" x14ac:dyDescent="0.25">
      <c r="B50" s="90">
        <v>3001</v>
      </c>
      <c r="C50" s="90">
        <v>3500</v>
      </c>
      <c r="D50" s="201">
        <v>1</v>
      </c>
      <c r="E50" s="87"/>
      <c r="F50" s="202">
        <v>0.68</v>
      </c>
      <c r="G50" s="87"/>
      <c r="H50" s="117">
        <f t="shared" si="1"/>
        <v>1848616000</v>
      </c>
      <c r="I50" s="117">
        <f t="shared" si="0"/>
        <v>2156000000</v>
      </c>
    </row>
    <row r="51" spans="1:9" x14ac:dyDescent="0.25">
      <c r="B51" s="90">
        <v>3501</v>
      </c>
      <c r="C51" s="90">
        <v>4500</v>
      </c>
      <c r="D51" s="201">
        <v>1.1000000000000001</v>
      </c>
      <c r="E51" s="87"/>
      <c r="F51" s="202">
        <v>0.68</v>
      </c>
      <c r="G51" s="87"/>
      <c r="H51" s="117">
        <f t="shared" si="1"/>
        <v>2156616000</v>
      </c>
      <c r="I51" s="117">
        <f t="shared" si="0"/>
        <v>2772000000</v>
      </c>
    </row>
    <row r="52" spans="1:9" x14ac:dyDescent="0.25">
      <c r="A52" s="84" t="s">
        <v>22</v>
      </c>
      <c r="B52" s="90">
        <v>4501</v>
      </c>
      <c r="C52" s="90"/>
      <c r="D52" s="201">
        <v>1.2</v>
      </c>
      <c r="E52" s="87"/>
      <c r="F52" s="202">
        <v>0.65</v>
      </c>
      <c r="G52" s="87"/>
      <c r="H52" s="117">
        <f t="shared" si="1"/>
        <v>2772616000</v>
      </c>
      <c r="I52" s="117">
        <f t="shared" si="0"/>
        <v>0</v>
      </c>
    </row>
  </sheetData>
  <mergeCells count="16">
    <mergeCell ref="A6:E6"/>
    <mergeCell ref="A1:E1"/>
    <mergeCell ref="B2:D2"/>
    <mergeCell ref="A3:E3"/>
    <mergeCell ref="B4:D4"/>
    <mergeCell ref="A5:E5"/>
    <mergeCell ref="B29:D29"/>
    <mergeCell ref="C33:D33"/>
    <mergeCell ref="C35:D35"/>
    <mergeCell ref="H44:I44"/>
    <mergeCell ref="C8:D8"/>
    <mergeCell ref="C9:D9"/>
    <mergeCell ref="C10:D10"/>
    <mergeCell ref="C17:D17"/>
    <mergeCell ref="C18:D18"/>
    <mergeCell ref="B28:D28"/>
  </mergeCells>
  <pageMargins left="0.7" right="0.7" top="0.75" bottom="0.75" header="0.3" footer="0.3"/>
  <pageSetup scale="98" orientation="portrait" r:id="rId1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0"/>
  <sheetViews>
    <sheetView view="pageBreakPreview" topLeftCell="A4" zoomScale="110" zoomScaleNormal="100" zoomScaleSheetLayoutView="110" workbookViewId="0">
      <selection activeCell="B12" sqref="B12"/>
    </sheetView>
  </sheetViews>
  <sheetFormatPr baseColWidth="10" defaultRowHeight="13.5" x14ac:dyDescent="0.25"/>
  <cols>
    <col min="1" max="1" width="3.140625" style="84" customWidth="1"/>
    <col min="2" max="2" width="33.28515625" style="84" customWidth="1"/>
    <col min="3" max="3" width="27.7109375" style="84" customWidth="1"/>
    <col min="4" max="4" width="21.7109375" style="84" customWidth="1"/>
    <col min="5" max="5" width="3.5703125" style="84" customWidth="1"/>
    <col min="6" max="6" width="16.5703125" style="84" customWidth="1"/>
    <col min="7" max="7" width="3.140625" style="84" customWidth="1"/>
    <col min="8" max="8" width="18.140625" style="84" customWidth="1"/>
    <col min="9" max="9" width="12.7109375" style="84" bestFit="1" customWidth="1"/>
    <col min="10" max="16384" width="11.42578125" style="84"/>
  </cols>
  <sheetData>
    <row r="1" spans="1:5" s="93" customFormat="1" ht="20.25" customHeight="1" x14ac:dyDescent="0.25">
      <c r="A1" s="253" t="s">
        <v>0</v>
      </c>
      <c r="B1" s="254"/>
      <c r="C1" s="254"/>
      <c r="D1" s="254"/>
      <c r="E1" s="255"/>
    </row>
    <row r="2" spans="1:5" s="93" customFormat="1" ht="15.75" customHeight="1" x14ac:dyDescent="0.25">
      <c r="A2" s="172"/>
      <c r="B2" s="256" t="s">
        <v>1</v>
      </c>
      <c r="C2" s="256"/>
      <c r="D2" s="256"/>
      <c r="E2" s="95"/>
    </row>
    <row r="3" spans="1:5" s="93" customFormat="1" ht="15.75" customHeight="1" x14ac:dyDescent="0.25">
      <c r="A3" s="257" t="s">
        <v>27</v>
      </c>
      <c r="B3" s="256"/>
      <c r="C3" s="256"/>
      <c r="D3" s="256"/>
      <c r="E3" s="258"/>
    </row>
    <row r="4" spans="1:5" s="93" customFormat="1" ht="20.25" x14ac:dyDescent="0.3">
      <c r="A4" s="96"/>
      <c r="B4" s="256" t="s">
        <v>2</v>
      </c>
      <c r="C4" s="256"/>
      <c r="D4" s="256"/>
      <c r="E4" s="97"/>
    </row>
    <row r="5" spans="1:5" s="93" customFormat="1" ht="20.25" customHeight="1" x14ac:dyDescent="0.25">
      <c r="A5" s="257" t="s">
        <v>28</v>
      </c>
      <c r="B5" s="256"/>
      <c r="C5" s="256"/>
      <c r="D5" s="256"/>
      <c r="E5" s="258"/>
    </row>
    <row r="6" spans="1:5" s="93" customFormat="1" ht="96" customHeight="1" x14ac:dyDescent="0.25">
      <c r="A6" s="259" t="s">
        <v>29</v>
      </c>
      <c r="B6" s="260"/>
      <c r="C6" s="260"/>
      <c r="D6" s="260"/>
      <c r="E6" s="261"/>
    </row>
    <row r="7" spans="1:5" s="93" customFormat="1" ht="14.25" thickBot="1" x14ac:dyDescent="0.3">
      <c r="A7" s="98"/>
      <c r="B7" s="70"/>
      <c r="C7" s="70"/>
      <c r="D7" s="70"/>
      <c r="E7" s="75"/>
    </row>
    <row r="8" spans="1:5" s="93" customFormat="1" ht="14.25" thickBot="1" x14ac:dyDescent="0.3">
      <c r="A8" s="98"/>
      <c r="B8" s="72" t="s">
        <v>3</v>
      </c>
      <c r="C8" s="247" t="s">
        <v>47</v>
      </c>
      <c r="D8" s="248"/>
      <c r="E8" s="75"/>
    </row>
    <row r="9" spans="1:5" s="93" customFormat="1" ht="14.25" thickBot="1" x14ac:dyDescent="0.3">
      <c r="A9" s="98"/>
      <c r="B9" s="72" t="s">
        <v>38</v>
      </c>
      <c r="C9" s="247">
        <v>43</v>
      </c>
      <c r="D9" s="248"/>
      <c r="E9" s="75"/>
    </row>
    <row r="10" spans="1:5" s="93" customFormat="1" ht="14.25" thickBot="1" x14ac:dyDescent="0.3">
      <c r="A10" s="98"/>
      <c r="B10" s="79" t="s">
        <v>6</v>
      </c>
      <c r="C10" s="247">
        <v>820003363</v>
      </c>
      <c r="D10" s="248"/>
      <c r="E10" s="75"/>
    </row>
    <row r="11" spans="1:5" s="93" customFormat="1" ht="26.25" customHeight="1" x14ac:dyDescent="0.25">
      <c r="A11" s="98"/>
      <c r="B11" s="130" t="s">
        <v>23</v>
      </c>
      <c r="C11" s="169" t="s">
        <v>24</v>
      </c>
      <c r="D11" s="170" t="s">
        <v>25</v>
      </c>
      <c r="E11" s="75"/>
    </row>
    <row r="12" spans="1:5" s="93" customFormat="1" x14ac:dyDescent="0.25">
      <c r="A12" s="98"/>
      <c r="B12" s="133"/>
      <c r="C12" s="135"/>
      <c r="D12" s="99"/>
      <c r="E12" s="75"/>
    </row>
    <row r="13" spans="1:5" s="93" customFormat="1" x14ac:dyDescent="0.25">
      <c r="A13" s="98"/>
      <c r="B13" s="133">
        <v>14</v>
      </c>
      <c r="C13" s="135" t="s">
        <v>48</v>
      </c>
      <c r="D13" s="184">
        <v>5682212601</v>
      </c>
      <c r="E13" s="75"/>
    </row>
    <row r="14" spans="1:5" s="93" customFormat="1" ht="14.25" thickBot="1" x14ac:dyDescent="0.3">
      <c r="A14" s="98"/>
      <c r="B14" s="74"/>
      <c r="C14" s="135"/>
      <c r="D14" s="99"/>
      <c r="E14" s="75"/>
    </row>
    <row r="15" spans="1:5" s="93" customFormat="1" ht="14.25" thickBot="1" x14ac:dyDescent="0.3">
      <c r="A15" s="98"/>
      <c r="B15" s="72" t="s">
        <v>30</v>
      </c>
      <c r="C15" s="249">
        <f>+SUM(D13:D13)</f>
        <v>5682212601</v>
      </c>
      <c r="D15" s="250"/>
      <c r="E15" s="75"/>
    </row>
    <row r="16" spans="1:5" s="93" customFormat="1" ht="14.25" thickBot="1" x14ac:dyDescent="0.3">
      <c r="A16" s="98"/>
      <c r="B16" s="72" t="s">
        <v>5</v>
      </c>
      <c r="C16" s="251">
        <f>+ROUND(C15/616000,0)</f>
        <v>9224</v>
      </c>
      <c r="D16" s="252"/>
      <c r="E16" s="75"/>
    </row>
    <row r="17" spans="1:6" s="93" customFormat="1" x14ac:dyDescent="0.25">
      <c r="A17" s="98"/>
      <c r="B17" s="70"/>
      <c r="C17" s="70"/>
      <c r="D17" s="99"/>
      <c r="E17" s="75"/>
    </row>
    <row r="18" spans="1:6" s="93" customFormat="1" ht="14.25" thickBot="1" x14ac:dyDescent="0.3">
      <c r="A18" s="98"/>
      <c r="B18" s="100" t="s">
        <v>19</v>
      </c>
      <c r="C18" s="76"/>
      <c r="D18" s="99"/>
      <c r="E18" s="75"/>
    </row>
    <row r="19" spans="1:6" s="93" customFormat="1" x14ac:dyDescent="0.25">
      <c r="A19" s="98"/>
      <c r="B19" s="77" t="s">
        <v>13</v>
      </c>
      <c r="C19" s="85">
        <f>+IF($C$16&gt;$B$50,$D$50,IF(AND($C$16&gt;=$B$49,$C$16&lt;=$C$49),$D$49,IF(AND($C$16&gt;=$B$47,$C$16&lt;=$C$48),$D$47,IF(AND($C$16&gt;=$B$45,$C$16&lt;=$C$46),$D$45,IF(AND($C$16&gt;$B$43,$C$16&lt;=$C$44),$D$43)))))</f>
        <v>1.2</v>
      </c>
      <c r="D19" s="99"/>
      <c r="E19" s="75"/>
    </row>
    <row r="20" spans="1:6" s="93" customFormat="1" ht="14.25" thickBot="1" x14ac:dyDescent="0.3">
      <c r="A20" s="98"/>
      <c r="B20" s="78" t="s">
        <v>14</v>
      </c>
      <c r="C20" s="86">
        <f>+IF($C$16&gt;$B$50,$F$50,IF(AND($C$16&gt;=$B$48,$C$16&lt;=$C$49),$F$48,IF(AND($C$16&gt;=$B$46,$C$16&lt;=$C$47),$F$46,IF(AND($C$16&gt;=$B$44,$C$16&lt;=$C$45),$F$44,IF(AND($C$16&gt;$B$43,$C$16&lt;=$C$43),$F$43)))))</f>
        <v>0.65</v>
      </c>
      <c r="D20" s="99"/>
      <c r="E20" s="75"/>
    </row>
    <row r="21" spans="1:6" s="93" customFormat="1" ht="14.25" thickBot="1" x14ac:dyDescent="0.3">
      <c r="A21" s="98"/>
      <c r="B21" s="101"/>
      <c r="C21" s="102"/>
      <c r="D21" s="103"/>
      <c r="E21" s="75"/>
    </row>
    <row r="22" spans="1:6" s="93" customFormat="1" x14ac:dyDescent="0.25">
      <c r="A22" s="98"/>
      <c r="B22" s="80" t="s">
        <v>7</v>
      </c>
      <c r="C22" s="127">
        <v>1644978689</v>
      </c>
      <c r="D22" s="104"/>
      <c r="E22" s="75"/>
    </row>
    <row r="23" spans="1:6" s="93" customFormat="1" x14ac:dyDescent="0.25">
      <c r="A23" s="98"/>
      <c r="B23" s="81" t="s">
        <v>8</v>
      </c>
      <c r="C23" s="129">
        <v>2286482391</v>
      </c>
      <c r="D23" s="105"/>
      <c r="E23" s="75"/>
    </row>
    <row r="24" spans="1:6" s="93" customFormat="1" ht="15" x14ac:dyDescent="0.25">
      <c r="A24" s="98"/>
      <c r="B24" s="81" t="s">
        <v>9</v>
      </c>
      <c r="C24" s="129">
        <v>735215457</v>
      </c>
      <c r="D24" s="105"/>
      <c r="E24" s="75"/>
      <c r="F24" s="106"/>
    </row>
    <row r="25" spans="1:6" s="93" customFormat="1" ht="15.75" thickBot="1" x14ac:dyDescent="0.3">
      <c r="A25" s="98"/>
      <c r="B25" s="82" t="s">
        <v>10</v>
      </c>
      <c r="C25" s="128">
        <v>1470008390</v>
      </c>
      <c r="D25" s="107"/>
      <c r="E25" s="75"/>
      <c r="F25" s="106"/>
    </row>
    <row r="26" spans="1:6" s="93" customFormat="1" ht="14.25" thickBot="1" x14ac:dyDescent="0.3">
      <c r="A26" s="98"/>
      <c r="B26" s="286" t="s">
        <v>11</v>
      </c>
      <c r="C26" s="287"/>
      <c r="D26" s="288"/>
      <c r="E26" s="75"/>
    </row>
    <row r="27" spans="1:6" s="93" customFormat="1" ht="14.25" thickBot="1" x14ac:dyDescent="0.3">
      <c r="A27" s="98"/>
      <c r="B27" s="241" t="s">
        <v>12</v>
      </c>
      <c r="C27" s="242"/>
      <c r="D27" s="243"/>
      <c r="E27" s="75"/>
    </row>
    <row r="28" spans="1:6" s="93" customFormat="1" ht="16.5" x14ac:dyDescent="0.3">
      <c r="A28" s="98"/>
      <c r="B28" s="77" t="s">
        <v>13</v>
      </c>
      <c r="C28" s="126">
        <f>+IFERROR(C22/C24,"INDETERMINADO")</f>
        <v>2.2374103718007117</v>
      </c>
      <c r="D28" s="118" t="str">
        <f>+IF(C28&gt;=C19,"CUMPLE","NO CUMPLE")</f>
        <v>CUMPLE</v>
      </c>
      <c r="E28" s="75"/>
    </row>
    <row r="29" spans="1:6" s="93" customFormat="1" ht="17.25" thickBot="1" x14ac:dyDescent="0.35">
      <c r="A29" s="98"/>
      <c r="B29" s="78" t="s">
        <v>14</v>
      </c>
      <c r="C29" s="120">
        <f>+C25/C23</f>
        <v>0.64291262236972113</v>
      </c>
      <c r="D29" s="119" t="str">
        <f>+IF(C29&lt;=C20,"CUMPLE","NO CUMPLE")</f>
        <v>CUMPLE</v>
      </c>
      <c r="E29" s="75"/>
    </row>
    <row r="30" spans="1:6" s="110" customFormat="1" ht="14.25" thickBot="1" x14ac:dyDescent="0.3">
      <c r="A30" s="98"/>
      <c r="B30" s="108"/>
      <c r="C30" s="100"/>
      <c r="D30" s="76"/>
      <c r="E30" s="109"/>
    </row>
    <row r="31" spans="1:6" s="93" customFormat="1" ht="41.25" customHeight="1" thickBot="1" x14ac:dyDescent="0.3">
      <c r="A31" s="98"/>
      <c r="B31" s="72" t="s">
        <v>15</v>
      </c>
      <c r="C31" s="244" t="s">
        <v>49</v>
      </c>
      <c r="D31" s="245"/>
      <c r="E31" s="75"/>
    </row>
    <row r="32" spans="1:6" s="70" customFormat="1" ht="14.25" thickBot="1" x14ac:dyDescent="0.3">
      <c r="A32" s="98"/>
      <c r="B32" s="83"/>
      <c r="C32" s="83"/>
      <c r="D32" s="83"/>
      <c r="E32" s="75"/>
    </row>
    <row r="33" spans="1:9" s="70" customFormat="1" ht="45.75" customHeight="1" thickBot="1" x14ac:dyDescent="0.3">
      <c r="A33" s="98"/>
      <c r="B33" s="72" t="s">
        <v>26</v>
      </c>
      <c r="C33" s="244"/>
      <c r="D33" s="245"/>
      <c r="E33" s="75"/>
    </row>
    <row r="34" spans="1:9" s="70" customFormat="1" ht="14.25" thickBot="1" x14ac:dyDescent="0.3">
      <c r="A34" s="111"/>
      <c r="B34" s="112"/>
      <c r="C34" s="112"/>
      <c r="D34" s="112"/>
      <c r="E34" s="71"/>
    </row>
    <row r="35" spans="1:9" s="70" customFormat="1" x14ac:dyDescent="0.25">
      <c r="B35" s="83"/>
      <c r="C35" s="83"/>
      <c r="D35" s="83"/>
    </row>
    <row r="36" spans="1:9" s="70" customFormat="1" x14ac:dyDescent="0.25">
      <c r="B36" s="83"/>
      <c r="C36" s="83"/>
      <c r="D36" s="83"/>
    </row>
    <row r="37" spans="1:9" s="70" customFormat="1" x14ac:dyDescent="0.25">
      <c r="B37" s="83"/>
      <c r="C37" s="83"/>
      <c r="D37" s="83"/>
    </row>
    <row r="38" spans="1:9" s="70" customFormat="1" x14ac:dyDescent="0.25">
      <c r="B38" s="83"/>
      <c r="C38" s="83"/>
      <c r="D38" s="83"/>
    </row>
    <row r="40" spans="1:9" x14ac:dyDescent="0.25">
      <c r="B40" s="100"/>
      <c r="C40" s="70"/>
    </row>
    <row r="41" spans="1:9" x14ac:dyDescent="0.25">
      <c r="B41" s="88">
        <v>616000</v>
      </c>
      <c r="C41" s="87"/>
      <c r="D41" s="87"/>
      <c r="E41" s="87"/>
      <c r="F41" s="87"/>
      <c r="G41" s="87"/>
      <c r="H41" s="87"/>
      <c r="I41" s="87"/>
    </row>
    <row r="42" spans="1:9" ht="25.5" x14ac:dyDescent="0.25">
      <c r="B42" s="89" t="s">
        <v>21</v>
      </c>
      <c r="C42" s="89" t="s">
        <v>20</v>
      </c>
      <c r="D42" s="175" t="s">
        <v>16</v>
      </c>
      <c r="E42" s="87"/>
      <c r="F42" s="175" t="s">
        <v>17</v>
      </c>
      <c r="G42" s="87"/>
      <c r="H42" s="246"/>
      <c r="I42" s="246"/>
    </row>
    <row r="43" spans="1:9" x14ac:dyDescent="0.25">
      <c r="B43" s="90">
        <v>0</v>
      </c>
      <c r="C43" s="90">
        <v>250</v>
      </c>
      <c r="D43" s="174">
        <v>0.8</v>
      </c>
      <c r="E43" s="87"/>
      <c r="F43" s="173">
        <v>0.8</v>
      </c>
      <c r="G43" s="87"/>
      <c r="H43" s="116"/>
      <c r="I43" s="117">
        <f t="shared" ref="I43:I50" si="0">+C43*$B$41</f>
        <v>154000000</v>
      </c>
    </row>
    <row r="44" spans="1:9" x14ac:dyDescent="0.25">
      <c r="B44" s="90">
        <v>251</v>
      </c>
      <c r="C44" s="90">
        <v>1000</v>
      </c>
      <c r="D44" s="174">
        <v>0.8</v>
      </c>
      <c r="E44" s="87"/>
      <c r="F44" s="173">
        <v>0.75</v>
      </c>
      <c r="G44" s="87"/>
      <c r="H44" s="117">
        <f t="shared" ref="H44:H50" si="1">+B44*$B$41</f>
        <v>154616000</v>
      </c>
      <c r="I44" s="117">
        <f t="shared" si="0"/>
        <v>616000000</v>
      </c>
    </row>
    <row r="45" spans="1:9" x14ac:dyDescent="0.25">
      <c r="B45" s="90">
        <v>1001</v>
      </c>
      <c r="C45" s="90">
        <v>1500</v>
      </c>
      <c r="D45" s="174">
        <v>0.9</v>
      </c>
      <c r="E45" s="87"/>
      <c r="F45" s="173">
        <v>0.75</v>
      </c>
      <c r="G45" s="87"/>
      <c r="H45" s="117">
        <f t="shared" si="1"/>
        <v>616616000</v>
      </c>
      <c r="I45" s="117">
        <f t="shared" si="0"/>
        <v>924000000</v>
      </c>
    </row>
    <row r="46" spans="1:9" x14ac:dyDescent="0.25">
      <c r="B46" s="90">
        <v>1501</v>
      </c>
      <c r="C46" s="90">
        <v>2500</v>
      </c>
      <c r="D46" s="174">
        <v>0.9</v>
      </c>
      <c r="E46" s="87"/>
      <c r="F46" s="173">
        <v>0.7</v>
      </c>
      <c r="G46" s="87"/>
      <c r="H46" s="117">
        <f t="shared" si="1"/>
        <v>924616000</v>
      </c>
      <c r="I46" s="117">
        <f t="shared" si="0"/>
        <v>1540000000</v>
      </c>
    </row>
    <row r="47" spans="1:9" x14ac:dyDescent="0.25">
      <c r="B47" s="90">
        <v>2501</v>
      </c>
      <c r="C47" s="90">
        <v>3000</v>
      </c>
      <c r="D47" s="174">
        <v>1</v>
      </c>
      <c r="E47" s="87"/>
      <c r="F47" s="173">
        <v>0.7</v>
      </c>
      <c r="G47" s="87"/>
      <c r="H47" s="117">
        <f t="shared" si="1"/>
        <v>1540616000</v>
      </c>
      <c r="I47" s="117">
        <f t="shared" si="0"/>
        <v>1848000000</v>
      </c>
    </row>
    <row r="48" spans="1:9" x14ac:dyDescent="0.25">
      <c r="B48" s="90">
        <v>3001</v>
      </c>
      <c r="C48" s="90">
        <v>3500</v>
      </c>
      <c r="D48" s="174">
        <v>1</v>
      </c>
      <c r="E48" s="87"/>
      <c r="F48" s="173">
        <v>0.68</v>
      </c>
      <c r="G48" s="87"/>
      <c r="H48" s="117">
        <f t="shared" si="1"/>
        <v>1848616000</v>
      </c>
      <c r="I48" s="117">
        <f t="shared" si="0"/>
        <v>2156000000</v>
      </c>
    </row>
    <row r="49" spans="1:9" x14ac:dyDescent="0.25">
      <c r="B49" s="90">
        <v>3501</v>
      </c>
      <c r="C49" s="90">
        <v>4500</v>
      </c>
      <c r="D49" s="174">
        <v>1.1000000000000001</v>
      </c>
      <c r="E49" s="87"/>
      <c r="F49" s="173">
        <v>0.68</v>
      </c>
      <c r="G49" s="87"/>
      <c r="H49" s="117">
        <f t="shared" si="1"/>
        <v>2156616000</v>
      </c>
      <c r="I49" s="117">
        <f t="shared" si="0"/>
        <v>2772000000</v>
      </c>
    </row>
    <row r="50" spans="1:9" x14ac:dyDescent="0.25">
      <c r="A50" s="84" t="s">
        <v>22</v>
      </c>
      <c r="B50" s="90">
        <v>4501</v>
      </c>
      <c r="C50" s="90"/>
      <c r="D50" s="174">
        <v>1.2</v>
      </c>
      <c r="E50" s="87"/>
      <c r="F50" s="173">
        <v>0.65</v>
      </c>
      <c r="G50" s="87"/>
      <c r="H50" s="117">
        <f t="shared" si="1"/>
        <v>2772616000</v>
      </c>
      <c r="I50" s="117">
        <f t="shared" si="0"/>
        <v>0</v>
      </c>
    </row>
  </sheetData>
  <mergeCells count="16">
    <mergeCell ref="B27:D27"/>
    <mergeCell ref="C31:D31"/>
    <mergeCell ref="C33:D33"/>
    <mergeCell ref="H42:I42"/>
    <mergeCell ref="C8:D8"/>
    <mergeCell ref="C9:D9"/>
    <mergeCell ref="C10:D10"/>
    <mergeCell ref="C15:D15"/>
    <mergeCell ref="C16:D16"/>
    <mergeCell ref="B26:D26"/>
    <mergeCell ref="A6:E6"/>
    <mergeCell ref="A1:E1"/>
    <mergeCell ref="B2:D2"/>
    <mergeCell ref="A3:E3"/>
    <mergeCell ref="B4:D4"/>
    <mergeCell ref="A5:E5"/>
  </mergeCells>
  <pageMargins left="0.7" right="0.7" top="0.75" bottom="0.75" header="0.3" footer="0.3"/>
  <pageSetup orientation="portrait" r:id="rId1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view="pageBreakPreview" topLeftCell="A3" zoomScale="110" zoomScaleNormal="100" zoomScaleSheetLayoutView="110" workbookViewId="0">
      <selection activeCell="B3" sqref="B3:H3"/>
    </sheetView>
  </sheetViews>
  <sheetFormatPr baseColWidth="10" defaultRowHeight="15" x14ac:dyDescent="0.25"/>
  <cols>
    <col min="1" max="1" width="2.28515625" style="143" customWidth="1"/>
    <col min="2" max="2" width="31.140625" bestFit="1" customWidth="1"/>
    <col min="3" max="3" width="24.5703125" customWidth="1"/>
    <col min="4" max="4" width="4.42578125" customWidth="1"/>
    <col min="5" max="5" width="18.85546875" customWidth="1"/>
    <col min="6" max="6" width="4" style="46" customWidth="1"/>
    <col min="7" max="7" width="19" customWidth="1"/>
    <col min="8" max="8" width="14" style="46" customWidth="1"/>
    <col min="9" max="9" width="4.140625" style="143" customWidth="1"/>
    <col min="10" max="10" width="12.5703125" bestFit="1" customWidth="1"/>
  </cols>
  <sheetData>
    <row r="1" spans="1:9" s="1" customFormat="1" ht="15.75" x14ac:dyDescent="0.25">
      <c r="A1" s="151"/>
      <c r="B1" s="272" t="s">
        <v>0</v>
      </c>
      <c r="C1" s="272"/>
      <c r="D1" s="272"/>
      <c r="E1" s="272"/>
      <c r="F1" s="272"/>
      <c r="G1" s="272"/>
      <c r="H1" s="272"/>
      <c r="I1" s="30"/>
    </row>
    <row r="2" spans="1:9" s="1" customFormat="1" ht="15.75" customHeight="1" x14ac:dyDescent="0.25">
      <c r="A2" s="2"/>
      <c r="B2" s="263" t="s">
        <v>1</v>
      </c>
      <c r="C2" s="263"/>
      <c r="D2" s="263"/>
      <c r="E2" s="263"/>
      <c r="F2" s="263"/>
      <c r="G2" s="263"/>
      <c r="H2" s="263"/>
      <c r="I2" s="5"/>
    </row>
    <row r="3" spans="1:9" s="1" customFormat="1" ht="20.25" customHeight="1" x14ac:dyDescent="0.25">
      <c r="A3" s="98"/>
      <c r="B3" s="263" t="s">
        <v>2</v>
      </c>
      <c r="C3" s="263"/>
      <c r="D3" s="263"/>
      <c r="E3" s="263"/>
      <c r="F3" s="263"/>
      <c r="G3" s="263"/>
      <c r="H3" s="263"/>
      <c r="I3" s="5"/>
    </row>
    <row r="4" spans="1:9" s="1" customFormat="1" ht="15.75" customHeight="1" x14ac:dyDescent="0.25">
      <c r="A4" s="152"/>
      <c r="B4" s="263" t="s">
        <v>28</v>
      </c>
      <c r="C4" s="263"/>
      <c r="D4" s="263"/>
      <c r="E4" s="263"/>
      <c r="F4" s="263"/>
      <c r="G4" s="263"/>
      <c r="H4" s="263"/>
      <c r="I4" s="5"/>
    </row>
    <row r="5" spans="1:9" s="1" customFormat="1" ht="78" customHeight="1" thickBot="1" x14ac:dyDescent="0.3">
      <c r="A5" s="3"/>
      <c r="B5" s="264" t="s">
        <v>29</v>
      </c>
      <c r="C5" s="264"/>
      <c r="D5" s="264"/>
      <c r="E5" s="264"/>
      <c r="F5" s="264"/>
      <c r="G5" s="264"/>
      <c r="H5" s="264"/>
      <c r="I5" s="5"/>
    </row>
    <row r="6" spans="1:9" s="1" customFormat="1" ht="14.25" thickBot="1" x14ac:dyDescent="0.3">
      <c r="A6" s="3"/>
      <c r="B6" s="6" t="s">
        <v>3</v>
      </c>
      <c r="C6" s="273" t="s">
        <v>85</v>
      </c>
      <c r="D6" s="273"/>
      <c r="E6" s="273"/>
      <c r="F6" s="273"/>
      <c r="G6" s="273"/>
      <c r="H6" s="274"/>
      <c r="I6" s="5"/>
    </row>
    <row r="7" spans="1:9" s="1" customFormat="1" ht="15.75" customHeight="1" thickBot="1" x14ac:dyDescent="0.3">
      <c r="A7" s="3"/>
      <c r="B7" s="26" t="s">
        <v>37</v>
      </c>
      <c r="C7" s="273">
        <v>44</v>
      </c>
      <c r="D7" s="273"/>
      <c r="E7" s="273"/>
      <c r="F7" s="273"/>
      <c r="G7" s="273"/>
      <c r="H7" s="274"/>
      <c r="I7" s="5"/>
    </row>
    <row r="8" spans="1:9" s="1" customFormat="1" ht="26.25" customHeight="1" x14ac:dyDescent="0.25">
      <c r="A8" s="3"/>
      <c r="B8" s="130" t="s">
        <v>23</v>
      </c>
      <c r="C8" s="278" t="s">
        <v>24</v>
      </c>
      <c r="D8" s="278"/>
      <c r="E8" s="278"/>
      <c r="F8" s="140"/>
      <c r="G8" s="278" t="s">
        <v>25</v>
      </c>
      <c r="H8" s="279"/>
      <c r="I8" s="5"/>
    </row>
    <row r="9" spans="1:9" s="1" customFormat="1" ht="13.5" x14ac:dyDescent="0.25">
      <c r="A9" s="3"/>
      <c r="B9" s="133"/>
      <c r="C9" s="135"/>
      <c r="D9" s="135"/>
      <c r="E9" s="135"/>
      <c r="F9" s="203"/>
      <c r="G9" s="135"/>
      <c r="H9" s="99"/>
      <c r="I9" s="5"/>
    </row>
    <row r="10" spans="1:9" s="20" customFormat="1" ht="13.5" x14ac:dyDescent="0.25">
      <c r="A10" s="3"/>
      <c r="B10" s="160">
        <v>6</v>
      </c>
      <c r="C10" s="271" t="s">
        <v>35</v>
      </c>
      <c r="D10" s="271"/>
      <c r="E10" s="271"/>
      <c r="F10" s="198"/>
      <c r="G10" s="280">
        <v>2130046620</v>
      </c>
      <c r="H10" s="281"/>
      <c r="I10" s="5"/>
    </row>
    <row r="11" spans="1:9" s="20" customFormat="1" ht="14.25" thickBot="1" x14ac:dyDescent="0.3">
      <c r="A11" s="3"/>
      <c r="B11" s="160"/>
      <c r="C11" s="271"/>
      <c r="D11" s="271"/>
      <c r="E11" s="271"/>
      <c r="F11" s="198"/>
      <c r="G11" s="280"/>
      <c r="H11" s="281"/>
      <c r="I11" s="5"/>
    </row>
    <row r="12" spans="1:9" s="1" customFormat="1" ht="15.75" customHeight="1" thickBot="1" x14ac:dyDescent="0.3">
      <c r="A12" s="3"/>
      <c r="B12" s="6" t="s">
        <v>4</v>
      </c>
      <c r="C12" s="54"/>
      <c r="D12" s="161"/>
      <c r="E12" s="161"/>
      <c r="F12" s="161"/>
      <c r="G12" s="282">
        <f>+SUM(G10:H11)</f>
        <v>2130046620</v>
      </c>
      <c r="H12" s="283"/>
      <c r="I12" s="5"/>
    </row>
    <row r="13" spans="1:9" s="1" customFormat="1" ht="15.75" customHeight="1" thickBot="1" x14ac:dyDescent="0.3">
      <c r="A13" s="3"/>
      <c r="B13" s="31" t="s">
        <v>5</v>
      </c>
      <c r="D13" s="162"/>
      <c r="E13" s="162"/>
      <c r="F13" s="162"/>
      <c r="G13" s="284">
        <f>ROUND(G12/616000,0)</f>
        <v>3458</v>
      </c>
      <c r="H13" s="285"/>
      <c r="I13" s="5"/>
    </row>
    <row r="14" spans="1:9" s="1" customFormat="1" ht="13.5" x14ac:dyDescent="0.25">
      <c r="A14" s="3"/>
      <c r="B14" s="136"/>
      <c r="C14" s="64"/>
      <c r="D14" s="65"/>
      <c r="E14" s="69"/>
      <c r="F14" s="29"/>
      <c r="G14" s="69"/>
      <c r="H14" s="29"/>
      <c r="I14" s="5"/>
    </row>
    <row r="15" spans="1:9" s="4" customFormat="1" ht="13.5" x14ac:dyDescent="0.25">
      <c r="A15" s="3"/>
      <c r="B15" s="18"/>
      <c r="C15" s="19"/>
      <c r="D15" s="56"/>
      <c r="I15" s="5"/>
    </row>
    <row r="16" spans="1:9" s="4" customFormat="1" ht="14.25" thickBot="1" x14ac:dyDescent="0.3">
      <c r="A16" s="3"/>
      <c r="B16" s="18" t="s">
        <v>19</v>
      </c>
      <c r="C16" s="19"/>
      <c r="D16" s="56"/>
      <c r="I16" s="5"/>
    </row>
    <row r="17" spans="1:9" s="4" customFormat="1" ht="13.5" x14ac:dyDescent="0.25">
      <c r="A17" s="3"/>
      <c r="B17" s="16" t="s">
        <v>13</v>
      </c>
      <c r="C17" s="67">
        <f>+IF($G$13&gt;$B$51,$D$51,IF(AND($G$13&gt;=$B$50,$G$13&lt;=$C$50),$D$50,IF(AND($G$13&gt;=$B$48,$G$13&lt;=$C$49),$D$48,IF(AND($G$13&gt;=$B$46,$G$13&lt;=$C$47),$D$46,IF(AND($G$13&gt;$B$44,$G$13&lt;=$C$45),$D$44)))))</f>
        <v>1</v>
      </c>
      <c r="D17" s="56"/>
      <c r="I17" s="5"/>
    </row>
    <row r="18" spans="1:9" s="4" customFormat="1" ht="14.25" thickBot="1" x14ac:dyDescent="0.3">
      <c r="A18" s="3"/>
      <c r="B18" s="17" t="s">
        <v>14</v>
      </c>
      <c r="C18" s="68">
        <f>+IF($G$13&gt;$B$51,$F$51,IF(AND($G$13&gt;=$B$49,$G$13&lt;=$C$50),$F$49,IF(AND($G$13&gt;=$B$47,$G$13&lt;=$C$48),$F$47,IF(AND($G$13&gt;=$B$45,$G$13&lt;=$C$46),$F$45,IF(AND($G$13&gt;$B$44,$G$13&lt;=$C$44),$F$44)))))</f>
        <v>0.68</v>
      </c>
      <c r="D18" s="56"/>
      <c r="I18" s="5"/>
    </row>
    <row r="19" spans="1:9" s="4" customFormat="1" ht="14.25" thickBot="1" x14ac:dyDescent="0.3">
      <c r="A19" s="3"/>
      <c r="B19" s="137"/>
      <c r="C19" s="32"/>
      <c r="D19" s="33"/>
      <c r="E19" s="25"/>
      <c r="F19" s="25"/>
      <c r="G19" s="25"/>
      <c r="H19" s="25"/>
      <c r="I19" s="5"/>
    </row>
    <row r="20" spans="1:9" s="22" customFormat="1" ht="42.75" customHeight="1" thickBot="1" x14ac:dyDescent="0.3">
      <c r="A20" s="3"/>
      <c r="B20" s="6" t="s">
        <v>18</v>
      </c>
      <c r="C20" s="59" t="s">
        <v>84</v>
      </c>
      <c r="D20" s="7"/>
      <c r="E20" s="159" t="s">
        <v>83</v>
      </c>
      <c r="F20" s="60"/>
      <c r="G20" s="159" t="s">
        <v>85</v>
      </c>
      <c r="H20" s="35"/>
      <c r="I20" s="5"/>
    </row>
    <row r="21" spans="1:9" s="22" customFormat="1" ht="18.75" customHeight="1" thickBot="1" x14ac:dyDescent="0.3">
      <c r="A21" s="3"/>
      <c r="B21" s="6" t="s">
        <v>31</v>
      </c>
      <c r="C21" s="59">
        <v>823001222</v>
      </c>
      <c r="D21" s="7"/>
      <c r="E21" s="157">
        <v>900093454</v>
      </c>
      <c r="F21" s="158"/>
      <c r="G21" s="157"/>
      <c r="H21" s="35"/>
      <c r="I21" s="5"/>
    </row>
    <row r="22" spans="1:9" s="22" customFormat="1" ht="14.25" thickBot="1" x14ac:dyDescent="0.3">
      <c r="A22" s="3"/>
      <c r="B22" s="138"/>
      <c r="C22" s="9"/>
      <c r="D22" s="9"/>
      <c r="E22" s="4"/>
      <c r="F22" s="4"/>
      <c r="G22" s="4"/>
      <c r="H22" s="4"/>
      <c r="I22" s="5"/>
    </row>
    <row r="23" spans="1:9" s="1" customFormat="1" ht="13.5" x14ac:dyDescent="0.25">
      <c r="A23" s="3"/>
      <c r="B23" s="10" t="s">
        <v>7</v>
      </c>
      <c r="C23" s="11">
        <v>986954000</v>
      </c>
      <c r="D23" s="37"/>
      <c r="E23" s="11">
        <v>997875000</v>
      </c>
      <c r="F23" s="91"/>
      <c r="G23" s="11">
        <f>+C23+E23</f>
        <v>1984829000</v>
      </c>
      <c r="H23" s="30"/>
      <c r="I23" s="5"/>
    </row>
    <row r="24" spans="1:9" s="1" customFormat="1" ht="13.5" x14ac:dyDescent="0.25">
      <c r="A24" s="3"/>
      <c r="B24" s="12" t="s">
        <v>8</v>
      </c>
      <c r="C24" s="13">
        <v>1135454000</v>
      </c>
      <c r="D24" s="38"/>
      <c r="E24" s="13">
        <v>1044875000</v>
      </c>
      <c r="F24" s="19"/>
      <c r="G24" s="13">
        <f>+C24+E24</f>
        <v>2180329000</v>
      </c>
      <c r="H24" s="5"/>
      <c r="I24" s="5"/>
    </row>
    <row r="25" spans="1:9" s="1" customFormat="1" ht="13.5" x14ac:dyDescent="0.25">
      <c r="A25" s="3"/>
      <c r="B25" s="12" t="s">
        <v>9</v>
      </c>
      <c r="C25" s="13">
        <v>51703000</v>
      </c>
      <c r="D25" s="38"/>
      <c r="E25" s="13">
        <v>12000000</v>
      </c>
      <c r="F25" s="19"/>
      <c r="G25" s="13">
        <f>+C25+E25</f>
        <v>63703000</v>
      </c>
      <c r="H25" s="5"/>
      <c r="I25" s="5"/>
    </row>
    <row r="26" spans="1:9" s="1" customFormat="1" ht="14.25" thickBot="1" x14ac:dyDescent="0.3">
      <c r="A26" s="3"/>
      <c r="B26" s="14" t="s">
        <v>10</v>
      </c>
      <c r="C26" s="15">
        <v>68703000</v>
      </c>
      <c r="D26" s="50"/>
      <c r="E26" s="15">
        <v>42018000</v>
      </c>
      <c r="F26" s="92"/>
      <c r="G26" s="15">
        <f>+C26+E26</f>
        <v>110721000</v>
      </c>
      <c r="H26" s="21"/>
      <c r="I26" s="5"/>
    </row>
    <row r="27" spans="1:9" s="1" customFormat="1" ht="14.25" thickBot="1" x14ac:dyDescent="0.3">
      <c r="A27" s="3"/>
      <c r="B27" s="293" t="s">
        <v>11</v>
      </c>
      <c r="C27" s="294"/>
      <c r="D27" s="294"/>
      <c r="E27" s="294"/>
      <c r="F27" s="294"/>
      <c r="G27" s="294"/>
      <c r="H27" s="295"/>
      <c r="I27" s="5"/>
    </row>
    <row r="28" spans="1:9" s="1" customFormat="1" ht="14.25" thickBot="1" x14ac:dyDescent="0.3">
      <c r="A28" s="3"/>
      <c r="B28" s="275" t="s">
        <v>12</v>
      </c>
      <c r="C28" s="276"/>
      <c r="D28" s="276"/>
      <c r="E28" s="276"/>
      <c r="F28" s="276"/>
      <c r="G28" s="276"/>
      <c r="H28" s="277"/>
      <c r="I28" s="5"/>
    </row>
    <row r="29" spans="1:9" s="1" customFormat="1" ht="13.5" x14ac:dyDescent="0.25">
      <c r="A29" s="3"/>
      <c r="B29" s="16" t="s">
        <v>13</v>
      </c>
      <c r="C29" s="124">
        <f>+IFERROR(C23/C25,"INDETERMINADO")</f>
        <v>19.088911668568556</v>
      </c>
      <c r="D29" s="125"/>
      <c r="E29" s="124">
        <f>+IFERROR(E23/E25,"INDETERMINADO")</f>
        <v>83.15625</v>
      </c>
      <c r="F29" s="58"/>
      <c r="G29" s="124">
        <f>+IFERROR(G23/G25,"INDETERMINADO")</f>
        <v>31.157543600772335</v>
      </c>
      <c r="H29" s="40" t="str">
        <f>+IF(G29&gt;=C16,"CUMPLE","NO CUMPLE")</f>
        <v>CUMPLE</v>
      </c>
      <c r="I29" s="5"/>
    </row>
    <row r="30" spans="1:9" s="1" customFormat="1" ht="14.25" thickBot="1" x14ac:dyDescent="0.3">
      <c r="A30" s="3"/>
      <c r="B30" s="17" t="s">
        <v>14</v>
      </c>
      <c r="C30" s="41">
        <f>+C26/C24</f>
        <v>6.0507074703158387E-2</v>
      </c>
      <c r="D30" s="42"/>
      <c r="E30" s="41">
        <f>+E26/E24</f>
        <v>4.0213422658212705E-2</v>
      </c>
      <c r="F30" s="43"/>
      <c r="G30" s="41">
        <f>+G26/G24</f>
        <v>5.0781785684637502E-2</v>
      </c>
      <c r="H30" s="44" t="str">
        <f>+IF(G30&lt;=C17,"CUMPLE","NO CUMPLE")</f>
        <v>CUMPLE</v>
      </c>
      <c r="I30" s="5"/>
    </row>
    <row r="31" spans="1:9" s="20" customFormat="1" ht="14.25" thickBot="1" x14ac:dyDescent="0.3">
      <c r="A31" s="3"/>
      <c r="B31" s="139"/>
      <c r="C31" s="18"/>
      <c r="D31" s="19"/>
      <c r="F31" s="4"/>
      <c r="H31" s="4"/>
      <c r="I31" s="5"/>
    </row>
    <row r="32" spans="1:9" s="1" customFormat="1" ht="20.25" customHeight="1" thickBot="1" x14ac:dyDescent="0.3">
      <c r="A32" s="3"/>
      <c r="B32" s="6" t="s">
        <v>15</v>
      </c>
      <c r="C32" s="267" t="s">
        <v>36</v>
      </c>
      <c r="D32" s="267"/>
      <c r="E32" s="267"/>
      <c r="F32" s="267"/>
      <c r="G32" s="267"/>
      <c r="H32" s="268"/>
      <c r="I32" s="5"/>
    </row>
    <row r="33" spans="1:10" s="4" customFormat="1" ht="14.25" thickBot="1" x14ac:dyDescent="0.3">
      <c r="A33" s="3"/>
      <c r="B33" s="45"/>
      <c r="C33" s="45"/>
      <c r="D33" s="45"/>
      <c r="I33" s="5"/>
    </row>
    <row r="34" spans="1:10" s="46" customFormat="1" ht="36.75" customHeight="1" thickBot="1" x14ac:dyDescent="0.3">
      <c r="A34" s="153"/>
      <c r="B34" s="79" t="s">
        <v>26</v>
      </c>
      <c r="C34" s="269"/>
      <c r="D34" s="269"/>
      <c r="E34" s="269"/>
      <c r="F34" s="269"/>
      <c r="G34" s="269"/>
      <c r="H34" s="270"/>
      <c r="I34" s="5"/>
    </row>
    <row r="35" spans="1:10" s="46" customFormat="1" ht="15.75" thickBot="1" x14ac:dyDescent="0.3">
      <c r="A35" s="154"/>
      <c r="B35" s="155"/>
      <c r="C35" s="155"/>
      <c r="D35" s="25"/>
      <c r="E35" s="25"/>
      <c r="F35" s="25"/>
      <c r="G35" s="25"/>
      <c r="H35" s="156"/>
      <c r="I35" s="21"/>
    </row>
    <row r="36" spans="1:10" x14ac:dyDescent="0.25">
      <c r="D36" s="22"/>
      <c r="E36" s="22"/>
      <c r="F36" s="22"/>
      <c r="G36" s="22"/>
      <c r="H36" s="23"/>
      <c r="I36" s="4"/>
    </row>
    <row r="37" spans="1:10" x14ac:dyDescent="0.25">
      <c r="D37" s="22"/>
      <c r="E37" s="22"/>
      <c r="F37" s="22"/>
      <c r="G37" s="22"/>
      <c r="H37" s="23"/>
      <c r="I37" s="4"/>
    </row>
    <row r="38" spans="1:10" x14ac:dyDescent="0.25">
      <c r="D38" s="22"/>
      <c r="E38" s="22"/>
      <c r="F38" s="22"/>
      <c r="G38" s="22"/>
      <c r="H38" s="23"/>
      <c r="I38" s="4"/>
    </row>
    <row r="39" spans="1:10" x14ac:dyDescent="0.25">
      <c r="D39" s="22"/>
      <c r="E39" s="22"/>
      <c r="F39" s="22"/>
      <c r="G39" s="22"/>
      <c r="H39" s="23"/>
      <c r="I39" s="4"/>
    </row>
    <row r="40" spans="1:10" x14ac:dyDescent="0.25">
      <c r="D40" s="22"/>
      <c r="E40" s="22"/>
      <c r="F40" s="22"/>
      <c r="G40" s="22"/>
      <c r="H40" s="23"/>
      <c r="I40" s="4"/>
    </row>
    <row r="41" spans="1:10" x14ac:dyDescent="0.25">
      <c r="D41" s="22"/>
      <c r="E41" s="22"/>
      <c r="F41" s="22"/>
      <c r="G41" s="22"/>
      <c r="H41" s="22"/>
      <c r="I41" s="4"/>
    </row>
    <row r="42" spans="1:10" x14ac:dyDescent="0.25">
      <c r="B42" s="24">
        <v>616000</v>
      </c>
      <c r="D42" s="22"/>
      <c r="E42" s="22"/>
      <c r="F42" s="22"/>
      <c r="G42" s="22"/>
      <c r="H42" s="22"/>
      <c r="I42" s="4"/>
    </row>
    <row r="43" spans="1:10" x14ac:dyDescent="0.25">
      <c r="B43" s="141" t="s">
        <v>21</v>
      </c>
      <c r="C43" s="66" t="s">
        <v>20</v>
      </c>
      <c r="D43" s="265" t="s">
        <v>16</v>
      </c>
      <c r="E43" s="265"/>
      <c r="F43" s="265" t="s">
        <v>17</v>
      </c>
      <c r="G43" s="265"/>
    </row>
    <row r="44" spans="1:10" x14ac:dyDescent="0.25">
      <c r="B44" s="142">
        <v>0</v>
      </c>
      <c r="C44" s="55">
        <v>250</v>
      </c>
      <c r="D44" s="266">
        <v>0.8</v>
      </c>
      <c r="E44" s="266"/>
      <c r="F44" s="262">
        <v>0.8</v>
      </c>
      <c r="G44" s="262"/>
      <c r="H44" s="145"/>
      <c r="J44" s="147">
        <f t="shared" ref="J44:J51" si="0">+C44*$B$42</f>
        <v>154000000</v>
      </c>
    </row>
    <row r="45" spans="1:10" x14ac:dyDescent="0.25">
      <c r="B45" s="142">
        <v>251</v>
      </c>
      <c r="C45" s="55">
        <v>1000</v>
      </c>
      <c r="D45" s="266">
        <v>0.8</v>
      </c>
      <c r="E45" s="266"/>
      <c r="F45" s="262">
        <v>0.75</v>
      </c>
      <c r="G45" s="262"/>
      <c r="H45" s="146">
        <f t="shared" ref="H45:H51" si="1">+B45*$B$42</f>
        <v>154616000</v>
      </c>
      <c r="J45" s="147">
        <f t="shared" si="0"/>
        <v>616000000</v>
      </c>
    </row>
    <row r="46" spans="1:10" x14ac:dyDescent="0.25">
      <c r="B46" s="142">
        <v>1001</v>
      </c>
      <c r="C46" s="55">
        <v>1500</v>
      </c>
      <c r="D46" s="266">
        <v>0.9</v>
      </c>
      <c r="E46" s="266"/>
      <c r="F46" s="262">
        <v>0.75</v>
      </c>
      <c r="G46" s="262"/>
      <c r="H46" s="146">
        <f t="shared" si="1"/>
        <v>616616000</v>
      </c>
      <c r="J46" s="147">
        <f t="shared" si="0"/>
        <v>924000000</v>
      </c>
    </row>
    <row r="47" spans="1:10" x14ac:dyDescent="0.25">
      <c r="B47" s="142">
        <v>1501</v>
      </c>
      <c r="C47" s="55">
        <v>2500</v>
      </c>
      <c r="D47" s="266">
        <v>0.9</v>
      </c>
      <c r="E47" s="266"/>
      <c r="F47" s="262">
        <v>0.7</v>
      </c>
      <c r="G47" s="262"/>
      <c r="H47" s="146">
        <f t="shared" si="1"/>
        <v>924616000</v>
      </c>
      <c r="J47" s="147">
        <f t="shared" si="0"/>
        <v>1540000000</v>
      </c>
    </row>
    <row r="48" spans="1:10" x14ac:dyDescent="0.25">
      <c r="A48"/>
      <c r="B48" s="142">
        <v>2501</v>
      </c>
      <c r="C48" s="55">
        <v>3000</v>
      </c>
      <c r="D48" s="266">
        <v>1</v>
      </c>
      <c r="E48" s="266"/>
      <c r="F48" s="262">
        <v>0.7</v>
      </c>
      <c r="G48" s="262"/>
      <c r="H48" s="146">
        <f t="shared" si="1"/>
        <v>1540616000</v>
      </c>
      <c r="J48" s="147">
        <f t="shared" si="0"/>
        <v>1848000000</v>
      </c>
    </row>
    <row r="49" spans="1:10" x14ac:dyDescent="0.25">
      <c r="A49"/>
      <c r="B49" s="142">
        <v>3001</v>
      </c>
      <c r="C49" s="55">
        <v>3500</v>
      </c>
      <c r="D49" s="266">
        <v>1</v>
      </c>
      <c r="E49" s="266"/>
      <c r="F49" s="262">
        <v>0.68</v>
      </c>
      <c r="G49" s="262"/>
      <c r="H49" s="146">
        <f t="shared" si="1"/>
        <v>1848616000</v>
      </c>
      <c r="J49" s="147">
        <f t="shared" si="0"/>
        <v>2156000000</v>
      </c>
    </row>
    <row r="50" spans="1:10" x14ac:dyDescent="0.25">
      <c r="A50"/>
      <c r="B50" s="142">
        <v>3501</v>
      </c>
      <c r="C50" s="55">
        <v>4500</v>
      </c>
      <c r="D50" s="266">
        <v>1.1000000000000001</v>
      </c>
      <c r="E50" s="266"/>
      <c r="F50" s="262">
        <v>0.68</v>
      </c>
      <c r="G50" s="262"/>
      <c r="H50" s="146">
        <f t="shared" si="1"/>
        <v>2156616000</v>
      </c>
      <c r="J50" s="147">
        <f t="shared" si="0"/>
        <v>2772000000</v>
      </c>
    </row>
    <row r="51" spans="1:10" x14ac:dyDescent="0.25">
      <c r="A51"/>
      <c r="B51" s="142">
        <v>4501</v>
      </c>
      <c r="C51" s="55"/>
      <c r="D51" s="266">
        <v>1.2</v>
      </c>
      <c r="E51" s="266"/>
      <c r="F51" s="262">
        <v>0.65</v>
      </c>
      <c r="G51" s="262"/>
      <c r="H51" s="146">
        <f t="shared" si="1"/>
        <v>2772616000</v>
      </c>
      <c r="J51" s="147">
        <f t="shared" si="0"/>
        <v>0</v>
      </c>
    </row>
  </sheetData>
  <mergeCells count="37">
    <mergeCell ref="C6:H6"/>
    <mergeCell ref="B1:H1"/>
    <mergeCell ref="B2:H2"/>
    <mergeCell ref="B3:H3"/>
    <mergeCell ref="B4:H4"/>
    <mergeCell ref="B5:H5"/>
    <mergeCell ref="D43:E43"/>
    <mergeCell ref="F43:G43"/>
    <mergeCell ref="B28:H28"/>
    <mergeCell ref="C7:H7"/>
    <mergeCell ref="C8:E8"/>
    <mergeCell ref="G8:H8"/>
    <mergeCell ref="C10:E10"/>
    <mergeCell ref="G10:H10"/>
    <mergeCell ref="C11:E11"/>
    <mergeCell ref="G11:H11"/>
    <mergeCell ref="G12:H12"/>
    <mergeCell ref="G13:H13"/>
    <mergeCell ref="B27:H27"/>
    <mergeCell ref="C32:H32"/>
    <mergeCell ref="C34:H34"/>
    <mergeCell ref="D44:E44"/>
    <mergeCell ref="F44:G44"/>
    <mergeCell ref="D45:E45"/>
    <mergeCell ref="F45:G45"/>
    <mergeCell ref="D46:E46"/>
    <mergeCell ref="F46:G46"/>
    <mergeCell ref="D47:E47"/>
    <mergeCell ref="F47:G47"/>
    <mergeCell ref="D51:E51"/>
    <mergeCell ref="F51:G51"/>
    <mergeCell ref="D48:E48"/>
    <mergeCell ref="F48:G48"/>
    <mergeCell ref="D49:E49"/>
    <mergeCell ref="F49:G49"/>
    <mergeCell ref="D50:E50"/>
    <mergeCell ref="F50:G50"/>
  </mergeCells>
  <pageMargins left="0.70866141732283472" right="0.70866141732283472" top="0.74803149606299213" bottom="0.74803149606299213" header="0.31496062992125984" footer="0.31496062992125984"/>
  <pageSetup scale="7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1"/>
  <sheetViews>
    <sheetView view="pageBreakPreview" zoomScale="130" zoomScaleNormal="100" zoomScaleSheetLayoutView="130" workbookViewId="0">
      <selection activeCell="C17" sqref="C17:D17"/>
    </sheetView>
  </sheetViews>
  <sheetFormatPr baseColWidth="10" defaultRowHeight="13.5" x14ac:dyDescent="0.25"/>
  <cols>
    <col min="1" max="1" width="3.140625" style="84" customWidth="1"/>
    <col min="2" max="2" width="31.140625" style="84" bestFit="1" customWidth="1"/>
    <col min="3" max="3" width="27.7109375" style="84" customWidth="1"/>
    <col min="4" max="4" width="21.7109375" style="84" customWidth="1"/>
    <col min="5" max="5" width="3.5703125" style="84" customWidth="1"/>
    <col min="6" max="6" width="16.5703125" style="84" customWidth="1"/>
    <col min="7" max="7" width="3.140625" style="84" customWidth="1"/>
    <col min="8" max="8" width="18.140625" style="84" customWidth="1"/>
    <col min="9" max="9" width="12.7109375" style="84" bestFit="1" customWidth="1"/>
    <col min="10" max="16384" width="11.42578125" style="84"/>
  </cols>
  <sheetData>
    <row r="1" spans="1:5" s="93" customFormat="1" ht="20.25" customHeight="1" x14ac:dyDescent="0.25">
      <c r="A1" s="253" t="s">
        <v>0</v>
      </c>
      <c r="B1" s="254"/>
      <c r="C1" s="254"/>
      <c r="D1" s="254"/>
      <c r="E1" s="255"/>
    </row>
    <row r="2" spans="1:5" s="93" customFormat="1" ht="15.75" customHeight="1" x14ac:dyDescent="0.25">
      <c r="A2" s="94"/>
      <c r="B2" s="256" t="s">
        <v>1</v>
      </c>
      <c r="C2" s="256"/>
      <c r="D2" s="256"/>
      <c r="E2" s="95"/>
    </row>
    <row r="3" spans="1:5" s="93" customFormat="1" ht="15.75" customHeight="1" x14ac:dyDescent="0.25">
      <c r="A3" s="257" t="s">
        <v>27</v>
      </c>
      <c r="B3" s="256"/>
      <c r="C3" s="256"/>
      <c r="D3" s="256"/>
      <c r="E3" s="258"/>
    </row>
    <row r="4" spans="1:5" s="93" customFormat="1" ht="20.25" x14ac:dyDescent="0.3">
      <c r="A4" s="96"/>
      <c r="B4" s="256" t="s">
        <v>2</v>
      </c>
      <c r="C4" s="256"/>
      <c r="D4" s="256"/>
      <c r="E4" s="97"/>
    </row>
    <row r="5" spans="1:5" s="93" customFormat="1" ht="20.25" customHeight="1" x14ac:dyDescent="0.25">
      <c r="A5" s="257" t="s">
        <v>28</v>
      </c>
      <c r="B5" s="256"/>
      <c r="C5" s="256"/>
      <c r="D5" s="256"/>
      <c r="E5" s="258"/>
    </row>
    <row r="6" spans="1:5" s="93" customFormat="1" ht="96" customHeight="1" x14ac:dyDescent="0.25">
      <c r="A6" s="259" t="s">
        <v>29</v>
      </c>
      <c r="B6" s="260"/>
      <c r="C6" s="260"/>
      <c r="D6" s="260"/>
      <c r="E6" s="261"/>
    </row>
    <row r="7" spans="1:5" s="93" customFormat="1" ht="14.25" thickBot="1" x14ac:dyDescent="0.3">
      <c r="A7" s="98"/>
      <c r="B7" s="70"/>
      <c r="C7" s="70"/>
      <c r="D7" s="70"/>
      <c r="E7" s="75"/>
    </row>
    <row r="8" spans="1:5" s="93" customFormat="1" ht="26.25" customHeight="1" thickBot="1" x14ac:dyDescent="0.3">
      <c r="A8" s="98"/>
      <c r="B8" s="72" t="s">
        <v>3</v>
      </c>
      <c r="C8" s="247" t="s">
        <v>39</v>
      </c>
      <c r="D8" s="248"/>
      <c r="E8" s="75"/>
    </row>
    <row r="9" spans="1:5" s="93" customFormat="1" ht="14.25" thickBot="1" x14ac:dyDescent="0.3">
      <c r="A9" s="98"/>
      <c r="B9" s="72" t="s">
        <v>38</v>
      </c>
      <c r="C9" s="247">
        <v>5</v>
      </c>
      <c r="D9" s="248"/>
      <c r="E9" s="75"/>
    </row>
    <row r="10" spans="1:5" s="93" customFormat="1" ht="14.25" thickBot="1" x14ac:dyDescent="0.3">
      <c r="A10" s="98"/>
      <c r="B10" s="79" t="s">
        <v>6</v>
      </c>
      <c r="C10" s="247">
        <v>806008747</v>
      </c>
      <c r="D10" s="248"/>
      <c r="E10" s="75"/>
    </row>
    <row r="11" spans="1:5" s="93" customFormat="1" ht="26.25" customHeight="1" x14ac:dyDescent="0.25">
      <c r="A11" s="98"/>
      <c r="B11" s="130" t="s">
        <v>23</v>
      </c>
      <c r="C11" s="131" t="s">
        <v>24</v>
      </c>
      <c r="D11" s="132" t="s">
        <v>25</v>
      </c>
      <c r="E11" s="75"/>
    </row>
    <row r="12" spans="1:5" s="93" customFormat="1" x14ac:dyDescent="0.25">
      <c r="A12" s="98"/>
      <c r="B12" s="133">
        <v>7</v>
      </c>
      <c r="C12" s="135" t="s">
        <v>185</v>
      </c>
      <c r="D12" s="134">
        <v>7818524064</v>
      </c>
      <c r="E12" s="75"/>
    </row>
    <row r="13" spans="1:5" s="93" customFormat="1" x14ac:dyDescent="0.25">
      <c r="A13" s="98"/>
      <c r="B13" s="133">
        <v>31</v>
      </c>
      <c r="C13" s="135" t="s">
        <v>166</v>
      </c>
      <c r="D13" s="134">
        <v>1252968600</v>
      </c>
      <c r="E13" s="75"/>
    </row>
    <row r="14" spans="1:5" s="93" customFormat="1" x14ac:dyDescent="0.25">
      <c r="A14" s="98"/>
      <c r="B14" s="133" t="s">
        <v>180</v>
      </c>
      <c r="C14" s="135" t="s">
        <v>40</v>
      </c>
      <c r="D14" s="134">
        <v>5164953534</v>
      </c>
      <c r="E14" s="75"/>
    </row>
    <row r="15" spans="1:5" s="93" customFormat="1" ht="14.25" thickBot="1" x14ac:dyDescent="0.3">
      <c r="A15" s="98"/>
      <c r="B15" s="133"/>
      <c r="C15" s="135"/>
      <c r="D15" s="134"/>
      <c r="E15" s="75"/>
    </row>
    <row r="16" spans="1:5" s="93" customFormat="1" ht="14.25" thickBot="1" x14ac:dyDescent="0.3">
      <c r="A16" s="98"/>
      <c r="B16" s="72" t="s">
        <v>30</v>
      </c>
      <c r="C16" s="249">
        <f>+SUM(D12:D15)</f>
        <v>14236446198</v>
      </c>
      <c r="D16" s="250"/>
      <c r="E16" s="75"/>
    </row>
    <row r="17" spans="1:6" s="93" customFormat="1" ht="14.25" thickBot="1" x14ac:dyDescent="0.3">
      <c r="A17" s="98"/>
      <c r="B17" s="72" t="s">
        <v>5</v>
      </c>
      <c r="C17" s="302">
        <f>+ROUND(C16/616000,0)</f>
        <v>23111</v>
      </c>
      <c r="D17" s="303"/>
      <c r="E17" s="75"/>
    </row>
    <row r="18" spans="1:6" s="93" customFormat="1" x14ac:dyDescent="0.25">
      <c r="A18" s="98"/>
      <c r="B18" s="70"/>
      <c r="C18" s="70"/>
      <c r="D18" s="99"/>
      <c r="E18" s="75"/>
    </row>
    <row r="19" spans="1:6" s="93" customFormat="1" ht="14.25" thickBot="1" x14ac:dyDescent="0.3">
      <c r="A19" s="98"/>
      <c r="B19" s="100" t="s">
        <v>19</v>
      </c>
      <c r="C19" s="76"/>
      <c r="D19" s="99"/>
      <c r="E19" s="75"/>
    </row>
    <row r="20" spans="1:6" s="93" customFormat="1" x14ac:dyDescent="0.25">
      <c r="A20" s="98"/>
      <c r="B20" s="77" t="s">
        <v>13</v>
      </c>
      <c r="C20" s="85">
        <f>+IF($C$17&gt;$B$51,$D$51,IF(AND($C$17&gt;=$B$50,$C$17&lt;=$C$50),$D$50,IF(AND($C$17&gt;=$B$48,$C$17&lt;=$C$49),$D$48,IF(AND($C$17&gt;=$B$46,$C$17&lt;=$C$47),$D$46,IF(AND($C$17&gt;$B$44,$C$17&lt;=$C$45),$D$44)))))</f>
        <v>1.2</v>
      </c>
      <c r="D20" s="99"/>
      <c r="E20" s="75"/>
    </row>
    <row r="21" spans="1:6" s="93" customFormat="1" ht="14.25" thickBot="1" x14ac:dyDescent="0.3">
      <c r="A21" s="98"/>
      <c r="B21" s="78" t="s">
        <v>14</v>
      </c>
      <c r="C21" s="86">
        <f>+IF($C$17&gt;$B$51,$F$51,IF(AND($C$17&gt;=$B$49,$C$17&lt;=$C$50),$F$49,IF(AND($C$17&gt;=$B$47,$C$17&lt;=$C$48),$F$47,IF(AND($C$17&gt;=$B$45,$C$17&lt;=$C$46),$F$45,IF(AND($C$17&gt;$B$44,$C$17&lt;=$C$44),$F$44)))))</f>
        <v>0.65</v>
      </c>
      <c r="D21" s="99"/>
      <c r="E21" s="75"/>
    </row>
    <row r="22" spans="1:6" s="93" customFormat="1" ht="14.25" thickBot="1" x14ac:dyDescent="0.3">
      <c r="A22" s="98"/>
      <c r="B22" s="101"/>
      <c r="C22" s="102"/>
      <c r="D22" s="103"/>
      <c r="E22" s="75"/>
    </row>
    <row r="23" spans="1:6" s="93" customFormat="1" x14ac:dyDescent="0.25">
      <c r="A23" s="98"/>
      <c r="B23" s="80" t="s">
        <v>7</v>
      </c>
      <c r="C23" s="127">
        <v>3415546059</v>
      </c>
      <c r="D23" s="104"/>
      <c r="E23" s="75"/>
    </row>
    <row r="24" spans="1:6" s="93" customFormat="1" x14ac:dyDescent="0.25">
      <c r="A24" s="98"/>
      <c r="B24" s="81" t="s">
        <v>8</v>
      </c>
      <c r="C24" s="129">
        <v>3480332195</v>
      </c>
      <c r="D24" s="105"/>
      <c r="E24" s="75"/>
    </row>
    <row r="25" spans="1:6" s="93" customFormat="1" ht="15" x14ac:dyDescent="0.25">
      <c r="A25" s="98"/>
      <c r="B25" s="81" t="s">
        <v>9</v>
      </c>
      <c r="C25" s="129">
        <v>2167545372</v>
      </c>
      <c r="D25" s="105"/>
      <c r="E25" s="75"/>
      <c r="F25" s="106"/>
    </row>
    <row r="26" spans="1:6" s="93" customFormat="1" ht="15.75" thickBot="1" x14ac:dyDescent="0.3">
      <c r="A26" s="98"/>
      <c r="B26" s="82" t="s">
        <v>10</v>
      </c>
      <c r="C26" s="128">
        <v>2167545372</v>
      </c>
      <c r="D26" s="107"/>
      <c r="E26" s="75"/>
      <c r="F26" s="106"/>
    </row>
    <row r="27" spans="1:6" s="93" customFormat="1" ht="14.25" thickBot="1" x14ac:dyDescent="0.3">
      <c r="A27" s="98"/>
      <c r="B27" s="286" t="s">
        <v>11</v>
      </c>
      <c r="C27" s="287"/>
      <c r="D27" s="288"/>
      <c r="E27" s="75"/>
    </row>
    <row r="28" spans="1:6" s="93" customFormat="1" ht="14.25" thickBot="1" x14ac:dyDescent="0.3">
      <c r="A28" s="98"/>
      <c r="B28" s="241" t="s">
        <v>12</v>
      </c>
      <c r="C28" s="242"/>
      <c r="D28" s="243"/>
      <c r="E28" s="75"/>
    </row>
    <row r="29" spans="1:6" s="93" customFormat="1" ht="16.5" x14ac:dyDescent="0.3">
      <c r="A29" s="98"/>
      <c r="B29" s="77" t="s">
        <v>13</v>
      </c>
      <c r="C29" s="126">
        <f>+IFERROR(C23/C25,"INDETERMINADO")</f>
        <v>1.5757668112148751</v>
      </c>
      <c r="D29" s="118" t="str">
        <f>+IF(C29&gt;=C20,"CUMPLE","NO CUMPLE")</f>
        <v>CUMPLE</v>
      </c>
      <c r="E29" s="75"/>
    </row>
    <row r="30" spans="1:6" s="93" customFormat="1" ht="17.25" thickBot="1" x14ac:dyDescent="0.35">
      <c r="A30" s="98"/>
      <c r="B30" s="78" t="s">
        <v>14</v>
      </c>
      <c r="C30" s="120">
        <f>+C26/C24</f>
        <v>0.62279841421861748</v>
      </c>
      <c r="D30" s="119" t="str">
        <f>+IF(C30&lt;=C21,"CUMPLE","NO CUMPLE")</f>
        <v>CUMPLE</v>
      </c>
      <c r="E30" s="75"/>
    </row>
    <row r="31" spans="1:6" s="110" customFormat="1" ht="14.25" thickBot="1" x14ac:dyDescent="0.3">
      <c r="A31" s="98"/>
      <c r="B31" s="108"/>
      <c r="C31" s="100"/>
      <c r="D31" s="76"/>
      <c r="E31" s="109"/>
    </row>
    <row r="32" spans="1:6" s="93" customFormat="1" ht="41.25" customHeight="1" thickBot="1" x14ac:dyDescent="0.3">
      <c r="A32" s="98"/>
      <c r="B32" s="72" t="s">
        <v>15</v>
      </c>
      <c r="C32" s="244" t="s">
        <v>43</v>
      </c>
      <c r="D32" s="245"/>
      <c r="E32" s="75"/>
    </row>
    <row r="33" spans="1:9" s="70" customFormat="1" ht="14.25" thickBot="1" x14ac:dyDescent="0.3">
      <c r="A33" s="98"/>
      <c r="B33" s="83"/>
      <c r="C33" s="83"/>
      <c r="D33" s="83"/>
      <c r="E33" s="75"/>
    </row>
    <row r="34" spans="1:9" s="70" customFormat="1" ht="45.75" customHeight="1" thickBot="1" x14ac:dyDescent="0.3">
      <c r="A34" s="98"/>
      <c r="B34" s="72" t="s">
        <v>26</v>
      </c>
      <c r="C34" s="244"/>
      <c r="D34" s="245"/>
      <c r="E34" s="75"/>
    </row>
    <row r="35" spans="1:9" s="70" customFormat="1" ht="14.25" thickBot="1" x14ac:dyDescent="0.3">
      <c r="A35" s="111"/>
      <c r="B35" s="112"/>
      <c r="C35" s="112"/>
      <c r="D35" s="112"/>
      <c r="E35" s="71"/>
    </row>
    <row r="36" spans="1:9" s="70" customFormat="1" x14ac:dyDescent="0.25">
      <c r="B36" s="83"/>
      <c r="C36" s="83"/>
      <c r="D36" s="83"/>
    </row>
    <row r="37" spans="1:9" s="70" customFormat="1" x14ac:dyDescent="0.25">
      <c r="B37" s="83"/>
      <c r="C37" s="83"/>
      <c r="D37" s="83"/>
    </row>
    <row r="38" spans="1:9" s="70" customFormat="1" x14ac:dyDescent="0.25">
      <c r="B38" s="83"/>
      <c r="C38" s="83"/>
      <c r="D38" s="83"/>
    </row>
    <row r="39" spans="1:9" s="70" customFormat="1" x14ac:dyDescent="0.25">
      <c r="B39" s="83"/>
      <c r="C39" s="83"/>
      <c r="D39" s="83"/>
    </row>
    <row r="41" spans="1:9" x14ac:dyDescent="0.25">
      <c r="B41" s="100"/>
      <c r="C41" s="70"/>
    </row>
    <row r="42" spans="1:9" x14ac:dyDescent="0.25">
      <c r="B42" s="88">
        <v>616000</v>
      </c>
      <c r="C42" s="87"/>
      <c r="D42" s="87"/>
      <c r="E42" s="87"/>
      <c r="F42" s="87"/>
      <c r="G42" s="87"/>
      <c r="H42" s="87"/>
      <c r="I42" s="87"/>
    </row>
    <row r="43" spans="1:9" ht="25.5" x14ac:dyDescent="0.25">
      <c r="B43" s="89" t="s">
        <v>21</v>
      </c>
      <c r="C43" s="89" t="s">
        <v>20</v>
      </c>
      <c r="D43" s="113" t="s">
        <v>16</v>
      </c>
      <c r="E43" s="87"/>
      <c r="F43" s="113" t="s">
        <v>17</v>
      </c>
      <c r="G43" s="87"/>
      <c r="H43" s="246"/>
      <c r="I43" s="246"/>
    </row>
    <row r="44" spans="1:9" x14ac:dyDescent="0.25">
      <c r="B44" s="90">
        <v>0</v>
      </c>
      <c r="C44" s="90">
        <v>250</v>
      </c>
      <c r="D44" s="114">
        <v>0.8</v>
      </c>
      <c r="E44" s="87"/>
      <c r="F44" s="115">
        <v>0.8</v>
      </c>
      <c r="G44" s="87"/>
      <c r="H44" s="116"/>
      <c r="I44" s="117">
        <f t="shared" ref="I44:I51" si="0">+C44*$B$42</f>
        <v>154000000</v>
      </c>
    </row>
    <row r="45" spans="1:9" x14ac:dyDescent="0.25">
      <c r="B45" s="90">
        <v>251</v>
      </c>
      <c r="C45" s="90">
        <v>1000</v>
      </c>
      <c r="D45" s="114">
        <v>0.8</v>
      </c>
      <c r="E45" s="87"/>
      <c r="F45" s="115">
        <v>0.75</v>
      </c>
      <c r="G45" s="87"/>
      <c r="H45" s="117">
        <f t="shared" ref="H45:H51" si="1">+B45*$B$42</f>
        <v>154616000</v>
      </c>
      <c r="I45" s="117">
        <f t="shared" si="0"/>
        <v>616000000</v>
      </c>
    </row>
    <row r="46" spans="1:9" x14ac:dyDescent="0.25">
      <c r="B46" s="90">
        <v>1001</v>
      </c>
      <c r="C46" s="90">
        <v>1500</v>
      </c>
      <c r="D46" s="114">
        <v>0.9</v>
      </c>
      <c r="E46" s="87"/>
      <c r="F46" s="115">
        <v>0.75</v>
      </c>
      <c r="G46" s="87"/>
      <c r="H46" s="117">
        <f t="shared" si="1"/>
        <v>616616000</v>
      </c>
      <c r="I46" s="117">
        <f t="shared" si="0"/>
        <v>924000000</v>
      </c>
    </row>
    <row r="47" spans="1:9" x14ac:dyDescent="0.25">
      <c r="B47" s="90">
        <v>1501</v>
      </c>
      <c r="C47" s="90">
        <v>2500</v>
      </c>
      <c r="D47" s="114">
        <v>0.9</v>
      </c>
      <c r="E47" s="87"/>
      <c r="F47" s="115">
        <v>0.7</v>
      </c>
      <c r="G47" s="87"/>
      <c r="H47" s="117">
        <f t="shared" si="1"/>
        <v>924616000</v>
      </c>
      <c r="I47" s="117">
        <f t="shared" si="0"/>
        <v>1540000000</v>
      </c>
    </row>
    <row r="48" spans="1:9" x14ac:dyDescent="0.25">
      <c r="B48" s="90">
        <v>2501</v>
      </c>
      <c r="C48" s="90">
        <v>3000</v>
      </c>
      <c r="D48" s="114">
        <v>1</v>
      </c>
      <c r="E48" s="87"/>
      <c r="F48" s="115">
        <v>0.7</v>
      </c>
      <c r="G48" s="87"/>
      <c r="H48" s="117">
        <f t="shared" si="1"/>
        <v>1540616000</v>
      </c>
      <c r="I48" s="117">
        <f t="shared" si="0"/>
        <v>1848000000</v>
      </c>
    </row>
    <row r="49" spans="1:9" x14ac:dyDescent="0.25">
      <c r="B49" s="90">
        <v>3001</v>
      </c>
      <c r="C49" s="90">
        <v>3500</v>
      </c>
      <c r="D49" s="114">
        <v>1</v>
      </c>
      <c r="E49" s="87"/>
      <c r="F49" s="115">
        <v>0.68</v>
      </c>
      <c r="G49" s="87"/>
      <c r="H49" s="117">
        <f t="shared" si="1"/>
        <v>1848616000</v>
      </c>
      <c r="I49" s="117">
        <f t="shared" si="0"/>
        <v>2156000000</v>
      </c>
    </row>
    <row r="50" spans="1:9" x14ac:dyDescent="0.25">
      <c r="B50" s="90">
        <v>3501</v>
      </c>
      <c r="C50" s="90">
        <v>4500</v>
      </c>
      <c r="D50" s="114">
        <v>1.1000000000000001</v>
      </c>
      <c r="E50" s="87"/>
      <c r="F50" s="115">
        <v>0.68</v>
      </c>
      <c r="G50" s="87"/>
      <c r="H50" s="117">
        <f t="shared" si="1"/>
        <v>2156616000</v>
      </c>
      <c r="I50" s="117">
        <f t="shared" si="0"/>
        <v>2772000000</v>
      </c>
    </row>
    <row r="51" spans="1:9" x14ac:dyDescent="0.25">
      <c r="A51" s="84" t="s">
        <v>22</v>
      </c>
      <c r="B51" s="90">
        <v>4501</v>
      </c>
      <c r="C51" s="90"/>
      <c r="D51" s="114">
        <v>1.2</v>
      </c>
      <c r="E51" s="87"/>
      <c r="F51" s="115">
        <v>0.65</v>
      </c>
      <c r="G51" s="87"/>
      <c r="H51" s="117">
        <f t="shared" si="1"/>
        <v>2772616000</v>
      </c>
      <c r="I51" s="117">
        <f t="shared" si="0"/>
        <v>0</v>
      </c>
    </row>
  </sheetData>
  <mergeCells count="16">
    <mergeCell ref="A6:E6"/>
    <mergeCell ref="A1:E1"/>
    <mergeCell ref="B2:D2"/>
    <mergeCell ref="A3:E3"/>
    <mergeCell ref="B4:D4"/>
    <mergeCell ref="A5:E5"/>
    <mergeCell ref="B28:D28"/>
    <mergeCell ref="C32:D32"/>
    <mergeCell ref="C34:D34"/>
    <mergeCell ref="H43:I43"/>
    <mergeCell ref="C8:D8"/>
    <mergeCell ref="C9:D9"/>
    <mergeCell ref="C10:D10"/>
    <mergeCell ref="C16:D16"/>
    <mergeCell ref="C17:D17"/>
    <mergeCell ref="B27:D27"/>
  </mergeCells>
  <pageMargins left="0.7" right="0.7" top="0.75" bottom="0.75" header="0.3" footer="0.3"/>
  <pageSetup orientation="portrait" r:id="rId1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0"/>
  <sheetViews>
    <sheetView view="pageBreakPreview" topLeftCell="A6" zoomScale="110" zoomScaleNormal="100" zoomScaleSheetLayoutView="110" workbookViewId="0">
      <selection activeCell="C8" sqref="C8:D8"/>
    </sheetView>
  </sheetViews>
  <sheetFormatPr baseColWidth="10" defaultRowHeight="13.5" x14ac:dyDescent="0.25"/>
  <cols>
    <col min="1" max="1" width="3.140625" style="84" customWidth="1"/>
    <col min="2" max="2" width="34.140625" style="84" customWidth="1"/>
    <col min="3" max="3" width="27.7109375" style="84" customWidth="1"/>
    <col min="4" max="4" width="21.7109375" style="84" customWidth="1"/>
    <col min="5" max="5" width="3.5703125" style="84" customWidth="1"/>
    <col min="6" max="6" width="16.5703125" style="84" customWidth="1"/>
    <col min="7" max="7" width="3.140625" style="84" customWidth="1"/>
    <col min="8" max="8" width="18.140625" style="84" customWidth="1"/>
    <col min="9" max="9" width="12.7109375" style="84" bestFit="1" customWidth="1"/>
    <col min="10" max="16384" width="11.42578125" style="84"/>
  </cols>
  <sheetData>
    <row r="1" spans="1:5" s="93" customFormat="1" ht="15.75" x14ac:dyDescent="0.25">
      <c r="A1" s="253" t="s">
        <v>0</v>
      </c>
      <c r="B1" s="254"/>
      <c r="C1" s="254"/>
      <c r="D1" s="254"/>
      <c r="E1" s="255"/>
    </row>
    <row r="2" spans="1:5" s="93" customFormat="1" ht="15.75" x14ac:dyDescent="0.25">
      <c r="A2" s="196"/>
      <c r="B2" s="256" t="s">
        <v>1</v>
      </c>
      <c r="C2" s="256"/>
      <c r="D2" s="256"/>
      <c r="E2" s="95"/>
    </row>
    <row r="3" spans="1:5" s="93" customFormat="1" ht="15.75" x14ac:dyDescent="0.25">
      <c r="A3" s="257" t="s">
        <v>27</v>
      </c>
      <c r="B3" s="256"/>
      <c r="C3" s="256"/>
      <c r="D3" s="256"/>
      <c r="E3" s="258"/>
    </row>
    <row r="4" spans="1:5" s="93" customFormat="1" ht="20.25" x14ac:dyDescent="0.3">
      <c r="A4" s="96"/>
      <c r="B4" s="256" t="s">
        <v>2</v>
      </c>
      <c r="C4" s="256"/>
      <c r="D4" s="256"/>
      <c r="E4" s="97"/>
    </row>
    <row r="5" spans="1:5" s="93" customFormat="1" ht="15.75" x14ac:dyDescent="0.25">
      <c r="A5" s="257" t="s">
        <v>28</v>
      </c>
      <c r="B5" s="256"/>
      <c r="C5" s="256"/>
      <c r="D5" s="256"/>
      <c r="E5" s="258"/>
    </row>
    <row r="6" spans="1:5" s="93" customFormat="1" ht="97.5" customHeight="1" thickBot="1" x14ac:dyDescent="0.3">
      <c r="A6" s="259" t="s">
        <v>29</v>
      </c>
      <c r="B6" s="260"/>
      <c r="C6" s="260"/>
      <c r="D6" s="260"/>
      <c r="E6" s="261"/>
    </row>
    <row r="7" spans="1:5" s="93" customFormat="1" ht="14.25" thickBot="1" x14ac:dyDescent="0.3">
      <c r="A7" s="98"/>
      <c r="B7" s="72" t="s">
        <v>3</v>
      </c>
      <c r="C7" s="247" t="s">
        <v>93</v>
      </c>
      <c r="D7" s="248"/>
      <c r="E7" s="75"/>
    </row>
    <row r="8" spans="1:5" s="93" customFormat="1" ht="14.25" thickBot="1" x14ac:dyDescent="0.3">
      <c r="A8" s="98"/>
      <c r="B8" s="72" t="s">
        <v>95</v>
      </c>
      <c r="C8" s="289">
        <v>45</v>
      </c>
      <c r="D8" s="290"/>
      <c r="E8" s="75"/>
    </row>
    <row r="9" spans="1:5" s="93" customFormat="1" ht="14.25" thickBot="1" x14ac:dyDescent="0.3">
      <c r="A9" s="98"/>
      <c r="B9" s="79" t="s">
        <v>6</v>
      </c>
      <c r="C9" s="291">
        <v>824003522</v>
      </c>
      <c r="D9" s="292"/>
      <c r="E9" s="75"/>
    </row>
    <row r="10" spans="1:5" s="93" customFormat="1" x14ac:dyDescent="0.25">
      <c r="A10" s="98"/>
      <c r="B10" s="130" t="s">
        <v>23</v>
      </c>
      <c r="C10" s="197" t="s">
        <v>24</v>
      </c>
      <c r="D10" s="199" t="s">
        <v>25</v>
      </c>
      <c r="E10" s="75"/>
    </row>
    <row r="11" spans="1:5" s="93" customFormat="1" x14ac:dyDescent="0.25">
      <c r="A11" s="98"/>
      <c r="B11" s="133"/>
      <c r="C11" s="135"/>
      <c r="D11" s="99"/>
      <c r="E11" s="75"/>
    </row>
    <row r="12" spans="1:5" s="93" customFormat="1" x14ac:dyDescent="0.25">
      <c r="A12" s="98"/>
      <c r="B12" s="133">
        <v>8</v>
      </c>
      <c r="C12" s="135" t="s">
        <v>94</v>
      </c>
      <c r="D12" s="134">
        <v>3550077700</v>
      </c>
      <c r="E12" s="75"/>
    </row>
    <row r="13" spans="1:5" s="93" customFormat="1" x14ac:dyDescent="0.25">
      <c r="A13" s="98"/>
      <c r="B13" s="133" t="s">
        <v>220</v>
      </c>
      <c r="C13" s="135" t="s">
        <v>219</v>
      </c>
      <c r="D13" s="134">
        <f>2297109100+2453730175+1278027972+1647653709+1618417775+1252968600+582630399</f>
        <v>11130537730</v>
      </c>
      <c r="E13" s="75"/>
    </row>
    <row r="14" spans="1:5" s="93" customFormat="1" ht="14.25" thickBot="1" x14ac:dyDescent="0.3">
      <c r="A14" s="98"/>
      <c r="B14" s="133"/>
      <c r="C14" s="135"/>
      <c r="D14" s="134"/>
      <c r="E14" s="75"/>
    </row>
    <row r="15" spans="1:5" s="93" customFormat="1" ht="14.25" thickBot="1" x14ac:dyDescent="0.3">
      <c r="A15" s="98"/>
      <c r="B15" s="72" t="s">
        <v>30</v>
      </c>
      <c r="C15" s="249">
        <f>+SUM(D12:D14)</f>
        <v>14680615430</v>
      </c>
      <c r="D15" s="250"/>
      <c r="E15" s="75"/>
    </row>
    <row r="16" spans="1:5" s="93" customFormat="1" ht="14.25" thickBot="1" x14ac:dyDescent="0.3">
      <c r="A16" s="98"/>
      <c r="B16" s="72" t="s">
        <v>5</v>
      </c>
      <c r="C16" s="251">
        <f>+ROUND(C15/616000,0)</f>
        <v>23832</v>
      </c>
      <c r="D16" s="252"/>
      <c r="E16" s="75"/>
    </row>
    <row r="17" spans="1:6" s="93" customFormat="1" x14ac:dyDescent="0.25">
      <c r="A17" s="98"/>
      <c r="B17" s="70"/>
      <c r="C17" s="70"/>
      <c r="D17" s="99"/>
      <c r="E17" s="75"/>
    </row>
    <row r="18" spans="1:6" s="93" customFormat="1" ht="14.25" thickBot="1" x14ac:dyDescent="0.3">
      <c r="A18" s="98"/>
      <c r="B18" s="100" t="s">
        <v>19</v>
      </c>
      <c r="C18" s="76"/>
      <c r="D18" s="99"/>
      <c r="E18" s="75"/>
    </row>
    <row r="19" spans="1:6" s="93" customFormat="1" x14ac:dyDescent="0.25">
      <c r="A19" s="98"/>
      <c r="B19" s="77" t="s">
        <v>13</v>
      </c>
      <c r="C19" s="85">
        <f>+IF($C$16&gt;$B$50,$D$50,IF(AND($C$16&gt;=$B$49,$C$16&lt;=$C$49),$D$49,IF(AND($C$16&gt;=$B$47,$C$16&lt;=$C$48),$D$47,IF(AND($C$16&gt;=$B$45,$C$16&lt;=$C$46),$D$45,IF(AND($C$16&gt;$B$43,$C$16&lt;=$C$44),$D$43)))))</f>
        <v>1.2</v>
      </c>
      <c r="D19" s="99"/>
      <c r="E19" s="75"/>
    </row>
    <row r="20" spans="1:6" s="93" customFormat="1" ht="14.25" thickBot="1" x14ac:dyDescent="0.3">
      <c r="A20" s="98"/>
      <c r="B20" s="78" t="s">
        <v>14</v>
      </c>
      <c r="C20" s="86">
        <f>+IF($C$16&gt;$B$50,$F$50,IF(AND($C$16&gt;=$B$48,$C$16&lt;=$C$49),$F$48,IF(AND($C$16&gt;=$B$46,$C$16&lt;=$C$47),$F$46,IF(AND($C$16&gt;=$B$44,$C$16&lt;=$C$45),$F$44,IF(AND($C$16&gt;$B$43,$C$16&lt;=$C$43),$F$43)))))</f>
        <v>0.65</v>
      </c>
      <c r="D20" s="99"/>
      <c r="E20" s="75"/>
    </row>
    <row r="21" spans="1:6" s="93" customFormat="1" ht="14.25" thickBot="1" x14ac:dyDescent="0.3">
      <c r="A21" s="98"/>
      <c r="B21" s="101"/>
      <c r="C21" s="102"/>
      <c r="D21" s="103"/>
      <c r="E21" s="75"/>
    </row>
    <row r="22" spans="1:6" s="93" customFormat="1" x14ac:dyDescent="0.25">
      <c r="A22" s="98"/>
      <c r="B22" s="80" t="s">
        <v>7</v>
      </c>
      <c r="C22" s="127">
        <v>11123115000</v>
      </c>
      <c r="D22" s="104"/>
      <c r="E22" s="75"/>
    </row>
    <row r="23" spans="1:6" s="93" customFormat="1" x14ac:dyDescent="0.25">
      <c r="A23" s="98"/>
      <c r="B23" s="81" t="s">
        <v>8</v>
      </c>
      <c r="C23" s="129">
        <v>20986583000</v>
      </c>
      <c r="D23" s="105"/>
      <c r="E23" s="75"/>
    </row>
    <row r="24" spans="1:6" s="93" customFormat="1" ht="15" x14ac:dyDescent="0.25">
      <c r="A24" s="98"/>
      <c r="B24" s="81" t="s">
        <v>9</v>
      </c>
      <c r="C24" s="129">
        <v>2326830000</v>
      </c>
      <c r="D24" s="105"/>
      <c r="E24" s="75"/>
      <c r="F24" s="106"/>
    </row>
    <row r="25" spans="1:6" s="93" customFormat="1" ht="15.75" thickBot="1" x14ac:dyDescent="0.3">
      <c r="A25" s="98"/>
      <c r="B25" s="82" t="s">
        <v>10</v>
      </c>
      <c r="C25" s="128">
        <v>11776515000</v>
      </c>
      <c r="D25" s="107"/>
      <c r="E25" s="75"/>
      <c r="F25" s="106"/>
    </row>
    <row r="26" spans="1:6" s="93" customFormat="1" ht="14.25" thickBot="1" x14ac:dyDescent="0.3">
      <c r="A26" s="98"/>
      <c r="B26" s="286" t="s">
        <v>11</v>
      </c>
      <c r="C26" s="287"/>
      <c r="D26" s="288"/>
      <c r="E26" s="75"/>
    </row>
    <row r="27" spans="1:6" s="93" customFormat="1" ht="14.25" thickBot="1" x14ac:dyDescent="0.3">
      <c r="A27" s="98"/>
      <c r="B27" s="241" t="s">
        <v>12</v>
      </c>
      <c r="C27" s="242"/>
      <c r="D27" s="243"/>
      <c r="E27" s="75"/>
    </row>
    <row r="28" spans="1:6" s="93" customFormat="1" ht="16.5" x14ac:dyDescent="0.3">
      <c r="A28" s="98"/>
      <c r="B28" s="77" t="s">
        <v>13</v>
      </c>
      <c r="C28" s="126">
        <f>+IFERROR(C22/C24,"INDETERMINADO")</f>
        <v>4.7803728678072739</v>
      </c>
      <c r="D28" s="118" t="str">
        <f>+IF(C28&gt;=C19,"CUMPLE","NO CUMPLE")</f>
        <v>CUMPLE</v>
      </c>
      <c r="E28" s="75"/>
    </row>
    <row r="29" spans="1:6" s="93" customFormat="1" ht="17.25" thickBot="1" x14ac:dyDescent="0.35">
      <c r="A29" s="98"/>
      <c r="B29" s="78" t="s">
        <v>14</v>
      </c>
      <c r="C29" s="120">
        <f>+C25/C23</f>
        <v>0.56114494675002591</v>
      </c>
      <c r="D29" s="119" t="str">
        <f>+IF(C29&lt;=C20,"CUMPLE","NO CUMPLE")</f>
        <v>CUMPLE</v>
      </c>
      <c r="E29" s="75"/>
    </row>
    <row r="30" spans="1:6" s="110" customFormat="1" ht="14.25" thickBot="1" x14ac:dyDescent="0.3">
      <c r="A30" s="98"/>
      <c r="B30" s="108"/>
      <c r="C30" s="100"/>
      <c r="D30" s="76"/>
      <c r="E30" s="109"/>
    </row>
    <row r="31" spans="1:6" s="93" customFormat="1" ht="41.25" customHeight="1" thickBot="1" x14ac:dyDescent="0.3">
      <c r="A31" s="98"/>
      <c r="B31" s="72" t="s">
        <v>15</v>
      </c>
      <c r="C31" s="244" t="s">
        <v>86</v>
      </c>
      <c r="D31" s="245"/>
      <c r="E31" s="75"/>
    </row>
    <row r="32" spans="1:6" s="70" customFormat="1" ht="14.25" thickBot="1" x14ac:dyDescent="0.3">
      <c r="A32" s="98"/>
      <c r="B32" s="83"/>
      <c r="C32" s="83"/>
      <c r="D32" s="83"/>
      <c r="E32" s="75"/>
    </row>
    <row r="33" spans="1:9" s="70" customFormat="1" ht="45.75" customHeight="1" thickBot="1" x14ac:dyDescent="0.3">
      <c r="A33" s="98"/>
      <c r="B33" s="72" t="s">
        <v>26</v>
      </c>
      <c r="C33" s="244"/>
      <c r="D33" s="245"/>
      <c r="E33" s="75"/>
    </row>
    <row r="34" spans="1:9" s="70" customFormat="1" ht="14.25" thickBot="1" x14ac:dyDescent="0.3">
      <c r="A34" s="111"/>
      <c r="B34" s="112"/>
      <c r="C34" s="112"/>
      <c r="D34" s="112"/>
      <c r="E34" s="71"/>
    </row>
    <row r="35" spans="1:9" s="70" customFormat="1" x14ac:dyDescent="0.25">
      <c r="B35" s="83"/>
      <c r="C35" s="83"/>
      <c r="D35" s="83"/>
    </row>
    <row r="36" spans="1:9" s="70" customFormat="1" x14ac:dyDescent="0.25">
      <c r="B36" s="83"/>
      <c r="C36" s="83"/>
      <c r="D36" s="83"/>
    </row>
    <row r="37" spans="1:9" s="70" customFormat="1" x14ac:dyDescent="0.25">
      <c r="B37" s="83"/>
      <c r="C37" s="83"/>
      <c r="D37" s="83"/>
    </row>
    <row r="38" spans="1:9" s="70" customFormat="1" x14ac:dyDescent="0.25">
      <c r="B38" s="83"/>
      <c r="C38" s="83"/>
      <c r="D38" s="83"/>
    </row>
    <row r="40" spans="1:9" x14ac:dyDescent="0.25">
      <c r="B40" s="100"/>
      <c r="C40" s="70"/>
    </row>
    <row r="41" spans="1:9" x14ac:dyDescent="0.25">
      <c r="B41" s="88">
        <v>616000</v>
      </c>
      <c r="C41" s="87"/>
      <c r="D41" s="87"/>
      <c r="E41" s="87"/>
      <c r="F41" s="87"/>
      <c r="G41" s="87"/>
      <c r="H41" s="87"/>
      <c r="I41" s="87"/>
    </row>
    <row r="42" spans="1:9" ht="25.5" x14ac:dyDescent="0.25">
      <c r="B42" s="89" t="s">
        <v>21</v>
      </c>
      <c r="C42" s="89" t="s">
        <v>20</v>
      </c>
      <c r="D42" s="200" t="s">
        <v>16</v>
      </c>
      <c r="E42" s="87"/>
      <c r="F42" s="200" t="s">
        <v>17</v>
      </c>
      <c r="G42" s="87"/>
      <c r="H42" s="246"/>
      <c r="I42" s="246"/>
    </row>
    <row r="43" spans="1:9" x14ac:dyDescent="0.25">
      <c r="B43" s="90">
        <v>0</v>
      </c>
      <c r="C43" s="90">
        <v>250</v>
      </c>
      <c r="D43" s="201">
        <v>0.8</v>
      </c>
      <c r="E43" s="87"/>
      <c r="F43" s="202">
        <v>0.8</v>
      </c>
      <c r="G43" s="87"/>
      <c r="H43" s="116"/>
      <c r="I43" s="117">
        <f t="shared" ref="I43:I50" si="0">+C43*$B$41</f>
        <v>154000000</v>
      </c>
    </row>
    <row r="44" spans="1:9" x14ac:dyDescent="0.25">
      <c r="B44" s="90">
        <v>251</v>
      </c>
      <c r="C44" s="90">
        <v>1000</v>
      </c>
      <c r="D44" s="201">
        <v>0.8</v>
      </c>
      <c r="E44" s="87"/>
      <c r="F44" s="202">
        <v>0.75</v>
      </c>
      <c r="G44" s="87"/>
      <c r="H44" s="117">
        <f t="shared" ref="H44:H50" si="1">+B44*$B$41</f>
        <v>154616000</v>
      </c>
      <c r="I44" s="117">
        <f t="shared" si="0"/>
        <v>616000000</v>
      </c>
    </row>
    <row r="45" spans="1:9" x14ac:dyDescent="0.25">
      <c r="B45" s="90">
        <v>1001</v>
      </c>
      <c r="C45" s="90">
        <v>1500</v>
      </c>
      <c r="D45" s="201">
        <v>0.9</v>
      </c>
      <c r="E45" s="87"/>
      <c r="F45" s="202">
        <v>0.75</v>
      </c>
      <c r="G45" s="87"/>
      <c r="H45" s="117">
        <f t="shared" si="1"/>
        <v>616616000</v>
      </c>
      <c r="I45" s="117">
        <f t="shared" si="0"/>
        <v>924000000</v>
      </c>
    </row>
    <row r="46" spans="1:9" x14ac:dyDescent="0.25">
      <c r="B46" s="90">
        <v>1501</v>
      </c>
      <c r="C46" s="90">
        <v>2500</v>
      </c>
      <c r="D46" s="201">
        <v>0.9</v>
      </c>
      <c r="E46" s="87"/>
      <c r="F46" s="202">
        <v>0.7</v>
      </c>
      <c r="G46" s="87"/>
      <c r="H46" s="117">
        <f t="shared" si="1"/>
        <v>924616000</v>
      </c>
      <c r="I46" s="117">
        <f t="shared" si="0"/>
        <v>1540000000</v>
      </c>
    </row>
    <row r="47" spans="1:9" x14ac:dyDescent="0.25">
      <c r="B47" s="90">
        <v>2501</v>
      </c>
      <c r="C47" s="90">
        <v>3000</v>
      </c>
      <c r="D47" s="201">
        <v>1</v>
      </c>
      <c r="E47" s="87"/>
      <c r="F47" s="202">
        <v>0.7</v>
      </c>
      <c r="G47" s="87"/>
      <c r="H47" s="117">
        <f t="shared" si="1"/>
        <v>1540616000</v>
      </c>
      <c r="I47" s="117">
        <f t="shared" si="0"/>
        <v>1848000000</v>
      </c>
    </row>
    <row r="48" spans="1:9" x14ac:dyDescent="0.25">
      <c r="B48" s="90">
        <v>3001</v>
      </c>
      <c r="C48" s="90">
        <v>3500</v>
      </c>
      <c r="D48" s="201">
        <v>1</v>
      </c>
      <c r="E48" s="87"/>
      <c r="F48" s="202">
        <v>0.68</v>
      </c>
      <c r="G48" s="87"/>
      <c r="H48" s="117">
        <f t="shared" si="1"/>
        <v>1848616000</v>
      </c>
      <c r="I48" s="117">
        <f t="shared" si="0"/>
        <v>2156000000</v>
      </c>
    </row>
    <row r="49" spans="1:9" x14ac:dyDescent="0.25">
      <c r="B49" s="90">
        <v>3501</v>
      </c>
      <c r="C49" s="90">
        <v>4500</v>
      </c>
      <c r="D49" s="201">
        <v>1.1000000000000001</v>
      </c>
      <c r="E49" s="87"/>
      <c r="F49" s="202">
        <v>0.68</v>
      </c>
      <c r="G49" s="87"/>
      <c r="H49" s="117">
        <f t="shared" si="1"/>
        <v>2156616000</v>
      </c>
      <c r="I49" s="117">
        <f t="shared" si="0"/>
        <v>2772000000</v>
      </c>
    </row>
    <row r="50" spans="1:9" x14ac:dyDescent="0.25">
      <c r="A50" s="84" t="s">
        <v>22</v>
      </c>
      <c r="B50" s="90">
        <v>4501</v>
      </c>
      <c r="C50" s="90"/>
      <c r="D50" s="201">
        <v>1.2</v>
      </c>
      <c r="E50" s="87"/>
      <c r="F50" s="202">
        <v>0.65</v>
      </c>
      <c r="G50" s="87"/>
      <c r="H50" s="117">
        <f t="shared" si="1"/>
        <v>2772616000</v>
      </c>
      <c r="I50" s="117">
        <f t="shared" si="0"/>
        <v>0</v>
      </c>
    </row>
  </sheetData>
  <mergeCells count="16">
    <mergeCell ref="A6:E6"/>
    <mergeCell ref="A1:E1"/>
    <mergeCell ref="B2:D2"/>
    <mergeCell ref="A3:E3"/>
    <mergeCell ref="B4:D4"/>
    <mergeCell ref="A5:E5"/>
    <mergeCell ref="B27:D27"/>
    <mergeCell ref="C31:D31"/>
    <mergeCell ref="C33:D33"/>
    <mergeCell ref="H42:I42"/>
    <mergeCell ref="C7:D7"/>
    <mergeCell ref="C8:D8"/>
    <mergeCell ref="C9:D9"/>
    <mergeCell ref="C15:D15"/>
    <mergeCell ref="C16:D16"/>
    <mergeCell ref="B26:D26"/>
  </mergeCells>
  <pageMargins left="0.7" right="0.7" top="0.75" bottom="0.75" header="0.3" footer="0.3"/>
  <pageSetup orientation="portrait" r:id="rId1"/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"/>
  <sheetViews>
    <sheetView view="pageBreakPreview" topLeftCell="A5" zoomScale="120" zoomScaleNormal="100" zoomScaleSheetLayoutView="120" workbookViewId="0">
      <selection activeCell="C14" sqref="C14"/>
    </sheetView>
  </sheetViews>
  <sheetFormatPr baseColWidth="10" defaultRowHeight="13.5" x14ac:dyDescent="0.25"/>
  <cols>
    <col min="1" max="1" width="3.140625" style="84" customWidth="1"/>
    <col min="2" max="2" width="33.5703125" style="84" customWidth="1"/>
    <col min="3" max="3" width="27.7109375" style="84" customWidth="1"/>
    <col min="4" max="4" width="21.7109375" style="84" customWidth="1"/>
    <col min="5" max="5" width="3.5703125" style="84" customWidth="1"/>
    <col min="6" max="6" width="16.5703125" style="84" customWidth="1"/>
    <col min="7" max="7" width="3.140625" style="84" customWidth="1"/>
    <col min="8" max="8" width="18.140625" style="84" customWidth="1"/>
    <col min="9" max="9" width="12.7109375" style="84" bestFit="1" customWidth="1"/>
    <col min="10" max="16384" width="11.42578125" style="84"/>
  </cols>
  <sheetData>
    <row r="1" spans="1:5" s="93" customFormat="1" ht="15.75" x14ac:dyDescent="0.25">
      <c r="A1" s="253" t="s">
        <v>0</v>
      </c>
      <c r="B1" s="254"/>
      <c r="C1" s="254"/>
      <c r="D1" s="254"/>
      <c r="E1" s="255"/>
    </row>
    <row r="2" spans="1:5" s="93" customFormat="1" ht="15.75" x14ac:dyDescent="0.25">
      <c r="A2" s="196"/>
      <c r="B2" s="256" t="s">
        <v>1</v>
      </c>
      <c r="C2" s="256"/>
      <c r="D2" s="256"/>
      <c r="E2" s="95"/>
    </row>
    <row r="3" spans="1:5" s="93" customFormat="1" ht="15.75" x14ac:dyDescent="0.25">
      <c r="A3" s="257" t="s">
        <v>27</v>
      </c>
      <c r="B3" s="256"/>
      <c r="C3" s="256"/>
      <c r="D3" s="256"/>
      <c r="E3" s="258"/>
    </row>
    <row r="4" spans="1:5" s="93" customFormat="1" ht="20.25" x14ac:dyDescent="0.3">
      <c r="A4" s="96"/>
      <c r="B4" s="256" t="s">
        <v>2</v>
      </c>
      <c r="C4" s="256"/>
      <c r="D4" s="256"/>
      <c r="E4" s="97"/>
    </row>
    <row r="5" spans="1:5" s="93" customFormat="1" ht="15.75" x14ac:dyDescent="0.25">
      <c r="A5" s="257" t="s">
        <v>28</v>
      </c>
      <c r="B5" s="256"/>
      <c r="C5" s="256"/>
      <c r="D5" s="256"/>
      <c r="E5" s="258"/>
    </row>
    <row r="6" spans="1:5" s="93" customFormat="1" ht="15.75" x14ac:dyDescent="0.25">
      <c r="A6" s="259" t="s">
        <v>29</v>
      </c>
      <c r="B6" s="260"/>
      <c r="C6" s="260"/>
      <c r="D6" s="260"/>
      <c r="E6" s="261"/>
    </row>
    <row r="7" spans="1:5" s="93" customFormat="1" ht="14.25" thickBot="1" x14ac:dyDescent="0.3">
      <c r="A7" s="98"/>
      <c r="B7" s="70"/>
      <c r="C7" s="70"/>
      <c r="D7" s="70"/>
      <c r="E7" s="75"/>
    </row>
    <row r="8" spans="1:5" s="93" customFormat="1" ht="14.25" thickBot="1" x14ac:dyDescent="0.3">
      <c r="A8" s="98"/>
      <c r="B8" s="72" t="s">
        <v>3</v>
      </c>
      <c r="C8" s="247" t="s">
        <v>101</v>
      </c>
      <c r="D8" s="248"/>
      <c r="E8" s="75"/>
    </row>
    <row r="9" spans="1:5" s="93" customFormat="1" ht="14.25" thickBot="1" x14ac:dyDescent="0.3">
      <c r="A9" s="98"/>
      <c r="B9" s="72" t="s">
        <v>38</v>
      </c>
      <c r="C9" s="247">
        <v>46</v>
      </c>
      <c r="D9" s="248"/>
      <c r="E9" s="75"/>
    </row>
    <row r="10" spans="1:5" s="93" customFormat="1" ht="14.25" thickBot="1" x14ac:dyDescent="0.3">
      <c r="A10" s="98"/>
      <c r="B10" s="79" t="s">
        <v>6</v>
      </c>
      <c r="C10" s="247">
        <v>814006888</v>
      </c>
      <c r="D10" s="248"/>
      <c r="E10" s="75"/>
    </row>
    <row r="11" spans="1:5" s="93" customFormat="1" x14ac:dyDescent="0.25">
      <c r="A11" s="98"/>
      <c r="B11" s="130" t="s">
        <v>23</v>
      </c>
      <c r="C11" s="197" t="s">
        <v>24</v>
      </c>
      <c r="D11" s="199" t="s">
        <v>25</v>
      </c>
      <c r="E11" s="75"/>
    </row>
    <row r="12" spans="1:5" s="93" customFormat="1" x14ac:dyDescent="0.25">
      <c r="A12" s="98"/>
      <c r="B12" s="133"/>
      <c r="C12" s="135"/>
      <c r="D12" s="99"/>
      <c r="E12" s="75"/>
    </row>
    <row r="13" spans="1:5" s="93" customFormat="1" x14ac:dyDescent="0.25">
      <c r="A13" s="98"/>
      <c r="B13" s="133">
        <v>22</v>
      </c>
      <c r="C13" s="135" t="s">
        <v>102</v>
      </c>
      <c r="D13" s="184">
        <v>2842150441</v>
      </c>
      <c r="E13" s="75"/>
    </row>
    <row r="14" spans="1:5" s="93" customFormat="1" x14ac:dyDescent="0.25">
      <c r="A14" s="98"/>
      <c r="B14" s="185" t="s">
        <v>222</v>
      </c>
      <c r="C14" s="135" t="s">
        <v>137</v>
      </c>
      <c r="D14" s="184">
        <v>10652321381</v>
      </c>
      <c r="E14" s="75"/>
    </row>
    <row r="15" spans="1:5" s="93" customFormat="1" x14ac:dyDescent="0.25">
      <c r="A15" s="98"/>
      <c r="B15" s="185" t="s">
        <v>223</v>
      </c>
      <c r="C15" s="135" t="s">
        <v>221</v>
      </c>
      <c r="D15" s="184">
        <v>2634090834</v>
      </c>
      <c r="E15" s="75"/>
    </row>
    <row r="16" spans="1:5" s="93" customFormat="1" ht="14.25" thickBot="1" x14ac:dyDescent="0.3">
      <c r="A16" s="98"/>
      <c r="B16" s="133"/>
      <c r="C16" s="218"/>
      <c r="D16" s="184"/>
      <c r="E16" s="75"/>
    </row>
    <row r="17" spans="1:9" s="93" customFormat="1" ht="14.25" thickBot="1" x14ac:dyDescent="0.3">
      <c r="A17" s="98"/>
      <c r="B17" s="72" t="s">
        <v>30</v>
      </c>
      <c r="C17" s="249">
        <f>+SUM(D13:D16)</f>
        <v>16128562656</v>
      </c>
      <c r="D17" s="250"/>
      <c r="E17" s="75"/>
    </row>
    <row r="18" spans="1:9" s="93" customFormat="1" ht="14.25" thickBot="1" x14ac:dyDescent="0.3">
      <c r="A18" s="98"/>
      <c r="B18" s="332" t="s">
        <v>5</v>
      </c>
      <c r="C18" s="333">
        <f>+ROUND(C17/616000,0)</f>
        <v>26183</v>
      </c>
      <c r="D18" s="334"/>
      <c r="E18" s="75"/>
      <c r="F18" s="219"/>
    </row>
    <row r="19" spans="1:9" s="93" customFormat="1" x14ac:dyDescent="0.25">
      <c r="A19" s="98"/>
      <c r="B19" s="70"/>
      <c r="C19" s="70"/>
      <c r="D19" s="99"/>
      <c r="E19" s="75"/>
    </row>
    <row r="20" spans="1:9" s="93" customFormat="1" ht="14.25" thickBot="1" x14ac:dyDescent="0.3">
      <c r="A20" s="98"/>
      <c r="B20" s="100" t="s">
        <v>19</v>
      </c>
      <c r="C20" s="76"/>
      <c r="D20" s="99"/>
      <c r="E20" s="75"/>
    </row>
    <row r="21" spans="1:9" s="93" customFormat="1" x14ac:dyDescent="0.25">
      <c r="A21" s="98"/>
      <c r="B21" s="77" t="s">
        <v>13</v>
      </c>
      <c r="C21" s="85">
        <f>+IF($C$18&gt;$B$52,$D$52,IF(AND($C$18&gt;=$B$51,$C$18&lt;=$C$51),$D$51,IF(AND($C$18&gt;=$B$49,$C$18&lt;=$C$50),$D$49,IF(AND($C$18&gt;=$B$47,$C$18&lt;=$C$48),$D$47,IF(AND($C$18&gt;$B$45,$C$18&lt;=$C$46),$D$45)))))</f>
        <v>1.2</v>
      </c>
      <c r="D21" s="99"/>
      <c r="E21" s="75"/>
      <c r="F21" s="219"/>
    </row>
    <row r="22" spans="1:9" s="93" customFormat="1" ht="14.25" thickBot="1" x14ac:dyDescent="0.3">
      <c r="A22" s="98"/>
      <c r="B22" s="78" t="s">
        <v>14</v>
      </c>
      <c r="C22" s="86">
        <f>+IF($C$18&gt;$B$52,$F$52,IF(AND($C$18&gt;=$B$50,$C$18&lt;=$C$51),$F$50,IF(AND($C$18&gt;=$B$48,$C$18&lt;=$C$49),$F$48,IF(AND($C$18&gt;=$B$46,$C$18&lt;=$C$47),$F$46,IF(AND($C$18&gt;$B$45,$C$18&lt;=$C$45),$F$45)))))</f>
        <v>0.65</v>
      </c>
      <c r="D22" s="99"/>
      <c r="E22" s="75"/>
    </row>
    <row r="23" spans="1:9" s="93" customFormat="1" ht="14.25" thickBot="1" x14ac:dyDescent="0.3">
      <c r="A23" s="98"/>
      <c r="B23" s="101"/>
      <c r="C23" s="102"/>
      <c r="D23" s="103"/>
      <c r="E23" s="75"/>
    </row>
    <row r="24" spans="1:9" s="93" customFormat="1" x14ac:dyDescent="0.25">
      <c r="A24" s="98"/>
      <c r="B24" s="80" t="s">
        <v>7</v>
      </c>
      <c r="C24" s="127">
        <v>649011720</v>
      </c>
      <c r="D24" s="104"/>
      <c r="E24" s="75"/>
      <c r="F24" s="219"/>
    </row>
    <row r="25" spans="1:9" s="93" customFormat="1" x14ac:dyDescent="0.25">
      <c r="A25" s="98"/>
      <c r="B25" s="81" t="s">
        <v>8</v>
      </c>
      <c r="C25" s="129">
        <v>661833600</v>
      </c>
      <c r="D25" s="105"/>
      <c r="E25" s="75"/>
    </row>
    <row r="26" spans="1:9" s="93" customFormat="1" x14ac:dyDescent="0.25">
      <c r="A26" s="98"/>
      <c r="B26" s="81" t="s">
        <v>9</v>
      </c>
      <c r="C26" s="129">
        <v>52963456</v>
      </c>
      <c r="D26" s="105"/>
      <c r="E26" s="75"/>
    </row>
    <row r="27" spans="1:9" s="93" customFormat="1" ht="14.25" thickBot="1" x14ac:dyDescent="0.3">
      <c r="A27" s="98"/>
      <c r="B27" s="82" t="s">
        <v>10</v>
      </c>
      <c r="C27" s="128">
        <f>+C26</f>
        <v>52963456</v>
      </c>
      <c r="D27" s="107"/>
      <c r="E27" s="75"/>
      <c r="F27" s="219"/>
    </row>
    <row r="28" spans="1:9" s="93" customFormat="1" ht="14.25" thickBot="1" x14ac:dyDescent="0.3">
      <c r="A28" s="98"/>
      <c r="B28" s="286" t="s">
        <v>11</v>
      </c>
      <c r="C28" s="287"/>
      <c r="D28" s="288"/>
      <c r="E28" s="75"/>
    </row>
    <row r="29" spans="1:9" s="93" customFormat="1" ht="14.25" thickBot="1" x14ac:dyDescent="0.3">
      <c r="A29" s="98"/>
      <c r="B29" s="241" t="s">
        <v>12</v>
      </c>
      <c r="C29" s="242"/>
      <c r="D29" s="243"/>
      <c r="E29" s="75"/>
    </row>
    <row r="30" spans="1:9" s="93" customFormat="1" ht="16.5" x14ac:dyDescent="0.3">
      <c r="A30" s="98"/>
      <c r="B30" s="77" t="s">
        <v>13</v>
      </c>
      <c r="C30" s="126">
        <f>+IFERROR(C24/C26,"INDETERMINADO")</f>
        <v>12.253953367393548</v>
      </c>
      <c r="D30" s="118" t="str">
        <f>+IF(C30&gt;=C21,"CUMPLE","NO CUMPLE")</f>
        <v>CUMPLE</v>
      </c>
      <c r="E30" s="75"/>
      <c r="F30" s="219"/>
    </row>
    <row r="31" spans="1:9" s="93" customFormat="1" ht="17.25" thickBot="1" x14ac:dyDescent="0.35">
      <c r="A31" s="98"/>
      <c r="B31" s="78" t="s">
        <v>14</v>
      </c>
      <c r="C31" s="120">
        <f>+C27/C25</f>
        <v>8.0025335673498593E-2</v>
      </c>
      <c r="D31" s="119" t="str">
        <f>+IF(C31&lt;=C22,"CUMPLE","NO CUMPLE")</f>
        <v>CUMPLE</v>
      </c>
      <c r="E31" s="75"/>
    </row>
    <row r="32" spans="1:9" s="110" customFormat="1" ht="14.25" thickBot="1" x14ac:dyDescent="0.3">
      <c r="A32" s="98"/>
      <c r="B32" s="108"/>
      <c r="C32" s="100"/>
      <c r="D32" s="76"/>
      <c r="E32" s="109"/>
      <c r="G32" s="93"/>
      <c r="H32" s="93"/>
      <c r="I32" s="93"/>
    </row>
    <row r="33" spans="1:9" s="93" customFormat="1" ht="41.25" customHeight="1" thickBot="1" x14ac:dyDescent="0.3">
      <c r="A33" s="98"/>
      <c r="B33" s="72" t="s">
        <v>15</v>
      </c>
      <c r="C33" s="244" t="s">
        <v>49</v>
      </c>
      <c r="D33" s="245"/>
      <c r="E33" s="75"/>
      <c r="G33" s="110"/>
      <c r="H33" s="110"/>
      <c r="I33" s="110"/>
    </row>
    <row r="34" spans="1:9" s="70" customFormat="1" ht="14.25" thickBot="1" x14ac:dyDescent="0.3">
      <c r="A34" s="98"/>
      <c r="B34" s="83"/>
      <c r="C34" s="83"/>
      <c r="D34" s="83"/>
      <c r="E34" s="75"/>
      <c r="G34" s="93"/>
      <c r="H34" s="93"/>
      <c r="I34" s="93"/>
    </row>
    <row r="35" spans="1:9" s="70" customFormat="1" ht="45.75" customHeight="1" thickBot="1" x14ac:dyDescent="0.3">
      <c r="A35" s="98"/>
      <c r="B35" s="72" t="s">
        <v>26</v>
      </c>
      <c r="C35" s="244"/>
      <c r="D35" s="245"/>
      <c r="E35" s="75"/>
    </row>
    <row r="36" spans="1:9" s="70" customFormat="1" ht="14.25" thickBot="1" x14ac:dyDescent="0.3">
      <c r="A36" s="111"/>
      <c r="B36" s="112"/>
      <c r="C36" s="112"/>
      <c r="D36" s="112"/>
      <c r="E36" s="71"/>
    </row>
    <row r="37" spans="1:9" s="70" customFormat="1" x14ac:dyDescent="0.25">
      <c r="B37" s="83"/>
      <c r="C37" s="83"/>
      <c r="D37" s="83"/>
    </row>
    <row r="38" spans="1:9" s="70" customFormat="1" x14ac:dyDescent="0.25">
      <c r="B38" s="83"/>
      <c r="C38" s="83"/>
      <c r="D38" s="83"/>
    </row>
    <row r="39" spans="1:9" s="70" customFormat="1" x14ac:dyDescent="0.25">
      <c r="B39" s="83"/>
      <c r="C39" s="83"/>
      <c r="D39" s="83"/>
    </row>
    <row r="40" spans="1:9" s="70" customFormat="1" x14ac:dyDescent="0.25">
      <c r="B40" s="83"/>
      <c r="C40" s="83"/>
      <c r="D40" s="83"/>
    </row>
    <row r="41" spans="1:9" x14ac:dyDescent="0.25">
      <c r="G41" s="70"/>
      <c r="H41" s="70"/>
      <c r="I41" s="70"/>
    </row>
    <row r="42" spans="1:9" x14ac:dyDescent="0.25">
      <c r="B42" s="100"/>
      <c r="C42" s="70"/>
    </row>
    <row r="43" spans="1:9" x14ac:dyDescent="0.25">
      <c r="B43" s="88">
        <v>616000</v>
      </c>
      <c r="C43" s="87"/>
      <c r="D43" s="87"/>
      <c r="E43" s="87"/>
      <c r="F43" s="87"/>
    </row>
    <row r="44" spans="1:9" ht="25.5" x14ac:dyDescent="0.25">
      <c r="B44" s="89" t="s">
        <v>21</v>
      </c>
      <c r="C44" s="89" t="s">
        <v>20</v>
      </c>
      <c r="D44" s="200" t="s">
        <v>16</v>
      </c>
      <c r="E44" s="87"/>
      <c r="F44" s="200" t="s">
        <v>17</v>
      </c>
      <c r="G44" s="87"/>
      <c r="H44" s="87"/>
      <c r="I44" s="87"/>
    </row>
    <row r="45" spans="1:9" x14ac:dyDescent="0.25">
      <c r="B45" s="90">
        <v>0</v>
      </c>
      <c r="C45" s="90">
        <v>250</v>
      </c>
      <c r="D45" s="201">
        <v>0.8</v>
      </c>
      <c r="E45" s="87"/>
      <c r="F45" s="202">
        <v>0.8</v>
      </c>
      <c r="G45" s="87"/>
      <c r="H45" s="246"/>
      <c r="I45" s="246"/>
    </row>
    <row r="46" spans="1:9" x14ac:dyDescent="0.25">
      <c r="B46" s="90">
        <v>251</v>
      </c>
      <c r="C46" s="90">
        <v>1000</v>
      </c>
      <c r="D46" s="201">
        <v>0.8</v>
      </c>
      <c r="E46" s="87"/>
      <c r="F46" s="202">
        <v>0.75</v>
      </c>
      <c r="G46" s="87"/>
      <c r="H46" s="116"/>
      <c r="I46" s="117">
        <f t="shared" ref="I46:I53" si="0">+C45*$B$43</f>
        <v>154000000</v>
      </c>
    </row>
    <row r="47" spans="1:9" x14ac:dyDescent="0.25">
      <c r="B47" s="90">
        <v>1001</v>
      </c>
      <c r="C47" s="90">
        <v>1500</v>
      </c>
      <c r="D47" s="201">
        <v>0.9</v>
      </c>
      <c r="E47" s="87"/>
      <c r="F47" s="202">
        <v>0.75</v>
      </c>
      <c r="G47" s="87"/>
      <c r="H47" s="117">
        <f t="shared" ref="H47:H53" si="1">+B46*$B$43</f>
        <v>154616000</v>
      </c>
      <c r="I47" s="117">
        <f t="shared" si="0"/>
        <v>616000000</v>
      </c>
    </row>
    <row r="48" spans="1:9" x14ac:dyDescent="0.25">
      <c r="B48" s="90">
        <v>1501</v>
      </c>
      <c r="C48" s="90">
        <v>2500</v>
      </c>
      <c r="D48" s="201">
        <v>0.9</v>
      </c>
      <c r="E48" s="87"/>
      <c r="F48" s="202">
        <v>0.7</v>
      </c>
      <c r="G48" s="87"/>
      <c r="H48" s="117">
        <f t="shared" si="1"/>
        <v>616616000</v>
      </c>
      <c r="I48" s="117">
        <f t="shared" si="0"/>
        <v>924000000</v>
      </c>
    </row>
    <row r="49" spans="1:9" x14ac:dyDescent="0.25">
      <c r="B49" s="90">
        <v>2501</v>
      </c>
      <c r="C49" s="90">
        <v>3000</v>
      </c>
      <c r="D49" s="201">
        <v>1</v>
      </c>
      <c r="E49" s="87"/>
      <c r="F49" s="202">
        <v>0.7</v>
      </c>
      <c r="G49" s="87"/>
      <c r="H49" s="117">
        <f t="shared" si="1"/>
        <v>924616000</v>
      </c>
      <c r="I49" s="117">
        <f t="shared" si="0"/>
        <v>1540000000</v>
      </c>
    </row>
    <row r="50" spans="1:9" x14ac:dyDescent="0.25">
      <c r="B50" s="90">
        <v>3001</v>
      </c>
      <c r="C50" s="90">
        <v>3500</v>
      </c>
      <c r="D50" s="201">
        <v>1</v>
      </c>
      <c r="E50" s="87"/>
      <c r="F50" s="202">
        <v>0.68</v>
      </c>
      <c r="G50" s="87"/>
      <c r="H50" s="117">
        <f t="shared" si="1"/>
        <v>1540616000</v>
      </c>
      <c r="I50" s="117">
        <f t="shared" si="0"/>
        <v>1848000000</v>
      </c>
    </row>
    <row r="51" spans="1:9" x14ac:dyDescent="0.25">
      <c r="B51" s="90">
        <v>3501</v>
      </c>
      <c r="C51" s="90">
        <v>4500</v>
      </c>
      <c r="D51" s="201">
        <v>1.1000000000000001</v>
      </c>
      <c r="E51" s="87"/>
      <c r="F51" s="202">
        <v>0.68</v>
      </c>
      <c r="G51" s="87"/>
      <c r="H51" s="117">
        <f t="shared" si="1"/>
        <v>1848616000</v>
      </c>
      <c r="I51" s="117">
        <f t="shared" si="0"/>
        <v>2156000000</v>
      </c>
    </row>
    <row r="52" spans="1:9" x14ac:dyDescent="0.25">
      <c r="A52" s="84" t="s">
        <v>22</v>
      </c>
      <c r="B52" s="90">
        <v>4501</v>
      </c>
      <c r="C52" s="90"/>
      <c r="D52" s="201">
        <v>1.2</v>
      </c>
      <c r="E52" s="87"/>
      <c r="F52" s="202">
        <v>0.65</v>
      </c>
      <c r="G52" s="87"/>
      <c r="H52" s="117">
        <f t="shared" si="1"/>
        <v>2156616000</v>
      </c>
      <c r="I52" s="117">
        <f t="shared" si="0"/>
        <v>2772000000</v>
      </c>
    </row>
    <row r="53" spans="1:9" x14ac:dyDescent="0.25">
      <c r="G53" s="87"/>
      <c r="H53" s="117">
        <f t="shared" si="1"/>
        <v>2772616000</v>
      </c>
      <c r="I53" s="117">
        <f t="shared" si="0"/>
        <v>0</v>
      </c>
    </row>
  </sheetData>
  <mergeCells count="16">
    <mergeCell ref="A6:E6"/>
    <mergeCell ref="A1:E1"/>
    <mergeCell ref="B2:D2"/>
    <mergeCell ref="A3:E3"/>
    <mergeCell ref="B4:D4"/>
    <mergeCell ref="A5:E5"/>
    <mergeCell ref="B29:D29"/>
    <mergeCell ref="C33:D33"/>
    <mergeCell ref="C35:D35"/>
    <mergeCell ref="H45:I45"/>
    <mergeCell ref="C8:D8"/>
    <mergeCell ref="C9:D9"/>
    <mergeCell ref="C10:D10"/>
    <mergeCell ref="C17:D17"/>
    <mergeCell ref="C18:D18"/>
    <mergeCell ref="B28:D28"/>
  </mergeCells>
  <pageMargins left="0.7" right="0.7" top="0.75" bottom="0.75" header="0.3" footer="0.3"/>
  <pageSetup orientation="portrait" r:id="rId1"/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view="pageBreakPreview" topLeftCell="A5" zoomScale="110" zoomScaleNormal="100" zoomScaleSheetLayoutView="110" workbookViewId="0">
      <selection activeCell="B5" sqref="B5:H5"/>
    </sheetView>
  </sheetViews>
  <sheetFormatPr baseColWidth="10" defaultRowHeight="15" x14ac:dyDescent="0.25"/>
  <cols>
    <col min="1" max="1" width="2.28515625" style="143" customWidth="1"/>
    <col min="2" max="2" width="31.140625" bestFit="1" customWidth="1"/>
    <col min="3" max="3" width="24.5703125" customWidth="1"/>
    <col min="4" max="4" width="4.42578125" customWidth="1"/>
    <col min="5" max="5" width="18.85546875" customWidth="1"/>
    <col min="6" max="6" width="4" style="46" customWidth="1"/>
    <col min="7" max="7" width="19" customWidth="1"/>
    <col min="8" max="8" width="14" style="46" customWidth="1"/>
    <col min="9" max="9" width="4.140625" style="143" customWidth="1"/>
    <col min="10" max="10" width="12.5703125" bestFit="1" customWidth="1"/>
  </cols>
  <sheetData>
    <row r="1" spans="1:9" s="1" customFormat="1" ht="15.75" x14ac:dyDescent="0.25">
      <c r="A1" s="151"/>
      <c r="B1" s="272" t="s">
        <v>0</v>
      </c>
      <c r="C1" s="272"/>
      <c r="D1" s="272"/>
      <c r="E1" s="272"/>
      <c r="F1" s="272"/>
      <c r="G1" s="272"/>
      <c r="H1" s="272"/>
      <c r="I1" s="30"/>
    </row>
    <row r="2" spans="1:9" s="1" customFormat="1" ht="15.75" customHeight="1" x14ac:dyDescent="0.25">
      <c r="A2" s="2"/>
      <c r="B2" s="263" t="s">
        <v>1</v>
      </c>
      <c r="C2" s="263"/>
      <c r="D2" s="263"/>
      <c r="E2" s="263"/>
      <c r="F2" s="263"/>
      <c r="G2" s="263"/>
      <c r="H2" s="263"/>
      <c r="I2" s="5"/>
    </row>
    <row r="3" spans="1:9" s="1" customFormat="1" ht="20.25" customHeight="1" x14ac:dyDescent="0.25">
      <c r="A3" s="98"/>
      <c r="B3" s="263" t="s">
        <v>2</v>
      </c>
      <c r="C3" s="263"/>
      <c r="D3" s="263"/>
      <c r="E3" s="263"/>
      <c r="F3" s="263"/>
      <c r="G3" s="263"/>
      <c r="H3" s="263"/>
      <c r="I3" s="5"/>
    </row>
    <row r="4" spans="1:9" s="1" customFormat="1" ht="15.75" customHeight="1" x14ac:dyDescent="0.25">
      <c r="A4" s="152"/>
      <c r="B4" s="263" t="s">
        <v>28</v>
      </c>
      <c r="C4" s="263"/>
      <c r="D4" s="263"/>
      <c r="E4" s="263"/>
      <c r="F4" s="263"/>
      <c r="G4" s="263"/>
      <c r="H4" s="263"/>
      <c r="I4" s="5"/>
    </row>
    <row r="5" spans="1:9" s="1" customFormat="1" ht="78" customHeight="1" thickBot="1" x14ac:dyDescent="0.3">
      <c r="A5" s="3"/>
      <c r="B5" s="264" t="s">
        <v>29</v>
      </c>
      <c r="C5" s="264"/>
      <c r="D5" s="264"/>
      <c r="E5" s="264"/>
      <c r="F5" s="264"/>
      <c r="G5" s="264"/>
      <c r="H5" s="264"/>
      <c r="I5" s="5"/>
    </row>
    <row r="6" spans="1:9" s="1" customFormat="1" ht="14.25" thickBot="1" x14ac:dyDescent="0.3">
      <c r="A6" s="3"/>
      <c r="B6" s="6" t="s">
        <v>3</v>
      </c>
      <c r="C6" s="273" t="s">
        <v>224</v>
      </c>
      <c r="D6" s="273"/>
      <c r="E6" s="273"/>
      <c r="F6" s="273"/>
      <c r="G6" s="273"/>
      <c r="H6" s="274"/>
      <c r="I6" s="5"/>
    </row>
    <row r="7" spans="1:9" s="1" customFormat="1" ht="15.75" customHeight="1" thickBot="1" x14ac:dyDescent="0.3">
      <c r="A7" s="3"/>
      <c r="B7" s="26" t="s">
        <v>37</v>
      </c>
      <c r="C7" s="273">
        <v>47</v>
      </c>
      <c r="D7" s="273"/>
      <c r="E7" s="273"/>
      <c r="F7" s="273"/>
      <c r="G7" s="273"/>
      <c r="H7" s="274"/>
      <c r="I7" s="5"/>
    </row>
    <row r="8" spans="1:9" s="1" customFormat="1" ht="26.25" customHeight="1" x14ac:dyDescent="0.25">
      <c r="A8" s="3"/>
      <c r="B8" s="130" t="s">
        <v>23</v>
      </c>
      <c r="C8" s="278" t="s">
        <v>24</v>
      </c>
      <c r="D8" s="278"/>
      <c r="E8" s="278"/>
      <c r="F8" s="140"/>
      <c r="G8" s="278" t="s">
        <v>25</v>
      </c>
      <c r="H8" s="279"/>
      <c r="I8" s="5"/>
    </row>
    <row r="9" spans="1:9" s="20" customFormat="1" ht="13.5" x14ac:dyDescent="0.25">
      <c r="A9" s="3"/>
      <c r="B9" s="160"/>
      <c r="C9" s="271"/>
      <c r="D9" s="271"/>
      <c r="E9" s="271"/>
      <c r="F9" s="198"/>
      <c r="G9" s="280"/>
      <c r="H9" s="281"/>
      <c r="I9" s="5"/>
    </row>
    <row r="10" spans="1:9" s="20" customFormat="1" ht="13.5" x14ac:dyDescent="0.25">
      <c r="A10" s="3"/>
      <c r="B10" s="160">
        <v>23</v>
      </c>
      <c r="C10" s="271" t="s">
        <v>51</v>
      </c>
      <c r="D10" s="271"/>
      <c r="E10" s="271"/>
      <c r="F10" s="198"/>
      <c r="G10" s="280">
        <v>7538694410</v>
      </c>
      <c r="H10" s="281"/>
      <c r="I10" s="5"/>
    </row>
    <row r="11" spans="1:9" s="1" customFormat="1" ht="14.25" thickBot="1" x14ac:dyDescent="0.3">
      <c r="A11" s="3"/>
      <c r="B11" s="148"/>
      <c r="C11" s="149"/>
      <c r="D11" s="149"/>
      <c r="E11" s="149"/>
      <c r="F11" s="149"/>
      <c r="G11" s="149"/>
      <c r="H11" s="150"/>
      <c r="I11" s="5"/>
    </row>
    <row r="12" spans="1:9" s="1" customFormat="1" ht="15.75" customHeight="1" thickBot="1" x14ac:dyDescent="0.3">
      <c r="A12" s="3"/>
      <c r="B12" s="6" t="s">
        <v>4</v>
      </c>
      <c r="C12" s="54"/>
      <c r="D12" s="161"/>
      <c r="E12" s="161"/>
      <c r="F12" s="161"/>
      <c r="G12" s="282">
        <f>+SUM(G9:H10)</f>
        <v>7538694410</v>
      </c>
      <c r="H12" s="283"/>
      <c r="I12" s="5"/>
    </row>
    <row r="13" spans="1:9" s="1" customFormat="1" ht="15.75" customHeight="1" thickBot="1" x14ac:dyDescent="0.3">
      <c r="A13" s="3"/>
      <c r="B13" s="31" t="s">
        <v>5</v>
      </c>
      <c r="D13" s="162"/>
      <c r="E13" s="162"/>
      <c r="F13" s="162"/>
      <c r="G13" s="284">
        <f>ROUND(G12/616000,0)</f>
        <v>12238</v>
      </c>
      <c r="H13" s="285"/>
      <c r="I13" s="5"/>
    </row>
    <row r="14" spans="1:9" s="1" customFormat="1" ht="13.5" x14ac:dyDescent="0.25">
      <c r="A14" s="3"/>
      <c r="B14" s="136"/>
      <c r="C14" s="64"/>
      <c r="D14" s="65"/>
      <c r="E14" s="69"/>
      <c r="F14" s="29"/>
      <c r="G14" s="69"/>
      <c r="H14" s="29"/>
      <c r="I14" s="5"/>
    </row>
    <row r="15" spans="1:9" s="4" customFormat="1" ht="13.5" x14ac:dyDescent="0.25">
      <c r="A15" s="3"/>
      <c r="B15" s="18"/>
      <c r="C15" s="19"/>
      <c r="D15" s="56"/>
      <c r="I15" s="5"/>
    </row>
    <row r="16" spans="1:9" s="4" customFormat="1" ht="14.25" thickBot="1" x14ac:dyDescent="0.3">
      <c r="A16" s="3"/>
      <c r="B16" s="18" t="s">
        <v>19</v>
      </c>
      <c r="C16" s="19"/>
      <c r="D16" s="56"/>
      <c r="I16" s="5"/>
    </row>
    <row r="17" spans="1:9" s="4" customFormat="1" ht="13.5" x14ac:dyDescent="0.25">
      <c r="A17" s="3"/>
      <c r="B17" s="16" t="s">
        <v>13</v>
      </c>
      <c r="C17" s="67">
        <f>+IF($G$13&gt;$B$51,$D$51,IF(AND($G$13&gt;=$B$50,$G$13&lt;=$C$50),$D$50,IF(AND($G$13&gt;=$B$48,$G$13&lt;=$C$49),$D$48,IF(AND($G$13&gt;=$B$46,$G$13&lt;=$C$47),$D$46,IF(AND($G$13&gt;$B$44,$G$13&lt;=$C$45),$D$44)))))</f>
        <v>1.2</v>
      </c>
      <c r="D17" s="56"/>
      <c r="I17" s="5"/>
    </row>
    <row r="18" spans="1:9" s="4" customFormat="1" ht="14.25" thickBot="1" x14ac:dyDescent="0.3">
      <c r="A18" s="3"/>
      <c r="B18" s="17" t="s">
        <v>14</v>
      </c>
      <c r="C18" s="68">
        <f>+IF($G$13&gt;$B$51,$F$51,IF(AND($G$13&gt;=$B$49,$G$13&lt;=$C$50),$F$49,IF(AND($G$13&gt;=$B$47,$G$13&lt;=$C$48),$F$47,IF(AND($G$13&gt;=$B$45,$G$13&lt;=$C$46),$F$45,IF(AND($G$13&gt;$B$44,$G$13&lt;=$C$44),$F$44)))))</f>
        <v>0.65</v>
      </c>
      <c r="D18" s="56"/>
      <c r="I18" s="5"/>
    </row>
    <row r="19" spans="1:9" s="4" customFormat="1" ht="14.25" thickBot="1" x14ac:dyDescent="0.3">
      <c r="A19" s="3"/>
      <c r="B19" s="137"/>
      <c r="C19" s="32"/>
      <c r="D19" s="33"/>
      <c r="E19" s="25"/>
      <c r="F19" s="25"/>
      <c r="G19" s="25"/>
      <c r="H19" s="25"/>
      <c r="I19" s="5"/>
    </row>
    <row r="20" spans="1:9" s="22" customFormat="1" ht="42.75" customHeight="1" thickBot="1" x14ac:dyDescent="0.3">
      <c r="A20" s="3"/>
      <c r="B20" s="6" t="s">
        <v>18</v>
      </c>
      <c r="C20" s="232" t="s">
        <v>124</v>
      </c>
      <c r="D20" s="7"/>
      <c r="E20" s="159" t="s">
        <v>125</v>
      </c>
      <c r="F20" s="60"/>
      <c r="G20" s="159" t="s">
        <v>123</v>
      </c>
      <c r="H20" s="35"/>
      <c r="I20" s="5"/>
    </row>
    <row r="21" spans="1:9" s="22" customFormat="1" ht="13.5" customHeight="1" thickBot="1" x14ac:dyDescent="0.3">
      <c r="A21" s="3"/>
      <c r="B21" s="6" t="s">
        <v>31</v>
      </c>
      <c r="C21" s="59">
        <v>835001278</v>
      </c>
      <c r="D21" s="7"/>
      <c r="E21" s="157">
        <v>805010452</v>
      </c>
      <c r="F21" s="158"/>
      <c r="G21" s="157"/>
      <c r="H21" s="35"/>
      <c r="I21" s="5"/>
    </row>
    <row r="22" spans="1:9" s="22" customFormat="1" ht="14.25" thickBot="1" x14ac:dyDescent="0.3">
      <c r="A22" s="3"/>
      <c r="B22" s="138"/>
      <c r="C22" s="9"/>
      <c r="D22" s="9"/>
      <c r="E22" s="4"/>
      <c r="F22" s="4"/>
      <c r="G22" s="4"/>
      <c r="H22" s="4"/>
      <c r="I22" s="5"/>
    </row>
    <row r="23" spans="1:9" s="1" customFormat="1" ht="13.5" x14ac:dyDescent="0.25">
      <c r="A23" s="3"/>
      <c r="B23" s="10" t="s">
        <v>7</v>
      </c>
      <c r="C23" s="11">
        <f>325286*1000</f>
        <v>325286000</v>
      </c>
      <c r="D23" s="37"/>
      <c r="E23" s="11">
        <v>1850900</v>
      </c>
      <c r="F23" s="91"/>
      <c r="G23" s="11">
        <f>+E23+C23</f>
        <v>327136900</v>
      </c>
      <c r="H23" s="30"/>
      <c r="I23" s="5"/>
    </row>
    <row r="24" spans="1:9" s="1" customFormat="1" ht="13.5" x14ac:dyDescent="0.25">
      <c r="A24" s="3"/>
      <c r="B24" s="12" t="s">
        <v>8</v>
      </c>
      <c r="C24" s="13">
        <f>346750*1000</f>
        <v>346750000</v>
      </c>
      <c r="D24" s="38"/>
      <c r="E24" s="13">
        <v>262165900</v>
      </c>
      <c r="F24" s="19"/>
      <c r="G24" s="13">
        <f t="shared" ref="G24:G26" si="0">+E24+C24</f>
        <v>608915900</v>
      </c>
      <c r="H24" s="5"/>
      <c r="I24" s="5"/>
    </row>
    <row r="25" spans="1:9" s="1" customFormat="1" ht="13.5" x14ac:dyDescent="0.25">
      <c r="A25" s="3"/>
      <c r="B25" s="12" t="s">
        <v>9</v>
      </c>
      <c r="C25" s="13">
        <f>12705*1000</f>
        <v>12705000</v>
      </c>
      <c r="D25" s="38"/>
      <c r="E25" s="13">
        <v>11891020</v>
      </c>
      <c r="F25" s="19"/>
      <c r="G25" s="13">
        <f t="shared" si="0"/>
        <v>24596020</v>
      </c>
      <c r="H25" s="5"/>
      <c r="I25" s="5"/>
    </row>
    <row r="26" spans="1:9" s="1" customFormat="1" ht="14.25" thickBot="1" x14ac:dyDescent="0.3">
      <c r="A26" s="3"/>
      <c r="B26" s="14" t="s">
        <v>10</v>
      </c>
      <c r="C26" s="15">
        <f>30340*1000</f>
        <v>30340000</v>
      </c>
      <c r="D26" s="50"/>
      <c r="E26" s="13">
        <v>11891020</v>
      </c>
      <c r="F26" s="92"/>
      <c r="G26" s="15">
        <f t="shared" si="0"/>
        <v>42231020</v>
      </c>
      <c r="H26" s="21"/>
      <c r="I26" s="5"/>
    </row>
    <row r="27" spans="1:9" s="1" customFormat="1" ht="14.25" thickBot="1" x14ac:dyDescent="0.3">
      <c r="A27" s="3"/>
      <c r="B27" s="275" t="s">
        <v>11</v>
      </c>
      <c r="C27" s="276"/>
      <c r="D27" s="276"/>
      <c r="E27" s="276"/>
      <c r="F27" s="276"/>
      <c r="G27" s="276"/>
      <c r="H27" s="277"/>
      <c r="I27" s="5"/>
    </row>
    <row r="28" spans="1:9" s="1" customFormat="1" ht="14.25" thickBot="1" x14ac:dyDescent="0.3">
      <c r="A28" s="3"/>
      <c r="B28" s="275" t="s">
        <v>12</v>
      </c>
      <c r="C28" s="276"/>
      <c r="D28" s="276"/>
      <c r="E28" s="276"/>
      <c r="F28" s="276"/>
      <c r="G28" s="276"/>
      <c r="H28" s="277"/>
      <c r="I28" s="5"/>
    </row>
    <row r="29" spans="1:9" s="1" customFormat="1" ht="13.5" x14ac:dyDescent="0.25">
      <c r="A29" s="3"/>
      <c r="B29" s="16" t="s">
        <v>13</v>
      </c>
      <c r="C29" s="124">
        <f>+IFERROR(C23/C25,"INDETERMINADO")</f>
        <v>25.602990948445495</v>
      </c>
      <c r="D29" s="125"/>
      <c r="E29" s="124">
        <f>+IFERROR(E23/E25,"INDETERMINADO")</f>
        <v>0.15565527599819023</v>
      </c>
      <c r="F29" s="58"/>
      <c r="G29" s="124">
        <f>+IFERROR(G23/G25,"INDETERMINADO")</f>
        <v>13.300399820784014</v>
      </c>
      <c r="H29" s="40" t="str">
        <f>+IF(G29&gt;=C16,"CUMPLE","NO CUMPLE")</f>
        <v>CUMPLE</v>
      </c>
      <c r="I29" s="5"/>
    </row>
    <row r="30" spans="1:9" s="1" customFormat="1" ht="14.25" thickBot="1" x14ac:dyDescent="0.3">
      <c r="A30" s="3"/>
      <c r="B30" s="17" t="s">
        <v>14</v>
      </c>
      <c r="C30" s="41">
        <f>+C26/C24</f>
        <v>8.7498197548666182E-2</v>
      </c>
      <c r="D30" s="42"/>
      <c r="E30" s="41">
        <f>+E26/E24</f>
        <v>4.5356852283229818E-2</v>
      </c>
      <c r="F30" s="43"/>
      <c r="G30" s="41">
        <f>+G26/G24</f>
        <v>6.9354437944550304E-2</v>
      </c>
      <c r="H30" s="44" t="str">
        <f>+IF(G30&lt;=C17,"CUMPLE","NO CUMPLE")</f>
        <v>CUMPLE</v>
      </c>
      <c r="I30" s="5"/>
    </row>
    <row r="31" spans="1:9" s="20" customFormat="1" ht="14.25" thickBot="1" x14ac:dyDescent="0.3">
      <c r="A31" s="3"/>
      <c r="B31" s="139"/>
      <c r="C31" s="18"/>
      <c r="D31" s="19"/>
      <c r="F31" s="4"/>
      <c r="H31" s="4"/>
      <c r="I31" s="5"/>
    </row>
    <row r="32" spans="1:9" s="1" customFormat="1" ht="20.25" customHeight="1" thickBot="1" x14ac:dyDescent="0.3">
      <c r="A32" s="3"/>
      <c r="B32" s="6" t="s">
        <v>15</v>
      </c>
      <c r="C32" s="267" t="s">
        <v>36</v>
      </c>
      <c r="D32" s="267"/>
      <c r="E32" s="267"/>
      <c r="F32" s="267"/>
      <c r="G32" s="267"/>
      <c r="H32" s="268"/>
      <c r="I32" s="5"/>
    </row>
    <row r="33" spans="1:10" s="4" customFormat="1" ht="14.25" thickBot="1" x14ac:dyDescent="0.3">
      <c r="A33" s="3"/>
      <c r="B33" s="45"/>
      <c r="C33" s="45"/>
      <c r="D33" s="45"/>
      <c r="I33" s="5"/>
    </row>
    <row r="34" spans="1:10" s="46" customFormat="1" ht="36.75" customHeight="1" thickBot="1" x14ac:dyDescent="0.3">
      <c r="A34" s="153"/>
      <c r="B34" s="79" t="s">
        <v>26</v>
      </c>
      <c r="C34" s="244" t="s">
        <v>225</v>
      </c>
      <c r="D34" s="244"/>
      <c r="E34" s="244"/>
      <c r="F34" s="244"/>
      <c r="G34" s="244"/>
      <c r="H34" s="245"/>
      <c r="I34" s="5"/>
    </row>
    <row r="35" spans="1:10" s="46" customFormat="1" ht="15.75" thickBot="1" x14ac:dyDescent="0.3">
      <c r="A35" s="154"/>
      <c r="B35" s="155"/>
      <c r="C35" s="155"/>
      <c r="D35" s="25"/>
      <c r="E35" s="25"/>
      <c r="F35" s="25"/>
      <c r="G35" s="25"/>
      <c r="H35" s="156"/>
      <c r="I35" s="21"/>
    </row>
    <row r="36" spans="1:10" x14ac:dyDescent="0.25">
      <c r="D36" s="22"/>
      <c r="E36" s="22"/>
      <c r="F36" s="22"/>
      <c r="G36" s="22"/>
      <c r="H36" s="23"/>
      <c r="I36" s="4"/>
    </row>
    <row r="37" spans="1:10" x14ac:dyDescent="0.25">
      <c r="D37" s="22"/>
      <c r="E37" s="22"/>
      <c r="F37" s="22"/>
      <c r="G37" s="22"/>
      <c r="H37" s="23"/>
      <c r="I37" s="4"/>
    </row>
    <row r="38" spans="1:10" x14ac:dyDescent="0.25">
      <c r="D38" s="22"/>
      <c r="E38" s="22"/>
      <c r="F38" s="22"/>
      <c r="G38" s="22"/>
      <c r="H38" s="23"/>
      <c r="I38" s="4"/>
    </row>
    <row r="39" spans="1:10" x14ac:dyDescent="0.25">
      <c r="D39" s="22"/>
      <c r="E39" s="22"/>
      <c r="F39" s="22"/>
      <c r="G39" s="22"/>
      <c r="H39" s="23"/>
      <c r="I39" s="4"/>
    </row>
    <row r="40" spans="1:10" x14ac:dyDescent="0.25">
      <c r="D40" s="22"/>
      <c r="E40" s="22"/>
      <c r="F40" s="22"/>
      <c r="G40" s="22"/>
      <c r="H40" s="23"/>
      <c r="I40" s="4"/>
    </row>
    <row r="41" spans="1:10" x14ac:dyDescent="0.25">
      <c r="D41" s="22"/>
      <c r="E41" s="22"/>
      <c r="F41" s="22"/>
      <c r="G41" s="22"/>
      <c r="H41" s="22"/>
      <c r="I41" s="4"/>
    </row>
    <row r="42" spans="1:10" x14ac:dyDescent="0.25">
      <c r="B42" s="24">
        <v>616000</v>
      </c>
      <c r="D42" s="22"/>
      <c r="E42" s="22"/>
      <c r="F42" s="22"/>
      <c r="G42" s="22"/>
      <c r="H42" s="22"/>
      <c r="I42" s="4"/>
    </row>
    <row r="43" spans="1:10" x14ac:dyDescent="0.25">
      <c r="B43" s="141" t="s">
        <v>21</v>
      </c>
      <c r="C43" s="66" t="s">
        <v>20</v>
      </c>
      <c r="D43" s="265" t="s">
        <v>16</v>
      </c>
      <c r="E43" s="265"/>
      <c r="F43" s="265" t="s">
        <v>17</v>
      </c>
      <c r="G43" s="265"/>
    </row>
    <row r="44" spans="1:10" x14ac:dyDescent="0.25">
      <c r="B44" s="142">
        <v>0</v>
      </c>
      <c r="C44" s="55">
        <v>250</v>
      </c>
      <c r="D44" s="266">
        <v>0.8</v>
      </c>
      <c r="E44" s="266"/>
      <c r="F44" s="262">
        <v>0.8</v>
      </c>
      <c r="G44" s="262"/>
      <c r="H44" s="145"/>
      <c r="J44" s="147">
        <f t="shared" ref="J44:J51" si="1">+C44*$B$42</f>
        <v>154000000</v>
      </c>
    </row>
    <row r="45" spans="1:10" x14ac:dyDescent="0.25">
      <c r="B45" s="142">
        <v>251</v>
      </c>
      <c r="C45" s="55">
        <v>1000</v>
      </c>
      <c r="D45" s="266">
        <v>0.8</v>
      </c>
      <c r="E45" s="266"/>
      <c r="F45" s="262">
        <v>0.75</v>
      </c>
      <c r="G45" s="262"/>
      <c r="H45" s="146">
        <f t="shared" ref="H45:H51" si="2">+B45*$B$42</f>
        <v>154616000</v>
      </c>
      <c r="J45" s="147">
        <f t="shared" si="1"/>
        <v>616000000</v>
      </c>
    </row>
    <row r="46" spans="1:10" x14ac:dyDescent="0.25">
      <c r="B46" s="142">
        <v>1001</v>
      </c>
      <c r="C46" s="55">
        <v>1500</v>
      </c>
      <c r="D46" s="266">
        <v>0.9</v>
      </c>
      <c r="E46" s="266"/>
      <c r="F46" s="262">
        <v>0.75</v>
      </c>
      <c r="G46" s="262"/>
      <c r="H46" s="146">
        <f t="shared" si="2"/>
        <v>616616000</v>
      </c>
      <c r="J46" s="147">
        <f t="shared" si="1"/>
        <v>924000000</v>
      </c>
    </row>
    <row r="47" spans="1:10" x14ac:dyDescent="0.25">
      <c r="B47" s="142">
        <v>1501</v>
      </c>
      <c r="C47" s="55">
        <v>2500</v>
      </c>
      <c r="D47" s="266">
        <v>0.9</v>
      </c>
      <c r="E47" s="266"/>
      <c r="F47" s="262">
        <v>0.7</v>
      </c>
      <c r="G47" s="262"/>
      <c r="H47" s="146">
        <f t="shared" si="2"/>
        <v>924616000</v>
      </c>
      <c r="J47" s="147">
        <f t="shared" si="1"/>
        <v>1540000000</v>
      </c>
    </row>
    <row r="48" spans="1:10" x14ac:dyDescent="0.25">
      <c r="B48" s="142">
        <v>2501</v>
      </c>
      <c r="C48" s="55">
        <v>3000</v>
      </c>
      <c r="D48" s="266">
        <v>1</v>
      </c>
      <c r="E48" s="266"/>
      <c r="F48" s="262">
        <v>0.7</v>
      </c>
      <c r="G48" s="262"/>
      <c r="H48" s="146">
        <f t="shared" si="2"/>
        <v>1540616000</v>
      </c>
      <c r="J48" s="147">
        <f t="shared" si="1"/>
        <v>1848000000</v>
      </c>
    </row>
    <row r="49" spans="2:10" x14ac:dyDescent="0.25">
      <c r="B49" s="142">
        <v>3001</v>
      </c>
      <c r="C49" s="55">
        <v>3500</v>
      </c>
      <c r="D49" s="266">
        <v>1</v>
      </c>
      <c r="E49" s="266"/>
      <c r="F49" s="262">
        <v>0.68</v>
      </c>
      <c r="G49" s="262"/>
      <c r="H49" s="146">
        <f t="shared" si="2"/>
        <v>1848616000</v>
      </c>
      <c r="J49" s="147">
        <f t="shared" si="1"/>
        <v>2156000000</v>
      </c>
    </row>
    <row r="50" spans="2:10" x14ac:dyDescent="0.25">
      <c r="B50" s="142">
        <v>3501</v>
      </c>
      <c r="C50" s="55">
        <v>4500</v>
      </c>
      <c r="D50" s="266">
        <v>1.1000000000000001</v>
      </c>
      <c r="E50" s="266"/>
      <c r="F50" s="262">
        <v>0.68</v>
      </c>
      <c r="G50" s="262"/>
      <c r="H50" s="146">
        <f t="shared" si="2"/>
        <v>2156616000</v>
      </c>
      <c r="J50" s="147">
        <f t="shared" si="1"/>
        <v>2772000000</v>
      </c>
    </row>
    <row r="51" spans="2:10" x14ac:dyDescent="0.25">
      <c r="B51" s="142">
        <v>4501</v>
      </c>
      <c r="C51" s="55"/>
      <c r="D51" s="266">
        <v>1.2</v>
      </c>
      <c r="E51" s="266"/>
      <c r="F51" s="262">
        <v>0.65</v>
      </c>
      <c r="G51" s="262"/>
      <c r="H51" s="146">
        <f t="shared" si="2"/>
        <v>2772616000</v>
      </c>
      <c r="J51" s="147">
        <f t="shared" si="1"/>
        <v>0</v>
      </c>
    </row>
  </sheetData>
  <mergeCells count="37">
    <mergeCell ref="C6:H6"/>
    <mergeCell ref="B1:H1"/>
    <mergeCell ref="B2:H2"/>
    <mergeCell ref="B3:H3"/>
    <mergeCell ref="B4:H4"/>
    <mergeCell ref="B5:H5"/>
    <mergeCell ref="G12:H12"/>
    <mergeCell ref="G13:H13"/>
    <mergeCell ref="B27:H27"/>
    <mergeCell ref="B28:H28"/>
    <mergeCell ref="C7:H7"/>
    <mergeCell ref="C8:E8"/>
    <mergeCell ref="G8:H8"/>
    <mergeCell ref="C9:E9"/>
    <mergeCell ref="G9:H9"/>
    <mergeCell ref="C10:E10"/>
    <mergeCell ref="G10:H10"/>
    <mergeCell ref="C32:H32"/>
    <mergeCell ref="C34:H34"/>
    <mergeCell ref="D43:E43"/>
    <mergeCell ref="F43:G43"/>
    <mergeCell ref="D44:E44"/>
    <mergeCell ref="F44:G44"/>
    <mergeCell ref="D45:E45"/>
    <mergeCell ref="F45:G45"/>
    <mergeCell ref="D46:E46"/>
    <mergeCell ref="F46:G46"/>
    <mergeCell ref="D47:E47"/>
    <mergeCell ref="F47:G47"/>
    <mergeCell ref="D51:E51"/>
    <mergeCell ref="F51:G51"/>
    <mergeCell ref="D48:E48"/>
    <mergeCell ref="F48:G48"/>
    <mergeCell ref="D49:E49"/>
    <mergeCell ref="F49:G49"/>
    <mergeCell ref="D50:E50"/>
    <mergeCell ref="F50:G50"/>
  </mergeCells>
  <pageMargins left="0.70866141732283472" right="0.70866141732283472" top="0.74803149606299213" bottom="0.74803149606299213" header="0.31496062992125984" footer="0.31496062992125984"/>
  <pageSetup scale="79" orientation="landscape" r:id="rId1"/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"/>
  <sheetViews>
    <sheetView view="pageBreakPreview" zoomScale="120" zoomScaleNormal="100" zoomScaleSheetLayoutView="120" workbookViewId="0">
      <selection activeCell="D15" sqref="D15"/>
    </sheetView>
  </sheetViews>
  <sheetFormatPr baseColWidth="10" defaultRowHeight="13.5" x14ac:dyDescent="0.25"/>
  <cols>
    <col min="1" max="1" width="3.140625" style="84" customWidth="1"/>
    <col min="2" max="2" width="41.42578125" style="84" customWidth="1"/>
    <col min="3" max="3" width="27.7109375" style="84" customWidth="1"/>
    <col min="4" max="4" width="21.7109375" style="84" customWidth="1"/>
    <col min="5" max="5" width="3.5703125" style="84" customWidth="1"/>
    <col min="6" max="6" width="16.5703125" style="84" customWidth="1"/>
    <col min="7" max="7" width="3.140625" style="84" customWidth="1"/>
    <col min="8" max="8" width="18.140625" style="84" customWidth="1"/>
    <col min="9" max="9" width="12.7109375" style="84" bestFit="1" customWidth="1"/>
    <col min="10" max="16384" width="11.42578125" style="84"/>
  </cols>
  <sheetData>
    <row r="1" spans="1:5" s="93" customFormat="1" ht="15.75" x14ac:dyDescent="0.25">
      <c r="A1" s="253" t="s">
        <v>0</v>
      </c>
      <c r="B1" s="254"/>
      <c r="C1" s="254"/>
      <c r="D1" s="254"/>
      <c r="E1" s="255"/>
    </row>
    <row r="2" spans="1:5" s="93" customFormat="1" ht="15.75" x14ac:dyDescent="0.25">
      <c r="A2" s="196"/>
      <c r="B2" s="256" t="s">
        <v>1</v>
      </c>
      <c r="C2" s="256"/>
      <c r="D2" s="256"/>
      <c r="E2" s="95"/>
    </row>
    <row r="3" spans="1:5" s="93" customFormat="1" ht="15.75" x14ac:dyDescent="0.25">
      <c r="A3" s="257" t="s">
        <v>27</v>
      </c>
      <c r="B3" s="256"/>
      <c r="C3" s="256"/>
      <c r="D3" s="256"/>
      <c r="E3" s="258"/>
    </row>
    <row r="4" spans="1:5" s="93" customFormat="1" ht="20.25" x14ac:dyDescent="0.3">
      <c r="A4" s="96"/>
      <c r="B4" s="256" t="s">
        <v>2</v>
      </c>
      <c r="C4" s="256"/>
      <c r="D4" s="256"/>
      <c r="E4" s="97"/>
    </row>
    <row r="5" spans="1:5" s="93" customFormat="1" ht="15.75" x14ac:dyDescent="0.25">
      <c r="A5" s="257" t="s">
        <v>28</v>
      </c>
      <c r="B5" s="256"/>
      <c r="C5" s="256"/>
      <c r="D5" s="256"/>
      <c r="E5" s="258"/>
    </row>
    <row r="6" spans="1:5" s="93" customFormat="1" ht="98.25" customHeight="1" x14ac:dyDescent="0.25">
      <c r="A6" s="259" t="s">
        <v>29</v>
      </c>
      <c r="B6" s="260"/>
      <c r="C6" s="260"/>
      <c r="D6" s="260"/>
      <c r="E6" s="261"/>
    </row>
    <row r="7" spans="1:5" s="93" customFormat="1" ht="14.25" thickBot="1" x14ac:dyDescent="0.3">
      <c r="A7" s="98"/>
      <c r="B7" s="70"/>
      <c r="C7" s="70"/>
      <c r="D7" s="70"/>
      <c r="E7" s="75"/>
    </row>
    <row r="8" spans="1:5" s="93" customFormat="1" ht="14.25" thickBot="1" x14ac:dyDescent="0.3">
      <c r="A8" s="98"/>
      <c r="B8" s="72" t="s">
        <v>3</v>
      </c>
      <c r="C8" s="247" t="s">
        <v>97</v>
      </c>
      <c r="D8" s="248"/>
      <c r="E8" s="75"/>
    </row>
    <row r="9" spans="1:5" s="93" customFormat="1" ht="14.25" thickBot="1" x14ac:dyDescent="0.3">
      <c r="A9" s="98"/>
      <c r="B9" s="72" t="s">
        <v>38</v>
      </c>
      <c r="C9" s="247">
        <v>48</v>
      </c>
      <c r="D9" s="248"/>
      <c r="E9" s="75"/>
    </row>
    <row r="10" spans="1:5" s="93" customFormat="1" ht="14.25" thickBot="1" x14ac:dyDescent="0.3">
      <c r="A10" s="98"/>
      <c r="B10" s="79" t="s">
        <v>6</v>
      </c>
      <c r="C10" s="247">
        <v>830125802</v>
      </c>
      <c r="D10" s="248"/>
      <c r="E10" s="75"/>
    </row>
    <row r="11" spans="1:5" s="93" customFormat="1" x14ac:dyDescent="0.25">
      <c r="A11" s="98"/>
      <c r="B11" s="130" t="s">
        <v>23</v>
      </c>
      <c r="C11" s="197" t="s">
        <v>98</v>
      </c>
      <c r="D11" s="199" t="s">
        <v>25</v>
      </c>
      <c r="E11" s="75"/>
    </row>
    <row r="12" spans="1:5" s="93" customFormat="1" x14ac:dyDescent="0.25">
      <c r="A12" s="98"/>
      <c r="B12" s="133"/>
      <c r="C12" s="135"/>
      <c r="D12" s="99"/>
      <c r="E12" s="75"/>
    </row>
    <row r="13" spans="1:5" s="93" customFormat="1" ht="25.5" x14ac:dyDescent="0.25">
      <c r="A13" s="98"/>
      <c r="B13" s="133">
        <v>15</v>
      </c>
      <c r="C13" s="135" t="s">
        <v>231</v>
      </c>
      <c r="D13" s="134">
        <v>9251084830</v>
      </c>
      <c r="E13" s="75"/>
    </row>
    <row r="14" spans="1:5" s="93" customFormat="1" x14ac:dyDescent="0.25">
      <c r="A14" s="98"/>
      <c r="B14" s="133">
        <v>14</v>
      </c>
      <c r="C14" s="135" t="s">
        <v>232</v>
      </c>
      <c r="D14" s="134">
        <v>5682212601</v>
      </c>
      <c r="E14" s="75"/>
    </row>
    <row r="15" spans="1:5" s="93" customFormat="1" x14ac:dyDescent="0.25">
      <c r="A15" s="98"/>
      <c r="B15" s="133">
        <v>6</v>
      </c>
      <c r="C15" s="135" t="s">
        <v>233</v>
      </c>
      <c r="D15" s="134">
        <v>2130046620</v>
      </c>
      <c r="E15" s="75"/>
    </row>
    <row r="16" spans="1:5" s="93" customFormat="1" ht="14.25" thickBot="1" x14ac:dyDescent="0.3">
      <c r="A16" s="98"/>
      <c r="B16" s="133"/>
      <c r="C16" s="135"/>
      <c r="D16" s="184"/>
      <c r="E16" s="75"/>
    </row>
    <row r="17" spans="1:9" s="93" customFormat="1" ht="14.25" thickBot="1" x14ac:dyDescent="0.3">
      <c r="A17" s="98"/>
      <c r="B17" s="72" t="s">
        <v>30</v>
      </c>
      <c r="C17" s="249">
        <f>+SUM(D13:D16)</f>
        <v>17063344051</v>
      </c>
      <c r="D17" s="250"/>
      <c r="E17" s="75"/>
    </row>
    <row r="18" spans="1:9" s="93" customFormat="1" ht="14.25" thickBot="1" x14ac:dyDescent="0.3">
      <c r="A18" s="98"/>
      <c r="B18" s="332" t="s">
        <v>5</v>
      </c>
      <c r="C18" s="333">
        <f>+ROUND(C17/616000,0)</f>
        <v>27700</v>
      </c>
      <c r="D18" s="334"/>
      <c r="E18" s="75"/>
      <c r="F18" s="219"/>
    </row>
    <row r="19" spans="1:9" s="93" customFormat="1" x14ac:dyDescent="0.25">
      <c r="A19" s="98"/>
      <c r="B19" s="70"/>
      <c r="C19" s="70"/>
      <c r="D19" s="99"/>
      <c r="E19" s="75"/>
    </row>
    <row r="20" spans="1:9" s="93" customFormat="1" ht="14.25" thickBot="1" x14ac:dyDescent="0.3">
      <c r="A20" s="98"/>
      <c r="B20" s="100" t="s">
        <v>19</v>
      </c>
      <c r="C20" s="76"/>
      <c r="D20" s="99"/>
      <c r="E20" s="75"/>
    </row>
    <row r="21" spans="1:9" s="93" customFormat="1" x14ac:dyDescent="0.25">
      <c r="A21" s="98"/>
      <c r="B21" s="77" t="s">
        <v>13</v>
      </c>
      <c r="C21" s="85">
        <f>+IF($C$18&gt;$B$52,$D$52,IF(AND($C$18&gt;=$B$51,$C$18&lt;=$C$51),$D$51,IF(AND($C$18&gt;=$B$49,$C$18&lt;=$C$50),$D$49,IF(AND($C$18&gt;=$B$47,$C$18&lt;=$C$48),$D$47,IF(AND($C$18&gt;$B$45,$C$18&lt;=$C$46),$D$45)))))</f>
        <v>1.2</v>
      </c>
      <c r="D21" s="99"/>
      <c r="E21" s="75"/>
      <c r="F21" s="219"/>
    </row>
    <row r="22" spans="1:9" s="93" customFormat="1" ht="14.25" thickBot="1" x14ac:dyDescent="0.3">
      <c r="A22" s="98"/>
      <c r="B22" s="78" t="s">
        <v>14</v>
      </c>
      <c r="C22" s="86">
        <f>+IF($C$18&gt;$B$52,$F$52,IF(AND($C$18&gt;=$B$50,$C$18&lt;=$C$51),$F$50,IF(AND($C$18&gt;=$B$48,$C$18&lt;=$C$49),$F$48,IF(AND($C$18&gt;=$B$46,$C$18&lt;=$C$47),$F$46,IF(AND($C$18&gt;$B$45,$C$18&lt;=$C$45),$F$45)))))</f>
        <v>0.65</v>
      </c>
      <c r="D22" s="99"/>
      <c r="E22" s="75"/>
    </row>
    <row r="23" spans="1:9" s="93" customFormat="1" ht="14.25" thickBot="1" x14ac:dyDescent="0.3">
      <c r="A23" s="98"/>
      <c r="B23" s="101"/>
      <c r="C23" s="102"/>
      <c r="D23" s="103"/>
      <c r="E23" s="75"/>
    </row>
    <row r="24" spans="1:9" s="93" customFormat="1" x14ac:dyDescent="0.25">
      <c r="A24" s="98"/>
      <c r="B24" s="80" t="s">
        <v>7</v>
      </c>
      <c r="C24" s="127">
        <v>768153900</v>
      </c>
      <c r="D24" s="104"/>
      <c r="E24" s="75"/>
      <c r="F24" s="219"/>
    </row>
    <row r="25" spans="1:9" s="93" customFormat="1" x14ac:dyDescent="0.25">
      <c r="A25" s="98"/>
      <c r="B25" s="81" t="s">
        <v>8</v>
      </c>
      <c r="C25" s="129">
        <v>1132768851</v>
      </c>
      <c r="D25" s="105"/>
      <c r="E25" s="75"/>
    </row>
    <row r="26" spans="1:9" s="93" customFormat="1" x14ac:dyDescent="0.25">
      <c r="A26" s="98"/>
      <c r="B26" s="81" t="s">
        <v>9</v>
      </c>
      <c r="C26" s="129">
        <v>539175153</v>
      </c>
      <c r="D26" s="105"/>
      <c r="E26" s="75"/>
    </row>
    <row r="27" spans="1:9" s="93" customFormat="1" ht="14.25" thickBot="1" x14ac:dyDescent="0.3">
      <c r="A27" s="98"/>
      <c r="B27" s="82" t="s">
        <v>10</v>
      </c>
      <c r="C27" s="128">
        <v>734715153</v>
      </c>
      <c r="D27" s="107"/>
      <c r="E27" s="75"/>
      <c r="F27" s="219"/>
    </row>
    <row r="28" spans="1:9" s="93" customFormat="1" ht="14.25" thickBot="1" x14ac:dyDescent="0.3">
      <c r="A28" s="98"/>
      <c r="B28" s="286" t="s">
        <v>11</v>
      </c>
      <c r="C28" s="287"/>
      <c r="D28" s="288"/>
      <c r="E28" s="75"/>
    </row>
    <row r="29" spans="1:9" s="93" customFormat="1" ht="14.25" thickBot="1" x14ac:dyDescent="0.3">
      <c r="A29" s="98"/>
      <c r="B29" s="241" t="s">
        <v>12</v>
      </c>
      <c r="C29" s="242"/>
      <c r="D29" s="243"/>
      <c r="E29" s="75"/>
    </row>
    <row r="30" spans="1:9" s="93" customFormat="1" ht="16.5" x14ac:dyDescent="0.3">
      <c r="A30" s="98"/>
      <c r="B30" s="77" t="s">
        <v>13</v>
      </c>
      <c r="C30" s="126">
        <f>+IFERROR(C24/C26,"INDETERMINADO")</f>
        <v>1.4246834182286585</v>
      </c>
      <c r="D30" s="118" t="str">
        <f>+IF(C30&gt;=C21,"CUMPLE","NO CUMPLE")</f>
        <v>CUMPLE</v>
      </c>
      <c r="E30" s="75"/>
      <c r="F30" s="219"/>
    </row>
    <row r="31" spans="1:9" s="93" customFormat="1" ht="17.25" thickBot="1" x14ac:dyDescent="0.35">
      <c r="A31" s="98"/>
      <c r="B31" s="78" t="s">
        <v>14</v>
      </c>
      <c r="C31" s="120">
        <f>+C27/C25</f>
        <v>0.64860112665650971</v>
      </c>
      <c r="D31" s="119" t="str">
        <f>+IF(C31&lt;=C22,"CUMPLE","NO CUMPLE")</f>
        <v>CUMPLE</v>
      </c>
      <c r="E31" s="75"/>
    </row>
    <row r="32" spans="1:9" s="110" customFormat="1" ht="14.25" thickBot="1" x14ac:dyDescent="0.3">
      <c r="A32" s="98"/>
      <c r="B32" s="108"/>
      <c r="C32" s="100"/>
      <c r="D32" s="76"/>
      <c r="E32" s="109"/>
      <c r="G32" s="93"/>
      <c r="H32" s="93"/>
      <c r="I32" s="93"/>
    </row>
    <row r="33" spans="1:9" s="93" customFormat="1" ht="41.25" customHeight="1" thickBot="1" x14ac:dyDescent="0.3">
      <c r="A33" s="98"/>
      <c r="B33" s="72" t="s">
        <v>15</v>
      </c>
      <c r="C33" s="244" t="s">
        <v>49</v>
      </c>
      <c r="D33" s="245"/>
      <c r="E33" s="75"/>
      <c r="G33" s="110"/>
      <c r="H33" s="110"/>
      <c r="I33" s="110"/>
    </row>
    <row r="34" spans="1:9" s="70" customFormat="1" ht="14.25" thickBot="1" x14ac:dyDescent="0.3">
      <c r="A34" s="98"/>
      <c r="B34" s="83"/>
      <c r="C34" s="83"/>
      <c r="D34" s="83"/>
      <c r="E34" s="75"/>
      <c r="G34" s="93"/>
      <c r="H34" s="93"/>
      <c r="I34" s="93"/>
    </row>
    <row r="35" spans="1:9" s="70" customFormat="1" ht="45.75" customHeight="1" thickBot="1" x14ac:dyDescent="0.3">
      <c r="A35" s="98"/>
      <c r="B35" s="72" t="s">
        <v>26</v>
      </c>
      <c r="C35" s="244"/>
      <c r="D35" s="245"/>
      <c r="E35" s="75"/>
    </row>
    <row r="36" spans="1:9" s="70" customFormat="1" ht="14.25" thickBot="1" x14ac:dyDescent="0.3">
      <c r="A36" s="111"/>
      <c r="B36" s="112"/>
      <c r="C36" s="112"/>
      <c r="D36" s="112"/>
      <c r="E36" s="71"/>
    </row>
    <row r="37" spans="1:9" s="70" customFormat="1" x14ac:dyDescent="0.25">
      <c r="B37" s="83"/>
      <c r="C37" s="83"/>
      <c r="D37" s="83"/>
    </row>
    <row r="38" spans="1:9" s="70" customFormat="1" x14ac:dyDescent="0.25">
      <c r="B38" s="83"/>
      <c r="C38" s="83"/>
      <c r="D38" s="83"/>
    </row>
    <row r="39" spans="1:9" s="70" customFormat="1" x14ac:dyDescent="0.25">
      <c r="B39" s="83"/>
      <c r="C39" s="83"/>
      <c r="D39" s="83"/>
    </row>
    <row r="40" spans="1:9" s="70" customFormat="1" x14ac:dyDescent="0.25">
      <c r="B40" s="83"/>
      <c r="C40" s="83"/>
      <c r="D40" s="83"/>
    </row>
    <row r="41" spans="1:9" x14ac:dyDescent="0.25">
      <c r="G41" s="70"/>
      <c r="H41" s="70"/>
      <c r="I41" s="70"/>
    </row>
    <row r="42" spans="1:9" x14ac:dyDescent="0.25">
      <c r="B42" s="100"/>
      <c r="C42" s="70"/>
    </row>
    <row r="43" spans="1:9" x14ac:dyDescent="0.25">
      <c r="B43" s="88">
        <v>616000</v>
      </c>
      <c r="C43" s="87"/>
      <c r="D43" s="87"/>
      <c r="E43" s="87"/>
      <c r="F43" s="87"/>
    </row>
    <row r="44" spans="1:9" ht="25.5" x14ac:dyDescent="0.25">
      <c r="B44" s="89" t="s">
        <v>21</v>
      </c>
      <c r="C44" s="89" t="s">
        <v>20</v>
      </c>
      <c r="D44" s="200" t="s">
        <v>16</v>
      </c>
      <c r="E44" s="87"/>
      <c r="F44" s="200" t="s">
        <v>17</v>
      </c>
      <c r="G44" s="87"/>
      <c r="H44" s="87"/>
      <c r="I44" s="87"/>
    </row>
    <row r="45" spans="1:9" x14ac:dyDescent="0.25">
      <c r="B45" s="90">
        <v>0</v>
      </c>
      <c r="C45" s="90">
        <v>250</v>
      </c>
      <c r="D45" s="201">
        <v>0.8</v>
      </c>
      <c r="E45" s="87"/>
      <c r="F45" s="202">
        <v>0.8</v>
      </c>
      <c r="G45" s="87"/>
      <c r="H45" s="246"/>
      <c r="I45" s="246"/>
    </row>
    <row r="46" spans="1:9" x14ac:dyDescent="0.25">
      <c r="B46" s="90">
        <v>251</v>
      </c>
      <c r="C46" s="90">
        <v>1000</v>
      </c>
      <c r="D46" s="201">
        <v>0.8</v>
      </c>
      <c r="E46" s="87"/>
      <c r="F46" s="202">
        <v>0.75</v>
      </c>
      <c r="G46" s="87"/>
      <c r="H46" s="116"/>
      <c r="I46" s="117">
        <f t="shared" ref="I46:I53" si="0">+C45*$B$43</f>
        <v>154000000</v>
      </c>
    </row>
    <row r="47" spans="1:9" x14ac:dyDescent="0.25">
      <c r="B47" s="90">
        <v>1001</v>
      </c>
      <c r="C47" s="90">
        <v>1500</v>
      </c>
      <c r="D47" s="201">
        <v>0.9</v>
      </c>
      <c r="E47" s="87"/>
      <c r="F47" s="202">
        <v>0.75</v>
      </c>
      <c r="G47" s="87"/>
      <c r="H47" s="117">
        <f t="shared" ref="H47:H53" si="1">+B46*$B$43</f>
        <v>154616000</v>
      </c>
      <c r="I47" s="117">
        <f t="shared" si="0"/>
        <v>616000000</v>
      </c>
    </row>
    <row r="48" spans="1:9" x14ac:dyDescent="0.25">
      <c r="B48" s="90">
        <v>1501</v>
      </c>
      <c r="C48" s="90">
        <v>2500</v>
      </c>
      <c r="D48" s="201">
        <v>0.9</v>
      </c>
      <c r="E48" s="87"/>
      <c r="F48" s="202">
        <v>0.7</v>
      </c>
      <c r="G48" s="87"/>
      <c r="H48" s="117">
        <f t="shared" si="1"/>
        <v>616616000</v>
      </c>
      <c r="I48" s="117">
        <f t="shared" si="0"/>
        <v>924000000</v>
      </c>
    </row>
    <row r="49" spans="1:9" x14ac:dyDescent="0.25">
      <c r="B49" s="90">
        <v>2501</v>
      </c>
      <c r="C49" s="90">
        <v>3000</v>
      </c>
      <c r="D49" s="201">
        <v>1</v>
      </c>
      <c r="E49" s="87"/>
      <c r="F49" s="202">
        <v>0.7</v>
      </c>
      <c r="G49" s="87"/>
      <c r="H49" s="117">
        <f t="shared" si="1"/>
        <v>924616000</v>
      </c>
      <c r="I49" s="117">
        <f t="shared" si="0"/>
        <v>1540000000</v>
      </c>
    </row>
    <row r="50" spans="1:9" x14ac:dyDescent="0.25">
      <c r="B50" s="90">
        <v>3001</v>
      </c>
      <c r="C50" s="90">
        <v>3500</v>
      </c>
      <c r="D50" s="201">
        <v>1</v>
      </c>
      <c r="E50" s="87"/>
      <c r="F50" s="202">
        <v>0.68</v>
      </c>
      <c r="G50" s="87"/>
      <c r="H50" s="117">
        <f t="shared" si="1"/>
        <v>1540616000</v>
      </c>
      <c r="I50" s="117">
        <f t="shared" si="0"/>
        <v>1848000000</v>
      </c>
    </row>
    <row r="51" spans="1:9" x14ac:dyDescent="0.25">
      <c r="B51" s="90">
        <v>3501</v>
      </c>
      <c r="C51" s="90">
        <v>4500</v>
      </c>
      <c r="D51" s="201">
        <v>1.1000000000000001</v>
      </c>
      <c r="E51" s="87"/>
      <c r="F51" s="202">
        <v>0.68</v>
      </c>
      <c r="G51" s="87"/>
      <c r="H51" s="117">
        <f t="shared" si="1"/>
        <v>1848616000</v>
      </c>
      <c r="I51" s="117">
        <f t="shared" si="0"/>
        <v>2156000000</v>
      </c>
    </row>
    <row r="52" spans="1:9" x14ac:dyDescent="0.25">
      <c r="A52" s="84" t="s">
        <v>22</v>
      </c>
      <c r="B52" s="90">
        <v>4501</v>
      </c>
      <c r="C52" s="90"/>
      <c r="D52" s="201">
        <v>1.2</v>
      </c>
      <c r="E52" s="87"/>
      <c r="F52" s="202">
        <v>0.65</v>
      </c>
      <c r="G52" s="87"/>
      <c r="H52" s="117">
        <f t="shared" si="1"/>
        <v>2156616000</v>
      </c>
      <c r="I52" s="117">
        <f t="shared" si="0"/>
        <v>2772000000</v>
      </c>
    </row>
    <row r="53" spans="1:9" x14ac:dyDescent="0.25">
      <c r="G53" s="87"/>
      <c r="H53" s="117">
        <f t="shared" si="1"/>
        <v>2772616000</v>
      </c>
      <c r="I53" s="117">
        <f t="shared" si="0"/>
        <v>0</v>
      </c>
    </row>
  </sheetData>
  <mergeCells count="16">
    <mergeCell ref="A6:E6"/>
    <mergeCell ref="A1:E1"/>
    <mergeCell ref="B2:D2"/>
    <mergeCell ref="A3:E3"/>
    <mergeCell ref="B4:D4"/>
    <mergeCell ref="A5:E5"/>
    <mergeCell ref="B29:D29"/>
    <mergeCell ref="C33:D33"/>
    <mergeCell ref="C35:D35"/>
    <mergeCell ref="H45:I45"/>
    <mergeCell ref="C8:D8"/>
    <mergeCell ref="C9:D9"/>
    <mergeCell ref="C10:D10"/>
    <mergeCell ref="C17:D17"/>
    <mergeCell ref="C18:D18"/>
    <mergeCell ref="B28:D28"/>
  </mergeCells>
  <pageMargins left="0.7" right="0.7" top="0.75" bottom="0.75" header="0.3" footer="0.3"/>
  <pageSetup scale="92" orientation="portrait" r:id="rId1"/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"/>
  <sheetViews>
    <sheetView view="pageBreakPreview" topLeftCell="A8" zoomScale="110" zoomScaleNormal="100" zoomScaleSheetLayoutView="110" workbookViewId="0">
      <selection activeCell="C13" sqref="C13"/>
    </sheetView>
  </sheetViews>
  <sheetFormatPr baseColWidth="10" defaultRowHeight="13.5" x14ac:dyDescent="0.25"/>
  <cols>
    <col min="1" max="1" width="3.140625" style="84" customWidth="1"/>
    <col min="2" max="2" width="33.5703125" style="84" customWidth="1"/>
    <col min="3" max="3" width="27.7109375" style="84" customWidth="1"/>
    <col min="4" max="4" width="21.7109375" style="84" customWidth="1"/>
    <col min="5" max="5" width="3.5703125" style="84" customWidth="1"/>
    <col min="6" max="6" width="16.5703125" style="84" customWidth="1"/>
    <col min="7" max="7" width="3.140625" style="84" customWidth="1"/>
    <col min="8" max="8" width="18.140625" style="84" customWidth="1"/>
    <col min="9" max="9" width="12.7109375" style="84" bestFit="1" customWidth="1"/>
    <col min="10" max="16384" width="11.42578125" style="84"/>
  </cols>
  <sheetData>
    <row r="1" spans="1:5" s="93" customFormat="1" ht="20.25" customHeight="1" x14ac:dyDescent="0.25">
      <c r="A1" s="253" t="s">
        <v>0</v>
      </c>
      <c r="B1" s="254"/>
      <c r="C1" s="254"/>
      <c r="D1" s="254"/>
      <c r="E1" s="255"/>
    </row>
    <row r="2" spans="1:5" s="93" customFormat="1" ht="15.75" customHeight="1" x14ac:dyDescent="0.25">
      <c r="A2" s="172"/>
      <c r="B2" s="256" t="s">
        <v>1</v>
      </c>
      <c r="C2" s="256"/>
      <c r="D2" s="256"/>
      <c r="E2" s="95"/>
    </row>
    <row r="3" spans="1:5" s="93" customFormat="1" ht="15.75" customHeight="1" x14ac:dyDescent="0.25">
      <c r="A3" s="257" t="s">
        <v>27</v>
      </c>
      <c r="B3" s="256"/>
      <c r="C3" s="256"/>
      <c r="D3" s="256"/>
      <c r="E3" s="258"/>
    </row>
    <row r="4" spans="1:5" s="93" customFormat="1" ht="20.25" x14ac:dyDescent="0.3">
      <c r="A4" s="96"/>
      <c r="B4" s="256" t="s">
        <v>2</v>
      </c>
      <c r="C4" s="256"/>
      <c r="D4" s="256"/>
      <c r="E4" s="97"/>
    </row>
    <row r="5" spans="1:5" s="93" customFormat="1" ht="20.25" customHeight="1" x14ac:dyDescent="0.25">
      <c r="A5" s="257" t="s">
        <v>28</v>
      </c>
      <c r="B5" s="256"/>
      <c r="C5" s="256"/>
      <c r="D5" s="256"/>
      <c r="E5" s="258"/>
    </row>
    <row r="6" spans="1:5" s="93" customFormat="1" ht="96" customHeight="1" x14ac:dyDescent="0.25">
      <c r="A6" s="259" t="s">
        <v>29</v>
      </c>
      <c r="B6" s="260"/>
      <c r="C6" s="260"/>
      <c r="D6" s="260"/>
      <c r="E6" s="261"/>
    </row>
    <row r="7" spans="1:5" s="93" customFormat="1" ht="14.25" thickBot="1" x14ac:dyDescent="0.3">
      <c r="A7" s="98"/>
      <c r="B7" s="70"/>
      <c r="C7" s="70"/>
      <c r="D7" s="70"/>
      <c r="E7" s="75"/>
    </row>
    <row r="8" spans="1:5" s="93" customFormat="1" ht="14.25" thickBot="1" x14ac:dyDescent="0.3">
      <c r="A8" s="98"/>
      <c r="B8" s="72" t="s">
        <v>3</v>
      </c>
      <c r="C8" s="247" t="s">
        <v>52</v>
      </c>
      <c r="D8" s="248"/>
      <c r="E8" s="75"/>
    </row>
    <row r="9" spans="1:5" s="93" customFormat="1" ht="14.25" thickBot="1" x14ac:dyDescent="0.3">
      <c r="A9" s="98"/>
      <c r="B9" s="72" t="s">
        <v>38</v>
      </c>
      <c r="C9" s="247">
        <v>49</v>
      </c>
      <c r="D9" s="248"/>
      <c r="E9" s="75"/>
    </row>
    <row r="10" spans="1:5" s="93" customFormat="1" ht="14.25" thickBot="1" x14ac:dyDescent="0.3">
      <c r="A10" s="98"/>
      <c r="B10" s="79" t="s">
        <v>6</v>
      </c>
      <c r="C10" s="247">
        <v>900218619</v>
      </c>
      <c r="D10" s="248"/>
      <c r="E10" s="75"/>
    </row>
    <row r="11" spans="1:5" s="93" customFormat="1" ht="26.25" customHeight="1" x14ac:dyDescent="0.25">
      <c r="A11" s="98"/>
      <c r="B11" s="130" t="s">
        <v>23</v>
      </c>
      <c r="C11" s="169" t="s">
        <v>24</v>
      </c>
      <c r="D11" s="170" t="s">
        <v>25</v>
      </c>
      <c r="E11" s="75"/>
    </row>
    <row r="12" spans="1:5" s="93" customFormat="1" x14ac:dyDescent="0.25">
      <c r="A12" s="98"/>
      <c r="B12" s="133">
        <v>14</v>
      </c>
      <c r="C12" s="135" t="s">
        <v>60</v>
      </c>
      <c r="D12" s="184">
        <v>5682212601</v>
      </c>
      <c r="E12" s="75"/>
    </row>
    <row r="13" spans="1:5" s="93" customFormat="1" x14ac:dyDescent="0.25">
      <c r="A13" s="98"/>
      <c r="B13" s="185" t="s">
        <v>53</v>
      </c>
      <c r="C13" s="135" t="s">
        <v>54</v>
      </c>
      <c r="D13" s="134">
        <v>3612726130</v>
      </c>
      <c r="E13" s="75"/>
    </row>
    <row r="14" spans="1:5" s="93" customFormat="1" x14ac:dyDescent="0.25">
      <c r="A14" s="98"/>
      <c r="B14" s="185" t="s">
        <v>55</v>
      </c>
      <c r="C14" s="135" t="s">
        <v>56</v>
      </c>
      <c r="D14" s="134">
        <v>2104987248</v>
      </c>
      <c r="E14" s="75"/>
    </row>
    <row r="15" spans="1:5" s="93" customFormat="1" x14ac:dyDescent="0.25">
      <c r="A15" s="98"/>
      <c r="B15" s="185" t="s">
        <v>57</v>
      </c>
      <c r="C15" s="135" t="s">
        <v>56</v>
      </c>
      <c r="D15" s="134">
        <v>3844525321</v>
      </c>
      <c r="E15" s="75"/>
    </row>
    <row r="16" spans="1:5" s="93" customFormat="1" x14ac:dyDescent="0.25">
      <c r="A16" s="98"/>
      <c r="B16" s="185" t="s">
        <v>58</v>
      </c>
      <c r="C16" s="135" t="s">
        <v>59</v>
      </c>
      <c r="D16" s="186">
        <v>4694455689</v>
      </c>
      <c r="E16" s="75"/>
    </row>
    <row r="17" spans="1:6" s="93" customFormat="1" ht="14.25" thickBot="1" x14ac:dyDescent="0.3">
      <c r="A17" s="98"/>
      <c r="B17" s="74"/>
      <c r="C17" s="135"/>
      <c r="D17" s="99"/>
      <c r="E17" s="75"/>
    </row>
    <row r="18" spans="1:6" s="93" customFormat="1" ht="14.25" thickBot="1" x14ac:dyDescent="0.3">
      <c r="A18" s="98"/>
      <c r="B18" s="72" t="s">
        <v>30</v>
      </c>
      <c r="C18" s="249">
        <f>+SUM(D12:D16)</f>
        <v>19938906989</v>
      </c>
      <c r="D18" s="250"/>
      <c r="E18" s="75"/>
    </row>
    <row r="19" spans="1:6" s="93" customFormat="1" ht="14.25" thickBot="1" x14ac:dyDescent="0.3">
      <c r="A19" s="98"/>
      <c r="B19" s="72" t="s">
        <v>5</v>
      </c>
      <c r="C19" s="251">
        <f>+ROUND(C18/616000,0)</f>
        <v>32368</v>
      </c>
      <c r="D19" s="252"/>
      <c r="E19" s="75"/>
    </row>
    <row r="20" spans="1:6" s="93" customFormat="1" x14ac:dyDescent="0.25">
      <c r="A20" s="98"/>
      <c r="B20" s="70"/>
      <c r="C20" s="70"/>
      <c r="D20" s="99"/>
      <c r="E20" s="75"/>
    </row>
    <row r="21" spans="1:6" s="93" customFormat="1" ht="14.25" thickBot="1" x14ac:dyDescent="0.3">
      <c r="A21" s="98"/>
      <c r="B21" s="100" t="s">
        <v>19</v>
      </c>
      <c r="C21" s="76"/>
      <c r="D21" s="99"/>
      <c r="E21" s="75"/>
    </row>
    <row r="22" spans="1:6" s="93" customFormat="1" x14ac:dyDescent="0.25">
      <c r="A22" s="98"/>
      <c r="B22" s="77" t="s">
        <v>13</v>
      </c>
      <c r="C22" s="85">
        <f>+IF($C$19&gt;$B$53,$D$53,IF(AND($C$19&gt;=$B$52,$C$19&lt;=$C$52),$D$52,IF(AND($C$19&gt;=$B$50,$C$19&lt;=$C$51),$D$50,IF(AND($C$19&gt;=$B$48,$C$19&lt;=$C$49),$D$48,IF(AND($C$19&gt;$B$46,$C$19&lt;=$C$47),$D$46)))))</f>
        <v>1.2</v>
      </c>
      <c r="D22" s="99"/>
      <c r="E22" s="75"/>
    </row>
    <row r="23" spans="1:6" s="93" customFormat="1" ht="14.25" thickBot="1" x14ac:dyDescent="0.3">
      <c r="A23" s="98"/>
      <c r="B23" s="78" t="s">
        <v>14</v>
      </c>
      <c r="C23" s="86">
        <f>+IF($C$19&gt;$B$53,$F$53,IF(AND($C$19&gt;=$B$51,$C$19&lt;=$C$52),$F$51,IF(AND($C$19&gt;=$B$49,$C$19&lt;=$C$50),$F$49,IF(AND($C$19&gt;=$B$47,$C$19&lt;=$C$48),$F$47,IF(AND($C$19&gt;$B$46,$C$19&lt;=$C$46),$F$46)))))</f>
        <v>0.65</v>
      </c>
      <c r="D23" s="99"/>
      <c r="E23" s="75"/>
    </row>
    <row r="24" spans="1:6" s="93" customFormat="1" ht="14.25" thickBot="1" x14ac:dyDescent="0.3">
      <c r="A24" s="98"/>
      <c r="B24" s="101"/>
      <c r="C24" s="102"/>
      <c r="D24" s="103"/>
      <c r="E24" s="75"/>
    </row>
    <row r="25" spans="1:6" s="93" customFormat="1" x14ac:dyDescent="0.25">
      <c r="A25" s="98"/>
      <c r="B25" s="80" t="s">
        <v>7</v>
      </c>
      <c r="C25" s="127">
        <v>577602810</v>
      </c>
      <c r="D25" s="104"/>
      <c r="E25" s="75"/>
    </row>
    <row r="26" spans="1:6" s="93" customFormat="1" x14ac:dyDescent="0.25">
      <c r="A26" s="98"/>
      <c r="B26" s="81" t="s">
        <v>8</v>
      </c>
      <c r="C26" s="129">
        <v>584602810</v>
      </c>
      <c r="D26" s="105"/>
      <c r="E26" s="75"/>
    </row>
    <row r="27" spans="1:6" s="93" customFormat="1" ht="15" x14ac:dyDescent="0.25">
      <c r="A27" s="98"/>
      <c r="B27" s="81" t="s">
        <v>9</v>
      </c>
      <c r="C27" s="129">
        <v>10443400</v>
      </c>
      <c r="D27" s="105"/>
      <c r="E27" s="75"/>
      <c r="F27" s="106"/>
    </row>
    <row r="28" spans="1:6" s="93" customFormat="1" ht="15.75" thickBot="1" x14ac:dyDescent="0.3">
      <c r="A28" s="98"/>
      <c r="B28" s="81" t="s">
        <v>10</v>
      </c>
      <c r="C28" s="129">
        <v>10443400</v>
      </c>
      <c r="D28" s="105"/>
      <c r="E28" s="75"/>
      <c r="F28" s="106"/>
    </row>
    <row r="29" spans="1:6" s="93" customFormat="1" ht="14.25" thickBot="1" x14ac:dyDescent="0.3">
      <c r="A29" s="98"/>
      <c r="B29" s="241" t="s">
        <v>11</v>
      </c>
      <c r="C29" s="242"/>
      <c r="D29" s="243"/>
      <c r="E29" s="75"/>
    </row>
    <row r="30" spans="1:6" s="93" customFormat="1" ht="14.25" thickBot="1" x14ac:dyDescent="0.3">
      <c r="A30" s="98"/>
      <c r="B30" s="241" t="s">
        <v>12</v>
      </c>
      <c r="C30" s="242"/>
      <c r="D30" s="243"/>
      <c r="E30" s="75"/>
    </row>
    <row r="31" spans="1:6" s="93" customFormat="1" ht="16.5" x14ac:dyDescent="0.3">
      <c r="A31" s="98"/>
      <c r="B31" s="77" t="s">
        <v>13</v>
      </c>
      <c r="C31" s="126">
        <f>+IFERROR(C25/C27,"INDETERMINADO")</f>
        <v>55.307927494877148</v>
      </c>
      <c r="D31" s="118" t="str">
        <f>+IF(C31&gt;=C22,"CUMPLE","NO CUMPLE")</f>
        <v>CUMPLE</v>
      </c>
      <c r="E31" s="75"/>
    </row>
    <row r="32" spans="1:6" s="93" customFormat="1" ht="17.25" thickBot="1" x14ac:dyDescent="0.35">
      <c r="A32" s="98"/>
      <c r="B32" s="78" t="s">
        <v>14</v>
      </c>
      <c r="C32" s="120">
        <f>+C28/C26</f>
        <v>1.7864094768891035E-2</v>
      </c>
      <c r="D32" s="119" t="str">
        <f>+IF(C32&lt;=C23,"CUMPLE","NO CUMPLE")</f>
        <v>CUMPLE</v>
      </c>
      <c r="E32" s="75"/>
    </row>
    <row r="33" spans="1:9" s="110" customFormat="1" ht="14.25" thickBot="1" x14ac:dyDescent="0.3">
      <c r="A33" s="98"/>
      <c r="B33" s="108"/>
      <c r="C33" s="100"/>
      <c r="D33" s="76"/>
      <c r="E33" s="109"/>
    </row>
    <row r="34" spans="1:9" s="93" customFormat="1" ht="41.25" customHeight="1" thickBot="1" x14ac:dyDescent="0.3">
      <c r="A34" s="98"/>
      <c r="B34" s="72" t="s">
        <v>15</v>
      </c>
      <c r="C34" s="244" t="s">
        <v>43</v>
      </c>
      <c r="D34" s="245"/>
      <c r="E34" s="75"/>
    </row>
    <row r="35" spans="1:9" s="70" customFormat="1" ht="14.25" thickBot="1" x14ac:dyDescent="0.3">
      <c r="A35" s="98"/>
      <c r="B35" s="83"/>
      <c r="C35" s="83"/>
      <c r="D35" s="83"/>
      <c r="E35" s="75"/>
    </row>
    <row r="36" spans="1:9" s="70" customFormat="1" ht="45.75" customHeight="1" thickBot="1" x14ac:dyDescent="0.3">
      <c r="A36" s="98"/>
      <c r="B36" s="72" t="s">
        <v>26</v>
      </c>
      <c r="C36" s="244"/>
      <c r="D36" s="245"/>
      <c r="E36" s="75"/>
    </row>
    <row r="37" spans="1:9" s="70" customFormat="1" ht="14.25" thickBot="1" x14ac:dyDescent="0.3">
      <c r="A37" s="111"/>
      <c r="B37" s="112"/>
      <c r="C37" s="112"/>
      <c r="D37" s="112"/>
      <c r="E37" s="71"/>
    </row>
    <row r="38" spans="1:9" s="70" customFormat="1" x14ac:dyDescent="0.25">
      <c r="B38" s="83"/>
      <c r="C38" s="83"/>
      <c r="D38" s="83"/>
    </row>
    <row r="39" spans="1:9" s="70" customFormat="1" x14ac:dyDescent="0.25">
      <c r="B39" s="83"/>
      <c r="C39" s="83"/>
      <c r="D39" s="83"/>
    </row>
    <row r="40" spans="1:9" s="70" customFormat="1" x14ac:dyDescent="0.25">
      <c r="B40" s="83"/>
      <c r="C40" s="83"/>
      <c r="D40" s="83"/>
    </row>
    <row r="41" spans="1:9" s="70" customFormat="1" x14ac:dyDescent="0.25">
      <c r="B41" s="83"/>
      <c r="C41" s="83"/>
      <c r="D41" s="83"/>
    </row>
    <row r="43" spans="1:9" x14ac:dyDescent="0.25">
      <c r="B43" s="100"/>
      <c r="C43" s="70"/>
    </row>
    <row r="44" spans="1:9" x14ac:dyDescent="0.25">
      <c r="B44" s="88">
        <v>616000</v>
      </c>
      <c r="C44" s="87"/>
      <c r="D44" s="87"/>
      <c r="E44" s="87"/>
      <c r="F44" s="87"/>
      <c r="G44" s="87"/>
      <c r="H44" s="87"/>
      <c r="I44" s="87"/>
    </row>
    <row r="45" spans="1:9" ht="25.5" x14ac:dyDescent="0.25">
      <c r="B45" s="89" t="s">
        <v>21</v>
      </c>
      <c r="C45" s="89" t="s">
        <v>20</v>
      </c>
      <c r="D45" s="175" t="s">
        <v>16</v>
      </c>
      <c r="E45" s="87"/>
      <c r="F45" s="175" t="s">
        <v>17</v>
      </c>
      <c r="G45" s="87"/>
      <c r="H45" s="246"/>
      <c r="I45" s="246"/>
    </row>
    <row r="46" spans="1:9" x14ac:dyDescent="0.25">
      <c r="B46" s="90">
        <v>0</v>
      </c>
      <c r="C46" s="90">
        <v>250</v>
      </c>
      <c r="D46" s="174">
        <v>0.8</v>
      </c>
      <c r="E46" s="87"/>
      <c r="F46" s="173">
        <v>0.8</v>
      </c>
      <c r="G46" s="87"/>
      <c r="H46" s="116"/>
      <c r="I46" s="117">
        <f t="shared" ref="I46:I53" si="0">+C46*$B$44</f>
        <v>154000000</v>
      </c>
    </row>
    <row r="47" spans="1:9" x14ac:dyDescent="0.25">
      <c r="B47" s="90">
        <v>251</v>
      </c>
      <c r="C47" s="90">
        <v>1000</v>
      </c>
      <c r="D47" s="174">
        <v>0.8</v>
      </c>
      <c r="E47" s="87"/>
      <c r="F47" s="173">
        <v>0.75</v>
      </c>
      <c r="G47" s="87"/>
      <c r="H47" s="117">
        <f t="shared" ref="H47:H53" si="1">+B47*$B$44</f>
        <v>154616000</v>
      </c>
      <c r="I47" s="117">
        <f t="shared" si="0"/>
        <v>616000000</v>
      </c>
    </row>
    <row r="48" spans="1:9" x14ac:dyDescent="0.25">
      <c r="B48" s="90">
        <v>1001</v>
      </c>
      <c r="C48" s="90">
        <v>1500</v>
      </c>
      <c r="D48" s="174">
        <v>0.9</v>
      </c>
      <c r="E48" s="87"/>
      <c r="F48" s="173">
        <v>0.75</v>
      </c>
      <c r="G48" s="87"/>
      <c r="H48" s="117">
        <f t="shared" si="1"/>
        <v>616616000</v>
      </c>
      <c r="I48" s="117">
        <f t="shared" si="0"/>
        <v>924000000</v>
      </c>
    </row>
    <row r="49" spans="1:9" x14ac:dyDescent="0.25">
      <c r="B49" s="90">
        <v>1501</v>
      </c>
      <c r="C49" s="90">
        <v>2500</v>
      </c>
      <c r="D49" s="174">
        <v>0.9</v>
      </c>
      <c r="E49" s="87"/>
      <c r="F49" s="173">
        <v>0.7</v>
      </c>
      <c r="G49" s="87"/>
      <c r="H49" s="117">
        <f t="shared" si="1"/>
        <v>924616000</v>
      </c>
      <c r="I49" s="117">
        <f t="shared" si="0"/>
        <v>1540000000</v>
      </c>
    </row>
    <row r="50" spans="1:9" x14ac:dyDescent="0.25">
      <c r="B50" s="90">
        <v>2501</v>
      </c>
      <c r="C50" s="90">
        <v>3000</v>
      </c>
      <c r="D50" s="174">
        <v>1</v>
      </c>
      <c r="E50" s="87"/>
      <c r="F50" s="173">
        <v>0.7</v>
      </c>
      <c r="G50" s="87"/>
      <c r="H50" s="117">
        <f t="shared" si="1"/>
        <v>1540616000</v>
      </c>
      <c r="I50" s="117">
        <f t="shared" si="0"/>
        <v>1848000000</v>
      </c>
    </row>
    <row r="51" spans="1:9" x14ac:dyDescent="0.25">
      <c r="B51" s="90">
        <v>3001</v>
      </c>
      <c r="C51" s="90">
        <v>3500</v>
      </c>
      <c r="D51" s="174">
        <v>1</v>
      </c>
      <c r="E51" s="87"/>
      <c r="F51" s="173">
        <v>0.68</v>
      </c>
      <c r="G51" s="87"/>
      <c r="H51" s="117">
        <f t="shared" si="1"/>
        <v>1848616000</v>
      </c>
      <c r="I51" s="117">
        <f t="shared" si="0"/>
        <v>2156000000</v>
      </c>
    </row>
    <row r="52" spans="1:9" x14ac:dyDescent="0.25">
      <c r="B52" s="90">
        <v>3501</v>
      </c>
      <c r="C52" s="90">
        <v>4500</v>
      </c>
      <c r="D52" s="174">
        <v>1.1000000000000001</v>
      </c>
      <c r="E52" s="87"/>
      <c r="F52" s="173">
        <v>0.68</v>
      </c>
      <c r="G52" s="87"/>
      <c r="H52" s="117">
        <f t="shared" si="1"/>
        <v>2156616000</v>
      </c>
      <c r="I52" s="117">
        <f t="shared" si="0"/>
        <v>2772000000</v>
      </c>
    </row>
    <row r="53" spans="1:9" x14ac:dyDescent="0.25">
      <c r="A53" s="84" t="s">
        <v>22</v>
      </c>
      <c r="B53" s="90">
        <v>4501</v>
      </c>
      <c r="C53" s="90"/>
      <c r="D53" s="174">
        <v>1.2</v>
      </c>
      <c r="E53" s="87"/>
      <c r="F53" s="173">
        <v>0.65</v>
      </c>
      <c r="G53" s="87"/>
      <c r="H53" s="117">
        <f t="shared" si="1"/>
        <v>2772616000</v>
      </c>
      <c r="I53" s="117">
        <f t="shared" si="0"/>
        <v>0</v>
      </c>
    </row>
  </sheetData>
  <mergeCells count="16">
    <mergeCell ref="B30:D30"/>
    <mergeCell ref="C34:D34"/>
    <mergeCell ref="C36:D36"/>
    <mergeCell ref="H45:I45"/>
    <mergeCell ref="C8:D8"/>
    <mergeCell ref="C9:D9"/>
    <mergeCell ref="C10:D10"/>
    <mergeCell ref="C18:D18"/>
    <mergeCell ref="C19:D19"/>
    <mergeCell ref="B29:D29"/>
    <mergeCell ref="A6:E6"/>
    <mergeCell ref="A1:E1"/>
    <mergeCell ref="B2:D2"/>
    <mergeCell ref="A3:E3"/>
    <mergeCell ref="B4:D4"/>
    <mergeCell ref="A5:E5"/>
  </mergeCells>
  <pageMargins left="0.7" right="0.7" top="0.75" bottom="0.75" header="0.3" footer="0.3"/>
  <pageSetup orientation="portrait" r:id="rId1"/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0"/>
  <sheetViews>
    <sheetView view="pageBreakPreview" topLeftCell="A3" zoomScale="110" zoomScaleNormal="100" zoomScaleSheetLayoutView="110" workbookViewId="0">
      <selection activeCell="B4" sqref="B4:H4"/>
    </sheetView>
  </sheetViews>
  <sheetFormatPr baseColWidth="10" defaultRowHeight="15" x14ac:dyDescent="0.25"/>
  <cols>
    <col min="1" max="1" width="2.28515625" style="143" customWidth="1"/>
    <col min="2" max="2" width="31.140625" bestFit="1" customWidth="1"/>
    <col min="3" max="3" width="24.5703125" customWidth="1"/>
    <col min="4" max="4" width="4.42578125" customWidth="1"/>
    <col min="5" max="5" width="18.85546875" customWidth="1"/>
    <col min="6" max="6" width="4" style="46" customWidth="1"/>
    <col min="7" max="7" width="19" customWidth="1"/>
    <col min="8" max="8" width="14" style="46" customWidth="1"/>
    <col min="9" max="9" width="4.140625" style="143" customWidth="1"/>
    <col min="10" max="10" width="12.5703125" bestFit="1" customWidth="1"/>
  </cols>
  <sheetData>
    <row r="1" spans="1:9" s="1" customFormat="1" ht="15.75" x14ac:dyDescent="0.25">
      <c r="A1" s="151"/>
      <c r="B1" s="272" t="s">
        <v>0</v>
      </c>
      <c r="C1" s="272"/>
      <c r="D1" s="272"/>
      <c r="E1" s="272"/>
      <c r="F1" s="272"/>
      <c r="G1" s="272"/>
      <c r="H1" s="272"/>
      <c r="I1" s="30"/>
    </row>
    <row r="2" spans="1:9" s="1" customFormat="1" ht="15.75" customHeight="1" x14ac:dyDescent="0.25">
      <c r="A2" s="2"/>
      <c r="B2" s="263" t="s">
        <v>1</v>
      </c>
      <c r="C2" s="263"/>
      <c r="D2" s="263"/>
      <c r="E2" s="263"/>
      <c r="F2" s="263"/>
      <c r="G2" s="263"/>
      <c r="H2" s="263"/>
      <c r="I2" s="5"/>
    </row>
    <row r="3" spans="1:9" s="1" customFormat="1" ht="20.25" customHeight="1" x14ac:dyDescent="0.25">
      <c r="A3" s="98"/>
      <c r="B3" s="263" t="s">
        <v>2</v>
      </c>
      <c r="C3" s="263"/>
      <c r="D3" s="263"/>
      <c r="E3" s="263"/>
      <c r="F3" s="263"/>
      <c r="G3" s="263"/>
      <c r="H3" s="263"/>
      <c r="I3" s="5"/>
    </row>
    <row r="4" spans="1:9" s="1" customFormat="1" ht="15.75" customHeight="1" x14ac:dyDescent="0.25">
      <c r="A4" s="152"/>
      <c r="B4" s="263" t="s">
        <v>28</v>
      </c>
      <c r="C4" s="263"/>
      <c r="D4" s="263"/>
      <c r="E4" s="263"/>
      <c r="F4" s="263"/>
      <c r="G4" s="263"/>
      <c r="H4" s="263"/>
      <c r="I4" s="5"/>
    </row>
    <row r="5" spans="1:9" s="1" customFormat="1" ht="78" customHeight="1" thickBot="1" x14ac:dyDescent="0.3">
      <c r="A5" s="3"/>
      <c r="B5" s="264" t="s">
        <v>29</v>
      </c>
      <c r="C5" s="264"/>
      <c r="D5" s="264"/>
      <c r="E5" s="264"/>
      <c r="F5" s="264"/>
      <c r="G5" s="264"/>
      <c r="H5" s="264"/>
      <c r="I5" s="5"/>
    </row>
    <row r="6" spans="1:9" s="1" customFormat="1" ht="14.25" thickBot="1" x14ac:dyDescent="0.3">
      <c r="A6" s="3"/>
      <c r="B6" s="6" t="s">
        <v>3</v>
      </c>
      <c r="C6" s="273" t="s">
        <v>139</v>
      </c>
      <c r="D6" s="273"/>
      <c r="E6" s="273"/>
      <c r="F6" s="273"/>
      <c r="G6" s="273"/>
      <c r="H6" s="274"/>
      <c r="I6" s="5"/>
    </row>
    <row r="7" spans="1:9" s="1" customFormat="1" ht="15.75" customHeight="1" thickBot="1" x14ac:dyDescent="0.3">
      <c r="A7" s="3"/>
      <c r="B7" s="26" t="s">
        <v>37</v>
      </c>
      <c r="C7" s="273">
        <v>50</v>
      </c>
      <c r="D7" s="273"/>
      <c r="E7" s="273"/>
      <c r="F7" s="273"/>
      <c r="G7" s="273"/>
      <c r="H7" s="274"/>
      <c r="I7" s="5"/>
    </row>
    <row r="8" spans="1:9" s="1" customFormat="1" ht="26.25" customHeight="1" x14ac:dyDescent="0.25">
      <c r="A8" s="3"/>
      <c r="B8" s="130" t="s">
        <v>23</v>
      </c>
      <c r="C8" s="278" t="s">
        <v>24</v>
      </c>
      <c r="D8" s="278"/>
      <c r="E8" s="278"/>
      <c r="F8" s="140"/>
      <c r="G8" s="278" t="s">
        <v>25</v>
      </c>
      <c r="H8" s="279"/>
      <c r="I8" s="5"/>
    </row>
    <row r="9" spans="1:9" s="20" customFormat="1" ht="13.5" x14ac:dyDescent="0.25">
      <c r="A9" s="3"/>
      <c r="B9" s="160">
        <v>23</v>
      </c>
      <c r="C9" s="271" t="s">
        <v>131</v>
      </c>
      <c r="D9" s="271"/>
      <c r="E9" s="271"/>
      <c r="F9" s="198"/>
      <c r="G9" s="280">
        <v>9248996549</v>
      </c>
      <c r="H9" s="281"/>
      <c r="I9" s="5"/>
    </row>
    <row r="10" spans="1:9" s="20" customFormat="1" ht="14.25" thickBot="1" x14ac:dyDescent="0.3">
      <c r="A10" s="3"/>
      <c r="B10" s="160"/>
      <c r="C10" s="271"/>
      <c r="D10" s="271"/>
      <c r="E10" s="271"/>
      <c r="F10" s="198"/>
      <c r="G10" s="280"/>
      <c r="H10" s="281"/>
      <c r="I10" s="5"/>
    </row>
    <row r="11" spans="1:9" s="1" customFormat="1" ht="15.75" customHeight="1" thickBot="1" x14ac:dyDescent="0.3">
      <c r="A11" s="3"/>
      <c r="B11" s="6" t="s">
        <v>4</v>
      </c>
      <c r="C11" s="54"/>
      <c r="D11" s="161"/>
      <c r="E11" s="161"/>
      <c r="F11" s="161"/>
      <c r="G11" s="282">
        <f>+SUM(G9:H10)</f>
        <v>9248996549</v>
      </c>
      <c r="H11" s="283"/>
      <c r="I11" s="5"/>
    </row>
    <row r="12" spans="1:9" s="1" customFormat="1" ht="15.75" customHeight="1" thickBot="1" x14ac:dyDescent="0.3">
      <c r="A12" s="3"/>
      <c r="B12" s="31" t="s">
        <v>5</v>
      </c>
      <c r="D12" s="162"/>
      <c r="E12" s="162"/>
      <c r="F12" s="162"/>
      <c r="G12" s="284">
        <f>ROUND(G11/616000,0)</f>
        <v>15015</v>
      </c>
      <c r="H12" s="285"/>
      <c r="I12" s="5"/>
    </row>
    <row r="13" spans="1:9" s="1" customFormat="1" ht="13.5" x14ac:dyDescent="0.25">
      <c r="A13" s="3"/>
      <c r="B13" s="136"/>
      <c r="C13" s="64"/>
      <c r="D13" s="65"/>
      <c r="E13" s="69"/>
      <c r="F13" s="29"/>
      <c r="G13" s="69"/>
      <c r="H13" s="29"/>
      <c r="I13" s="5"/>
    </row>
    <row r="14" spans="1:9" s="4" customFormat="1" ht="13.5" x14ac:dyDescent="0.25">
      <c r="A14" s="3"/>
      <c r="B14" s="18"/>
      <c r="C14" s="19"/>
      <c r="D14" s="56"/>
      <c r="I14" s="5"/>
    </row>
    <row r="15" spans="1:9" s="4" customFormat="1" ht="14.25" thickBot="1" x14ac:dyDescent="0.3">
      <c r="A15" s="3"/>
      <c r="B15" s="18" t="s">
        <v>19</v>
      </c>
      <c r="C15" s="19"/>
      <c r="D15" s="56"/>
      <c r="I15" s="5"/>
    </row>
    <row r="16" spans="1:9" s="4" customFormat="1" ht="13.5" x14ac:dyDescent="0.25">
      <c r="A16" s="3"/>
      <c r="B16" s="16" t="s">
        <v>13</v>
      </c>
      <c r="C16" s="67">
        <f>+IF($G$12&gt;$B$50,$D$50,IF(AND($G$12&gt;=$B$49,$G$12&lt;=$C$49),$D$49,IF(AND($G$12&gt;=$B$47,$G$12&lt;=$C$48),$D$47,IF(AND($G$12&gt;=$B$45,$G$12&lt;=$C$46),$D$45,IF(AND($G$12&gt;$B$43,$G$12&lt;=$C$44),$D$43)))))</f>
        <v>1.2</v>
      </c>
      <c r="D16" s="56"/>
      <c r="I16" s="5"/>
    </row>
    <row r="17" spans="1:9" s="4" customFormat="1" ht="14.25" thickBot="1" x14ac:dyDescent="0.3">
      <c r="A17" s="3"/>
      <c r="B17" s="17" t="s">
        <v>14</v>
      </c>
      <c r="C17" s="68">
        <f>+IF($G$12&gt;$B$50,$F$50,IF(AND($G$12&gt;=$B$48,$G$12&lt;=$C$49),$F$48,IF(AND($G$12&gt;=$B$46,$G$12&lt;=$C$47),$F$46,IF(AND($G$12&gt;=$B$44,$G$12&lt;=$C$45),$F$44,IF(AND($G$12&gt;$B$43,$G$12&lt;=$C$43),$F$43)))))</f>
        <v>0.65</v>
      </c>
      <c r="D17" s="56"/>
      <c r="I17" s="5"/>
    </row>
    <row r="18" spans="1:9" s="4" customFormat="1" ht="14.25" thickBot="1" x14ac:dyDescent="0.3">
      <c r="A18" s="3"/>
      <c r="B18" s="137"/>
      <c r="C18" s="32"/>
      <c r="D18" s="33"/>
      <c r="E18" s="25"/>
      <c r="F18" s="25"/>
      <c r="G18" s="25"/>
      <c r="H18" s="25"/>
      <c r="I18" s="5"/>
    </row>
    <row r="19" spans="1:9" s="22" customFormat="1" ht="42.75" customHeight="1" thickBot="1" x14ac:dyDescent="0.3">
      <c r="A19" s="3"/>
      <c r="B19" s="6" t="s">
        <v>18</v>
      </c>
      <c r="C19" s="59" t="s">
        <v>140</v>
      </c>
      <c r="D19" s="7"/>
      <c r="E19" s="159" t="s">
        <v>141</v>
      </c>
      <c r="F19" s="60"/>
      <c r="G19" s="159" t="s">
        <v>139</v>
      </c>
      <c r="H19" s="35"/>
      <c r="I19" s="5"/>
    </row>
    <row r="20" spans="1:9" s="22" customFormat="1" ht="13.5" customHeight="1" thickBot="1" x14ac:dyDescent="0.3">
      <c r="A20" s="3"/>
      <c r="B20" s="6" t="s">
        <v>31</v>
      </c>
      <c r="C20" s="59" t="s">
        <v>142</v>
      </c>
      <c r="D20" s="7"/>
      <c r="E20" s="157" t="s">
        <v>143</v>
      </c>
      <c r="F20" s="158"/>
      <c r="G20" s="157"/>
      <c r="H20" s="35"/>
      <c r="I20" s="5"/>
    </row>
    <row r="21" spans="1:9" s="22" customFormat="1" ht="14.25" thickBot="1" x14ac:dyDescent="0.3">
      <c r="A21" s="3"/>
      <c r="B21" s="138"/>
      <c r="C21" s="9"/>
      <c r="D21" s="9"/>
      <c r="E21" s="4"/>
      <c r="F21" s="4"/>
      <c r="G21" s="4"/>
      <c r="H21" s="4"/>
      <c r="I21" s="5"/>
    </row>
    <row r="22" spans="1:9" s="1" customFormat="1" ht="13.5" x14ac:dyDescent="0.25">
      <c r="A22" s="3"/>
      <c r="B22" s="10" t="s">
        <v>7</v>
      </c>
      <c r="C22" s="11">
        <v>30229000</v>
      </c>
      <c r="D22" s="37"/>
      <c r="E22" s="11">
        <v>9124700</v>
      </c>
      <c r="F22" s="91"/>
      <c r="G22" s="11">
        <f>+E22+C22</f>
        <v>39353700</v>
      </c>
      <c r="H22" s="30"/>
      <c r="I22" s="5"/>
    </row>
    <row r="23" spans="1:9" s="1" customFormat="1" ht="13.5" x14ac:dyDescent="0.25">
      <c r="A23" s="3"/>
      <c r="B23" s="12" t="s">
        <v>8</v>
      </c>
      <c r="C23" s="13">
        <v>206046000</v>
      </c>
      <c r="D23" s="38"/>
      <c r="E23" s="13">
        <v>343596700</v>
      </c>
      <c r="F23" s="19"/>
      <c r="G23" s="13">
        <f t="shared" ref="G23:G25" si="0">+E23+C23</f>
        <v>549642700</v>
      </c>
      <c r="H23" s="5"/>
      <c r="I23" s="5"/>
    </row>
    <row r="24" spans="1:9" s="1" customFormat="1" ht="13.5" x14ac:dyDescent="0.25">
      <c r="A24" s="3"/>
      <c r="B24" s="12" t="s">
        <v>9</v>
      </c>
      <c r="C24" s="13">
        <v>9884000</v>
      </c>
      <c r="D24" s="38"/>
      <c r="E24" s="13">
        <v>3221400</v>
      </c>
      <c r="F24" s="19"/>
      <c r="G24" s="13">
        <f t="shared" si="0"/>
        <v>13105400</v>
      </c>
      <c r="H24" s="5"/>
      <c r="I24" s="5"/>
    </row>
    <row r="25" spans="1:9" s="1" customFormat="1" ht="14.25" thickBot="1" x14ac:dyDescent="0.3">
      <c r="A25" s="3"/>
      <c r="B25" s="14" t="s">
        <v>10</v>
      </c>
      <c r="C25" s="15">
        <v>9884000</v>
      </c>
      <c r="D25" s="50"/>
      <c r="E25" s="15">
        <v>3221400</v>
      </c>
      <c r="F25" s="92"/>
      <c r="G25" s="15">
        <f t="shared" si="0"/>
        <v>13105400</v>
      </c>
      <c r="H25" s="21"/>
      <c r="I25" s="5"/>
    </row>
    <row r="26" spans="1:9" s="1" customFormat="1" ht="14.25" thickBot="1" x14ac:dyDescent="0.3">
      <c r="A26" s="3"/>
      <c r="B26" s="275" t="s">
        <v>11</v>
      </c>
      <c r="C26" s="276"/>
      <c r="D26" s="276"/>
      <c r="E26" s="276"/>
      <c r="F26" s="276"/>
      <c r="G26" s="276"/>
      <c r="H26" s="277"/>
      <c r="I26" s="5"/>
    </row>
    <row r="27" spans="1:9" s="1" customFormat="1" ht="14.25" thickBot="1" x14ac:dyDescent="0.3">
      <c r="A27" s="3"/>
      <c r="B27" s="275" t="s">
        <v>12</v>
      </c>
      <c r="C27" s="276"/>
      <c r="D27" s="276"/>
      <c r="E27" s="276"/>
      <c r="F27" s="276"/>
      <c r="G27" s="276"/>
      <c r="H27" s="277"/>
      <c r="I27" s="5"/>
    </row>
    <row r="28" spans="1:9" s="1" customFormat="1" ht="13.5" x14ac:dyDescent="0.25">
      <c r="A28" s="3"/>
      <c r="B28" s="16" t="s">
        <v>13</v>
      </c>
      <c r="C28" s="124">
        <f>+IFERROR(C22/C24,"INDETERMINADO")</f>
        <v>3.0583771752326991</v>
      </c>
      <c r="D28" s="125"/>
      <c r="E28" s="124">
        <f>+IFERROR(E22/E24,"INDETERMINADO")</f>
        <v>2.8325262308313155</v>
      </c>
      <c r="F28" s="58"/>
      <c r="G28" s="124">
        <f>+IFERROR(G22/G24,"INDETERMINADO")</f>
        <v>3.0028614159048943</v>
      </c>
      <c r="H28" s="40" t="str">
        <f>+IF(G28&gt;=$C$16,"CUMPLE","NO CUMPLE")</f>
        <v>CUMPLE</v>
      </c>
      <c r="I28" s="5"/>
    </row>
    <row r="29" spans="1:9" s="1" customFormat="1" ht="14.25" thickBot="1" x14ac:dyDescent="0.3">
      <c r="A29" s="3"/>
      <c r="B29" s="17" t="s">
        <v>14</v>
      </c>
      <c r="C29" s="41">
        <f>+C25/C23</f>
        <v>4.7969870805548279E-2</v>
      </c>
      <c r="D29" s="42"/>
      <c r="E29" s="41">
        <f>+E25/E23</f>
        <v>9.3755265984801373E-3</v>
      </c>
      <c r="F29" s="43"/>
      <c r="G29" s="41">
        <f>+G25/G23</f>
        <v>2.3843489597878766E-2</v>
      </c>
      <c r="H29" s="44" t="str">
        <f>+IF(G29&lt;=$C$17,"CUMPLE","NO CUMPLE")</f>
        <v>CUMPLE</v>
      </c>
      <c r="I29" s="5"/>
    </row>
    <row r="30" spans="1:9" s="20" customFormat="1" ht="14.25" thickBot="1" x14ac:dyDescent="0.3">
      <c r="A30" s="3"/>
      <c r="B30" s="139"/>
      <c r="C30" s="18"/>
      <c r="D30" s="19"/>
      <c r="F30" s="4"/>
      <c r="H30" s="4"/>
      <c r="I30" s="5"/>
    </row>
    <row r="31" spans="1:9" s="1" customFormat="1" ht="20.25" customHeight="1" thickBot="1" x14ac:dyDescent="0.3">
      <c r="A31" s="3"/>
      <c r="B31" s="6" t="s">
        <v>15</v>
      </c>
      <c r="C31" s="267" t="s">
        <v>36</v>
      </c>
      <c r="D31" s="267"/>
      <c r="E31" s="267"/>
      <c r="F31" s="267"/>
      <c r="G31" s="267"/>
      <c r="H31" s="268"/>
      <c r="I31" s="5"/>
    </row>
    <row r="32" spans="1:9" s="4" customFormat="1" ht="14.25" thickBot="1" x14ac:dyDescent="0.3">
      <c r="A32" s="3"/>
      <c r="B32" s="45"/>
      <c r="C32" s="45"/>
      <c r="D32" s="45"/>
      <c r="I32" s="5"/>
    </row>
    <row r="33" spans="1:10" s="46" customFormat="1" ht="36.75" customHeight="1" thickBot="1" x14ac:dyDescent="0.3">
      <c r="A33" s="153"/>
      <c r="B33" s="79" t="s">
        <v>26</v>
      </c>
      <c r="C33" s="269"/>
      <c r="D33" s="269"/>
      <c r="E33" s="269"/>
      <c r="F33" s="269"/>
      <c r="G33" s="269"/>
      <c r="H33" s="270"/>
      <c r="I33" s="5"/>
    </row>
    <row r="34" spans="1:10" s="46" customFormat="1" ht="15.75" thickBot="1" x14ac:dyDescent="0.3">
      <c r="A34" s="154"/>
      <c r="B34" s="155"/>
      <c r="C34" s="155"/>
      <c r="D34" s="25"/>
      <c r="E34" s="25"/>
      <c r="F34" s="25"/>
      <c r="G34" s="25"/>
      <c r="H34" s="156"/>
      <c r="I34" s="21"/>
    </row>
    <row r="35" spans="1:10" x14ac:dyDescent="0.25">
      <c r="D35" s="22"/>
      <c r="E35" s="22"/>
      <c r="F35" s="22"/>
      <c r="G35" s="22"/>
      <c r="H35" s="23"/>
      <c r="I35" s="4"/>
    </row>
    <row r="36" spans="1:10" x14ac:dyDescent="0.25">
      <c r="D36" s="22"/>
      <c r="E36" s="22"/>
      <c r="F36" s="22"/>
      <c r="G36" s="22"/>
      <c r="H36" s="23"/>
      <c r="I36" s="4"/>
    </row>
    <row r="37" spans="1:10" x14ac:dyDescent="0.25">
      <c r="D37" s="22"/>
      <c r="E37" s="22"/>
      <c r="F37" s="22"/>
      <c r="G37" s="22"/>
      <c r="H37" s="23"/>
      <c r="I37" s="4"/>
    </row>
    <row r="38" spans="1:10" x14ac:dyDescent="0.25">
      <c r="D38" s="22"/>
      <c r="E38" s="22"/>
      <c r="F38" s="22"/>
      <c r="G38" s="22"/>
      <c r="H38" s="23"/>
      <c r="I38" s="4"/>
    </row>
    <row r="39" spans="1:10" x14ac:dyDescent="0.25">
      <c r="D39" s="22"/>
      <c r="E39" s="22"/>
      <c r="F39" s="22"/>
      <c r="G39" s="22"/>
      <c r="H39" s="23"/>
      <c r="I39" s="4"/>
    </row>
    <row r="40" spans="1:10" x14ac:dyDescent="0.25">
      <c r="D40" s="22"/>
      <c r="E40" s="22"/>
      <c r="F40" s="22"/>
      <c r="G40" s="22"/>
      <c r="H40" s="22"/>
      <c r="I40" s="4"/>
    </row>
    <row r="41" spans="1:10" x14ac:dyDescent="0.25">
      <c r="B41" s="24">
        <v>616000</v>
      </c>
      <c r="D41" s="22"/>
      <c r="E41" s="22"/>
      <c r="F41" s="22"/>
      <c r="G41" s="22"/>
      <c r="H41" s="22"/>
      <c r="I41" s="4"/>
    </row>
    <row r="42" spans="1:10" x14ac:dyDescent="0.25">
      <c r="B42" s="141" t="s">
        <v>21</v>
      </c>
      <c r="C42" s="66" t="s">
        <v>20</v>
      </c>
      <c r="D42" s="265" t="s">
        <v>16</v>
      </c>
      <c r="E42" s="265"/>
      <c r="F42" s="265" t="s">
        <v>17</v>
      </c>
      <c r="G42" s="265"/>
    </row>
    <row r="43" spans="1:10" x14ac:dyDescent="0.25">
      <c r="B43" s="142">
        <v>0</v>
      </c>
      <c r="C43" s="55">
        <v>250</v>
      </c>
      <c r="D43" s="266">
        <v>0.8</v>
      </c>
      <c r="E43" s="266"/>
      <c r="F43" s="262">
        <v>0.8</v>
      </c>
      <c r="G43" s="262"/>
      <c r="H43" s="145"/>
      <c r="J43" s="147">
        <f t="shared" ref="J43:J50" si="1">+C43*$B$41</f>
        <v>154000000</v>
      </c>
    </row>
    <row r="44" spans="1:10" x14ac:dyDescent="0.25">
      <c r="B44" s="142">
        <v>251</v>
      </c>
      <c r="C44" s="55">
        <v>1000</v>
      </c>
      <c r="D44" s="266">
        <v>0.8</v>
      </c>
      <c r="E44" s="266"/>
      <c r="F44" s="262">
        <v>0.75</v>
      </c>
      <c r="G44" s="262"/>
      <c r="H44" s="146">
        <f t="shared" ref="H44:H50" si="2">+B44*$B$41</f>
        <v>154616000</v>
      </c>
      <c r="J44" s="147">
        <f t="shared" si="1"/>
        <v>616000000</v>
      </c>
    </row>
    <row r="45" spans="1:10" x14ac:dyDescent="0.25">
      <c r="B45" s="142">
        <v>1001</v>
      </c>
      <c r="C45" s="55">
        <v>1500</v>
      </c>
      <c r="D45" s="266">
        <v>0.9</v>
      </c>
      <c r="E45" s="266"/>
      <c r="F45" s="262">
        <v>0.75</v>
      </c>
      <c r="G45" s="262"/>
      <c r="H45" s="146">
        <f t="shared" si="2"/>
        <v>616616000</v>
      </c>
      <c r="J45" s="147">
        <f t="shared" si="1"/>
        <v>924000000</v>
      </c>
    </row>
    <row r="46" spans="1:10" x14ac:dyDescent="0.25">
      <c r="B46" s="142">
        <v>1501</v>
      </c>
      <c r="C46" s="55">
        <v>2500</v>
      </c>
      <c r="D46" s="266">
        <v>0.9</v>
      </c>
      <c r="E46" s="266"/>
      <c r="F46" s="262">
        <v>0.7</v>
      </c>
      <c r="G46" s="262"/>
      <c r="H46" s="146">
        <f t="shared" si="2"/>
        <v>924616000</v>
      </c>
      <c r="J46" s="147">
        <f t="shared" si="1"/>
        <v>1540000000</v>
      </c>
    </row>
    <row r="47" spans="1:10" x14ac:dyDescent="0.25">
      <c r="B47" s="142">
        <v>2501</v>
      </c>
      <c r="C47" s="55">
        <v>3000</v>
      </c>
      <c r="D47" s="266">
        <v>1</v>
      </c>
      <c r="E47" s="266"/>
      <c r="F47" s="262">
        <v>0.7</v>
      </c>
      <c r="G47" s="262"/>
      <c r="H47" s="146">
        <f t="shared" si="2"/>
        <v>1540616000</v>
      </c>
      <c r="J47" s="147">
        <f t="shared" si="1"/>
        <v>1848000000</v>
      </c>
    </row>
    <row r="48" spans="1:10" x14ac:dyDescent="0.25">
      <c r="B48" s="142">
        <v>3001</v>
      </c>
      <c r="C48" s="55">
        <v>3500</v>
      </c>
      <c r="D48" s="266">
        <v>1</v>
      </c>
      <c r="E48" s="266"/>
      <c r="F48" s="262">
        <v>0.68</v>
      </c>
      <c r="G48" s="262"/>
      <c r="H48" s="146">
        <f t="shared" si="2"/>
        <v>1848616000</v>
      </c>
      <c r="J48" s="147">
        <f t="shared" si="1"/>
        <v>2156000000</v>
      </c>
    </row>
    <row r="49" spans="2:10" x14ac:dyDescent="0.25">
      <c r="B49" s="142">
        <v>3501</v>
      </c>
      <c r="C49" s="55">
        <v>4500</v>
      </c>
      <c r="D49" s="266">
        <v>1.1000000000000001</v>
      </c>
      <c r="E49" s="266"/>
      <c r="F49" s="262">
        <v>0.68</v>
      </c>
      <c r="G49" s="262"/>
      <c r="H49" s="146">
        <f t="shared" si="2"/>
        <v>2156616000</v>
      </c>
      <c r="J49" s="147">
        <f t="shared" si="1"/>
        <v>2772000000</v>
      </c>
    </row>
    <row r="50" spans="2:10" x14ac:dyDescent="0.25">
      <c r="B50" s="142">
        <v>4501</v>
      </c>
      <c r="C50" s="55"/>
      <c r="D50" s="266">
        <v>1.2</v>
      </c>
      <c r="E50" s="266"/>
      <c r="F50" s="262">
        <v>0.65</v>
      </c>
      <c r="G50" s="262"/>
      <c r="H50" s="146">
        <f t="shared" si="2"/>
        <v>2772616000</v>
      </c>
      <c r="J50" s="147">
        <f t="shared" si="1"/>
        <v>0</v>
      </c>
    </row>
  </sheetData>
  <mergeCells count="37">
    <mergeCell ref="C6:H6"/>
    <mergeCell ref="B1:H1"/>
    <mergeCell ref="B2:H2"/>
    <mergeCell ref="B3:H3"/>
    <mergeCell ref="B4:H4"/>
    <mergeCell ref="B5:H5"/>
    <mergeCell ref="B27:H27"/>
    <mergeCell ref="C7:H7"/>
    <mergeCell ref="C8:E8"/>
    <mergeCell ref="G8:H8"/>
    <mergeCell ref="C9:E9"/>
    <mergeCell ref="G9:H9"/>
    <mergeCell ref="C10:E10"/>
    <mergeCell ref="G10:H10"/>
    <mergeCell ref="G11:H11"/>
    <mergeCell ref="G12:H12"/>
    <mergeCell ref="B26:H26"/>
    <mergeCell ref="C31:H31"/>
    <mergeCell ref="C33:H33"/>
    <mergeCell ref="D42:E42"/>
    <mergeCell ref="F42:G42"/>
    <mergeCell ref="D43:E43"/>
    <mergeCell ref="F43:G43"/>
    <mergeCell ref="D44:E44"/>
    <mergeCell ref="F44:G44"/>
    <mergeCell ref="D45:E45"/>
    <mergeCell ref="F45:G45"/>
    <mergeCell ref="D46:E46"/>
    <mergeCell ref="F46:G46"/>
    <mergeCell ref="D50:E50"/>
    <mergeCell ref="F50:G50"/>
    <mergeCell ref="D47:E47"/>
    <mergeCell ref="F47:G47"/>
    <mergeCell ref="D48:E48"/>
    <mergeCell ref="F48:G48"/>
    <mergeCell ref="D49:E49"/>
    <mergeCell ref="F49:G49"/>
  </mergeCells>
  <pageMargins left="0.70866141732283472" right="0.70866141732283472" top="0.74803149606299213" bottom="0.74803149606299213" header="0.31496062992125984" footer="0.31496062992125984"/>
  <pageSetup scale="79" orientation="landscape" r:id="rId1"/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"/>
  <sheetViews>
    <sheetView view="pageBreakPreview" topLeftCell="A2" zoomScale="130" zoomScaleNormal="100" zoomScaleSheetLayoutView="130" workbookViewId="0">
      <selection activeCell="C15" sqref="C15"/>
    </sheetView>
  </sheetViews>
  <sheetFormatPr baseColWidth="10" defaultRowHeight="13.5" x14ac:dyDescent="0.25"/>
  <cols>
    <col min="1" max="1" width="3.140625" style="84" customWidth="1"/>
    <col min="2" max="2" width="31.140625" style="84" bestFit="1" customWidth="1"/>
    <col min="3" max="3" width="27.7109375" style="84" customWidth="1"/>
    <col min="4" max="4" width="21.7109375" style="84" customWidth="1"/>
    <col min="5" max="5" width="3.5703125" style="84" customWidth="1"/>
    <col min="6" max="6" width="16.5703125" style="84" customWidth="1"/>
    <col min="7" max="7" width="3.140625" style="84" customWidth="1"/>
    <col min="8" max="8" width="18.140625" style="84" customWidth="1"/>
    <col min="9" max="9" width="12.7109375" style="84" bestFit="1" customWidth="1"/>
    <col min="10" max="16384" width="11.42578125" style="84"/>
  </cols>
  <sheetData>
    <row r="1" spans="1:5" s="93" customFormat="1" ht="20.25" customHeight="1" x14ac:dyDescent="0.25">
      <c r="A1" s="253" t="s">
        <v>0</v>
      </c>
      <c r="B1" s="254"/>
      <c r="C1" s="254"/>
      <c r="D1" s="254"/>
      <c r="E1" s="255"/>
    </row>
    <row r="2" spans="1:5" s="93" customFormat="1" ht="15.75" customHeight="1" x14ac:dyDescent="0.25">
      <c r="A2" s="196"/>
      <c r="B2" s="256" t="s">
        <v>1</v>
      </c>
      <c r="C2" s="256"/>
      <c r="D2" s="256"/>
      <c r="E2" s="95"/>
    </row>
    <row r="3" spans="1:5" s="93" customFormat="1" ht="15.75" customHeight="1" x14ac:dyDescent="0.25">
      <c r="A3" s="257" t="s">
        <v>27</v>
      </c>
      <c r="B3" s="256"/>
      <c r="C3" s="256"/>
      <c r="D3" s="256"/>
      <c r="E3" s="258"/>
    </row>
    <row r="4" spans="1:5" s="93" customFormat="1" ht="20.25" x14ac:dyDescent="0.3">
      <c r="A4" s="96"/>
      <c r="B4" s="256" t="s">
        <v>2</v>
      </c>
      <c r="C4" s="256"/>
      <c r="D4" s="256"/>
      <c r="E4" s="97"/>
    </row>
    <row r="5" spans="1:5" s="93" customFormat="1" ht="15" x14ac:dyDescent="0.25">
      <c r="A5" s="96"/>
      <c r="B5" s="256" t="s">
        <v>128</v>
      </c>
      <c r="C5" s="296"/>
      <c r="D5" s="296"/>
      <c r="E5" s="297"/>
    </row>
    <row r="6" spans="1:5" s="93" customFormat="1" ht="20.25" customHeight="1" x14ac:dyDescent="0.25">
      <c r="A6" s="257" t="s">
        <v>28</v>
      </c>
      <c r="B6" s="256"/>
      <c r="C6" s="256"/>
      <c r="D6" s="256"/>
      <c r="E6" s="258"/>
    </row>
    <row r="7" spans="1:5" s="93" customFormat="1" ht="96" customHeight="1" x14ac:dyDescent="0.25">
      <c r="A7" s="259" t="s">
        <v>29</v>
      </c>
      <c r="B7" s="260"/>
      <c r="C7" s="260"/>
      <c r="D7" s="260"/>
      <c r="E7" s="261"/>
    </row>
    <row r="8" spans="1:5" s="93" customFormat="1" ht="14.25" thickBot="1" x14ac:dyDescent="0.3">
      <c r="A8" s="98"/>
      <c r="B8" s="70"/>
      <c r="C8" s="70"/>
      <c r="D8" s="70"/>
      <c r="E8" s="75"/>
    </row>
    <row r="9" spans="1:5" s="93" customFormat="1" ht="26.25" customHeight="1" thickBot="1" x14ac:dyDescent="0.3">
      <c r="A9" s="98"/>
      <c r="B9" s="72" t="s">
        <v>3</v>
      </c>
      <c r="C9" s="247" t="s">
        <v>129</v>
      </c>
      <c r="D9" s="248"/>
      <c r="E9" s="75"/>
    </row>
    <row r="10" spans="1:5" s="93" customFormat="1" ht="14.25" thickBot="1" x14ac:dyDescent="0.3">
      <c r="A10" s="98"/>
      <c r="B10" s="72" t="s">
        <v>38</v>
      </c>
      <c r="C10" s="247">
        <v>51</v>
      </c>
      <c r="D10" s="248"/>
      <c r="E10" s="75"/>
    </row>
    <row r="11" spans="1:5" s="93" customFormat="1" ht="14.25" thickBot="1" x14ac:dyDescent="0.3">
      <c r="A11" s="98"/>
      <c r="B11" s="79" t="s">
        <v>6</v>
      </c>
      <c r="C11" s="247" t="s">
        <v>130</v>
      </c>
      <c r="D11" s="248"/>
      <c r="E11" s="75"/>
    </row>
    <row r="12" spans="1:5" s="93" customFormat="1" ht="26.25" customHeight="1" x14ac:dyDescent="0.25">
      <c r="A12" s="98"/>
      <c r="B12" s="130" t="s">
        <v>23</v>
      </c>
      <c r="C12" s="197" t="s">
        <v>24</v>
      </c>
      <c r="D12" s="199" t="s">
        <v>25</v>
      </c>
      <c r="E12" s="75"/>
    </row>
    <row r="13" spans="1:5" s="93" customFormat="1" x14ac:dyDescent="0.25">
      <c r="A13" s="98"/>
      <c r="B13" s="133">
        <v>17</v>
      </c>
      <c r="C13" s="135" t="s">
        <v>227</v>
      </c>
      <c r="D13" s="134">
        <v>710015540</v>
      </c>
      <c r="E13" s="75"/>
    </row>
    <row r="14" spans="1:5" s="93" customFormat="1" x14ac:dyDescent="0.25">
      <c r="A14" s="98"/>
      <c r="B14" s="133">
        <v>25</v>
      </c>
      <c r="C14" s="135" t="s">
        <v>131</v>
      </c>
      <c r="D14" s="134">
        <v>2029670548</v>
      </c>
      <c r="E14" s="75"/>
    </row>
    <row r="15" spans="1:5" s="93" customFormat="1" x14ac:dyDescent="0.25">
      <c r="A15" s="98"/>
      <c r="B15" s="133">
        <v>31</v>
      </c>
      <c r="C15" s="135" t="s">
        <v>131</v>
      </c>
      <c r="D15" s="134">
        <v>1056615312</v>
      </c>
      <c r="E15" s="75"/>
    </row>
    <row r="16" spans="1:5" s="93" customFormat="1" x14ac:dyDescent="0.25">
      <c r="A16" s="98"/>
      <c r="B16" s="74"/>
      <c r="C16" s="135" t="s">
        <v>132</v>
      </c>
      <c r="D16" s="134">
        <v>927771658</v>
      </c>
      <c r="E16" s="75"/>
    </row>
    <row r="17" spans="1:6" s="93" customFormat="1" ht="14.25" thickBot="1" x14ac:dyDescent="0.3">
      <c r="A17" s="98"/>
      <c r="B17" s="74"/>
      <c r="C17" s="217"/>
      <c r="D17" s="99"/>
      <c r="E17" s="75"/>
    </row>
    <row r="18" spans="1:6" s="93" customFormat="1" ht="14.25" thickBot="1" x14ac:dyDescent="0.3">
      <c r="A18" s="98"/>
      <c r="B18" s="72" t="s">
        <v>30</v>
      </c>
      <c r="C18" s="249">
        <f>+SUM(D13:D16)</f>
        <v>4724073058</v>
      </c>
      <c r="D18" s="250"/>
      <c r="E18" s="75"/>
    </row>
    <row r="19" spans="1:6" s="93" customFormat="1" ht="14.25" thickBot="1" x14ac:dyDescent="0.3">
      <c r="A19" s="98"/>
      <c r="B19" s="72" t="s">
        <v>5</v>
      </c>
      <c r="C19" s="302">
        <f>+ROUND(C18/616000,0)</f>
        <v>7669</v>
      </c>
      <c r="D19" s="303"/>
      <c r="E19" s="75"/>
    </row>
    <row r="20" spans="1:6" s="93" customFormat="1" x14ac:dyDescent="0.25">
      <c r="A20" s="98"/>
      <c r="B20" s="70"/>
      <c r="C20" s="70"/>
      <c r="D20" s="99"/>
      <c r="E20" s="75"/>
    </row>
    <row r="21" spans="1:6" s="93" customFormat="1" ht="14.25" thickBot="1" x14ac:dyDescent="0.3">
      <c r="A21" s="98"/>
      <c r="B21" s="100" t="s">
        <v>19</v>
      </c>
      <c r="C21" s="76"/>
      <c r="D21" s="99"/>
      <c r="E21" s="75"/>
    </row>
    <row r="22" spans="1:6" s="93" customFormat="1" x14ac:dyDescent="0.25">
      <c r="A22" s="98"/>
      <c r="B22" s="77" t="s">
        <v>13</v>
      </c>
      <c r="C22" s="85">
        <f>+IF($C$19&gt;$B$53,$D$53,IF(AND($C$19&gt;=$B$52,$C$19&lt;=$C$52),$D$52,IF(AND($C$19&gt;=$B$50,$C$19&lt;=$C$51),$D$50,IF(AND($C$19&gt;=$B$48,$C$19&lt;=$C$49),$D$48,IF(AND($C$19&gt;$B$46,$C$19&lt;=$C$47),$D$46)))))</f>
        <v>1.2</v>
      </c>
      <c r="D22" s="99"/>
      <c r="E22" s="75"/>
    </row>
    <row r="23" spans="1:6" s="93" customFormat="1" ht="14.25" thickBot="1" x14ac:dyDescent="0.3">
      <c r="A23" s="98"/>
      <c r="B23" s="78" t="s">
        <v>14</v>
      </c>
      <c r="C23" s="86">
        <f>+IF($C$19&gt;$B$53,$F$53,IF(AND($C$19&gt;=$B$51,$C$19&lt;=$C$52),$F$51,IF(AND($C$19&gt;=$B$49,$C$19&lt;=$C$50),$F$49,IF(AND($C$19&gt;=$B$47,$C$19&lt;=$C$48),$F$47,IF(AND($C$19&gt;$B$46,$C$19&lt;=$C$46),$F$46)))))</f>
        <v>0.65</v>
      </c>
      <c r="D23" s="99"/>
      <c r="E23" s="75"/>
    </row>
    <row r="24" spans="1:6" s="93" customFormat="1" ht="11.25" customHeight="1" thickBot="1" x14ac:dyDescent="0.3">
      <c r="A24" s="98"/>
      <c r="B24" s="101"/>
      <c r="C24" s="102"/>
      <c r="D24" s="103"/>
      <c r="E24" s="75"/>
    </row>
    <row r="25" spans="1:6" s="93" customFormat="1" x14ac:dyDescent="0.25">
      <c r="A25" s="98"/>
      <c r="B25" s="80" t="s">
        <v>7</v>
      </c>
      <c r="C25" s="127">
        <v>23902744108</v>
      </c>
      <c r="D25" s="104"/>
      <c r="E25" s="75"/>
    </row>
    <row r="26" spans="1:6" s="93" customFormat="1" x14ac:dyDescent="0.25">
      <c r="A26" s="98"/>
      <c r="B26" s="81" t="s">
        <v>8</v>
      </c>
      <c r="C26" s="129">
        <v>43165493613</v>
      </c>
      <c r="D26" s="105"/>
      <c r="E26" s="75"/>
    </row>
    <row r="27" spans="1:6" s="93" customFormat="1" ht="15" x14ac:dyDescent="0.25">
      <c r="A27" s="98"/>
      <c r="B27" s="81" t="s">
        <v>9</v>
      </c>
      <c r="C27" s="129">
        <v>13060332516</v>
      </c>
      <c r="D27" s="105"/>
      <c r="E27" s="75"/>
      <c r="F27" s="106"/>
    </row>
    <row r="28" spans="1:6" s="93" customFormat="1" ht="15.75" thickBot="1" x14ac:dyDescent="0.3">
      <c r="A28" s="98"/>
      <c r="B28" s="82" t="s">
        <v>10</v>
      </c>
      <c r="C28" s="128">
        <v>28605161097</v>
      </c>
      <c r="D28" s="107"/>
      <c r="E28" s="75"/>
      <c r="F28" s="106"/>
    </row>
    <row r="29" spans="1:6" s="93" customFormat="1" ht="14.25" thickBot="1" x14ac:dyDescent="0.3">
      <c r="A29" s="98"/>
      <c r="B29" s="286" t="s">
        <v>11</v>
      </c>
      <c r="C29" s="287"/>
      <c r="D29" s="288"/>
      <c r="E29" s="75"/>
    </row>
    <row r="30" spans="1:6" s="93" customFormat="1" ht="14.25" thickBot="1" x14ac:dyDescent="0.3">
      <c r="A30" s="98"/>
      <c r="B30" s="241" t="s">
        <v>12</v>
      </c>
      <c r="C30" s="242"/>
      <c r="D30" s="243"/>
      <c r="E30" s="75"/>
    </row>
    <row r="31" spans="1:6" s="93" customFormat="1" ht="16.5" x14ac:dyDescent="0.3">
      <c r="A31" s="98"/>
      <c r="B31" s="77" t="s">
        <v>13</v>
      </c>
      <c r="C31" s="126">
        <f>+IFERROR(C25/C27,"INDETERMINADO")</f>
        <v>1.8301788318725529</v>
      </c>
      <c r="D31" s="118" t="str">
        <f>+IF(C31&gt;=C22,"CUMPLE","NO CUMPLE")</f>
        <v>CUMPLE</v>
      </c>
      <c r="E31" s="75"/>
    </row>
    <row r="32" spans="1:6" s="93" customFormat="1" ht="17.25" thickBot="1" x14ac:dyDescent="0.35">
      <c r="A32" s="98"/>
      <c r="B32" s="78" t="s">
        <v>14</v>
      </c>
      <c r="C32" s="225">
        <f>+C28/C26</f>
        <v>0.66268583312076579</v>
      </c>
      <c r="D32" s="119" t="str">
        <f>+IF(C32&lt;=C23,"CUMPLE","NO CUMPLE")</f>
        <v>NO CUMPLE</v>
      </c>
      <c r="E32" s="75"/>
    </row>
    <row r="33" spans="1:9" s="110" customFormat="1" ht="14.25" thickBot="1" x14ac:dyDescent="0.3">
      <c r="A33" s="98"/>
      <c r="B33" s="108"/>
      <c r="C33" s="100"/>
      <c r="D33" s="76"/>
      <c r="E33" s="109"/>
    </row>
    <row r="34" spans="1:9" s="93" customFormat="1" ht="41.25" customHeight="1" thickBot="1" x14ac:dyDescent="0.3">
      <c r="A34" s="98"/>
      <c r="B34" s="72" t="s">
        <v>15</v>
      </c>
      <c r="C34" s="244" t="s">
        <v>133</v>
      </c>
      <c r="D34" s="245"/>
      <c r="E34" s="75"/>
    </row>
    <row r="35" spans="1:9" s="70" customFormat="1" ht="14.25" thickBot="1" x14ac:dyDescent="0.3">
      <c r="A35" s="98"/>
      <c r="B35" s="83"/>
      <c r="C35" s="83"/>
      <c r="D35" s="83"/>
      <c r="E35" s="75"/>
    </row>
    <row r="36" spans="1:9" s="70" customFormat="1" ht="45.75" customHeight="1" thickBot="1" x14ac:dyDescent="0.3">
      <c r="A36" s="98"/>
      <c r="B36" s="72" t="s">
        <v>26</v>
      </c>
      <c r="C36" s="244"/>
      <c r="D36" s="245"/>
      <c r="E36" s="75"/>
    </row>
    <row r="37" spans="1:9" s="70" customFormat="1" ht="14.25" thickBot="1" x14ac:dyDescent="0.3">
      <c r="A37" s="111"/>
      <c r="B37" s="112"/>
      <c r="C37" s="112"/>
      <c r="D37" s="112"/>
      <c r="E37" s="71"/>
    </row>
    <row r="38" spans="1:9" s="70" customFormat="1" x14ac:dyDescent="0.25">
      <c r="B38" s="83"/>
      <c r="C38" s="83"/>
      <c r="D38" s="83"/>
    </row>
    <row r="39" spans="1:9" s="70" customFormat="1" x14ac:dyDescent="0.25">
      <c r="B39" s="83"/>
      <c r="C39" s="83"/>
      <c r="D39" s="83"/>
    </row>
    <row r="40" spans="1:9" s="70" customFormat="1" x14ac:dyDescent="0.25">
      <c r="B40" s="83"/>
      <c r="C40" s="83"/>
      <c r="D40" s="83"/>
    </row>
    <row r="41" spans="1:9" s="70" customFormat="1" x14ac:dyDescent="0.25">
      <c r="B41" s="83"/>
      <c r="C41" s="83"/>
      <c r="D41" s="83"/>
    </row>
    <row r="43" spans="1:9" x14ac:dyDescent="0.25">
      <c r="B43" s="100"/>
      <c r="C43" s="70"/>
    </row>
    <row r="44" spans="1:9" x14ac:dyDescent="0.25">
      <c r="B44" s="88">
        <v>616000</v>
      </c>
      <c r="C44" s="87"/>
      <c r="D44" s="87"/>
      <c r="E44" s="87"/>
      <c r="F44" s="87"/>
      <c r="G44" s="87"/>
      <c r="H44" s="87"/>
      <c r="I44" s="87"/>
    </row>
    <row r="45" spans="1:9" ht="25.5" x14ac:dyDescent="0.25">
      <c r="B45" s="89" t="s">
        <v>21</v>
      </c>
      <c r="C45" s="89" t="s">
        <v>20</v>
      </c>
      <c r="D45" s="200" t="s">
        <v>16</v>
      </c>
      <c r="E45" s="87"/>
      <c r="F45" s="200" t="s">
        <v>17</v>
      </c>
      <c r="G45" s="87"/>
      <c r="H45" s="246"/>
      <c r="I45" s="246"/>
    </row>
    <row r="46" spans="1:9" x14ac:dyDescent="0.25">
      <c r="B46" s="90">
        <v>0</v>
      </c>
      <c r="C46" s="90">
        <v>250</v>
      </c>
      <c r="D46" s="201">
        <v>0.8</v>
      </c>
      <c r="E46" s="87"/>
      <c r="F46" s="202">
        <v>0.8</v>
      </c>
      <c r="G46" s="87"/>
      <c r="H46" s="116"/>
      <c r="I46" s="117">
        <f t="shared" ref="I46:I53" si="0">+C46*$B$44</f>
        <v>154000000</v>
      </c>
    </row>
    <row r="47" spans="1:9" x14ac:dyDescent="0.25">
      <c r="B47" s="90">
        <v>251</v>
      </c>
      <c r="C47" s="90">
        <v>1000</v>
      </c>
      <c r="D47" s="201">
        <v>0.8</v>
      </c>
      <c r="E47" s="87"/>
      <c r="F47" s="202">
        <v>0.75</v>
      </c>
      <c r="G47" s="87"/>
      <c r="H47" s="117">
        <f t="shared" ref="H47:H53" si="1">+B47*$B$44</f>
        <v>154616000</v>
      </c>
      <c r="I47" s="117">
        <f t="shared" si="0"/>
        <v>616000000</v>
      </c>
    </row>
    <row r="48" spans="1:9" x14ac:dyDescent="0.25">
      <c r="B48" s="90">
        <v>1001</v>
      </c>
      <c r="C48" s="90">
        <v>1500</v>
      </c>
      <c r="D48" s="201">
        <v>0.9</v>
      </c>
      <c r="E48" s="87"/>
      <c r="F48" s="202">
        <v>0.75</v>
      </c>
      <c r="G48" s="87"/>
      <c r="H48" s="117">
        <f t="shared" si="1"/>
        <v>616616000</v>
      </c>
      <c r="I48" s="117">
        <f t="shared" si="0"/>
        <v>924000000</v>
      </c>
    </row>
    <row r="49" spans="1:9" x14ac:dyDescent="0.25">
      <c r="B49" s="90">
        <v>1501</v>
      </c>
      <c r="C49" s="90">
        <v>2500</v>
      </c>
      <c r="D49" s="201">
        <v>0.9</v>
      </c>
      <c r="E49" s="87"/>
      <c r="F49" s="202">
        <v>0.7</v>
      </c>
      <c r="G49" s="87"/>
      <c r="H49" s="117">
        <f t="shared" si="1"/>
        <v>924616000</v>
      </c>
      <c r="I49" s="117">
        <f t="shared" si="0"/>
        <v>1540000000</v>
      </c>
    </row>
    <row r="50" spans="1:9" x14ac:dyDescent="0.25">
      <c r="B50" s="90">
        <v>2501</v>
      </c>
      <c r="C50" s="90">
        <v>3000</v>
      </c>
      <c r="D50" s="201">
        <v>1</v>
      </c>
      <c r="E50" s="87"/>
      <c r="F50" s="202">
        <v>0.7</v>
      </c>
      <c r="G50" s="87"/>
      <c r="H50" s="117">
        <f t="shared" si="1"/>
        <v>1540616000</v>
      </c>
      <c r="I50" s="117">
        <f t="shared" si="0"/>
        <v>1848000000</v>
      </c>
    </row>
    <row r="51" spans="1:9" x14ac:dyDescent="0.25">
      <c r="B51" s="90">
        <v>3001</v>
      </c>
      <c r="C51" s="90">
        <v>3500</v>
      </c>
      <c r="D51" s="201">
        <v>1</v>
      </c>
      <c r="E51" s="87"/>
      <c r="F51" s="202">
        <v>0.68</v>
      </c>
      <c r="G51" s="87"/>
      <c r="H51" s="117">
        <f t="shared" si="1"/>
        <v>1848616000</v>
      </c>
      <c r="I51" s="117">
        <f t="shared" si="0"/>
        <v>2156000000</v>
      </c>
    </row>
    <row r="52" spans="1:9" x14ac:dyDescent="0.25">
      <c r="B52" s="90">
        <v>3501</v>
      </c>
      <c r="C52" s="90">
        <v>4500</v>
      </c>
      <c r="D52" s="201">
        <v>1.1000000000000001</v>
      </c>
      <c r="E52" s="87"/>
      <c r="F52" s="202">
        <v>0.68</v>
      </c>
      <c r="G52" s="87"/>
      <c r="H52" s="117">
        <f t="shared" si="1"/>
        <v>2156616000</v>
      </c>
      <c r="I52" s="117">
        <f t="shared" si="0"/>
        <v>2772000000</v>
      </c>
    </row>
    <row r="53" spans="1:9" x14ac:dyDescent="0.25">
      <c r="A53" s="84" t="s">
        <v>22</v>
      </c>
      <c r="B53" s="90">
        <v>4501</v>
      </c>
      <c r="C53" s="90"/>
      <c r="D53" s="201">
        <v>1.2</v>
      </c>
      <c r="E53" s="87"/>
      <c r="F53" s="202">
        <v>0.65</v>
      </c>
      <c r="G53" s="87"/>
      <c r="H53" s="117">
        <f t="shared" si="1"/>
        <v>2772616000</v>
      </c>
      <c r="I53" s="117">
        <f t="shared" si="0"/>
        <v>0</v>
      </c>
    </row>
  </sheetData>
  <mergeCells count="17">
    <mergeCell ref="C19:D19"/>
    <mergeCell ref="A1:E1"/>
    <mergeCell ref="B2:D2"/>
    <mergeCell ref="A3:E3"/>
    <mergeCell ref="B4:D4"/>
    <mergeCell ref="B5:E5"/>
    <mergeCell ref="A6:E6"/>
    <mergeCell ref="A7:E7"/>
    <mergeCell ref="C9:D9"/>
    <mergeCell ref="C10:D10"/>
    <mergeCell ref="C11:D11"/>
    <mergeCell ref="C18:D18"/>
    <mergeCell ref="B29:D29"/>
    <mergeCell ref="B30:D30"/>
    <mergeCell ref="C34:D34"/>
    <mergeCell ref="C36:D36"/>
    <mergeCell ref="H45:I45"/>
  </mergeCells>
  <pageMargins left="0.7" right="0.7" top="0.75" bottom="0.75" header="0.3" footer="0.3"/>
  <pageSetup scale="99" orientation="portrait" r:id="rId1"/>
  <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0"/>
  <sheetViews>
    <sheetView tabSelected="1" view="pageBreakPreview" zoomScale="130" zoomScaleNormal="100" zoomScaleSheetLayoutView="130" workbookViewId="0">
      <selection activeCell="C14" sqref="C14"/>
    </sheetView>
  </sheetViews>
  <sheetFormatPr baseColWidth="10" defaultRowHeight="13.5" x14ac:dyDescent="0.25"/>
  <cols>
    <col min="1" max="1" width="3.140625" style="84" customWidth="1"/>
    <col min="2" max="2" width="33.28515625" style="84" customWidth="1"/>
    <col min="3" max="3" width="27.7109375" style="84" customWidth="1"/>
    <col min="4" max="4" width="21.7109375" style="84" customWidth="1"/>
    <col min="5" max="5" width="3.5703125" style="84" customWidth="1"/>
    <col min="6" max="6" width="16.5703125" style="84" customWidth="1"/>
    <col min="7" max="7" width="3.140625" style="84" customWidth="1"/>
    <col min="8" max="8" width="18.140625" style="84" customWidth="1"/>
    <col min="9" max="9" width="12.7109375" style="84" bestFit="1" customWidth="1"/>
    <col min="10" max="16384" width="11.42578125" style="84"/>
  </cols>
  <sheetData>
    <row r="1" spans="1:5" s="93" customFormat="1" ht="20.25" customHeight="1" x14ac:dyDescent="0.25">
      <c r="A1" s="253" t="s">
        <v>0</v>
      </c>
      <c r="B1" s="254"/>
      <c r="C1" s="254"/>
      <c r="D1" s="254"/>
      <c r="E1" s="255"/>
    </row>
    <row r="2" spans="1:5" s="93" customFormat="1" ht="15.75" customHeight="1" x14ac:dyDescent="0.25">
      <c r="A2" s="196"/>
      <c r="B2" s="256" t="s">
        <v>1</v>
      </c>
      <c r="C2" s="256"/>
      <c r="D2" s="256"/>
      <c r="E2" s="95"/>
    </row>
    <row r="3" spans="1:5" s="93" customFormat="1" ht="15.75" customHeight="1" x14ac:dyDescent="0.25">
      <c r="A3" s="257" t="s">
        <v>27</v>
      </c>
      <c r="B3" s="256"/>
      <c r="C3" s="256"/>
      <c r="D3" s="256"/>
      <c r="E3" s="258"/>
    </row>
    <row r="4" spans="1:5" s="93" customFormat="1" ht="20.25" x14ac:dyDescent="0.3">
      <c r="A4" s="96"/>
      <c r="B4" s="256" t="s">
        <v>2</v>
      </c>
      <c r="C4" s="256"/>
      <c r="D4" s="256"/>
      <c r="E4" s="97"/>
    </row>
    <row r="5" spans="1:5" s="93" customFormat="1" ht="20.25" customHeight="1" x14ac:dyDescent="0.25">
      <c r="A5" s="257" t="s">
        <v>28</v>
      </c>
      <c r="B5" s="256"/>
      <c r="C5" s="256"/>
      <c r="D5" s="256"/>
      <c r="E5" s="258"/>
    </row>
    <row r="6" spans="1:5" s="93" customFormat="1" ht="96" customHeight="1" x14ac:dyDescent="0.25">
      <c r="A6" s="259" t="s">
        <v>29</v>
      </c>
      <c r="B6" s="260"/>
      <c r="C6" s="260"/>
      <c r="D6" s="260"/>
      <c r="E6" s="261"/>
    </row>
    <row r="7" spans="1:5" s="93" customFormat="1" ht="14.25" thickBot="1" x14ac:dyDescent="0.3">
      <c r="A7" s="98"/>
      <c r="B7" s="70"/>
      <c r="C7" s="70"/>
      <c r="D7" s="70"/>
      <c r="E7" s="75"/>
    </row>
    <row r="8" spans="1:5" s="93" customFormat="1" ht="26.25" customHeight="1" thickBot="1" x14ac:dyDescent="0.3">
      <c r="A8" s="98"/>
      <c r="B8" s="72" t="s">
        <v>3</v>
      </c>
      <c r="C8" s="247" t="s">
        <v>80</v>
      </c>
      <c r="D8" s="248"/>
      <c r="E8" s="75"/>
    </row>
    <row r="9" spans="1:5" s="93" customFormat="1" ht="14.25" thickBot="1" x14ac:dyDescent="0.3">
      <c r="A9" s="98"/>
      <c r="B9" s="72" t="s">
        <v>38</v>
      </c>
      <c r="C9" s="247">
        <v>52</v>
      </c>
      <c r="D9" s="248"/>
      <c r="E9" s="75"/>
    </row>
    <row r="10" spans="1:5" s="93" customFormat="1" ht="14.25" thickBot="1" x14ac:dyDescent="0.3">
      <c r="A10" s="98"/>
      <c r="B10" s="79" t="s">
        <v>6</v>
      </c>
      <c r="C10" s="247">
        <v>812007839</v>
      </c>
      <c r="D10" s="248"/>
      <c r="E10" s="75"/>
    </row>
    <row r="11" spans="1:5" s="93" customFormat="1" ht="26.25" customHeight="1" x14ac:dyDescent="0.25">
      <c r="A11" s="98"/>
      <c r="B11" s="130" t="s">
        <v>23</v>
      </c>
      <c r="C11" s="197" t="s">
        <v>24</v>
      </c>
      <c r="D11" s="199" t="s">
        <v>25</v>
      </c>
      <c r="E11" s="75"/>
    </row>
    <row r="12" spans="1:5" s="93" customFormat="1" x14ac:dyDescent="0.25">
      <c r="A12" s="98"/>
      <c r="B12" s="133">
        <v>3</v>
      </c>
      <c r="C12" s="135" t="s">
        <v>228</v>
      </c>
      <c r="D12" s="134">
        <v>5680124320</v>
      </c>
      <c r="E12" s="75"/>
    </row>
    <row r="13" spans="1:5" s="93" customFormat="1" x14ac:dyDescent="0.25">
      <c r="A13" s="98"/>
      <c r="B13" s="133" t="s">
        <v>229</v>
      </c>
      <c r="C13" s="135" t="s">
        <v>230</v>
      </c>
      <c r="D13" s="134">
        <v>9231798350</v>
      </c>
      <c r="E13" s="75"/>
    </row>
    <row r="14" spans="1:5" s="93" customFormat="1" ht="12" customHeight="1" thickBot="1" x14ac:dyDescent="0.3">
      <c r="A14" s="98"/>
      <c r="B14" s="133"/>
      <c r="C14" s="135"/>
      <c r="D14" s="134"/>
      <c r="E14" s="75"/>
    </row>
    <row r="15" spans="1:5" s="93" customFormat="1" ht="14.25" thickBot="1" x14ac:dyDescent="0.3">
      <c r="A15" s="98"/>
      <c r="B15" s="72" t="s">
        <v>30</v>
      </c>
      <c r="C15" s="249">
        <f>+SUM(D12:D14)</f>
        <v>14911922670</v>
      </c>
      <c r="D15" s="250"/>
      <c r="E15" s="75"/>
    </row>
    <row r="16" spans="1:5" s="93" customFormat="1" ht="14.25" thickBot="1" x14ac:dyDescent="0.3">
      <c r="A16" s="98"/>
      <c r="B16" s="72" t="s">
        <v>5</v>
      </c>
      <c r="C16" s="251">
        <f>+ROUND(C15/616000,0)</f>
        <v>24208</v>
      </c>
      <c r="D16" s="252"/>
      <c r="E16" s="75"/>
    </row>
    <row r="17" spans="1:6" s="93" customFormat="1" x14ac:dyDescent="0.25">
      <c r="A17" s="98"/>
      <c r="B17" s="70"/>
      <c r="C17" s="70"/>
      <c r="D17" s="99"/>
      <c r="E17" s="75"/>
    </row>
    <row r="18" spans="1:6" s="93" customFormat="1" ht="14.25" thickBot="1" x14ac:dyDescent="0.3">
      <c r="A18" s="98"/>
      <c r="B18" s="100" t="s">
        <v>19</v>
      </c>
      <c r="C18" s="76"/>
      <c r="D18" s="99"/>
      <c r="E18" s="75"/>
    </row>
    <row r="19" spans="1:6" s="93" customFormat="1" x14ac:dyDescent="0.25">
      <c r="A19" s="98"/>
      <c r="B19" s="77" t="s">
        <v>13</v>
      </c>
      <c r="C19" s="85">
        <f>+IF($C$16&gt;$B$50,$D$50,IF(AND($C$16&gt;=$B$49,$C$16&lt;=$C$49),$D$49,IF(AND($C$16&gt;=$B$47,$C$16&lt;=$C$48),$D$47,IF(AND($C$16&gt;=$B$45,$C$16&lt;=$C$46),$D$45,IF(AND($C$16&gt;$B$43,$C$16&lt;=$C$44),$D$43)))))</f>
        <v>1.2</v>
      </c>
      <c r="D19" s="99"/>
      <c r="E19" s="75"/>
    </row>
    <row r="20" spans="1:6" s="93" customFormat="1" ht="14.25" thickBot="1" x14ac:dyDescent="0.3">
      <c r="A20" s="98"/>
      <c r="B20" s="78" t="s">
        <v>14</v>
      </c>
      <c r="C20" s="86">
        <f>+IF($C$16&gt;$B$50,$F$50,IF(AND($C$16&gt;=$B$48,$C$16&lt;=$C$49),$F$48,IF(AND($C$16&gt;=$B$46,$C$16&lt;=$C$47),$F$46,IF(AND($C$16&gt;=$B$44,$C$16&lt;=$C$45),$F$44,IF(AND($C$16&gt;$B$43,$C$16&lt;=$C$43),$F$43)))))</f>
        <v>0.65</v>
      </c>
      <c r="D20" s="99"/>
      <c r="E20" s="75"/>
    </row>
    <row r="21" spans="1:6" s="93" customFormat="1" ht="14.25" thickBot="1" x14ac:dyDescent="0.3">
      <c r="A21" s="98"/>
      <c r="B21" s="101"/>
      <c r="C21" s="102"/>
      <c r="D21" s="103"/>
      <c r="E21" s="75"/>
    </row>
    <row r="22" spans="1:6" s="93" customFormat="1" x14ac:dyDescent="0.25">
      <c r="A22" s="98"/>
      <c r="B22" s="80" t="s">
        <v>7</v>
      </c>
      <c r="C22" s="127">
        <v>2894967415</v>
      </c>
      <c r="D22" s="104"/>
      <c r="E22" s="75"/>
    </row>
    <row r="23" spans="1:6" s="93" customFormat="1" x14ac:dyDescent="0.25">
      <c r="A23" s="98"/>
      <c r="B23" s="81" t="s">
        <v>8</v>
      </c>
      <c r="C23" s="129">
        <v>3091655415</v>
      </c>
      <c r="D23" s="105"/>
      <c r="E23" s="75"/>
    </row>
    <row r="24" spans="1:6" s="93" customFormat="1" ht="15" x14ac:dyDescent="0.25">
      <c r="A24" s="98"/>
      <c r="B24" s="81" t="s">
        <v>9</v>
      </c>
      <c r="C24" s="129">
        <v>48728000</v>
      </c>
      <c r="D24" s="105"/>
      <c r="E24" s="75"/>
      <c r="F24" s="106"/>
    </row>
    <row r="25" spans="1:6" s="93" customFormat="1" ht="15.75" thickBot="1" x14ac:dyDescent="0.3">
      <c r="A25" s="98"/>
      <c r="B25" s="81" t="s">
        <v>10</v>
      </c>
      <c r="C25" s="129">
        <v>1360751541</v>
      </c>
      <c r="D25" s="105"/>
      <c r="E25" s="75"/>
      <c r="F25" s="106"/>
    </row>
    <row r="26" spans="1:6" s="93" customFormat="1" ht="14.25" thickBot="1" x14ac:dyDescent="0.3">
      <c r="A26" s="98"/>
      <c r="B26" s="241" t="s">
        <v>11</v>
      </c>
      <c r="C26" s="242"/>
      <c r="D26" s="243"/>
      <c r="E26" s="75"/>
    </row>
    <row r="27" spans="1:6" s="93" customFormat="1" ht="14.25" thickBot="1" x14ac:dyDescent="0.3">
      <c r="A27" s="98"/>
      <c r="B27" s="241" t="s">
        <v>12</v>
      </c>
      <c r="C27" s="242"/>
      <c r="D27" s="243"/>
      <c r="E27" s="75"/>
    </row>
    <row r="28" spans="1:6" s="93" customFormat="1" ht="16.5" x14ac:dyDescent="0.3">
      <c r="A28" s="98"/>
      <c r="B28" s="77" t="s">
        <v>13</v>
      </c>
      <c r="C28" s="126">
        <f>+IFERROR(C22/C24,"INDETERMINADO")</f>
        <v>59.410757983089802</v>
      </c>
      <c r="D28" s="118" t="str">
        <f>+IF(C28&gt;=C19,"CUMPLE","NO CUMPLE")</f>
        <v>CUMPLE</v>
      </c>
      <c r="E28" s="75"/>
    </row>
    <row r="29" spans="1:6" s="93" customFormat="1" ht="17.25" thickBot="1" x14ac:dyDescent="0.35">
      <c r="A29" s="98"/>
      <c r="B29" s="78" t="s">
        <v>14</v>
      </c>
      <c r="C29" s="120">
        <f>+C25/C23</f>
        <v>0.44013687113963185</v>
      </c>
      <c r="D29" s="119" t="str">
        <f>+IF(C29&lt;=C20,"CUMPLE","NO CUMPLE")</f>
        <v>CUMPLE</v>
      </c>
      <c r="E29" s="75"/>
    </row>
    <row r="30" spans="1:6" s="110" customFormat="1" ht="14.25" thickBot="1" x14ac:dyDescent="0.3">
      <c r="A30" s="98"/>
      <c r="B30" s="108"/>
      <c r="C30" s="100"/>
      <c r="D30" s="76"/>
      <c r="E30" s="109"/>
    </row>
    <row r="31" spans="1:6" s="93" customFormat="1" ht="41.25" customHeight="1" thickBot="1" x14ac:dyDescent="0.3">
      <c r="A31" s="98"/>
      <c r="B31" s="72" t="s">
        <v>15</v>
      </c>
      <c r="C31" s="244" t="s">
        <v>43</v>
      </c>
      <c r="D31" s="245"/>
      <c r="E31" s="75"/>
    </row>
    <row r="32" spans="1:6" s="70" customFormat="1" ht="14.25" thickBot="1" x14ac:dyDescent="0.3">
      <c r="A32" s="98"/>
      <c r="B32" s="83"/>
      <c r="C32" s="83"/>
      <c r="D32" s="83"/>
      <c r="E32" s="75"/>
    </row>
    <row r="33" spans="1:9" s="70" customFormat="1" ht="45.75" customHeight="1" thickBot="1" x14ac:dyDescent="0.3">
      <c r="A33" s="98"/>
      <c r="B33" s="72" t="s">
        <v>26</v>
      </c>
      <c r="C33" s="244"/>
      <c r="D33" s="245"/>
      <c r="E33" s="75"/>
    </row>
    <row r="34" spans="1:9" s="70" customFormat="1" ht="14.25" thickBot="1" x14ac:dyDescent="0.3">
      <c r="A34" s="111"/>
      <c r="B34" s="112"/>
      <c r="C34" s="112"/>
      <c r="D34" s="112"/>
      <c r="E34" s="71"/>
    </row>
    <row r="35" spans="1:9" s="70" customFormat="1" x14ac:dyDescent="0.25">
      <c r="B35" s="83"/>
      <c r="C35" s="83"/>
      <c r="D35" s="83"/>
    </row>
    <row r="36" spans="1:9" s="70" customFormat="1" x14ac:dyDescent="0.25">
      <c r="B36" s="83"/>
      <c r="C36" s="83"/>
      <c r="D36" s="83"/>
    </row>
    <row r="37" spans="1:9" s="70" customFormat="1" x14ac:dyDescent="0.25">
      <c r="B37" s="83"/>
      <c r="C37" s="83"/>
      <c r="D37" s="83"/>
    </row>
    <row r="38" spans="1:9" s="70" customFormat="1" x14ac:dyDescent="0.25">
      <c r="B38" s="83"/>
      <c r="C38" s="83"/>
      <c r="D38" s="83"/>
    </row>
    <row r="40" spans="1:9" x14ac:dyDescent="0.25">
      <c r="B40" s="100"/>
      <c r="C40" s="70"/>
    </row>
    <row r="41" spans="1:9" x14ac:dyDescent="0.25">
      <c r="B41" s="88">
        <v>616000</v>
      </c>
      <c r="C41" s="87"/>
      <c r="D41" s="87"/>
      <c r="E41" s="87"/>
      <c r="F41" s="87"/>
      <c r="G41" s="87"/>
      <c r="H41" s="87"/>
      <c r="I41" s="87"/>
    </row>
    <row r="42" spans="1:9" ht="25.5" x14ac:dyDescent="0.25">
      <c r="B42" s="89" t="s">
        <v>21</v>
      </c>
      <c r="C42" s="89" t="s">
        <v>20</v>
      </c>
      <c r="D42" s="200" t="s">
        <v>16</v>
      </c>
      <c r="E42" s="87"/>
      <c r="F42" s="200" t="s">
        <v>17</v>
      </c>
      <c r="G42" s="87"/>
      <c r="H42" s="246"/>
      <c r="I42" s="246"/>
    </row>
    <row r="43" spans="1:9" x14ac:dyDescent="0.25">
      <c r="B43" s="90">
        <v>0</v>
      </c>
      <c r="C43" s="90">
        <v>250</v>
      </c>
      <c r="D43" s="201">
        <v>0.8</v>
      </c>
      <c r="E43" s="87"/>
      <c r="F43" s="202">
        <v>0.8</v>
      </c>
      <c r="G43" s="87"/>
      <c r="H43" s="116"/>
      <c r="I43" s="117">
        <f t="shared" ref="I43:I50" si="0">+C43*$B$41</f>
        <v>154000000</v>
      </c>
    </row>
    <row r="44" spans="1:9" x14ac:dyDescent="0.25">
      <c r="B44" s="90">
        <v>251</v>
      </c>
      <c r="C44" s="90">
        <v>1000</v>
      </c>
      <c r="D44" s="201">
        <v>0.8</v>
      </c>
      <c r="E44" s="87"/>
      <c r="F44" s="202">
        <v>0.75</v>
      </c>
      <c r="G44" s="87"/>
      <c r="H44" s="117">
        <f t="shared" ref="H44:H50" si="1">+B44*$B$41</f>
        <v>154616000</v>
      </c>
      <c r="I44" s="117">
        <f t="shared" si="0"/>
        <v>616000000</v>
      </c>
    </row>
    <row r="45" spans="1:9" x14ac:dyDescent="0.25">
      <c r="B45" s="90">
        <v>1001</v>
      </c>
      <c r="C45" s="90">
        <v>1500</v>
      </c>
      <c r="D45" s="201">
        <v>0.9</v>
      </c>
      <c r="E45" s="87"/>
      <c r="F45" s="202">
        <v>0.75</v>
      </c>
      <c r="G45" s="87"/>
      <c r="H45" s="117">
        <f t="shared" si="1"/>
        <v>616616000</v>
      </c>
      <c r="I45" s="117">
        <f t="shared" si="0"/>
        <v>924000000</v>
      </c>
    </row>
    <row r="46" spans="1:9" x14ac:dyDescent="0.25">
      <c r="B46" s="90">
        <v>1501</v>
      </c>
      <c r="C46" s="90">
        <v>2500</v>
      </c>
      <c r="D46" s="201">
        <v>0.9</v>
      </c>
      <c r="E46" s="87"/>
      <c r="F46" s="202">
        <v>0.7</v>
      </c>
      <c r="G46" s="87"/>
      <c r="H46" s="117">
        <f t="shared" si="1"/>
        <v>924616000</v>
      </c>
      <c r="I46" s="117">
        <f t="shared" si="0"/>
        <v>1540000000</v>
      </c>
    </row>
    <row r="47" spans="1:9" x14ac:dyDescent="0.25">
      <c r="B47" s="90">
        <v>2501</v>
      </c>
      <c r="C47" s="90">
        <v>3000</v>
      </c>
      <c r="D47" s="201">
        <v>1</v>
      </c>
      <c r="E47" s="87"/>
      <c r="F47" s="202">
        <v>0.7</v>
      </c>
      <c r="G47" s="87"/>
      <c r="H47" s="117">
        <f t="shared" si="1"/>
        <v>1540616000</v>
      </c>
      <c r="I47" s="117">
        <f t="shared" si="0"/>
        <v>1848000000</v>
      </c>
    </row>
    <row r="48" spans="1:9" x14ac:dyDescent="0.25">
      <c r="B48" s="90">
        <v>3001</v>
      </c>
      <c r="C48" s="90">
        <v>3500</v>
      </c>
      <c r="D48" s="201">
        <v>1</v>
      </c>
      <c r="E48" s="87"/>
      <c r="F48" s="202">
        <v>0.68</v>
      </c>
      <c r="G48" s="87"/>
      <c r="H48" s="117">
        <f t="shared" si="1"/>
        <v>1848616000</v>
      </c>
      <c r="I48" s="117">
        <f t="shared" si="0"/>
        <v>2156000000</v>
      </c>
    </row>
    <row r="49" spans="1:9" x14ac:dyDescent="0.25">
      <c r="B49" s="90">
        <v>3501</v>
      </c>
      <c r="C49" s="90">
        <v>4500</v>
      </c>
      <c r="D49" s="201">
        <v>1.1000000000000001</v>
      </c>
      <c r="E49" s="87"/>
      <c r="F49" s="202">
        <v>0.68</v>
      </c>
      <c r="G49" s="87"/>
      <c r="H49" s="117">
        <f t="shared" si="1"/>
        <v>2156616000</v>
      </c>
      <c r="I49" s="117">
        <f t="shared" si="0"/>
        <v>2772000000</v>
      </c>
    </row>
    <row r="50" spans="1:9" x14ac:dyDescent="0.25">
      <c r="A50" s="84" t="s">
        <v>22</v>
      </c>
      <c r="B50" s="90">
        <v>4501</v>
      </c>
      <c r="C50" s="90"/>
      <c r="D50" s="201">
        <v>1.2</v>
      </c>
      <c r="E50" s="87"/>
      <c r="F50" s="202">
        <v>0.65</v>
      </c>
      <c r="G50" s="87"/>
      <c r="H50" s="117">
        <f t="shared" si="1"/>
        <v>2772616000</v>
      </c>
      <c r="I50" s="117">
        <f t="shared" si="0"/>
        <v>0</v>
      </c>
    </row>
  </sheetData>
  <mergeCells count="16">
    <mergeCell ref="A6:E6"/>
    <mergeCell ref="A1:E1"/>
    <mergeCell ref="B2:D2"/>
    <mergeCell ref="A3:E3"/>
    <mergeCell ref="B4:D4"/>
    <mergeCell ref="A5:E5"/>
    <mergeCell ref="B27:D27"/>
    <mergeCell ref="C31:D31"/>
    <mergeCell ref="C33:D33"/>
    <mergeCell ref="H42:I42"/>
    <mergeCell ref="C8:D8"/>
    <mergeCell ref="C9:D9"/>
    <mergeCell ref="C10:D10"/>
    <mergeCell ref="C15:D15"/>
    <mergeCell ref="C16:D16"/>
    <mergeCell ref="B26:D26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9"/>
  <sheetViews>
    <sheetView view="pageBreakPreview" zoomScale="130" zoomScaleNormal="100" zoomScaleSheetLayoutView="130" workbookViewId="0">
      <selection activeCell="C15" sqref="C15:D15"/>
    </sheetView>
  </sheetViews>
  <sheetFormatPr baseColWidth="10" defaultRowHeight="13.5" x14ac:dyDescent="0.25"/>
  <cols>
    <col min="1" max="1" width="3.140625" style="84" customWidth="1"/>
    <col min="2" max="2" width="31.140625" style="84" bestFit="1" customWidth="1"/>
    <col min="3" max="3" width="27.7109375" style="84" customWidth="1"/>
    <col min="4" max="4" width="21.7109375" style="84" customWidth="1"/>
    <col min="5" max="5" width="3.5703125" style="84" customWidth="1"/>
    <col min="6" max="6" width="16.5703125" style="84" customWidth="1"/>
    <col min="7" max="7" width="3.140625" style="84" customWidth="1"/>
    <col min="8" max="8" width="18.140625" style="84" customWidth="1"/>
    <col min="9" max="9" width="12.7109375" style="84" bestFit="1" customWidth="1"/>
    <col min="10" max="16384" width="11.42578125" style="84"/>
  </cols>
  <sheetData>
    <row r="1" spans="1:5" s="93" customFormat="1" ht="20.25" customHeight="1" x14ac:dyDescent="0.25">
      <c r="A1" s="253" t="s">
        <v>0</v>
      </c>
      <c r="B1" s="254"/>
      <c r="C1" s="254"/>
      <c r="D1" s="254"/>
      <c r="E1" s="255"/>
    </row>
    <row r="2" spans="1:5" s="93" customFormat="1" ht="15.75" customHeight="1" x14ac:dyDescent="0.25">
      <c r="A2" s="196"/>
      <c r="B2" s="256" t="s">
        <v>1</v>
      </c>
      <c r="C2" s="256"/>
      <c r="D2" s="256"/>
      <c r="E2" s="95"/>
    </row>
    <row r="3" spans="1:5" s="93" customFormat="1" ht="15.75" customHeight="1" x14ac:dyDescent="0.25">
      <c r="A3" s="257" t="s">
        <v>27</v>
      </c>
      <c r="B3" s="256"/>
      <c r="C3" s="256"/>
      <c r="D3" s="256"/>
      <c r="E3" s="258"/>
    </row>
    <row r="4" spans="1:5" s="93" customFormat="1" ht="20.25" x14ac:dyDescent="0.3">
      <c r="A4" s="96"/>
      <c r="B4" s="256" t="s">
        <v>2</v>
      </c>
      <c r="C4" s="256"/>
      <c r="D4" s="256"/>
      <c r="E4" s="97"/>
    </row>
    <row r="5" spans="1:5" s="93" customFormat="1" ht="20.25" customHeight="1" x14ac:dyDescent="0.25">
      <c r="A5" s="257" t="s">
        <v>28</v>
      </c>
      <c r="B5" s="256"/>
      <c r="C5" s="256"/>
      <c r="D5" s="256"/>
      <c r="E5" s="258"/>
    </row>
    <row r="6" spans="1:5" s="93" customFormat="1" ht="96" customHeight="1" x14ac:dyDescent="0.25">
      <c r="A6" s="259" t="s">
        <v>29</v>
      </c>
      <c r="B6" s="260"/>
      <c r="C6" s="260"/>
      <c r="D6" s="260"/>
      <c r="E6" s="261"/>
    </row>
    <row r="7" spans="1:5" s="93" customFormat="1" ht="14.25" thickBot="1" x14ac:dyDescent="0.3">
      <c r="A7" s="98"/>
      <c r="B7" s="70"/>
      <c r="C7" s="70"/>
      <c r="D7" s="70"/>
      <c r="E7" s="75"/>
    </row>
    <row r="8" spans="1:5" s="93" customFormat="1" ht="26.25" customHeight="1" thickBot="1" x14ac:dyDescent="0.3">
      <c r="A8" s="98"/>
      <c r="B8" s="72" t="s">
        <v>3</v>
      </c>
      <c r="C8" s="247" t="s">
        <v>88</v>
      </c>
      <c r="D8" s="248"/>
      <c r="E8" s="75"/>
    </row>
    <row r="9" spans="1:5" s="93" customFormat="1" ht="14.25" thickBot="1" x14ac:dyDescent="0.3">
      <c r="A9" s="98"/>
      <c r="B9" s="72" t="s">
        <v>89</v>
      </c>
      <c r="C9" s="289" t="s">
        <v>90</v>
      </c>
      <c r="D9" s="290"/>
      <c r="E9" s="75"/>
    </row>
    <row r="10" spans="1:5" s="93" customFormat="1" ht="15.75" customHeight="1" thickBot="1" x14ac:dyDescent="0.3">
      <c r="A10" s="98"/>
      <c r="B10" s="79" t="s">
        <v>6</v>
      </c>
      <c r="C10" s="291">
        <v>900576662</v>
      </c>
      <c r="D10" s="292"/>
      <c r="E10" s="75"/>
    </row>
    <row r="11" spans="1:5" s="93" customFormat="1" ht="26.25" customHeight="1" x14ac:dyDescent="0.25">
      <c r="A11" s="98"/>
      <c r="B11" s="130" t="s">
        <v>23</v>
      </c>
      <c r="C11" s="197" t="s">
        <v>24</v>
      </c>
      <c r="D11" s="199" t="s">
        <v>25</v>
      </c>
      <c r="E11" s="75"/>
    </row>
    <row r="12" spans="1:5" s="93" customFormat="1" x14ac:dyDescent="0.25">
      <c r="A12" s="98"/>
      <c r="B12" s="133">
        <v>5</v>
      </c>
      <c r="C12" s="135" t="s">
        <v>87</v>
      </c>
      <c r="D12" s="134">
        <v>6337932835</v>
      </c>
      <c r="E12" s="75"/>
    </row>
    <row r="13" spans="1:5" s="93" customFormat="1" ht="14.25" thickBot="1" x14ac:dyDescent="0.3">
      <c r="A13" s="98"/>
      <c r="B13" s="133"/>
      <c r="C13" s="135"/>
      <c r="D13" s="134"/>
      <c r="E13" s="75"/>
    </row>
    <row r="14" spans="1:5" s="93" customFormat="1" ht="14.25" thickBot="1" x14ac:dyDescent="0.3">
      <c r="A14" s="98"/>
      <c r="B14" s="72" t="s">
        <v>30</v>
      </c>
      <c r="C14" s="249">
        <f>+SUM(D12:D13)</f>
        <v>6337932835</v>
      </c>
      <c r="D14" s="250"/>
      <c r="E14" s="75"/>
    </row>
    <row r="15" spans="1:5" s="93" customFormat="1" ht="14.25" thickBot="1" x14ac:dyDescent="0.3">
      <c r="A15" s="98"/>
      <c r="B15" s="72" t="s">
        <v>5</v>
      </c>
      <c r="C15" s="302">
        <f>+ROUND(C14/616000,0)</f>
        <v>10289</v>
      </c>
      <c r="D15" s="303"/>
      <c r="E15" s="75"/>
    </row>
    <row r="16" spans="1:5" s="93" customFormat="1" x14ac:dyDescent="0.25">
      <c r="A16" s="98"/>
      <c r="B16" s="70"/>
      <c r="C16" s="70"/>
      <c r="D16" s="99"/>
      <c r="E16" s="75"/>
    </row>
    <row r="17" spans="1:6" s="93" customFormat="1" ht="14.25" thickBot="1" x14ac:dyDescent="0.3">
      <c r="A17" s="98"/>
      <c r="B17" s="100" t="s">
        <v>19</v>
      </c>
      <c r="C17" s="76"/>
      <c r="D17" s="99"/>
      <c r="E17" s="75"/>
    </row>
    <row r="18" spans="1:6" s="93" customFormat="1" x14ac:dyDescent="0.25">
      <c r="A18" s="98"/>
      <c r="B18" s="77" t="s">
        <v>13</v>
      </c>
      <c r="C18" s="85">
        <f>+IF($C$15&gt;$B$49,$D$49,IF(AND($C$15&gt;=$B$48,$C$15&lt;=$C$48),$D$48,IF(AND($C$15&gt;=$B$46,$C$15&lt;=$C$47),$D$46,IF(AND($C$15&gt;=$B$44,$C$15&lt;=$C$45),$D$44,IF(AND($C$15&gt;$B$42,$C$15&lt;=$C$43),$D$42)))))</f>
        <v>1.2</v>
      </c>
      <c r="D18" s="99"/>
      <c r="E18" s="75"/>
    </row>
    <row r="19" spans="1:6" s="93" customFormat="1" ht="14.25" thickBot="1" x14ac:dyDescent="0.3">
      <c r="A19" s="98"/>
      <c r="B19" s="78" t="s">
        <v>14</v>
      </c>
      <c r="C19" s="86">
        <f>+IF($C$15&gt;$B$49,$F$49,IF(AND($C$15&gt;=$B$47,$C$15&lt;=$C$48),$F$47,IF(AND($C$15&gt;=$B$45,$C$15&lt;=$C$46),$F$45,IF(AND($C$15&gt;=$B$43,$C$15&lt;=$C$44),$F$43,IF(AND($C$15&gt;$B$42,$C$15&lt;=$C$42),$F$42)))))</f>
        <v>0.65</v>
      </c>
      <c r="D19" s="99"/>
      <c r="E19" s="75"/>
    </row>
    <row r="20" spans="1:6" s="93" customFormat="1" ht="14.25" thickBot="1" x14ac:dyDescent="0.3">
      <c r="A20" s="98"/>
      <c r="B20" s="101"/>
      <c r="C20" s="102"/>
      <c r="D20" s="103"/>
      <c r="E20" s="75"/>
    </row>
    <row r="21" spans="1:6" s="93" customFormat="1" x14ac:dyDescent="0.25">
      <c r="A21" s="98"/>
      <c r="B21" s="80" t="s">
        <v>7</v>
      </c>
      <c r="C21" s="127">
        <v>324626000</v>
      </c>
      <c r="D21" s="104"/>
      <c r="E21" s="75"/>
    </row>
    <row r="22" spans="1:6" s="93" customFormat="1" x14ac:dyDescent="0.25">
      <c r="A22" s="98"/>
      <c r="B22" s="81" t="s">
        <v>8</v>
      </c>
      <c r="C22" s="129">
        <v>324626000</v>
      </c>
      <c r="D22" s="105"/>
      <c r="E22" s="75"/>
    </row>
    <row r="23" spans="1:6" s="93" customFormat="1" ht="15" x14ac:dyDescent="0.25">
      <c r="A23" s="98"/>
      <c r="B23" s="81" t="s">
        <v>9</v>
      </c>
      <c r="C23" s="129">
        <v>126155000</v>
      </c>
      <c r="D23" s="105"/>
      <c r="E23" s="75"/>
      <c r="F23" s="106"/>
    </row>
    <row r="24" spans="1:6" s="93" customFormat="1" ht="15.75" thickBot="1" x14ac:dyDescent="0.3">
      <c r="A24" s="98"/>
      <c r="B24" s="82" t="s">
        <v>10</v>
      </c>
      <c r="C24" s="128">
        <v>126155000</v>
      </c>
      <c r="D24" s="107"/>
      <c r="E24" s="75"/>
      <c r="F24" s="106"/>
    </row>
    <row r="25" spans="1:6" s="93" customFormat="1" ht="14.25" thickBot="1" x14ac:dyDescent="0.3">
      <c r="A25" s="98"/>
      <c r="B25" s="286" t="s">
        <v>11</v>
      </c>
      <c r="C25" s="287"/>
      <c r="D25" s="288"/>
      <c r="E25" s="75"/>
    </row>
    <row r="26" spans="1:6" s="93" customFormat="1" ht="14.25" thickBot="1" x14ac:dyDescent="0.3">
      <c r="A26" s="98"/>
      <c r="B26" s="241" t="s">
        <v>12</v>
      </c>
      <c r="C26" s="242"/>
      <c r="D26" s="243"/>
      <c r="E26" s="75"/>
    </row>
    <row r="27" spans="1:6" s="93" customFormat="1" ht="16.5" x14ac:dyDescent="0.3">
      <c r="A27" s="98"/>
      <c r="B27" s="77" t="s">
        <v>13</v>
      </c>
      <c r="C27" s="126">
        <f>+IFERROR(C21/C23,"INDETERMINADO")</f>
        <v>2.5732313423962587</v>
      </c>
      <c r="D27" s="118" t="str">
        <f>+IF(C27&gt;=C18,"CUMPLE","NO CUMPLE")</f>
        <v>CUMPLE</v>
      </c>
      <c r="E27" s="75"/>
    </row>
    <row r="28" spans="1:6" s="93" customFormat="1" ht="17.25" thickBot="1" x14ac:dyDescent="0.35">
      <c r="A28" s="98"/>
      <c r="B28" s="78" t="s">
        <v>14</v>
      </c>
      <c r="C28" s="120">
        <f>+C24/C22</f>
        <v>0.38861643860935352</v>
      </c>
      <c r="D28" s="119" t="str">
        <f>+IF(C28&lt;=C19,"CUMPLE","NO CUMPLE")</f>
        <v>CUMPLE</v>
      </c>
      <c r="E28" s="75"/>
    </row>
    <row r="29" spans="1:6" s="110" customFormat="1" ht="14.25" thickBot="1" x14ac:dyDescent="0.3">
      <c r="A29" s="98"/>
      <c r="B29" s="108"/>
      <c r="C29" s="100"/>
      <c r="D29" s="76"/>
      <c r="E29" s="109"/>
    </row>
    <row r="30" spans="1:6" s="93" customFormat="1" ht="41.25" customHeight="1" thickBot="1" x14ac:dyDescent="0.3">
      <c r="A30" s="98"/>
      <c r="B30" s="72" t="s">
        <v>15</v>
      </c>
      <c r="C30" s="244" t="s">
        <v>86</v>
      </c>
      <c r="D30" s="245"/>
      <c r="E30" s="75"/>
    </row>
    <row r="31" spans="1:6" s="70" customFormat="1" ht="14.25" thickBot="1" x14ac:dyDescent="0.3">
      <c r="A31" s="98"/>
      <c r="B31" s="83"/>
      <c r="C31" s="83"/>
      <c r="D31" s="83"/>
      <c r="E31" s="75"/>
    </row>
    <row r="32" spans="1:6" s="70" customFormat="1" ht="45.75" customHeight="1" thickBot="1" x14ac:dyDescent="0.3">
      <c r="A32" s="98"/>
      <c r="B32" s="72" t="s">
        <v>26</v>
      </c>
      <c r="C32" s="244"/>
      <c r="D32" s="245"/>
      <c r="E32" s="75"/>
    </row>
    <row r="33" spans="1:9" s="70" customFormat="1" ht="14.25" thickBot="1" x14ac:dyDescent="0.3">
      <c r="A33" s="111"/>
      <c r="B33" s="112"/>
      <c r="C33" s="112"/>
      <c r="D33" s="112"/>
      <c r="E33" s="71"/>
    </row>
    <row r="34" spans="1:9" s="70" customFormat="1" x14ac:dyDescent="0.25">
      <c r="B34" s="83"/>
      <c r="C34" s="83"/>
      <c r="D34" s="83"/>
    </row>
    <row r="35" spans="1:9" s="70" customFormat="1" x14ac:dyDescent="0.25">
      <c r="B35" s="83"/>
      <c r="C35" s="83"/>
      <c r="D35" s="83"/>
    </row>
    <row r="36" spans="1:9" s="70" customFormat="1" x14ac:dyDescent="0.25">
      <c r="B36" s="83"/>
      <c r="C36" s="83"/>
      <c r="D36" s="83"/>
    </row>
    <row r="37" spans="1:9" s="70" customFormat="1" x14ac:dyDescent="0.25">
      <c r="B37" s="83"/>
      <c r="C37" s="83"/>
      <c r="D37" s="83"/>
    </row>
    <row r="39" spans="1:9" x14ac:dyDescent="0.25">
      <c r="B39" s="100"/>
      <c r="C39" s="70"/>
    </row>
    <row r="40" spans="1:9" x14ac:dyDescent="0.25">
      <c r="B40" s="88">
        <v>616000</v>
      </c>
      <c r="C40" s="87"/>
      <c r="D40" s="87"/>
      <c r="E40" s="87"/>
      <c r="F40" s="87"/>
      <c r="G40" s="87"/>
      <c r="H40" s="87"/>
      <c r="I40" s="87"/>
    </row>
    <row r="41" spans="1:9" ht="25.5" x14ac:dyDescent="0.25">
      <c r="B41" s="89" t="s">
        <v>21</v>
      </c>
      <c r="C41" s="89" t="s">
        <v>20</v>
      </c>
      <c r="D41" s="200" t="s">
        <v>16</v>
      </c>
      <c r="E41" s="87"/>
      <c r="F41" s="200" t="s">
        <v>17</v>
      </c>
      <c r="G41" s="87"/>
      <c r="H41" s="246"/>
      <c r="I41" s="246"/>
    </row>
    <row r="42" spans="1:9" x14ac:dyDescent="0.25">
      <c r="B42" s="90">
        <v>0</v>
      </c>
      <c r="C42" s="90">
        <v>250</v>
      </c>
      <c r="D42" s="201">
        <v>0.8</v>
      </c>
      <c r="E42" s="87"/>
      <c r="F42" s="202">
        <v>0.8</v>
      </c>
      <c r="G42" s="87"/>
      <c r="H42" s="116"/>
      <c r="I42" s="117">
        <f t="shared" ref="I42:I49" si="0">+C42*$B$40</f>
        <v>154000000</v>
      </c>
    </row>
    <row r="43" spans="1:9" x14ac:dyDescent="0.25">
      <c r="B43" s="90">
        <v>251</v>
      </c>
      <c r="C43" s="90">
        <v>1000</v>
      </c>
      <c r="D43" s="201">
        <v>0.8</v>
      </c>
      <c r="E43" s="87"/>
      <c r="F43" s="202">
        <v>0.75</v>
      </c>
      <c r="G43" s="87"/>
      <c r="H43" s="117">
        <f t="shared" ref="H43:H49" si="1">+B43*$B$40</f>
        <v>154616000</v>
      </c>
      <c r="I43" s="117">
        <f t="shared" si="0"/>
        <v>616000000</v>
      </c>
    </row>
    <row r="44" spans="1:9" x14ac:dyDescent="0.25">
      <c r="B44" s="90">
        <v>1001</v>
      </c>
      <c r="C44" s="90">
        <v>1500</v>
      </c>
      <c r="D44" s="201">
        <v>0.9</v>
      </c>
      <c r="E44" s="87"/>
      <c r="F44" s="202">
        <v>0.75</v>
      </c>
      <c r="G44" s="87"/>
      <c r="H44" s="117">
        <f t="shared" si="1"/>
        <v>616616000</v>
      </c>
      <c r="I44" s="117">
        <f t="shared" si="0"/>
        <v>924000000</v>
      </c>
    </row>
    <row r="45" spans="1:9" x14ac:dyDescent="0.25">
      <c r="B45" s="90">
        <v>1501</v>
      </c>
      <c r="C45" s="90">
        <v>2500</v>
      </c>
      <c r="D45" s="201">
        <v>0.9</v>
      </c>
      <c r="E45" s="87"/>
      <c r="F45" s="202">
        <v>0.7</v>
      </c>
      <c r="G45" s="87"/>
      <c r="H45" s="117">
        <f t="shared" si="1"/>
        <v>924616000</v>
      </c>
      <c r="I45" s="117">
        <f t="shared" si="0"/>
        <v>1540000000</v>
      </c>
    </row>
    <row r="46" spans="1:9" x14ac:dyDescent="0.25">
      <c r="B46" s="90">
        <v>2501</v>
      </c>
      <c r="C46" s="90">
        <v>3000</v>
      </c>
      <c r="D46" s="201">
        <v>1</v>
      </c>
      <c r="E46" s="87"/>
      <c r="F46" s="202">
        <v>0.7</v>
      </c>
      <c r="G46" s="87"/>
      <c r="H46" s="117">
        <f t="shared" si="1"/>
        <v>1540616000</v>
      </c>
      <c r="I46" s="117">
        <f t="shared" si="0"/>
        <v>1848000000</v>
      </c>
    </row>
    <row r="47" spans="1:9" x14ac:dyDescent="0.25">
      <c r="B47" s="90">
        <v>3001</v>
      </c>
      <c r="C47" s="90">
        <v>3500</v>
      </c>
      <c r="D47" s="201">
        <v>1</v>
      </c>
      <c r="E47" s="87"/>
      <c r="F47" s="202">
        <v>0.68</v>
      </c>
      <c r="G47" s="87"/>
      <c r="H47" s="117">
        <f t="shared" si="1"/>
        <v>1848616000</v>
      </c>
      <c r="I47" s="117">
        <f t="shared" si="0"/>
        <v>2156000000</v>
      </c>
    </row>
    <row r="48" spans="1:9" x14ac:dyDescent="0.25">
      <c r="B48" s="90">
        <v>3501</v>
      </c>
      <c r="C48" s="90">
        <v>4500</v>
      </c>
      <c r="D48" s="201">
        <v>1.1000000000000001</v>
      </c>
      <c r="E48" s="87"/>
      <c r="F48" s="202">
        <v>0.68</v>
      </c>
      <c r="G48" s="87"/>
      <c r="H48" s="117">
        <f t="shared" si="1"/>
        <v>2156616000</v>
      </c>
      <c r="I48" s="117">
        <f t="shared" si="0"/>
        <v>2772000000</v>
      </c>
    </row>
    <row r="49" spans="1:9" x14ac:dyDescent="0.25">
      <c r="A49" s="84" t="s">
        <v>22</v>
      </c>
      <c r="B49" s="90">
        <v>4501</v>
      </c>
      <c r="C49" s="90"/>
      <c r="D49" s="201">
        <v>1.2</v>
      </c>
      <c r="E49" s="87"/>
      <c r="F49" s="202">
        <v>0.65</v>
      </c>
      <c r="G49" s="87"/>
      <c r="H49" s="117">
        <f t="shared" si="1"/>
        <v>2772616000</v>
      </c>
      <c r="I49" s="117">
        <f t="shared" si="0"/>
        <v>0</v>
      </c>
    </row>
  </sheetData>
  <mergeCells count="16">
    <mergeCell ref="A6:E6"/>
    <mergeCell ref="A1:E1"/>
    <mergeCell ref="B2:D2"/>
    <mergeCell ref="A3:E3"/>
    <mergeCell ref="B4:D4"/>
    <mergeCell ref="A5:E5"/>
    <mergeCell ref="B26:D26"/>
    <mergeCell ref="C30:D30"/>
    <mergeCell ref="C32:D32"/>
    <mergeCell ref="H41:I41"/>
    <mergeCell ref="C8:D8"/>
    <mergeCell ref="C9:D9"/>
    <mergeCell ref="C10:D10"/>
    <mergeCell ref="C14:D14"/>
    <mergeCell ref="C15:D15"/>
    <mergeCell ref="B25:D25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I51"/>
  <sheetViews>
    <sheetView view="pageBreakPreview" topLeftCell="A2" zoomScale="130" zoomScaleNormal="100" zoomScaleSheetLayoutView="130" workbookViewId="0">
      <selection activeCell="C14" sqref="C14"/>
    </sheetView>
  </sheetViews>
  <sheetFormatPr baseColWidth="10" defaultRowHeight="13.5" x14ac:dyDescent="0.25"/>
  <cols>
    <col min="1" max="1" width="3.140625" style="84" customWidth="1"/>
    <col min="2" max="2" width="31.85546875" style="84" customWidth="1"/>
    <col min="3" max="3" width="27.7109375" style="84" customWidth="1"/>
    <col min="4" max="4" width="21.7109375" style="84" customWidth="1"/>
    <col min="5" max="5" width="3.5703125" style="84" customWidth="1"/>
    <col min="6" max="6" width="16.5703125" style="84" customWidth="1"/>
    <col min="7" max="7" width="3.140625" style="84" customWidth="1"/>
    <col min="8" max="8" width="18.140625" style="84" customWidth="1"/>
    <col min="9" max="9" width="12.7109375" style="84" bestFit="1" customWidth="1"/>
    <col min="10" max="16384" width="11.42578125" style="84"/>
  </cols>
  <sheetData>
    <row r="1" spans="1:5" s="93" customFormat="1" ht="20.25" customHeight="1" x14ac:dyDescent="0.25">
      <c r="A1" s="253" t="s">
        <v>0</v>
      </c>
      <c r="B1" s="254"/>
      <c r="C1" s="254"/>
      <c r="D1" s="254"/>
      <c r="E1" s="255"/>
    </row>
    <row r="2" spans="1:5" s="93" customFormat="1" ht="15.75" customHeight="1" x14ac:dyDescent="0.25">
      <c r="A2" s="196"/>
      <c r="B2" s="256" t="s">
        <v>1</v>
      </c>
      <c r="C2" s="256"/>
      <c r="D2" s="256"/>
      <c r="E2" s="95"/>
    </row>
    <row r="3" spans="1:5" s="93" customFormat="1" ht="15.75" customHeight="1" x14ac:dyDescent="0.25">
      <c r="A3" s="257" t="s">
        <v>27</v>
      </c>
      <c r="B3" s="256"/>
      <c r="C3" s="256"/>
      <c r="D3" s="256"/>
      <c r="E3" s="258"/>
    </row>
    <row r="4" spans="1:5" s="93" customFormat="1" ht="20.25" x14ac:dyDescent="0.3">
      <c r="A4" s="96"/>
      <c r="B4" s="256" t="s">
        <v>2</v>
      </c>
      <c r="C4" s="256"/>
      <c r="D4" s="256"/>
      <c r="E4" s="97"/>
    </row>
    <row r="5" spans="1:5" s="93" customFormat="1" ht="20.25" customHeight="1" x14ac:dyDescent="0.25">
      <c r="A5" s="257" t="s">
        <v>28</v>
      </c>
      <c r="B5" s="256"/>
      <c r="C5" s="256"/>
      <c r="D5" s="256"/>
      <c r="E5" s="258"/>
    </row>
    <row r="6" spans="1:5" s="93" customFormat="1" ht="96" customHeight="1" x14ac:dyDescent="0.25">
      <c r="A6" s="259" t="s">
        <v>29</v>
      </c>
      <c r="B6" s="260"/>
      <c r="C6" s="260"/>
      <c r="D6" s="260"/>
      <c r="E6" s="261"/>
    </row>
    <row r="7" spans="1:5" s="93" customFormat="1" ht="14.25" thickBot="1" x14ac:dyDescent="0.3">
      <c r="A7" s="98"/>
      <c r="B7" s="70"/>
      <c r="C7" s="70"/>
      <c r="D7" s="70"/>
      <c r="E7" s="75"/>
    </row>
    <row r="8" spans="1:5" s="93" customFormat="1" ht="37.5" customHeight="1" thickBot="1" x14ac:dyDescent="0.3">
      <c r="A8" s="98"/>
      <c r="B8" s="72" t="s">
        <v>3</v>
      </c>
      <c r="C8" s="247" t="s">
        <v>177</v>
      </c>
      <c r="D8" s="248"/>
      <c r="E8" s="75"/>
    </row>
    <row r="9" spans="1:5" s="93" customFormat="1" ht="14.25" thickBot="1" x14ac:dyDescent="0.3">
      <c r="A9" s="98"/>
      <c r="B9" s="72" t="s">
        <v>38</v>
      </c>
      <c r="C9" s="247">
        <v>8</v>
      </c>
      <c r="D9" s="248"/>
      <c r="E9" s="75"/>
    </row>
    <row r="10" spans="1:5" s="93" customFormat="1" ht="14.25" thickBot="1" x14ac:dyDescent="0.3">
      <c r="A10" s="98"/>
      <c r="B10" s="79" t="s">
        <v>6</v>
      </c>
      <c r="C10" s="247">
        <v>824004961</v>
      </c>
      <c r="D10" s="248"/>
      <c r="E10" s="75"/>
    </row>
    <row r="11" spans="1:5" s="93" customFormat="1" ht="26.25" customHeight="1" x14ac:dyDescent="0.25">
      <c r="A11" s="98"/>
      <c r="B11" s="130" t="s">
        <v>23</v>
      </c>
      <c r="C11" s="197" t="s">
        <v>24</v>
      </c>
      <c r="D11" s="199" t="s">
        <v>25</v>
      </c>
      <c r="E11" s="75"/>
    </row>
    <row r="12" spans="1:5" s="93" customFormat="1" x14ac:dyDescent="0.25">
      <c r="A12" s="98"/>
      <c r="B12" s="133"/>
      <c r="C12" s="135"/>
      <c r="D12" s="99"/>
      <c r="E12" s="75"/>
    </row>
    <row r="13" spans="1:5" s="93" customFormat="1" x14ac:dyDescent="0.25">
      <c r="A13" s="98"/>
      <c r="B13" s="133">
        <v>8</v>
      </c>
      <c r="C13" s="135" t="s">
        <v>184</v>
      </c>
      <c r="D13" s="134">
        <v>3550077700</v>
      </c>
      <c r="E13" s="75"/>
    </row>
    <row r="14" spans="1:5" s="93" customFormat="1" x14ac:dyDescent="0.25">
      <c r="A14" s="98"/>
      <c r="B14" s="185" t="s">
        <v>181</v>
      </c>
      <c r="C14" s="135" t="s">
        <v>117</v>
      </c>
      <c r="D14" s="134">
        <f>1133936583+1227909228+2505937200</f>
        <v>4867783011</v>
      </c>
      <c r="E14" s="75"/>
    </row>
    <row r="15" spans="1:5" s="93" customFormat="1" ht="14.25" thickBot="1" x14ac:dyDescent="0.3">
      <c r="A15" s="98"/>
      <c r="B15" s="74"/>
      <c r="C15" s="135"/>
      <c r="D15" s="99"/>
      <c r="E15" s="75"/>
    </row>
    <row r="16" spans="1:5" s="93" customFormat="1" ht="14.25" thickBot="1" x14ac:dyDescent="0.3">
      <c r="A16" s="98"/>
      <c r="B16" s="72" t="s">
        <v>30</v>
      </c>
      <c r="C16" s="249">
        <f>+SUM(D13:D14)</f>
        <v>8417860711</v>
      </c>
      <c r="D16" s="250"/>
      <c r="E16" s="75"/>
    </row>
    <row r="17" spans="1:8" s="93" customFormat="1" ht="14.25" thickBot="1" x14ac:dyDescent="0.3">
      <c r="A17" s="98"/>
      <c r="B17" s="72" t="s">
        <v>5</v>
      </c>
      <c r="C17" s="302">
        <f>+ROUND(C16/616000,0)</f>
        <v>13665</v>
      </c>
      <c r="D17" s="303"/>
      <c r="E17" s="75"/>
    </row>
    <row r="18" spans="1:8" s="93" customFormat="1" x14ac:dyDescent="0.25">
      <c r="A18" s="98"/>
      <c r="B18" s="70"/>
      <c r="C18" s="70"/>
      <c r="D18" s="99"/>
      <c r="E18" s="75"/>
    </row>
    <row r="19" spans="1:8" s="93" customFormat="1" ht="14.25" thickBot="1" x14ac:dyDescent="0.3">
      <c r="A19" s="98"/>
      <c r="B19" s="100" t="s">
        <v>19</v>
      </c>
      <c r="C19" s="76"/>
      <c r="D19" s="99"/>
      <c r="E19" s="75"/>
    </row>
    <row r="20" spans="1:8" s="93" customFormat="1" x14ac:dyDescent="0.25">
      <c r="A20" s="98"/>
      <c r="B20" s="77" t="s">
        <v>13</v>
      </c>
      <c r="C20" s="85">
        <f>+IF($C$17&gt;$B$51,$D$51,IF(AND($C$17&gt;=$B$50,$C$17&lt;=$C$50),$D$50,IF(AND($C$17&gt;=$B$48,$C$17&lt;=$C$49),$D$48,IF(AND($C$17&gt;=$B$46,$C$17&lt;=$C$47),$D$46,IF(AND($C$17&gt;$B$44,$C$17&lt;=$C$45),$D$44)))))</f>
        <v>1.2</v>
      </c>
      <c r="D20" s="99"/>
      <c r="E20" s="75"/>
    </row>
    <row r="21" spans="1:8" s="93" customFormat="1" ht="14.25" thickBot="1" x14ac:dyDescent="0.3">
      <c r="A21" s="98"/>
      <c r="B21" s="78" t="s">
        <v>14</v>
      </c>
      <c r="C21" s="86">
        <f>+IF($C$17&gt;$B$51,$F$51,IF(AND($C$17&gt;=$B$49,$C$17&lt;=$C$50),$F$49,IF(AND($C$17&gt;=$B$47,$C$17&lt;=$C$48),$F$47,IF(AND($C$17&gt;=$B$45,$C$17&lt;=$C$46),$F$45,IF(AND($C$17&gt;$B$44,$C$17&lt;=$C$44),$F$44)))))</f>
        <v>0.65</v>
      </c>
      <c r="D21" s="99"/>
      <c r="E21" s="75"/>
    </row>
    <row r="22" spans="1:8" s="93" customFormat="1" ht="14.25" thickBot="1" x14ac:dyDescent="0.3">
      <c r="A22" s="98"/>
      <c r="B22" s="101"/>
      <c r="C22" s="102"/>
      <c r="D22" s="103"/>
      <c r="E22" s="75"/>
    </row>
    <row r="23" spans="1:8" s="93" customFormat="1" x14ac:dyDescent="0.25">
      <c r="A23" s="98"/>
      <c r="B23" s="80" t="s">
        <v>7</v>
      </c>
      <c r="C23" s="127">
        <v>102441964</v>
      </c>
      <c r="D23" s="104"/>
      <c r="E23" s="75"/>
    </row>
    <row r="24" spans="1:8" s="93" customFormat="1" x14ac:dyDescent="0.25">
      <c r="A24" s="98"/>
      <c r="B24" s="81" t="s">
        <v>8</v>
      </c>
      <c r="C24" s="129">
        <v>159205068</v>
      </c>
      <c r="D24" s="105"/>
      <c r="E24" s="75"/>
    </row>
    <row r="25" spans="1:8" s="93" customFormat="1" ht="15" x14ac:dyDescent="0.25">
      <c r="A25" s="98"/>
      <c r="B25" s="81" t="s">
        <v>9</v>
      </c>
      <c r="C25" s="129">
        <v>1066536</v>
      </c>
      <c r="D25" s="105"/>
      <c r="E25" s="75"/>
      <c r="F25" s="106"/>
      <c r="H25" s="239"/>
    </row>
    <row r="26" spans="1:8" s="93" customFormat="1" ht="15.75" thickBot="1" x14ac:dyDescent="0.3">
      <c r="A26" s="98"/>
      <c r="B26" s="81" t="s">
        <v>10</v>
      </c>
      <c r="C26" s="129">
        <v>31847872</v>
      </c>
      <c r="D26" s="105"/>
      <c r="E26" s="75"/>
      <c r="F26" s="106"/>
    </row>
    <row r="27" spans="1:8" s="93" customFormat="1" ht="14.25" thickBot="1" x14ac:dyDescent="0.3">
      <c r="A27" s="98"/>
      <c r="B27" s="241" t="s">
        <v>11</v>
      </c>
      <c r="C27" s="242"/>
      <c r="D27" s="243"/>
      <c r="E27" s="75"/>
    </row>
    <row r="28" spans="1:8" s="93" customFormat="1" ht="14.25" thickBot="1" x14ac:dyDescent="0.3">
      <c r="A28" s="98"/>
      <c r="B28" s="241" t="s">
        <v>12</v>
      </c>
      <c r="C28" s="242"/>
      <c r="D28" s="243"/>
      <c r="E28" s="75"/>
    </row>
    <row r="29" spans="1:8" s="93" customFormat="1" ht="16.5" x14ac:dyDescent="0.3">
      <c r="A29" s="98"/>
      <c r="B29" s="77" t="s">
        <v>13</v>
      </c>
      <c r="C29" s="126">
        <f>+IFERROR(C23/C25,"INDETERMINADO")</f>
        <v>96.05110751067005</v>
      </c>
      <c r="D29" s="118" t="str">
        <f>+IF(C29&gt;=C20,"CUMPLE","NO CUMPLE")</f>
        <v>CUMPLE</v>
      </c>
      <c r="E29" s="75"/>
    </row>
    <row r="30" spans="1:8" s="93" customFormat="1" ht="17.25" thickBot="1" x14ac:dyDescent="0.35">
      <c r="A30" s="98"/>
      <c r="B30" s="78" t="s">
        <v>14</v>
      </c>
      <c r="C30" s="120">
        <f>+C26/C24</f>
        <v>0.20004307903062482</v>
      </c>
      <c r="D30" s="119" t="str">
        <f>+IF(C30&lt;=C21,"CUMPLE","NO CUMPLE")</f>
        <v>CUMPLE</v>
      </c>
      <c r="E30" s="75"/>
    </row>
    <row r="31" spans="1:8" s="110" customFormat="1" ht="14.25" thickBot="1" x14ac:dyDescent="0.3">
      <c r="A31" s="98"/>
      <c r="B31" s="108"/>
      <c r="C31" s="100"/>
      <c r="D31" s="76"/>
      <c r="E31" s="109"/>
    </row>
    <row r="32" spans="1:8" s="93" customFormat="1" ht="41.25" customHeight="1" thickBot="1" x14ac:dyDescent="0.3">
      <c r="A32" s="98"/>
      <c r="B32" s="72" t="s">
        <v>15</v>
      </c>
      <c r="C32" s="244" t="s">
        <v>161</v>
      </c>
      <c r="D32" s="245"/>
      <c r="E32" s="75"/>
    </row>
    <row r="33" spans="1:9" s="70" customFormat="1" ht="14.25" thickBot="1" x14ac:dyDescent="0.3">
      <c r="A33" s="98"/>
      <c r="B33" s="83"/>
      <c r="C33" s="83"/>
      <c r="D33" s="83"/>
      <c r="E33" s="75"/>
    </row>
    <row r="34" spans="1:9" s="70" customFormat="1" ht="45.75" customHeight="1" thickBot="1" x14ac:dyDescent="0.3">
      <c r="A34" s="98"/>
      <c r="B34" s="72" t="s">
        <v>26</v>
      </c>
      <c r="C34" s="244"/>
      <c r="D34" s="245"/>
      <c r="E34" s="75"/>
    </row>
    <row r="35" spans="1:9" s="70" customFormat="1" ht="14.25" thickBot="1" x14ac:dyDescent="0.3">
      <c r="A35" s="111"/>
      <c r="B35" s="112"/>
      <c r="C35" s="112"/>
      <c r="D35" s="112"/>
      <c r="E35" s="71"/>
    </row>
    <row r="36" spans="1:9" s="70" customFormat="1" x14ac:dyDescent="0.25">
      <c r="B36" s="83"/>
      <c r="C36" s="83"/>
      <c r="D36" s="83"/>
    </row>
    <row r="37" spans="1:9" s="70" customFormat="1" x14ac:dyDescent="0.25">
      <c r="B37" s="83"/>
      <c r="C37" s="83"/>
      <c r="D37" s="83"/>
    </row>
    <row r="38" spans="1:9" s="70" customFormat="1" x14ac:dyDescent="0.25">
      <c r="B38" s="83"/>
      <c r="C38" s="83"/>
      <c r="D38" s="83"/>
    </row>
    <row r="39" spans="1:9" s="70" customFormat="1" x14ac:dyDescent="0.25">
      <c r="B39" s="83"/>
      <c r="C39" s="83"/>
      <c r="D39" s="83"/>
    </row>
    <row r="41" spans="1:9" x14ac:dyDescent="0.25">
      <c r="B41" s="100"/>
      <c r="C41" s="70"/>
    </row>
    <row r="42" spans="1:9" x14ac:dyDescent="0.25">
      <c r="B42" s="88">
        <v>616000</v>
      </c>
      <c r="C42" s="87"/>
      <c r="D42" s="87"/>
      <c r="E42" s="87"/>
      <c r="F42" s="87"/>
      <c r="G42" s="87"/>
      <c r="H42" s="87"/>
      <c r="I42" s="87"/>
    </row>
    <row r="43" spans="1:9" ht="25.5" x14ac:dyDescent="0.25">
      <c r="B43" s="89" t="s">
        <v>21</v>
      </c>
      <c r="C43" s="89" t="s">
        <v>20</v>
      </c>
      <c r="D43" s="200" t="s">
        <v>16</v>
      </c>
      <c r="E43" s="87"/>
      <c r="F43" s="200" t="s">
        <v>17</v>
      </c>
      <c r="G43" s="87"/>
      <c r="H43" s="246"/>
      <c r="I43" s="246"/>
    </row>
    <row r="44" spans="1:9" x14ac:dyDescent="0.25">
      <c r="B44" s="90">
        <v>0</v>
      </c>
      <c r="C44" s="90">
        <v>250</v>
      </c>
      <c r="D44" s="201">
        <v>0.8</v>
      </c>
      <c r="E44" s="87"/>
      <c r="F44" s="202">
        <v>0.8</v>
      </c>
      <c r="G44" s="87"/>
      <c r="H44" s="116"/>
      <c r="I44" s="117">
        <f t="shared" ref="I44:I51" si="0">+C44*$B$42</f>
        <v>154000000</v>
      </c>
    </row>
    <row r="45" spans="1:9" x14ac:dyDescent="0.25">
      <c r="B45" s="90">
        <v>251</v>
      </c>
      <c r="C45" s="90">
        <v>1000</v>
      </c>
      <c r="D45" s="201">
        <v>0.8</v>
      </c>
      <c r="E45" s="87"/>
      <c r="F45" s="202">
        <v>0.75</v>
      </c>
      <c r="G45" s="87"/>
      <c r="H45" s="117">
        <f t="shared" ref="H45:H51" si="1">+B45*$B$42</f>
        <v>154616000</v>
      </c>
      <c r="I45" s="117">
        <f t="shared" si="0"/>
        <v>616000000</v>
      </c>
    </row>
    <row r="46" spans="1:9" x14ac:dyDescent="0.25">
      <c r="B46" s="90">
        <v>1001</v>
      </c>
      <c r="C46" s="90">
        <v>1500</v>
      </c>
      <c r="D46" s="201">
        <v>0.9</v>
      </c>
      <c r="E46" s="87"/>
      <c r="F46" s="202">
        <v>0.75</v>
      </c>
      <c r="G46" s="87"/>
      <c r="H46" s="117">
        <f t="shared" si="1"/>
        <v>616616000</v>
      </c>
      <c r="I46" s="117">
        <f t="shared" si="0"/>
        <v>924000000</v>
      </c>
    </row>
    <row r="47" spans="1:9" x14ac:dyDescent="0.25">
      <c r="B47" s="90">
        <v>1501</v>
      </c>
      <c r="C47" s="90">
        <v>2500</v>
      </c>
      <c r="D47" s="201">
        <v>0.9</v>
      </c>
      <c r="E47" s="87"/>
      <c r="F47" s="202">
        <v>0.7</v>
      </c>
      <c r="G47" s="87"/>
      <c r="H47" s="117">
        <f t="shared" si="1"/>
        <v>924616000</v>
      </c>
      <c r="I47" s="117">
        <f t="shared" si="0"/>
        <v>1540000000</v>
      </c>
    </row>
    <row r="48" spans="1:9" x14ac:dyDescent="0.25">
      <c r="B48" s="90">
        <v>2501</v>
      </c>
      <c r="C48" s="90">
        <v>3000</v>
      </c>
      <c r="D48" s="201">
        <v>1</v>
      </c>
      <c r="E48" s="87"/>
      <c r="F48" s="202">
        <v>0.7</v>
      </c>
      <c r="G48" s="87"/>
      <c r="H48" s="117">
        <f t="shared" si="1"/>
        <v>1540616000</v>
      </c>
      <c r="I48" s="117">
        <f t="shared" si="0"/>
        <v>1848000000</v>
      </c>
    </row>
    <row r="49" spans="1:9" x14ac:dyDescent="0.25">
      <c r="B49" s="90">
        <v>3001</v>
      </c>
      <c r="C49" s="90">
        <v>3500</v>
      </c>
      <c r="D49" s="201">
        <v>1</v>
      </c>
      <c r="E49" s="87"/>
      <c r="F49" s="202">
        <v>0.68</v>
      </c>
      <c r="G49" s="87"/>
      <c r="H49" s="117">
        <f t="shared" si="1"/>
        <v>1848616000</v>
      </c>
      <c r="I49" s="117">
        <f t="shared" si="0"/>
        <v>2156000000</v>
      </c>
    </row>
    <row r="50" spans="1:9" x14ac:dyDescent="0.25">
      <c r="B50" s="90">
        <v>3501</v>
      </c>
      <c r="C50" s="90">
        <v>4500</v>
      </c>
      <c r="D50" s="201">
        <v>1.1000000000000001</v>
      </c>
      <c r="E50" s="87"/>
      <c r="F50" s="202">
        <v>0.68</v>
      </c>
      <c r="G50" s="87"/>
      <c r="H50" s="117">
        <f t="shared" si="1"/>
        <v>2156616000</v>
      </c>
      <c r="I50" s="117">
        <f t="shared" si="0"/>
        <v>2772000000</v>
      </c>
    </row>
    <row r="51" spans="1:9" x14ac:dyDescent="0.25">
      <c r="A51" s="84" t="s">
        <v>22</v>
      </c>
      <c r="B51" s="90">
        <v>4501</v>
      </c>
      <c r="C51" s="90"/>
      <c r="D51" s="201">
        <v>1.2</v>
      </c>
      <c r="E51" s="87"/>
      <c r="F51" s="202">
        <v>0.65</v>
      </c>
      <c r="G51" s="87"/>
      <c r="H51" s="117">
        <f t="shared" si="1"/>
        <v>2772616000</v>
      </c>
      <c r="I51" s="117">
        <f t="shared" si="0"/>
        <v>0</v>
      </c>
    </row>
  </sheetData>
  <mergeCells count="16">
    <mergeCell ref="A6:E6"/>
    <mergeCell ref="A1:E1"/>
    <mergeCell ref="B2:D2"/>
    <mergeCell ref="A3:E3"/>
    <mergeCell ref="B4:D4"/>
    <mergeCell ref="A5:E5"/>
    <mergeCell ref="B28:D28"/>
    <mergeCell ref="C32:D32"/>
    <mergeCell ref="C34:D34"/>
    <mergeCell ref="H43:I43"/>
    <mergeCell ref="C8:D8"/>
    <mergeCell ref="C9:D9"/>
    <mergeCell ref="C10:D10"/>
    <mergeCell ref="C16:D16"/>
    <mergeCell ref="C17:D17"/>
    <mergeCell ref="B27:D27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0"/>
  <sheetViews>
    <sheetView view="pageBreakPreview" topLeftCell="A11" zoomScale="110" zoomScaleNormal="100" zoomScaleSheetLayoutView="110" workbookViewId="0">
      <selection activeCell="G37" sqref="G37"/>
    </sheetView>
  </sheetViews>
  <sheetFormatPr baseColWidth="10" defaultRowHeight="15" x14ac:dyDescent="0.25"/>
  <cols>
    <col min="1" max="1" width="2.28515625" style="143" customWidth="1"/>
    <col min="2" max="2" width="31.140625" bestFit="1" customWidth="1"/>
    <col min="3" max="3" width="24.5703125" customWidth="1"/>
    <col min="4" max="4" width="4.42578125" customWidth="1"/>
    <col min="5" max="5" width="18.85546875" customWidth="1"/>
    <col min="6" max="6" width="4" style="46" customWidth="1"/>
    <col min="7" max="7" width="19" customWidth="1"/>
    <col min="8" max="8" width="14" style="46" customWidth="1"/>
    <col min="9" max="9" width="4.140625" style="143" customWidth="1"/>
    <col min="10" max="10" width="12.5703125" bestFit="1" customWidth="1"/>
  </cols>
  <sheetData>
    <row r="1" spans="1:9" s="1" customFormat="1" ht="15.75" x14ac:dyDescent="0.25">
      <c r="A1" s="151"/>
      <c r="B1" s="272" t="s">
        <v>0</v>
      </c>
      <c r="C1" s="272"/>
      <c r="D1" s="272"/>
      <c r="E1" s="272"/>
      <c r="F1" s="272"/>
      <c r="G1" s="272"/>
      <c r="H1" s="272"/>
      <c r="I1" s="30"/>
    </row>
    <row r="2" spans="1:9" s="1" customFormat="1" ht="15.75" customHeight="1" x14ac:dyDescent="0.25">
      <c r="A2" s="2"/>
      <c r="B2" s="263" t="s">
        <v>1</v>
      </c>
      <c r="C2" s="263"/>
      <c r="D2" s="263"/>
      <c r="E2" s="263"/>
      <c r="F2" s="263"/>
      <c r="G2" s="263"/>
      <c r="H2" s="263"/>
      <c r="I2" s="5"/>
    </row>
    <row r="3" spans="1:9" s="1" customFormat="1" ht="20.25" customHeight="1" x14ac:dyDescent="0.25">
      <c r="A3" s="98"/>
      <c r="B3" s="263" t="s">
        <v>2</v>
      </c>
      <c r="C3" s="263"/>
      <c r="D3" s="263"/>
      <c r="E3" s="263"/>
      <c r="F3" s="263"/>
      <c r="G3" s="263"/>
      <c r="H3" s="263"/>
      <c r="I3" s="5"/>
    </row>
    <row r="4" spans="1:9" s="1" customFormat="1" ht="15.75" customHeight="1" x14ac:dyDescent="0.25">
      <c r="A4" s="152"/>
      <c r="B4" s="263" t="s">
        <v>28</v>
      </c>
      <c r="C4" s="263"/>
      <c r="D4" s="263"/>
      <c r="E4" s="263"/>
      <c r="F4" s="263"/>
      <c r="G4" s="263"/>
      <c r="H4" s="263"/>
      <c r="I4" s="5"/>
    </row>
    <row r="5" spans="1:9" s="1" customFormat="1" ht="78" customHeight="1" thickBot="1" x14ac:dyDescent="0.3">
      <c r="A5" s="3"/>
      <c r="B5" s="264" t="s">
        <v>29</v>
      </c>
      <c r="C5" s="264"/>
      <c r="D5" s="264"/>
      <c r="E5" s="264"/>
      <c r="F5" s="264"/>
      <c r="G5" s="264"/>
      <c r="H5" s="264"/>
      <c r="I5" s="5"/>
    </row>
    <row r="6" spans="1:9" s="1" customFormat="1" ht="14.25" thickBot="1" x14ac:dyDescent="0.3">
      <c r="A6" s="3"/>
      <c r="B6" s="6" t="s">
        <v>3</v>
      </c>
      <c r="C6" s="273" t="s">
        <v>69</v>
      </c>
      <c r="D6" s="273"/>
      <c r="E6" s="273"/>
      <c r="F6" s="273"/>
      <c r="G6" s="273"/>
      <c r="H6" s="274"/>
      <c r="I6" s="5"/>
    </row>
    <row r="7" spans="1:9" s="1" customFormat="1" ht="15.75" customHeight="1" thickBot="1" x14ac:dyDescent="0.3">
      <c r="A7" s="3"/>
      <c r="B7" s="26" t="s">
        <v>37</v>
      </c>
      <c r="C7" s="273">
        <v>9</v>
      </c>
      <c r="D7" s="273"/>
      <c r="E7" s="273"/>
      <c r="F7" s="273"/>
      <c r="G7" s="273"/>
      <c r="H7" s="274"/>
      <c r="I7" s="5"/>
    </row>
    <row r="8" spans="1:9" s="1" customFormat="1" ht="26.25" customHeight="1" x14ac:dyDescent="0.25">
      <c r="A8" s="3"/>
      <c r="B8" s="130" t="s">
        <v>23</v>
      </c>
      <c r="C8" s="278" t="s">
        <v>24</v>
      </c>
      <c r="D8" s="278"/>
      <c r="E8" s="278"/>
      <c r="F8" s="140"/>
      <c r="G8" s="278" t="s">
        <v>25</v>
      </c>
      <c r="H8" s="279"/>
      <c r="I8" s="5"/>
    </row>
    <row r="9" spans="1:9" s="20" customFormat="1" ht="13.5" x14ac:dyDescent="0.25">
      <c r="A9" s="3"/>
      <c r="B9" s="160">
        <v>7</v>
      </c>
      <c r="C9" s="271" t="s">
        <v>40</v>
      </c>
      <c r="D9" s="271"/>
      <c r="E9" s="271"/>
      <c r="F9" s="198"/>
      <c r="G9" s="280">
        <v>7818524064</v>
      </c>
      <c r="H9" s="281"/>
      <c r="I9" s="5"/>
    </row>
    <row r="10" spans="1:9" s="20" customFormat="1" ht="14.25" thickBot="1" x14ac:dyDescent="0.3">
      <c r="A10" s="3"/>
      <c r="B10" s="160"/>
      <c r="C10" s="271"/>
      <c r="D10" s="271"/>
      <c r="E10" s="271"/>
      <c r="F10" s="198"/>
      <c r="G10" s="280"/>
      <c r="H10" s="281"/>
      <c r="I10" s="5"/>
    </row>
    <row r="11" spans="1:9" s="1" customFormat="1" ht="15.75" customHeight="1" thickBot="1" x14ac:dyDescent="0.3">
      <c r="A11" s="3"/>
      <c r="B11" s="6" t="s">
        <v>4</v>
      </c>
      <c r="C11" s="54"/>
      <c r="D11" s="161"/>
      <c r="E11" s="161"/>
      <c r="F11" s="161"/>
      <c r="G11" s="282">
        <f>+SUM(G9:H10)</f>
        <v>7818524064</v>
      </c>
      <c r="H11" s="283"/>
      <c r="I11" s="5"/>
    </row>
    <row r="12" spans="1:9" s="1" customFormat="1" ht="15.75" customHeight="1" thickBot="1" x14ac:dyDescent="0.3">
      <c r="A12" s="3"/>
      <c r="B12" s="31" t="s">
        <v>5</v>
      </c>
      <c r="D12" s="162"/>
      <c r="E12" s="162"/>
      <c r="F12" s="162"/>
      <c r="G12" s="284">
        <f>ROUND(G11/616000,0)</f>
        <v>12692</v>
      </c>
      <c r="H12" s="285"/>
      <c r="I12" s="5"/>
    </row>
    <row r="13" spans="1:9" s="1" customFormat="1" ht="13.5" x14ac:dyDescent="0.25">
      <c r="A13" s="3"/>
      <c r="B13" s="136"/>
      <c r="C13" s="64"/>
      <c r="D13" s="65"/>
      <c r="E13" s="69"/>
      <c r="F13" s="29"/>
      <c r="G13" s="69"/>
      <c r="H13" s="29"/>
      <c r="I13" s="5"/>
    </row>
    <row r="14" spans="1:9" s="4" customFormat="1" ht="13.5" x14ac:dyDescent="0.25">
      <c r="A14" s="3"/>
      <c r="B14" s="18"/>
      <c r="C14" s="19"/>
      <c r="D14" s="56"/>
      <c r="I14" s="5"/>
    </row>
    <row r="15" spans="1:9" s="4" customFormat="1" ht="14.25" thickBot="1" x14ac:dyDescent="0.3">
      <c r="A15" s="3"/>
      <c r="B15" s="18" t="s">
        <v>19</v>
      </c>
      <c r="C15" s="19"/>
      <c r="D15" s="56"/>
      <c r="I15" s="5"/>
    </row>
    <row r="16" spans="1:9" s="4" customFormat="1" ht="13.5" x14ac:dyDescent="0.25">
      <c r="A16" s="3"/>
      <c r="B16" s="16" t="s">
        <v>13</v>
      </c>
      <c r="C16" s="67">
        <f>+IF($G$12&gt;$B$50,$D$50,IF(AND($G$12&gt;=$B$49,$G$12&lt;=$C$49),$D$49,IF(AND($G$12&gt;=$B$47,$G$12&lt;=$C$48),$D$47,IF(AND($G$12&gt;=$B$45,$G$12&lt;=$C$46),$D$45,IF(AND($G$12&gt;$B$43,$G$12&lt;=$C$44),$D$43)))))</f>
        <v>1.2</v>
      </c>
      <c r="D16" s="56"/>
      <c r="I16" s="5"/>
    </row>
    <row r="17" spans="1:9" s="4" customFormat="1" ht="14.25" thickBot="1" x14ac:dyDescent="0.3">
      <c r="A17" s="3"/>
      <c r="B17" s="17" t="s">
        <v>14</v>
      </c>
      <c r="C17" s="68">
        <f>+IF($G$12&gt;$B$50,$F$50,IF(AND($G$12&gt;=$B$48,$G$12&lt;=$C$49),$F$48,IF(AND($G$12&gt;=$B$46,$G$12&lt;=$C$47),$F$46,IF(AND($G$12&gt;=$B$44,$G$12&lt;=$C$45),$F$44,IF(AND($G$12&gt;$B$43,$G$12&lt;=$C$43),$F$43)))))</f>
        <v>0.65</v>
      </c>
      <c r="D17" s="56"/>
      <c r="I17" s="5"/>
    </row>
    <row r="18" spans="1:9" s="4" customFormat="1" ht="14.25" thickBot="1" x14ac:dyDescent="0.3">
      <c r="A18" s="3"/>
      <c r="B18" s="137"/>
      <c r="C18" s="32"/>
      <c r="D18" s="33"/>
      <c r="E18" s="25"/>
      <c r="F18" s="25"/>
      <c r="G18" s="25"/>
      <c r="H18" s="25"/>
      <c r="I18" s="5"/>
    </row>
    <row r="19" spans="1:9" s="22" customFormat="1" ht="42.75" customHeight="1" thickBot="1" x14ac:dyDescent="0.3">
      <c r="A19" s="3"/>
      <c r="B19" s="6" t="s">
        <v>18</v>
      </c>
      <c r="C19" s="232" t="s">
        <v>70</v>
      </c>
      <c r="D19" s="7"/>
      <c r="E19" s="159" t="s">
        <v>71</v>
      </c>
      <c r="F19" s="60"/>
      <c r="G19" s="159" t="str">
        <f>+C6</f>
        <v xml:space="preserve">UNION TEMPORAL MEDIO FAMILIAR </v>
      </c>
      <c r="H19" s="35"/>
      <c r="I19" s="5"/>
    </row>
    <row r="20" spans="1:9" s="22" customFormat="1" ht="13.5" customHeight="1" thickBot="1" x14ac:dyDescent="0.3">
      <c r="A20" s="3"/>
      <c r="B20" s="6" t="s">
        <v>31</v>
      </c>
      <c r="C20" s="59">
        <v>806008986</v>
      </c>
      <c r="D20" s="7"/>
      <c r="E20" s="157">
        <v>800161338</v>
      </c>
      <c r="F20" s="158"/>
      <c r="G20" s="157"/>
      <c r="H20" s="35"/>
      <c r="I20" s="5"/>
    </row>
    <row r="21" spans="1:9" s="22" customFormat="1" ht="14.25" thickBot="1" x14ac:dyDescent="0.3">
      <c r="A21" s="3"/>
      <c r="B21" s="138"/>
      <c r="C21" s="9"/>
      <c r="D21" s="9"/>
      <c r="E21" s="4"/>
      <c r="F21" s="4"/>
      <c r="G21" s="4"/>
      <c r="H21" s="4"/>
      <c r="I21" s="5"/>
    </row>
    <row r="22" spans="1:9" s="1" customFormat="1" ht="13.5" x14ac:dyDescent="0.25">
      <c r="A22" s="3"/>
      <c r="B22" s="10" t="s">
        <v>7</v>
      </c>
      <c r="C22" s="204">
        <f>1002073*1000</f>
        <v>1002073000</v>
      </c>
      <c r="D22" s="205"/>
      <c r="E22" s="204">
        <f>+(248794946+21643210)</f>
        <v>270438156</v>
      </c>
      <c r="F22" s="206"/>
      <c r="G22" s="204">
        <f>+E22+C22</f>
        <v>1272511156</v>
      </c>
      <c r="H22" s="30"/>
      <c r="I22" s="5"/>
    </row>
    <row r="23" spans="1:9" s="1" customFormat="1" ht="13.5" x14ac:dyDescent="0.25">
      <c r="A23" s="3"/>
      <c r="B23" s="12" t="s">
        <v>8</v>
      </c>
      <c r="C23" s="207">
        <f>1360650*1000</f>
        <v>1360650000</v>
      </c>
      <c r="D23" s="208"/>
      <c r="E23" s="207">
        <f>388095680.85</f>
        <v>388095680.85000002</v>
      </c>
      <c r="F23" s="209"/>
      <c r="G23" s="207">
        <f>+E23+C23</f>
        <v>1748745680.8499999</v>
      </c>
      <c r="H23" s="5"/>
      <c r="I23" s="5"/>
    </row>
    <row r="24" spans="1:9" s="1" customFormat="1" ht="13.5" x14ac:dyDescent="0.25">
      <c r="A24" s="3"/>
      <c r="B24" s="12" t="s">
        <v>9</v>
      </c>
      <c r="C24" s="207">
        <f>827421*1000</f>
        <v>827421000</v>
      </c>
      <c r="D24" s="208"/>
      <c r="E24" s="207">
        <f>+(57962394+253180914+4976880+49952500)</f>
        <v>366072688</v>
      </c>
      <c r="F24" s="209"/>
      <c r="G24" s="207">
        <f>+E24+C24</f>
        <v>1193493688</v>
      </c>
      <c r="H24" s="5"/>
      <c r="I24" s="5"/>
    </row>
    <row r="25" spans="1:9" s="1" customFormat="1" ht="14.25" thickBot="1" x14ac:dyDescent="0.3">
      <c r="A25" s="3"/>
      <c r="B25" s="14" t="s">
        <v>10</v>
      </c>
      <c r="C25" s="210">
        <f>827421*1000</f>
        <v>827421000</v>
      </c>
      <c r="D25" s="211"/>
      <c r="E25" s="207">
        <f>+(57962394+253180914+4976880+49952500)</f>
        <v>366072688</v>
      </c>
      <c r="F25" s="212"/>
      <c r="G25" s="210">
        <f>+E25+C25</f>
        <v>1193493688</v>
      </c>
      <c r="H25" s="21"/>
      <c r="I25" s="5"/>
    </row>
    <row r="26" spans="1:9" s="1" customFormat="1" ht="14.25" thickBot="1" x14ac:dyDescent="0.3">
      <c r="A26" s="3"/>
      <c r="B26" s="275" t="s">
        <v>11</v>
      </c>
      <c r="C26" s="276"/>
      <c r="D26" s="276"/>
      <c r="E26" s="276"/>
      <c r="F26" s="276"/>
      <c r="G26" s="276"/>
      <c r="H26" s="277"/>
      <c r="I26" s="5"/>
    </row>
    <row r="27" spans="1:9" s="1" customFormat="1" ht="14.25" thickBot="1" x14ac:dyDescent="0.3">
      <c r="A27" s="3"/>
      <c r="B27" s="275" t="s">
        <v>12</v>
      </c>
      <c r="C27" s="276"/>
      <c r="D27" s="276"/>
      <c r="E27" s="276"/>
      <c r="F27" s="276"/>
      <c r="G27" s="276"/>
      <c r="H27" s="277"/>
      <c r="I27" s="5"/>
    </row>
    <row r="28" spans="1:9" s="1" customFormat="1" ht="13.5" x14ac:dyDescent="0.25">
      <c r="A28" s="3"/>
      <c r="B28" s="16" t="s">
        <v>13</v>
      </c>
      <c r="C28" s="124">
        <f>+IFERROR(C22/C24,"INDETERMINADO")</f>
        <v>1.2110799701723789</v>
      </c>
      <c r="D28" s="125"/>
      <c r="E28" s="124">
        <f>+IFERROR(E22/E24,"INDETERMINADO")</f>
        <v>0.73875534795428388</v>
      </c>
      <c r="F28" s="58"/>
      <c r="G28" s="124">
        <f>+IFERROR(G22/G24,"INDETERMINADO")</f>
        <v>1.0662068587328801</v>
      </c>
      <c r="H28" s="40" t="str">
        <f>+IF(G28&gt;=C16,"CUMPLE","NO CUMPLE")</f>
        <v>NO CUMPLE</v>
      </c>
      <c r="I28" s="5"/>
    </row>
    <row r="29" spans="1:9" s="1" customFormat="1" ht="14.25" thickBot="1" x14ac:dyDescent="0.3">
      <c r="A29" s="3"/>
      <c r="B29" s="17" t="s">
        <v>14</v>
      </c>
      <c r="C29" s="41">
        <f>+C25/C23</f>
        <v>0.60810715466872456</v>
      </c>
      <c r="D29" s="42"/>
      <c r="E29" s="41">
        <f>+E25/E23</f>
        <v>0.94325370279368825</v>
      </c>
      <c r="F29" s="43"/>
      <c r="G29" s="41">
        <f>+G25/G23</f>
        <v>0.68248556726664067</v>
      </c>
      <c r="H29" s="44" t="str">
        <f>+IF(G29&lt;=C17,"CUMPLE","NO CUMPLE")</f>
        <v>NO CUMPLE</v>
      </c>
      <c r="I29" s="5"/>
    </row>
    <row r="30" spans="1:9" s="20" customFormat="1" ht="14.25" thickBot="1" x14ac:dyDescent="0.3">
      <c r="A30" s="3"/>
      <c r="B30" s="139"/>
      <c r="C30" s="18"/>
      <c r="D30" s="19"/>
      <c r="F30" s="4"/>
      <c r="H30" s="4"/>
      <c r="I30" s="5"/>
    </row>
    <row r="31" spans="1:9" s="1" customFormat="1" ht="20.25" customHeight="1" thickBot="1" x14ac:dyDescent="0.3">
      <c r="A31" s="3"/>
      <c r="B31" s="6" t="s">
        <v>15</v>
      </c>
      <c r="C31" s="267" t="s">
        <v>72</v>
      </c>
      <c r="D31" s="267"/>
      <c r="E31" s="267"/>
      <c r="F31" s="267"/>
      <c r="G31" s="267"/>
      <c r="H31" s="268"/>
      <c r="I31" s="5"/>
    </row>
    <row r="32" spans="1:9" s="4" customFormat="1" ht="14.25" thickBot="1" x14ac:dyDescent="0.3">
      <c r="A32" s="3"/>
      <c r="B32" s="45"/>
      <c r="C32" s="45"/>
      <c r="D32" s="45"/>
      <c r="I32" s="5"/>
    </row>
    <row r="33" spans="1:10" s="46" customFormat="1" ht="36.75" customHeight="1" thickBot="1" x14ac:dyDescent="0.3">
      <c r="A33" s="153"/>
      <c r="B33" s="79" t="s">
        <v>26</v>
      </c>
      <c r="C33" s="269"/>
      <c r="D33" s="269"/>
      <c r="E33" s="269"/>
      <c r="F33" s="269"/>
      <c r="G33" s="269"/>
      <c r="H33" s="270"/>
      <c r="I33" s="5"/>
    </row>
    <row r="34" spans="1:10" s="46" customFormat="1" ht="15.75" thickBot="1" x14ac:dyDescent="0.3">
      <c r="A34" s="154"/>
      <c r="B34" s="155"/>
      <c r="C34" s="155"/>
      <c r="D34" s="25"/>
      <c r="E34" s="25"/>
      <c r="F34" s="25"/>
      <c r="G34" s="25"/>
      <c r="H34" s="156"/>
      <c r="I34" s="21"/>
    </row>
    <row r="35" spans="1:10" x14ac:dyDescent="0.25">
      <c r="D35" s="22"/>
      <c r="E35" s="22"/>
      <c r="F35" s="22"/>
      <c r="G35" s="22"/>
      <c r="H35" s="23"/>
      <c r="I35" s="4"/>
    </row>
    <row r="36" spans="1:10" x14ac:dyDescent="0.25">
      <c r="D36" s="22"/>
      <c r="E36" s="22"/>
      <c r="F36" s="22"/>
      <c r="G36" s="22"/>
      <c r="H36" s="23"/>
      <c r="I36" s="4"/>
    </row>
    <row r="37" spans="1:10" x14ac:dyDescent="0.25">
      <c r="D37" s="22"/>
      <c r="E37" s="22"/>
      <c r="F37" s="22"/>
      <c r="G37" s="22"/>
      <c r="H37" s="23"/>
      <c r="I37" s="4"/>
    </row>
    <row r="38" spans="1:10" x14ac:dyDescent="0.25">
      <c r="D38" s="22"/>
      <c r="E38" s="22"/>
      <c r="F38" s="22"/>
      <c r="G38" s="22"/>
      <c r="H38" s="23"/>
      <c r="I38" s="4"/>
    </row>
    <row r="39" spans="1:10" x14ac:dyDescent="0.25">
      <c r="D39" s="22"/>
      <c r="E39" s="22"/>
      <c r="F39" s="22"/>
      <c r="G39" s="22"/>
      <c r="H39" s="23"/>
      <c r="I39" s="4"/>
    </row>
    <row r="40" spans="1:10" x14ac:dyDescent="0.25">
      <c r="D40" s="22"/>
      <c r="E40" s="22"/>
      <c r="F40" s="22"/>
      <c r="G40" s="22"/>
      <c r="H40" s="22"/>
      <c r="I40" s="4"/>
    </row>
    <row r="41" spans="1:10" x14ac:dyDescent="0.25">
      <c r="B41" s="24">
        <v>616000</v>
      </c>
      <c r="D41" s="22"/>
      <c r="E41" s="22"/>
      <c r="F41" s="22"/>
      <c r="G41" s="22"/>
      <c r="H41" s="22"/>
      <c r="I41" s="4"/>
    </row>
    <row r="42" spans="1:10" x14ac:dyDescent="0.25">
      <c r="B42" s="141" t="s">
        <v>21</v>
      </c>
      <c r="C42" s="66" t="s">
        <v>20</v>
      </c>
      <c r="D42" s="265" t="s">
        <v>16</v>
      </c>
      <c r="E42" s="265"/>
      <c r="F42" s="265" t="s">
        <v>17</v>
      </c>
      <c r="G42" s="265"/>
    </row>
    <row r="43" spans="1:10" x14ac:dyDescent="0.25">
      <c r="B43" s="142">
        <v>0</v>
      </c>
      <c r="C43" s="55">
        <v>250</v>
      </c>
      <c r="D43" s="266">
        <v>0.8</v>
      </c>
      <c r="E43" s="266"/>
      <c r="F43" s="262">
        <v>0.8</v>
      </c>
      <c r="G43" s="262"/>
      <c r="H43" s="145"/>
      <c r="J43" s="147">
        <f t="shared" ref="J43:J50" si="0">+C43*$B$41</f>
        <v>154000000</v>
      </c>
    </row>
    <row r="44" spans="1:10" x14ac:dyDescent="0.25">
      <c r="B44" s="142">
        <v>251</v>
      </c>
      <c r="C44" s="55">
        <v>1000</v>
      </c>
      <c r="D44" s="266">
        <v>0.8</v>
      </c>
      <c r="E44" s="266"/>
      <c r="F44" s="262">
        <v>0.75</v>
      </c>
      <c r="G44" s="262"/>
      <c r="H44" s="146">
        <f t="shared" ref="H44:H50" si="1">+B44*$B$41</f>
        <v>154616000</v>
      </c>
      <c r="J44" s="147">
        <f t="shared" si="0"/>
        <v>616000000</v>
      </c>
    </row>
    <row r="45" spans="1:10" x14ac:dyDescent="0.25">
      <c r="B45" s="142">
        <v>1001</v>
      </c>
      <c r="C45" s="55">
        <v>1500</v>
      </c>
      <c r="D45" s="266">
        <v>0.9</v>
      </c>
      <c r="E45" s="266"/>
      <c r="F45" s="262">
        <v>0.75</v>
      </c>
      <c r="G45" s="262"/>
      <c r="H45" s="146">
        <f t="shared" si="1"/>
        <v>616616000</v>
      </c>
      <c r="J45" s="147">
        <f t="shared" si="0"/>
        <v>924000000</v>
      </c>
    </row>
    <row r="46" spans="1:10" x14ac:dyDescent="0.25">
      <c r="B46" s="142">
        <v>1501</v>
      </c>
      <c r="C46" s="55">
        <v>2500</v>
      </c>
      <c r="D46" s="266">
        <v>0.9</v>
      </c>
      <c r="E46" s="266"/>
      <c r="F46" s="262">
        <v>0.7</v>
      </c>
      <c r="G46" s="262"/>
      <c r="H46" s="146">
        <f t="shared" si="1"/>
        <v>924616000</v>
      </c>
      <c r="J46" s="147">
        <f t="shared" si="0"/>
        <v>1540000000</v>
      </c>
    </row>
    <row r="47" spans="1:10" x14ac:dyDescent="0.25">
      <c r="B47" s="142">
        <v>2501</v>
      </c>
      <c r="C47" s="55">
        <v>3000</v>
      </c>
      <c r="D47" s="266">
        <v>1</v>
      </c>
      <c r="E47" s="266"/>
      <c r="F47" s="262">
        <v>0.7</v>
      </c>
      <c r="G47" s="262"/>
      <c r="H47" s="146">
        <f t="shared" si="1"/>
        <v>1540616000</v>
      </c>
      <c r="J47" s="147">
        <f t="shared" si="0"/>
        <v>1848000000</v>
      </c>
    </row>
    <row r="48" spans="1:10" x14ac:dyDescent="0.25">
      <c r="B48" s="142">
        <v>3001</v>
      </c>
      <c r="C48" s="55">
        <v>3500</v>
      </c>
      <c r="D48" s="266">
        <v>1</v>
      </c>
      <c r="E48" s="266"/>
      <c r="F48" s="262">
        <v>0.68</v>
      </c>
      <c r="G48" s="262"/>
      <c r="H48" s="146">
        <f t="shared" si="1"/>
        <v>1848616000</v>
      </c>
      <c r="J48" s="147">
        <f t="shared" si="0"/>
        <v>2156000000</v>
      </c>
    </row>
    <row r="49" spans="2:10" x14ac:dyDescent="0.25">
      <c r="B49" s="142">
        <v>3501</v>
      </c>
      <c r="C49" s="55">
        <v>4500</v>
      </c>
      <c r="D49" s="266">
        <v>1.1000000000000001</v>
      </c>
      <c r="E49" s="266"/>
      <c r="F49" s="262">
        <v>0.68</v>
      </c>
      <c r="G49" s="262"/>
      <c r="H49" s="146">
        <f t="shared" si="1"/>
        <v>2156616000</v>
      </c>
      <c r="J49" s="147">
        <f t="shared" si="0"/>
        <v>2772000000</v>
      </c>
    </row>
    <row r="50" spans="2:10" x14ac:dyDescent="0.25">
      <c r="B50" s="142">
        <v>4501</v>
      </c>
      <c r="C50" s="55"/>
      <c r="D50" s="266">
        <v>1.2</v>
      </c>
      <c r="E50" s="266"/>
      <c r="F50" s="262">
        <v>0.65</v>
      </c>
      <c r="G50" s="262"/>
      <c r="H50" s="146">
        <f t="shared" si="1"/>
        <v>2772616000</v>
      </c>
      <c r="J50" s="147">
        <f t="shared" si="0"/>
        <v>0</v>
      </c>
    </row>
  </sheetData>
  <mergeCells count="37">
    <mergeCell ref="C6:H6"/>
    <mergeCell ref="B1:H1"/>
    <mergeCell ref="B2:H2"/>
    <mergeCell ref="B3:H3"/>
    <mergeCell ref="B4:H4"/>
    <mergeCell ref="B5:H5"/>
    <mergeCell ref="G11:H11"/>
    <mergeCell ref="G12:H12"/>
    <mergeCell ref="B26:H26"/>
    <mergeCell ref="B27:H27"/>
    <mergeCell ref="C7:H7"/>
    <mergeCell ref="C8:E8"/>
    <mergeCell ref="G8:H8"/>
    <mergeCell ref="C9:E9"/>
    <mergeCell ref="G9:H9"/>
    <mergeCell ref="C10:E10"/>
    <mergeCell ref="G10:H10"/>
    <mergeCell ref="C31:H31"/>
    <mergeCell ref="C33:H33"/>
    <mergeCell ref="D42:E42"/>
    <mergeCell ref="F42:G42"/>
    <mergeCell ref="D43:E43"/>
    <mergeCell ref="F43:G43"/>
    <mergeCell ref="D44:E44"/>
    <mergeCell ref="F44:G44"/>
    <mergeCell ref="D45:E45"/>
    <mergeCell ref="F45:G45"/>
    <mergeCell ref="D46:E46"/>
    <mergeCell ref="F46:G46"/>
    <mergeCell ref="D50:E50"/>
    <mergeCell ref="F50:G50"/>
    <mergeCell ref="D47:E47"/>
    <mergeCell ref="F47:G47"/>
    <mergeCell ref="D48:E48"/>
    <mergeCell ref="F48:G48"/>
    <mergeCell ref="D49:E49"/>
    <mergeCell ref="F49:G49"/>
  </mergeCells>
  <pageMargins left="0.70866141732283472" right="0.70866141732283472" top="0.74803149606299213" bottom="0.74803149606299213" header="0.31496062992125984" footer="0.31496062992125984"/>
  <pageSetup scale="7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9"/>
  <sheetViews>
    <sheetView view="pageBreakPreview" zoomScale="130" zoomScaleNormal="100" zoomScaleSheetLayoutView="130" workbookViewId="0">
      <selection activeCell="C10" sqref="C10:D10"/>
    </sheetView>
  </sheetViews>
  <sheetFormatPr baseColWidth="10" defaultRowHeight="13.5" x14ac:dyDescent="0.25"/>
  <cols>
    <col min="1" max="1" width="3.140625" style="84" customWidth="1"/>
    <col min="2" max="2" width="31.140625" style="84" bestFit="1" customWidth="1"/>
    <col min="3" max="3" width="27.7109375" style="84" customWidth="1"/>
    <col min="4" max="4" width="21.7109375" style="84" customWidth="1"/>
    <col min="5" max="5" width="3.5703125" style="84" customWidth="1"/>
    <col min="6" max="6" width="16.5703125" style="84" customWidth="1"/>
    <col min="7" max="7" width="3.140625" style="84" customWidth="1"/>
    <col min="8" max="8" width="18.140625" style="84" customWidth="1"/>
    <col min="9" max="9" width="12.7109375" style="84" bestFit="1" customWidth="1"/>
    <col min="10" max="16384" width="11.42578125" style="84"/>
  </cols>
  <sheetData>
    <row r="1" spans="1:5" s="93" customFormat="1" ht="20.25" customHeight="1" x14ac:dyDescent="0.25">
      <c r="A1" s="253" t="s">
        <v>0</v>
      </c>
      <c r="B1" s="254"/>
      <c r="C1" s="254"/>
      <c r="D1" s="254"/>
      <c r="E1" s="255"/>
    </row>
    <row r="2" spans="1:5" s="93" customFormat="1" ht="15.75" customHeight="1" x14ac:dyDescent="0.25">
      <c r="A2" s="196"/>
      <c r="B2" s="256" t="s">
        <v>1</v>
      </c>
      <c r="C2" s="256"/>
      <c r="D2" s="256"/>
      <c r="E2" s="95"/>
    </row>
    <row r="3" spans="1:5" s="93" customFormat="1" ht="15.75" customHeight="1" x14ac:dyDescent="0.25">
      <c r="A3" s="257" t="s">
        <v>27</v>
      </c>
      <c r="B3" s="256"/>
      <c r="C3" s="256"/>
      <c r="D3" s="256"/>
      <c r="E3" s="258"/>
    </row>
    <row r="4" spans="1:5" s="93" customFormat="1" ht="20.25" x14ac:dyDescent="0.3">
      <c r="A4" s="96"/>
      <c r="B4" s="256" t="s">
        <v>2</v>
      </c>
      <c r="C4" s="256"/>
      <c r="D4" s="256"/>
      <c r="E4" s="97"/>
    </row>
    <row r="5" spans="1:5" s="93" customFormat="1" ht="20.25" customHeight="1" x14ac:dyDescent="0.25">
      <c r="A5" s="257" t="s">
        <v>28</v>
      </c>
      <c r="B5" s="256"/>
      <c r="C5" s="256"/>
      <c r="D5" s="256"/>
      <c r="E5" s="258"/>
    </row>
    <row r="6" spans="1:5" s="93" customFormat="1" ht="96" customHeight="1" x14ac:dyDescent="0.25">
      <c r="A6" s="259" t="s">
        <v>29</v>
      </c>
      <c r="B6" s="260"/>
      <c r="C6" s="260"/>
      <c r="D6" s="260"/>
      <c r="E6" s="261"/>
    </row>
    <row r="7" spans="1:5" s="93" customFormat="1" ht="14.25" thickBot="1" x14ac:dyDescent="0.3">
      <c r="A7" s="98"/>
      <c r="B7" s="70"/>
      <c r="C7" s="70"/>
      <c r="D7" s="70"/>
      <c r="E7" s="75"/>
    </row>
    <row r="8" spans="1:5" s="93" customFormat="1" ht="26.25" customHeight="1" thickBot="1" x14ac:dyDescent="0.3">
      <c r="A8" s="98"/>
      <c r="B8" s="72" t="s">
        <v>3</v>
      </c>
      <c r="C8" s="247" t="s">
        <v>178</v>
      </c>
      <c r="D8" s="248"/>
      <c r="E8" s="75"/>
    </row>
    <row r="9" spans="1:5" s="93" customFormat="1" ht="14.25" thickBot="1" x14ac:dyDescent="0.3">
      <c r="A9" s="98"/>
      <c r="B9" s="72" t="s">
        <v>38</v>
      </c>
      <c r="C9" s="247">
        <v>10</v>
      </c>
      <c r="D9" s="248"/>
      <c r="E9" s="75"/>
    </row>
    <row r="10" spans="1:5" s="93" customFormat="1" ht="14.25" thickBot="1" x14ac:dyDescent="0.3">
      <c r="A10" s="98"/>
      <c r="B10" s="79" t="s">
        <v>6</v>
      </c>
      <c r="C10" s="247">
        <v>800055169</v>
      </c>
      <c r="D10" s="248"/>
      <c r="E10" s="75"/>
    </row>
    <row r="11" spans="1:5" s="93" customFormat="1" ht="26.25" customHeight="1" x14ac:dyDescent="0.25">
      <c r="A11" s="98"/>
      <c r="B11" s="130" t="s">
        <v>23</v>
      </c>
      <c r="C11" s="197" t="s">
        <v>24</v>
      </c>
      <c r="D11" s="199" t="s">
        <v>25</v>
      </c>
      <c r="E11" s="75"/>
    </row>
    <row r="12" spans="1:5" s="93" customFormat="1" x14ac:dyDescent="0.25">
      <c r="A12" s="98"/>
      <c r="B12" s="133">
        <v>1</v>
      </c>
      <c r="C12" s="135" t="s">
        <v>73</v>
      </c>
      <c r="D12" s="134">
        <v>6390139860</v>
      </c>
      <c r="E12" s="75"/>
    </row>
    <row r="13" spans="1:5" s="93" customFormat="1" ht="14.25" thickBot="1" x14ac:dyDescent="0.3">
      <c r="A13" s="98"/>
      <c r="B13" s="133"/>
      <c r="C13" s="135"/>
      <c r="D13" s="134"/>
      <c r="E13" s="75"/>
    </row>
    <row r="14" spans="1:5" s="93" customFormat="1" ht="14.25" thickBot="1" x14ac:dyDescent="0.3">
      <c r="A14" s="98"/>
      <c r="B14" s="72" t="s">
        <v>30</v>
      </c>
      <c r="C14" s="249">
        <f>+SUM(D12:D13)</f>
        <v>6390139860</v>
      </c>
      <c r="D14" s="250"/>
      <c r="E14" s="75"/>
    </row>
    <row r="15" spans="1:5" s="93" customFormat="1" ht="14.25" thickBot="1" x14ac:dyDescent="0.3">
      <c r="A15" s="98"/>
      <c r="B15" s="72" t="s">
        <v>5</v>
      </c>
      <c r="C15" s="302">
        <f>+ROUND(C14/616000,0)</f>
        <v>10374</v>
      </c>
      <c r="D15" s="303"/>
      <c r="E15" s="75"/>
    </row>
    <row r="16" spans="1:5" s="93" customFormat="1" x14ac:dyDescent="0.25">
      <c r="A16" s="98"/>
      <c r="B16" s="70"/>
      <c r="C16" s="70"/>
      <c r="D16" s="99"/>
      <c r="E16" s="75"/>
    </row>
    <row r="17" spans="1:6" s="93" customFormat="1" ht="14.25" thickBot="1" x14ac:dyDescent="0.3">
      <c r="A17" s="98"/>
      <c r="B17" s="100" t="s">
        <v>19</v>
      </c>
      <c r="C17" s="76"/>
      <c r="D17" s="99"/>
      <c r="E17" s="75"/>
    </row>
    <row r="18" spans="1:6" s="93" customFormat="1" x14ac:dyDescent="0.25">
      <c r="A18" s="98"/>
      <c r="B18" s="77" t="s">
        <v>13</v>
      </c>
      <c r="C18" s="85">
        <f>+IF($C$15&gt;$B$49,$D$49,IF(AND($C$15&gt;=$B$48,$C$15&lt;=$C$48),$D$48,IF(AND($C$15&gt;=$B$46,$C$15&lt;=$C$47),$D$46,IF(AND($C$15&gt;=$B$44,$C$15&lt;=$C$45),$D$44,IF(AND($C$15&gt;$B$42,$C$15&lt;=$C$43),$D$42)))))</f>
        <v>1.2</v>
      </c>
      <c r="D18" s="99"/>
      <c r="E18" s="75"/>
    </row>
    <row r="19" spans="1:6" s="93" customFormat="1" ht="14.25" thickBot="1" x14ac:dyDescent="0.3">
      <c r="A19" s="98"/>
      <c r="B19" s="78" t="s">
        <v>14</v>
      </c>
      <c r="C19" s="86">
        <f>+IF($C$15&gt;$B$49,$F$49,IF(AND($C$15&gt;=$B$47,$C$15&lt;=$C$48),$F$47,IF(AND($C$15&gt;=$B$45,$C$15&lt;=$C$46),$F$45,IF(AND($C$15&gt;=$B$43,$C$15&lt;=$C$44),$F$43,IF(AND($C$15&gt;$B$42,$C$15&lt;=$C$42),$F$42)))))</f>
        <v>0.65</v>
      </c>
      <c r="D19" s="99"/>
      <c r="E19" s="75"/>
    </row>
    <row r="20" spans="1:6" s="93" customFormat="1" ht="14.25" thickBot="1" x14ac:dyDescent="0.3">
      <c r="A20" s="98"/>
      <c r="B20" s="101"/>
      <c r="C20" s="102"/>
      <c r="D20" s="103"/>
      <c r="E20" s="75"/>
    </row>
    <row r="21" spans="1:6" s="93" customFormat="1" x14ac:dyDescent="0.25">
      <c r="A21" s="98"/>
      <c r="B21" s="80" t="s">
        <v>7</v>
      </c>
      <c r="C21" s="127">
        <v>2274868000</v>
      </c>
      <c r="D21" s="104"/>
      <c r="E21" s="75"/>
    </row>
    <row r="22" spans="1:6" s="93" customFormat="1" x14ac:dyDescent="0.25">
      <c r="A22" s="98"/>
      <c r="B22" s="81" t="s">
        <v>8</v>
      </c>
      <c r="C22" s="129">
        <v>9563663000</v>
      </c>
      <c r="D22" s="105"/>
      <c r="E22" s="75"/>
    </row>
    <row r="23" spans="1:6" s="93" customFormat="1" ht="15" x14ac:dyDescent="0.25">
      <c r="A23" s="98"/>
      <c r="B23" s="81" t="s">
        <v>9</v>
      </c>
      <c r="C23" s="129">
        <v>1586410000</v>
      </c>
      <c r="D23" s="105"/>
      <c r="E23" s="75"/>
      <c r="F23" s="106"/>
    </row>
    <row r="24" spans="1:6" s="93" customFormat="1" ht="15.75" thickBot="1" x14ac:dyDescent="0.3">
      <c r="A24" s="98"/>
      <c r="B24" s="82" t="s">
        <v>10</v>
      </c>
      <c r="C24" s="128">
        <v>3947956000</v>
      </c>
      <c r="D24" s="107"/>
      <c r="E24" s="75"/>
      <c r="F24" s="106"/>
    </row>
    <row r="25" spans="1:6" s="93" customFormat="1" ht="14.25" thickBot="1" x14ac:dyDescent="0.3">
      <c r="A25" s="98"/>
      <c r="B25" s="286" t="s">
        <v>11</v>
      </c>
      <c r="C25" s="287"/>
      <c r="D25" s="288"/>
      <c r="E25" s="75"/>
    </row>
    <row r="26" spans="1:6" s="93" customFormat="1" ht="14.25" thickBot="1" x14ac:dyDescent="0.3">
      <c r="A26" s="98"/>
      <c r="B26" s="241" t="s">
        <v>12</v>
      </c>
      <c r="C26" s="242"/>
      <c r="D26" s="243"/>
      <c r="E26" s="75"/>
    </row>
    <row r="27" spans="1:6" s="93" customFormat="1" ht="16.5" x14ac:dyDescent="0.3">
      <c r="A27" s="98"/>
      <c r="B27" s="77" t="s">
        <v>13</v>
      </c>
      <c r="C27" s="126">
        <f>+IFERROR(C21/C23,"INDETERMINADO")</f>
        <v>1.4339723022421693</v>
      </c>
      <c r="D27" s="118" t="str">
        <f>+IF(C27&gt;=C18,"CUMPLE","NO CUMPLE")</f>
        <v>CUMPLE</v>
      </c>
      <c r="E27" s="75"/>
    </row>
    <row r="28" spans="1:6" s="93" customFormat="1" ht="17.25" thickBot="1" x14ac:dyDescent="0.35">
      <c r="A28" s="98"/>
      <c r="B28" s="78" t="s">
        <v>14</v>
      </c>
      <c r="C28" s="120">
        <f>+C24/C22</f>
        <v>0.41280793771173241</v>
      </c>
      <c r="D28" s="119" t="str">
        <f>+IF(C28&lt;=C19,"CUMPLE","NO CUMPLE")</f>
        <v>CUMPLE</v>
      </c>
      <c r="E28" s="75"/>
    </row>
    <row r="29" spans="1:6" s="110" customFormat="1" ht="14.25" thickBot="1" x14ac:dyDescent="0.3">
      <c r="A29" s="98"/>
      <c r="B29" s="108"/>
      <c r="C29" s="100"/>
      <c r="D29" s="76"/>
      <c r="E29" s="109"/>
    </row>
    <row r="30" spans="1:6" s="93" customFormat="1" ht="41.25" customHeight="1" thickBot="1" x14ac:dyDescent="0.3">
      <c r="A30" s="98"/>
      <c r="B30" s="72" t="s">
        <v>15</v>
      </c>
      <c r="C30" s="244" t="s">
        <v>43</v>
      </c>
      <c r="D30" s="245"/>
      <c r="E30" s="75"/>
    </row>
    <row r="31" spans="1:6" s="70" customFormat="1" ht="14.25" thickBot="1" x14ac:dyDescent="0.3">
      <c r="A31" s="98"/>
      <c r="B31" s="83"/>
      <c r="C31" s="83"/>
      <c r="D31" s="83"/>
      <c r="E31" s="75"/>
    </row>
    <row r="32" spans="1:6" s="70" customFormat="1" ht="45.75" customHeight="1" thickBot="1" x14ac:dyDescent="0.3">
      <c r="A32" s="98"/>
      <c r="B32" s="72" t="s">
        <v>26</v>
      </c>
      <c r="C32" s="244"/>
      <c r="D32" s="245"/>
      <c r="E32" s="75"/>
    </row>
    <row r="33" spans="1:9" s="70" customFormat="1" ht="14.25" thickBot="1" x14ac:dyDescent="0.3">
      <c r="A33" s="111"/>
      <c r="B33" s="112"/>
      <c r="C33" s="112"/>
      <c r="D33" s="112"/>
      <c r="E33" s="71"/>
    </row>
    <row r="34" spans="1:9" s="70" customFormat="1" x14ac:dyDescent="0.25">
      <c r="B34" s="83"/>
      <c r="C34" s="83"/>
      <c r="D34" s="83"/>
    </row>
    <row r="35" spans="1:9" s="70" customFormat="1" x14ac:dyDescent="0.25">
      <c r="B35" s="83"/>
      <c r="C35" s="83"/>
      <c r="D35" s="83"/>
    </row>
    <row r="36" spans="1:9" s="70" customFormat="1" x14ac:dyDescent="0.25">
      <c r="B36" s="83"/>
      <c r="C36" s="83"/>
      <c r="D36" s="83"/>
    </row>
    <row r="37" spans="1:9" s="70" customFormat="1" x14ac:dyDescent="0.25">
      <c r="B37" s="83"/>
      <c r="C37" s="83"/>
      <c r="D37" s="83"/>
    </row>
    <row r="39" spans="1:9" x14ac:dyDescent="0.25">
      <c r="B39" s="100"/>
      <c r="C39" s="70"/>
    </row>
    <row r="40" spans="1:9" x14ac:dyDescent="0.25">
      <c r="B40" s="88">
        <v>616000</v>
      </c>
      <c r="C40" s="87"/>
      <c r="D40" s="87"/>
      <c r="E40" s="87"/>
      <c r="F40" s="87"/>
      <c r="G40" s="87"/>
      <c r="H40" s="87"/>
      <c r="I40" s="87"/>
    </row>
    <row r="41" spans="1:9" ht="25.5" x14ac:dyDescent="0.25">
      <c r="B41" s="89" t="s">
        <v>21</v>
      </c>
      <c r="C41" s="89" t="s">
        <v>20</v>
      </c>
      <c r="D41" s="200" t="s">
        <v>16</v>
      </c>
      <c r="E41" s="87"/>
      <c r="F41" s="200" t="s">
        <v>17</v>
      </c>
      <c r="G41" s="87"/>
      <c r="H41" s="246"/>
      <c r="I41" s="246"/>
    </row>
    <row r="42" spans="1:9" x14ac:dyDescent="0.25">
      <c r="B42" s="90">
        <v>0</v>
      </c>
      <c r="C42" s="90">
        <v>250</v>
      </c>
      <c r="D42" s="201">
        <v>0.8</v>
      </c>
      <c r="E42" s="87"/>
      <c r="F42" s="202">
        <v>0.8</v>
      </c>
      <c r="G42" s="87"/>
      <c r="H42" s="116"/>
      <c r="I42" s="117">
        <f t="shared" ref="I42:I49" si="0">+C42*$B$40</f>
        <v>154000000</v>
      </c>
    </row>
    <row r="43" spans="1:9" x14ac:dyDescent="0.25">
      <c r="B43" s="90">
        <v>251</v>
      </c>
      <c r="C43" s="90">
        <v>1000</v>
      </c>
      <c r="D43" s="201">
        <v>0.8</v>
      </c>
      <c r="E43" s="87"/>
      <c r="F43" s="202">
        <v>0.75</v>
      </c>
      <c r="G43" s="87"/>
      <c r="H43" s="117">
        <f t="shared" ref="H43:H49" si="1">+B43*$B$40</f>
        <v>154616000</v>
      </c>
      <c r="I43" s="117">
        <f t="shared" si="0"/>
        <v>616000000</v>
      </c>
    </row>
    <row r="44" spans="1:9" x14ac:dyDescent="0.25">
      <c r="B44" s="90">
        <v>1001</v>
      </c>
      <c r="C44" s="90">
        <v>1500</v>
      </c>
      <c r="D44" s="201">
        <v>0.9</v>
      </c>
      <c r="E44" s="87"/>
      <c r="F44" s="202">
        <v>0.75</v>
      </c>
      <c r="G44" s="87"/>
      <c r="H44" s="117">
        <f t="shared" si="1"/>
        <v>616616000</v>
      </c>
      <c r="I44" s="117">
        <f t="shared" si="0"/>
        <v>924000000</v>
      </c>
    </row>
    <row r="45" spans="1:9" x14ac:dyDescent="0.25">
      <c r="B45" s="90">
        <v>1501</v>
      </c>
      <c r="C45" s="90">
        <v>2500</v>
      </c>
      <c r="D45" s="201">
        <v>0.9</v>
      </c>
      <c r="E45" s="87"/>
      <c r="F45" s="202">
        <v>0.7</v>
      </c>
      <c r="G45" s="87"/>
      <c r="H45" s="117">
        <f t="shared" si="1"/>
        <v>924616000</v>
      </c>
      <c r="I45" s="117">
        <f t="shared" si="0"/>
        <v>1540000000</v>
      </c>
    </row>
    <row r="46" spans="1:9" x14ac:dyDescent="0.25">
      <c r="B46" s="90">
        <v>2501</v>
      </c>
      <c r="C46" s="90">
        <v>3000</v>
      </c>
      <c r="D46" s="201">
        <v>1</v>
      </c>
      <c r="E46" s="87"/>
      <c r="F46" s="202">
        <v>0.7</v>
      </c>
      <c r="G46" s="87"/>
      <c r="H46" s="117">
        <f t="shared" si="1"/>
        <v>1540616000</v>
      </c>
      <c r="I46" s="117">
        <f t="shared" si="0"/>
        <v>1848000000</v>
      </c>
    </row>
    <row r="47" spans="1:9" x14ac:dyDescent="0.25">
      <c r="B47" s="90">
        <v>3001</v>
      </c>
      <c r="C47" s="90">
        <v>3500</v>
      </c>
      <c r="D47" s="201">
        <v>1</v>
      </c>
      <c r="E47" s="87"/>
      <c r="F47" s="202">
        <v>0.68</v>
      </c>
      <c r="G47" s="87"/>
      <c r="H47" s="117">
        <f t="shared" si="1"/>
        <v>1848616000</v>
      </c>
      <c r="I47" s="117">
        <f t="shared" si="0"/>
        <v>2156000000</v>
      </c>
    </row>
    <row r="48" spans="1:9" x14ac:dyDescent="0.25">
      <c r="B48" s="90">
        <v>3501</v>
      </c>
      <c r="C48" s="90">
        <v>4500</v>
      </c>
      <c r="D48" s="201">
        <v>1.1000000000000001</v>
      </c>
      <c r="E48" s="87"/>
      <c r="F48" s="202">
        <v>0.68</v>
      </c>
      <c r="G48" s="87"/>
      <c r="H48" s="117">
        <f t="shared" si="1"/>
        <v>2156616000</v>
      </c>
      <c r="I48" s="117">
        <f t="shared" si="0"/>
        <v>2772000000</v>
      </c>
    </row>
    <row r="49" spans="1:9" x14ac:dyDescent="0.25">
      <c r="A49" s="84" t="s">
        <v>22</v>
      </c>
      <c r="B49" s="90">
        <v>4501</v>
      </c>
      <c r="C49" s="90"/>
      <c r="D49" s="201">
        <v>1.2</v>
      </c>
      <c r="E49" s="87"/>
      <c r="F49" s="202">
        <v>0.65</v>
      </c>
      <c r="G49" s="87"/>
      <c r="H49" s="117">
        <f t="shared" si="1"/>
        <v>2772616000</v>
      </c>
      <c r="I49" s="117">
        <f t="shared" si="0"/>
        <v>0</v>
      </c>
    </row>
  </sheetData>
  <mergeCells count="16">
    <mergeCell ref="A6:E6"/>
    <mergeCell ref="A1:E1"/>
    <mergeCell ref="B2:D2"/>
    <mergeCell ref="A3:E3"/>
    <mergeCell ref="B4:D4"/>
    <mergeCell ref="A5:E5"/>
    <mergeCell ref="B26:D26"/>
    <mergeCell ref="C30:D30"/>
    <mergeCell ref="C32:D32"/>
    <mergeCell ref="H41:I41"/>
    <mergeCell ref="C8:D8"/>
    <mergeCell ref="C9:D9"/>
    <mergeCell ref="C10:D10"/>
    <mergeCell ref="C14:D14"/>
    <mergeCell ref="C15:D15"/>
    <mergeCell ref="B25:D25"/>
  </mergeCell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1"/>
  <sheetViews>
    <sheetView view="pageBreakPreview" topLeftCell="A8" zoomScale="130" zoomScaleNormal="100" zoomScaleSheetLayoutView="130" workbookViewId="0">
      <selection activeCell="C17" sqref="C17:D17"/>
    </sheetView>
  </sheetViews>
  <sheetFormatPr baseColWidth="10" defaultRowHeight="13.5" x14ac:dyDescent="0.25"/>
  <cols>
    <col min="1" max="1" width="3.140625" style="84" customWidth="1"/>
    <col min="2" max="2" width="31.140625" style="84" bestFit="1" customWidth="1"/>
    <col min="3" max="3" width="30.140625" style="84" customWidth="1"/>
    <col min="4" max="4" width="21.7109375" style="84" customWidth="1"/>
    <col min="5" max="5" width="3.5703125" style="84" customWidth="1"/>
    <col min="6" max="6" width="16.5703125" style="84" customWidth="1"/>
    <col min="7" max="7" width="3.140625" style="84" customWidth="1"/>
    <col min="8" max="8" width="18.140625" style="84" customWidth="1"/>
    <col min="9" max="9" width="12.7109375" style="84" bestFit="1" customWidth="1"/>
    <col min="10" max="16384" width="11.42578125" style="84"/>
  </cols>
  <sheetData>
    <row r="1" spans="1:5" s="93" customFormat="1" ht="20.25" customHeight="1" x14ac:dyDescent="0.25">
      <c r="A1" s="253" t="s">
        <v>0</v>
      </c>
      <c r="B1" s="254"/>
      <c r="C1" s="254"/>
      <c r="D1" s="254"/>
      <c r="E1" s="255"/>
    </row>
    <row r="2" spans="1:5" s="93" customFormat="1" ht="15.75" customHeight="1" x14ac:dyDescent="0.25">
      <c r="A2" s="196"/>
      <c r="B2" s="256" t="s">
        <v>1</v>
      </c>
      <c r="C2" s="256"/>
      <c r="D2" s="256"/>
      <c r="E2" s="95"/>
    </row>
    <row r="3" spans="1:5" s="93" customFormat="1" ht="15.75" customHeight="1" x14ac:dyDescent="0.25">
      <c r="A3" s="257" t="s">
        <v>27</v>
      </c>
      <c r="B3" s="256"/>
      <c r="C3" s="256"/>
      <c r="D3" s="256"/>
      <c r="E3" s="258"/>
    </row>
    <row r="4" spans="1:5" s="93" customFormat="1" ht="20.25" x14ac:dyDescent="0.3">
      <c r="A4" s="96"/>
      <c r="B4" s="256" t="s">
        <v>2</v>
      </c>
      <c r="C4" s="256"/>
      <c r="D4" s="256"/>
      <c r="E4" s="97"/>
    </row>
    <row r="5" spans="1:5" s="93" customFormat="1" ht="20.25" customHeight="1" x14ac:dyDescent="0.25">
      <c r="A5" s="257" t="s">
        <v>28</v>
      </c>
      <c r="B5" s="256"/>
      <c r="C5" s="256"/>
      <c r="D5" s="256"/>
      <c r="E5" s="258"/>
    </row>
    <row r="6" spans="1:5" s="93" customFormat="1" ht="96" customHeight="1" x14ac:dyDescent="0.25">
      <c r="A6" s="259" t="s">
        <v>29</v>
      </c>
      <c r="B6" s="260"/>
      <c r="C6" s="260"/>
      <c r="D6" s="260"/>
      <c r="E6" s="261"/>
    </row>
    <row r="7" spans="1:5" s="93" customFormat="1" ht="14.25" thickBot="1" x14ac:dyDescent="0.3">
      <c r="A7" s="98"/>
      <c r="B7" s="70"/>
      <c r="C7" s="70"/>
      <c r="D7" s="70"/>
      <c r="E7" s="75"/>
    </row>
    <row r="8" spans="1:5" s="93" customFormat="1" ht="26.25" customHeight="1" thickBot="1" x14ac:dyDescent="0.3">
      <c r="A8" s="98"/>
      <c r="B8" s="72" t="s">
        <v>3</v>
      </c>
      <c r="C8" s="247" t="s">
        <v>75</v>
      </c>
      <c r="D8" s="248"/>
      <c r="E8" s="75"/>
    </row>
    <row r="9" spans="1:5" s="93" customFormat="1" ht="14.25" thickBot="1" x14ac:dyDescent="0.3">
      <c r="A9" s="98"/>
      <c r="B9" s="72" t="s">
        <v>38</v>
      </c>
      <c r="C9" s="247" t="s">
        <v>74</v>
      </c>
      <c r="D9" s="248"/>
      <c r="E9" s="75"/>
    </row>
    <row r="10" spans="1:5" s="93" customFormat="1" ht="14.25" thickBot="1" x14ac:dyDescent="0.3">
      <c r="A10" s="98"/>
      <c r="B10" s="79" t="s">
        <v>6</v>
      </c>
      <c r="C10" s="247">
        <v>800055169</v>
      </c>
      <c r="D10" s="248"/>
      <c r="E10" s="75"/>
    </row>
    <row r="11" spans="1:5" s="93" customFormat="1" ht="26.25" customHeight="1" x14ac:dyDescent="0.25">
      <c r="A11" s="98"/>
      <c r="B11" s="130" t="s">
        <v>23</v>
      </c>
      <c r="C11" s="197" t="s">
        <v>24</v>
      </c>
      <c r="D11" s="199" t="s">
        <v>25</v>
      </c>
      <c r="E11" s="75"/>
    </row>
    <row r="12" spans="1:5" s="93" customFormat="1" x14ac:dyDescent="0.25">
      <c r="A12" s="98"/>
      <c r="B12" s="133"/>
      <c r="C12" s="135"/>
      <c r="D12" s="99"/>
      <c r="E12" s="75"/>
    </row>
    <row r="13" spans="1:5" s="93" customFormat="1" x14ac:dyDescent="0.25">
      <c r="A13" s="98"/>
      <c r="B13" s="133">
        <v>23</v>
      </c>
      <c r="C13" s="135" t="s">
        <v>183</v>
      </c>
      <c r="D13" s="134">
        <v>9248996549</v>
      </c>
      <c r="E13" s="75"/>
    </row>
    <row r="14" spans="1:5" s="93" customFormat="1" x14ac:dyDescent="0.25">
      <c r="A14" s="98"/>
      <c r="B14" s="133" t="s">
        <v>182</v>
      </c>
      <c r="C14" s="135" t="s">
        <v>51</v>
      </c>
      <c r="D14" s="134">
        <f>918311300+2632292290+1939207309+1775038850+4476345681</f>
        <v>11741195430</v>
      </c>
      <c r="E14" s="75"/>
    </row>
    <row r="15" spans="1:5" s="93" customFormat="1" ht="14.25" thickBot="1" x14ac:dyDescent="0.3">
      <c r="A15" s="98"/>
      <c r="B15" s="133"/>
      <c r="C15" s="135"/>
      <c r="D15" s="134"/>
      <c r="E15" s="75"/>
    </row>
    <row r="16" spans="1:5" s="93" customFormat="1" ht="14.25" thickBot="1" x14ac:dyDescent="0.3">
      <c r="A16" s="98"/>
      <c r="B16" s="72" t="s">
        <v>30</v>
      </c>
      <c r="C16" s="249">
        <f>+SUM(D13:D15)</f>
        <v>20990191979</v>
      </c>
      <c r="D16" s="250"/>
      <c r="E16" s="75"/>
    </row>
    <row r="17" spans="1:6" s="93" customFormat="1" ht="14.25" thickBot="1" x14ac:dyDescent="0.3">
      <c r="A17" s="98"/>
      <c r="B17" s="72" t="s">
        <v>5</v>
      </c>
      <c r="C17" s="302">
        <f>+ROUND(C16/616000,0)</f>
        <v>34075</v>
      </c>
      <c r="D17" s="303"/>
      <c r="E17" s="75"/>
    </row>
    <row r="18" spans="1:6" s="93" customFormat="1" x14ac:dyDescent="0.25">
      <c r="A18" s="98"/>
      <c r="B18" s="70"/>
      <c r="C18" s="70"/>
      <c r="D18" s="99"/>
      <c r="E18" s="75"/>
    </row>
    <row r="19" spans="1:6" s="93" customFormat="1" ht="14.25" thickBot="1" x14ac:dyDescent="0.3">
      <c r="A19" s="98"/>
      <c r="B19" s="100" t="s">
        <v>19</v>
      </c>
      <c r="C19" s="76"/>
      <c r="D19" s="99"/>
      <c r="E19" s="75"/>
    </row>
    <row r="20" spans="1:6" s="93" customFormat="1" x14ac:dyDescent="0.25">
      <c r="A20" s="98"/>
      <c r="B20" s="77" t="s">
        <v>13</v>
      </c>
      <c r="C20" s="85">
        <f>+IF($C$17&gt;$B$51,$D$51,IF(AND($C$17&gt;=$B$50,$C$17&lt;=$C$50),$D$50,IF(AND($C$17&gt;=$B$48,$C$17&lt;=$C$49),$D$48,IF(AND($C$17&gt;=$B$46,$C$17&lt;=$C$47),$D$46,IF(AND($C$17&gt;$B$44,$C$17&lt;=$C$45),$D$44)))))</f>
        <v>1.2</v>
      </c>
      <c r="D20" s="99"/>
      <c r="E20" s="75"/>
    </row>
    <row r="21" spans="1:6" s="93" customFormat="1" ht="14.25" thickBot="1" x14ac:dyDescent="0.3">
      <c r="A21" s="98"/>
      <c r="B21" s="78" t="s">
        <v>14</v>
      </c>
      <c r="C21" s="86">
        <f>+IF($C$17&gt;$B$51,$F$51,IF(AND($C$17&gt;=$B$49,$C$17&lt;=$C$50),$F$49,IF(AND($C$17&gt;=$B$47,$C$17&lt;=$C$48),$F$47,IF(AND($C$17&gt;=$B$45,$C$17&lt;=$C$46),$F$45,IF(AND($C$17&gt;$B$44,$C$17&lt;=$C$44),$F$44)))))</f>
        <v>0.65</v>
      </c>
      <c r="D21" s="99"/>
      <c r="E21" s="75"/>
    </row>
    <row r="22" spans="1:6" s="93" customFormat="1" ht="14.25" thickBot="1" x14ac:dyDescent="0.3">
      <c r="A22" s="98"/>
      <c r="B22" s="101"/>
      <c r="C22" s="102"/>
      <c r="D22" s="103"/>
      <c r="E22" s="75"/>
    </row>
    <row r="23" spans="1:6" s="93" customFormat="1" x14ac:dyDescent="0.25">
      <c r="A23" s="98"/>
      <c r="B23" s="80" t="s">
        <v>7</v>
      </c>
      <c r="C23" s="127">
        <v>4577387091</v>
      </c>
      <c r="D23" s="104"/>
      <c r="E23" s="75"/>
    </row>
    <row r="24" spans="1:6" s="93" customFormat="1" x14ac:dyDescent="0.25">
      <c r="A24" s="98"/>
      <c r="B24" s="81" t="s">
        <v>8</v>
      </c>
      <c r="C24" s="129">
        <v>4726743864</v>
      </c>
      <c r="D24" s="105"/>
      <c r="E24" s="75"/>
    </row>
    <row r="25" spans="1:6" s="93" customFormat="1" ht="15" x14ac:dyDescent="0.25">
      <c r="A25" s="98"/>
      <c r="B25" s="81" t="s">
        <v>9</v>
      </c>
      <c r="C25" s="129">
        <v>316471047</v>
      </c>
      <c r="D25" s="105"/>
      <c r="E25" s="75"/>
      <c r="F25" s="106"/>
    </row>
    <row r="26" spans="1:6" s="93" customFormat="1" ht="15.75" thickBot="1" x14ac:dyDescent="0.3">
      <c r="A26" s="98"/>
      <c r="B26" s="82" t="s">
        <v>10</v>
      </c>
      <c r="C26" s="128">
        <v>316471047</v>
      </c>
      <c r="D26" s="107"/>
      <c r="E26" s="75"/>
      <c r="F26" s="106"/>
    </row>
    <row r="27" spans="1:6" s="93" customFormat="1" ht="14.25" thickBot="1" x14ac:dyDescent="0.3">
      <c r="A27" s="98"/>
      <c r="B27" s="286" t="s">
        <v>11</v>
      </c>
      <c r="C27" s="287"/>
      <c r="D27" s="288"/>
      <c r="E27" s="75"/>
    </row>
    <row r="28" spans="1:6" s="93" customFormat="1" ht="14.25" thickBot="1" x14ac:dyDescent="0.3">
      <c r="A28" s="98"/>
      <c r="B28" s="241" t="s">
        <v>12</v>
      </c>
      <c r="C28" s="242"/>
      <c r="D28" s="243"/>
      <c r="E28" s="75"/>
    </row>
    <row r="29" spans="1:6" s="93" customFormat="1" ht="16.5" x14ac:dyDescent="0.3">
      <c r="A29" s="98"/>
      <c r="B29" s="77" t="s">
        <v>13</v>
      </c>
      <c r="C29" s="126">
        <f>+IFERROR(C23/C25,"INDETERMINADO")</f>
        <v>14.463841588011052</v>
      </c>
      <c r="D29" s="118" t="str">
        <f>+IF(C29&gt;=C20,"CUMPLE","NO CUMPLE")</f>
        <v>CUMPLE</v>
      </c>
      <c r="E29" s="75"/>
    </row>
    <row r="30" spans="1:6" s="93" customFormat="1" ht="17.25" thickBot="1" x14ac:dyDescent="0.35">
      <c r="A30" s="98"/>
      <c r="B30" s="78" t="s">
        <v>14</v>
      </c>
      <c r="C30" s="120">
        <f>+C26/C24</f>
        <v>6.6953288797880164E-2</v>
      </c>
      <c r="D30" s="119" t="str">
        <f>+IF(C30&lt;=C21,"CUMPLE","NO CUMPLE")</f>
        <v>CUMPLE</v>
      </c>
      <c r="E30" s="75"/>
    </row>
    <row r="31" spans="1:6" s="110" customFormat="1" ht="14.25" thickBot="1" x14ac:dyDescent="0.3">
      <c r="A31" s="98"/>
      <c r="B31" s="108"/>
      <c r="C31" s="100"/>
      <c r="D31" s="76"/>
      <c r="E31" s="109"/>
    </row>
    <row r="32" spans="1:6" s="93" customFormat="1" ht="41.25" customHeight="1" thickBot="1" x14ac:dyDescent="0.3">
      <c r="A32" s="98"/>
      <c r="B32" s="72" t="s">
        <v>15</v>
      </c>
      <c r="C32" s="244" t="s">
        <v>43</v>
      </c>
      <c r="D32" s="245"/>
      <c r="E32" s="75"/>
    </row>
    <row r="33" spans="1:9" s="70" customFormat="1" ht="14.25" thickBot="1" x14ac:dyDescent="0.3">
      <c r="A33" s="98"/>
      <c r="B33" s="83"/>
      <c r="C33" s="83"/>
      <c r="D33" s="83"/>
      <c r="E33" s="75"/>
    </row>
    <row r="34" spans="1:9" s="70" customFormat="1" ht="45.75" customHeight="1" thickBot="1" x14ac:dyDescent="0.3">
      <c r="A34" s="98"/>
      <c r="B34" s="72" t="s">
        <v>26</v>
      </c>
      <c r="C34" s="244"/>
      <c r="D34" s="245"/>
      <c r="E34" s="75"/>
    </row>
    <row r="35" spans="1:9" s="70" customFormat="1" ht="14.25" thickBot="1" x14ac:dyDescent="0.3">
      <c r="A35" s="111"/>
      <c r="B35" s="112"/>
      <c r="C35" s="112"/>
      <c r="D35" s="112"/>
      <c r="E35" s="71"/>
    </row>
    <row r="36" spans="1:9" s="70" customFormat="1" x14ac:dyDescent="0.25">
      <c r="B36" s="83"/>
      <c r="C36" s="83"/>
      <c r="D36" s="83"/>
    </row>
    <row r="37" spans="1:9" s="70" customFormat="1" x14ac:dyDescent="0.25">
      <c r="B37" s="83"/>
      <c r="C37" s="83"/>
      <c r="D37" s="83"/>
    </row>
    <row r="38" spans="1:9" s="70" customFormat="1" x14ac:dyDescent="0.25">
      <c r="B38" s="83"/>
      <c r="C38" s="83"/>
      <c r="D38" s="83"/>
    </row>
    <row r="39" spans="1:9" s="70" customFormat="1" x14ac:dyDescent="0.25">
      <c r="B39" s="83"/>
      <c r="C39" s="83"/>
      <c r="D39" s="83"/>
    </row>
    <row r="41" spans="1:9" x14ac:dyDescent="0.25">
      <c r="B41" s="100"/>
      <c r="C41" s="70"/>
    </row>
    <row r="42" spans="1:9" x14ac:dyDescent="0.25">
      <c r="B42" s="88">
        <v>616000</v>
      </c>
      <c r="C42" s="87"/>
      <c r="D42" s="87"/>
      <c r="E42" s="87"/>
      <c r="F42" s="87"/>
      <c r="G42" s="87"/>
      <c r="H42" s="87"/>
      <c r="I42" s="87"/>
    </row>
    <row r="43" spans="1:9" ht="25.5" x14ac:dyDescent="0.25">
      <c r="B43" s="89" t="s">
        <v>21</v>
      </c>
      <c r="C43" s="89" t="s">
        <v>20</v>
      </c>
      <c r="D43" s="200" t="s">
        <v>16</v>
      </c>
      <c r="E43" s="87"/>
      <c r="F43" s="200" t="s">
        <v>17</v>
      </c>
      <c r="G43" s="87"/>
      <c r="H43" s="246"/>
      <c r="I43" s="246"/>
    </row>
    <row r="44" spans="1:9" x14ac:dyDescent="0.25">
      <c r="B44" s="90">
        <v>0</v>
      </c>
      <c r="C44" s="90">
        <v>250</v>
      </c>
      <c r="D44" s="201">
        <v>0.8</v>
      </c>
      <c r="E44" s="87"/>
      <c r="F44" s="202">
        <v>0.8</v>
      </c>
      <c r="G44" s="87"/>
      <c r="H44" s="116"/>
      <c r="I44" s="117">
        <f t="shared" ref="I44:I51" si="0">+C44*$B$42</f>
        <v>154000000</v>
      </c>
    </row>
    <row r="45" spans="1:9" x14ac:dyDescent="0.25">
      <c r="B45" s="90">
        <v>251</v>
      </c>
      <c r="C45" s="90">
        <v>1000</v>
      </c>
      <c r="D45" s="201">
        <v>0.8</v>
      </c>
      <c r="E45" s="87"/>
      <c r="F45" s="202">
        <v>0.75</v>
      </c>
      <c r="G45" s="87"/>
      <c r="H45" s="117">
        <f t="shared" ref="H45:H51" si="1">+B45*$B$42</f>
        <v>154616000</v>
      </c>
      <c r="I45" s="117">
        <f t="shared" si="0"/>
        <v>616000000</v>
      </c>
    </row>
    <row r="46" spans="1:9" x14ac:dyDescent="0.25">
      <c r="B46" s="90">
        <v>1001</v>
      </c>
      <c r="C46" s="90">
        <v>1500</v>
      </c>
      <c r="D46" s="201">
        <v>0.9</v>
      </c>
      <c r="E46" s="87"/>
      <c r="F46" s="202">
        <v>0.75</v>
      </c>
      <c r="G46" s="87"/>
      <c r="H46" s="117">
        <f t="shared" si="1"/>
        <v>616616000</v>
      </c>
      <c r="I46" s="117">
        <f t="shared" si="0"/>
        <v>924000000</v>
      </c>
    </row>
    <row r="47" spans="1:9" x14ac:dyDescent="0.25">
      <c r="B47" s="90">
        <v>1501</v>
      </c>
      <c r="C47" s="90">
        <v>2500</v>
      </c>
      <c r="D47" s="201">
        <v>0.9</v>
      </c>
      <c r="E47" s="87"/>
      <c r="F47" s="202">
        <v>0.7</v>
      </c>
      <c r="G47" s="87"/>
      <c r="H47" s="117">
        <f t="shared" si="1"/>
        <v>924616000</v>
      </c>
      <c r="I47" s="117">
        <f t="shared" si="0"/>
        <v>1540000000</v>
      </c>
    </row>
    <row r="48" spans="1:9" x14ac:dyDescent="0.25">
      <c r="B48" s="90">
        <v>2501</v>
      </c>
      <c r="C48" s="90">
        <v>3000</v>
      </c>
      <c r="D48" s="201">
        <v>1</v>
      </c>
      <c r="E48" s="87"/>
      <c r="F48" s="202">
        <v>0.7</v>
      </c>
      <c r="G48" s="87"/>
      <c r="H48" s="117">
        <f t="shared" si="1"/>
        <v>1540616000</v>
      </c>
      <c r="I48" s="117">
        <f t="shared" si="0"/>
        <v>1848000000</v>
      </c>
    </row>
    <row r="49" spans="1:9" x14ac:dyDescent="0.25">
      <c r="B49" s="90">
        <v>3001</v>
      </c>
      <c r="C49" s="90">
        <v>3500</v>
      </c>
      <c r="D49" s="201">
        <v>1</v>
      </c>
      <c r="E49" s="87"/>
      <c r="F49" s="202">
        <v>0.68</v>
      </c>
      <c r="G49" s="87"/>
      <c r="H49" s="117">
        <f t="shared" si="1"/>
        <v>1848616000</v>
      </c>
      <c r="I49" s="117">
        <f t="shared" si="0"/>
        <v>2156000000</v>
      </c>
    </row>
    <row r="50" spans="1:9" x14ac:dyDescent="0.25">
      <c r="B50" s="90">
        <v>3501</v>
      </c>
      <c r="C50" s="90">
        <v>4500</v>
      </c>
      <c r="D50" s="201">
        <v>1.1000000000000001</v>
      </c>
      <c r="E50" s="87"/>
      <c r="F50" s="202">
        <v>0.68</v>
      </c>
      <c r="G50" s="87"/>
      <c r="H50" s="117">
        <f t="shared" si="1"/>
        <v>2156616000</v>
      </c>
      <c r="I50" s="117">
        <f t="shared" si="0"/>
        <v>2772000000</v>
      </c>
    </row>
    <row r="51" spans="1:9" x14ac:dyDescent="0.25">
      <c r="A51" s="84" t="s">
        <v>22</v>
      </c>
      <c r="B51" s="90">
        <v>4501</v>
      </c>
      <c r="C51" s="90"/>
      <c r="D51" s="201">
        <v>1.2</v>
      </c>
      <c r="E51" s="87"/>
      <c r="F51" s="202">
        <v>0.65</v>
      </c>
      <c r="G51" s="87"/>
      <c r="H51" s="117">
        <f t="shared" si="1"/>
        <v>2772616000</v>
      </c>
      <c r="I51" s="117">
        <f t="shared" si="0"/>
        <v>0</v>
      </c>
    </row>
  </sheetData>
  <mergeCells count="16">
    <mergeCell ref="A6:E6"/>
    <mergeCell ref="A1:E1"/>
    <mergeCell ref="B2:D2"/>
    <mergeCell ref="A3:E3"/>
    <mergeCell ref="B4:D4"/>
    <mergeCell ref="A5:E5"/>
    <mergeCell ref="B28:D28"/>
    <mergeCell ref="C32:D32"/>
    <mergeCell ref="C34:D34"/>
    <mergeCell ref="H43:I43"/>
    <mergeCell ref="C8:D8"/>
    <mergeCell ref="C9:D9"/>
    <mergeCell ref="C10:D10"/>
    <mergeCell ref="C16:D16"/>
    <mergeCell ref="C17:D17"/>
    <mergeCell ref="B27:D27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47</vt:i4>
      </vt:variant>
      <vt:variant>
        <vt:lpstr>Rangos con nombre</vt:lpstr>
      </vt:variant>
      <vt:variant>
        <vt:i4>47</vt:i4>
      </vt:variant>
    </vt:vector>
  </HeadingPairs>
  <TitlesOfParts>
    <vt:vector size="94" baseType="lpstr">
      <vt:lpstr>F OCTAVIANA (1)</vt:lpstr>
      <vt:lpstr>UT SIN FRONTERAS (3)</vt:lpstr>
      <vt:lpstr>FUNIMEDES (4)</vt:lpstr>
      <vt:lpstr>PROCIENCIA (5)</vt:lpstr>
      <vt:lpstr>FUND LOS PEQ PITUFOS 6-7</vt:lpstr>
      <vt:lpstr>FUNAS (8)</vt:lpstr>
      <vt:lpstr>UT MEDIO FAMILIAR (9)</vt:lpstr>
      <vt:lpstr>COOPERATIVA MULTIACTIVA (10)</vt:lpstr>
      <vt:lpstr>FUNDACOBA (11-13-15)</vt:lpstr>
      <vt:lpstr>FUNDAPRE (12)</vt:lpstr>
      <vt:lpstr>GIMNASIO MODERNO DEL CAUCA (14)</vt:lpstr>
      <vt:lpstr>U T LA GUAJIRA (16)</vt:lpstr>
      <vt:lpstr>TUCRECER (17)</vt:lpstr>
      <vt:lpstr>VERSALLES (18)</vt:lpstr>
      <vt:lpstr>REDCOM (19)</vt:lpstr>
      <vt:lpstr>CORPORA DE PROF PARA DS-20-21</vt:lpstr>
      <vt:lpstr>FUNDACIÓN LAS GOLONDRINAS -22 </vt:lpstr>
      <vt:lpstr>COOPSALUDCOM-23</vt:lpstr>
      <vt:lpstr>CONSORCIO FAMILATINA (24)</vt:lpstr>
      <vt:lpstr>COREDI-25</vt:lpstr>
      <vt:lpstr>FUNDACION SAN JUAN BOSCO (26)</vt:lpstr>
      <vt:lpstr>CORPORACION INCATE -27</vt:lpstr>
      <vt:lpstr>CAMINO A LA PROSPERIDAD (28)</vt:lpstr>
      <vt:lpstr>DAMOS AMOR RECIPROCO-29 </vt:lpstr>
      <vt:lpstr>UT FAMILIAS CON BIENIESTAR (30)</vt:lpstr>
      <vt:lpstr>NUEVA ERA ECOLOGICA (31)</vt:lpstr>
      <vt:lpstr>U T CREANDO PRIMERA I (32)</vt:lpstr>
      <vt:lpstr>UNION TEMPORAL FAMILIA -33</vt:lpstr>
      <vt:lpstr>UT  INFANCIA CARIBE (34)</vt:lpstr>
      <vt:lpstr>FUNDACIÓN CHOCO SOCIAL (35)</vt:lpstr>
      <vt:lpstr>CODECIN (36)</vt:lpstr>
      <vt:lpstr> UT N N BOLIVAR (37)</vt:lpstr>
      <vt:lpstr>AMIGOS POR LA INFANCIA (38)</vt:lpstr>
      <vt:lpstr>F BIEN ESTAR (39)</vt:lpstr>
      <vt:lpstr>ASOCIACION FREPAE (40)</vt:lpstr>
      <vt:lpstr>CONS DESARROLLANDO CAMINOS (41)</vt:lpstr>
      <vt:lpstr>FUNMANUS (42)</vt:lpstr>
      <vt:lpstr>ITEDRIS (43)</vt:lpstr>
      <vt:lpstr>CONSORCIO ARCO IRIS-44      </vt:lpstr>
      <vt:lpstr>CORP CORAZON PAIS -45</vt:lpstr>
      <vt:lpstr>PROSERVCO-46</vt:lpstr>
      <vt:lpstr>UT PRIMERA INFANCIA (47)</vt:lpstr>
      <vt:lpstr>FUN POR UN MUNDO NUEVO-48</vt:lpstr>
      <vt:lpstr>FUNGESCOL (49)</vt:lpstr>
      <vt:lpstr>UT SUEÑOS DE INFANCIA (50)</vt:lpstr>
      <vt:lpstr>FE Y ALEGREIA (51)</vt:lpstr>
      <vt:lpstr>COOP MADRES CERETE (52)</vt:lpstr>
      <vt:lpstr>' UT N N BOLIVAR (37)'!Área_de_impresión</vt:lpstr>
      <vt:lpstr>'AMIGOS POR LA INFANCIA (38)'!Área_de_impresión</vt:lpstr>
      <vt:lpstr>'ASOCIACION FREPAE (40)'!Área_de_impresión</vt:lpstr>
      <vt:lpstr>'CAMINO A LA PROSPERIDAD (28)'!Área_de_impresión</vt:lpstr>
      <vt:lpstr>'CODECIN (36)'!Área_de_impresión</vt:lpstr>
      <vt:lpstr>'CONS DESARROLLANDO CAMINOS (41)'!Área_de_impresión</vt:lpstr>
      <vt:lpstr>'CONSORCIO ARCO IRIS-44      '!Área_de_impresión</vt:lpstr>
      <vt:lpstr>'CONSORCIO FAMILATINA (24)'!Área_de_impresión</vt:lpstr>
      <vt:lpstr>'COOP MADRES CERETE (52)'!Área_de_impresión</vt:lpstr>
      <vt:lpstr>'COOPERATIVA MULTIACTIVA (10)'!Área_de_impresión</vt:lpstr>
      <vt:lpstr>'COOPSALUDCOM-23'!Área_de_impresión</vt:lpstr>
      <vt:lpstr>'COREDI-25'!Área_de_impresión</vt:lpstr>
      <vt:lpstr>'CORP CORAZON PAIS -45'!Área_de_impresión</vt:lpstr>
      <vt:lpstr>'CORPORA DE PROF PARA DS-20-21'!Área_de_impresión</vt:lpstr>
      <vt:lpstr>'CORPORACION INCATE -27'!Área_de_impresión</vt:lpstr>
      <vt:lpstr>'DAMOS AMOR RECIPROCO-29 '!Área_de_impresión</vt:lpstr>
      <vt:lpstr>'F BIEN ESTAR (39)'!Área_de_impresión</vt:lpstr>
      <vt:lpstr>'F OCTAVIANA (1)'!Área_de_impresión</vt:lpstr>
      <vt:lpstr>'FE Y ALEGREIA (51)'!Área_de_impresión</vt:lpstr>
      <vt:lpstr>'FUN POR UN MUNDO NUEVO-48'!Área_de_impresión</vt:lpstr>
      <vt:lpstr>'FUNAS (8)'!Área_de_impresión</vt:lpstr>
      <vt:lpstr>'FUND LOS PEQ PITUFOS 6-7'!Área_de_impresión</vt:lpstr>
      <vt:lpstr>'FUNDACIÓN CHOCO SOCIAL (35)'!Área_de_impresión</vt:lpstr>
      <vt:lpstr>'FUNDACIÓN LAS GOLONDRINAS -22 '!Área_de_impresión</vt:lpstr>
      <vt:lpstr>'FUNDACION SAN JUAN BOSCO (26)'!Área_de_impresión</vt:lpstr>
      <vt:lpstr>'FUNDACOBA (11-13-15)'!Área_de_impresión</vt:lpstr>
      <vt:lpstr>'FUNDAPRE (12)'!Área_de_impresión</vt:lpstr>
      <vt:lpstr>'FUNGESCOL (49)'!Área_de_impresión</vt:lpstr>
      <vt:lpstr>'FUNIMEDES (4)'!Área_de_impresión</vt:lpstr>
      <vt:lpstr>'FUNMANUS (42)'!Área_de_impresión</vt:lpstr>
      <vt:lpstr>'GIMNASIO MODERNO DEL CAUCA (14)'!Área_de_impresión</vt:lpstr>
      <vt:lpstr>'ITEDRIS (43)'!Área_de_impresión</vt:lpstr>
      <vt:lpstr>'NUEVA ERA ECOLOGICA (31)'!Área_de_impresión</vt:lpstr>
      <vt:lpstr>'PROCIENCIA (5)'!Área_de_impresión</vt:lpstr>
      <vt:lpstr>'PROSERVCO-46'!Área_de_impresión</vt:lpstr>
      <vt:lpstr>'REDCOM (19)'!Área_de_impresión</vt:lpstr>
      <vt:lpstr>'TUCRECER (17)'!Área_de_impresión</vt:lpstr>
      <vt:lpstr>'U T CREANDO PRIMERA I (32)'!Área_de_impresión</vt:lpstr>
      <vt:lpstr>'U T LA GUAJIRA (16)'!Área_de_impresión</vt:lpstr>
      <vt:lpstr>'UNION TEMPORAL FAMILIA -33'!Área_de_impresión</vt:lpstr>
      <vt:lpstr>'UT  INFANCIA CARIBE (34)'!Área_de_impresión</vt:lpstr>
      <vt:lpstr>'UT FAMILIAS CON BIENIESTAR (30)'!Área_de_impresión</vt:lpstr>
      <vt:lpstr>'UT MEDIO FAMILIAR (9)'!Área_de_impresión</vt:lpstr>
      <vt:lpstr>'UT PRIMERA INFANCIA (47)'!Área_de_impresión</vt:lpstr>
      <vt:lpstr>'UT SIN FRONTERAS (3)'!Área_de_impresión</vt:lpstr>
      <vt:lpstr>'UT SUEÑOS DE INFANCIA (50)'!Área_de_impresión</vt:lpstr>
      <vt:lpstr>'VERSALLES (18)'!Área_de_impresión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Helmunt Tapiero Ortiz</dc:creator>
  <cp:lastModifiedBy>Leonardo Helmunt Tapiero Ortiz</cp:lastModifiedBy>
  <cp:lastPrinted>2014-12-14T00:38:42Z</cp:lastPrinted>
  <dcterms:created xsi:type="dcterms:W3CDTF">2014-11-07T21:16:14Z</dcterms:created>
  <dcterms:modified xsi:type="dcterms:W3CDTF">2014-12-14T22:53:20Z</dcterms:modified>
</cp:coreProperties>
</file>