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E:\ArchivosICBF\2021OCI\eKOGUI-2doSemestre2020\eKOGUI_Certificacion_Stes\"/>
    </mc:Choice>
  </mc:AlternateContent>
  <xr:revisionPtr revIDLastSave="0" documentId="13_ncr:1_{5B9575E8-29E3-4637-A23F-850B6EAA88E6}" xr6:coauthVersionLast="40" xr6:coauthVersionMax="46" xr10:uidLastSave="{00000000-0000-0000-0000-000000000000}"/>
  <bookViews>
    <workbookView xWindow="-120" yWindow="-120" windowWidth="29040" windowHeight="15840" firstSheet="3" activeTab="8" xr2:uid="{82CB4D4E-A42E-495E-9914-86978916F165}"/>
  </bookViews>
  <sheets>
    <sheet name="Principal" sheetId="4" r:id="rId1"/>
    <sheet name="USUARIOS" sheetId="1" r:id="rId2"/>
    <sheet name="Base a pegar" sheetId="12" state="hidden" r:id="rId3"/>
    <sheet name="ABOGADOS" sheetId="7" r:id="rId4"/>
    <sheet name="JUDICIALES" sheetId="8" r:id="rId5"/>
    <sheet name="PREJUDICIALES" sheetId="9" r:id="rId6"/>
    <sheet name="ARBITRAMENTOS" sheetId="10" r:id="rId7"/>
    <sheet name="PAGOS" sheetId="11" r:id="rId8"/>
    <sheet name="Resumen general" sheetId="5"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5" l="1"/>
  <c r="V3" i="7"/>
  <c r="G14" i="1" l="1"/>
  <c r="G13" i="1"/>
  <c r="G15" i="1"/>
  <c r="G16" i="1"/>
  <c r="G17" i="1"/>
  <c r="G12" i="1"/>
  <c r="BE3" i="12" l="1"/>
  <c r="BD3" i="12"/>
  <c r="BC3" i="12"/>
  <c r="BB3" i="12"/>
  <c r="BA3" i="12"/>
  <c r="AZ3" i="12"/>
  <c r="O3" i="12" l="1"/>
  <c r="N3" i="12"/>
  <c r="M3" i="12"/>
  <c r="L3" i="12"/>
  <c r="K3" i="12"/>
  <c r="J3" i="12"/>
  <c r="I3" i="12"/>
  <c r="H3" i="12"/>
  <c r="G3" i="12"/>
  <c r="F17" i="5" l="1"/>
  <c r="F15" i="5"/>
  <c r="F10" i="5"/>
  <c r="C19" i="5"/>
  <c r="C17" i="5"/>
  <c r="C16" i="5"/>
  <c r="T16" i="10"/>
  <c r="T12" i="10"/>
  <c r="W3" i="8"/>
  <c r="C25" i="8" s="1"/>
  <c r="T17" i="10" l="1"/>
  <c r="F13" i="5" s="1"/>
  <c r="V2" i="9"/>
  <c r="V3" i="9" s="1"/>
  <c r="F9" i="9" s="1"/>
  <c r="F11" i="5" l="1"/>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F3" i="12"/>
  <c r="E3" i="12"/>
  <c r="D3" i="12"/>
  <c r="C3" i="12"/>
  <c r="B3" i="12"/>
  <c r="A3" i="12"/>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48CC3F5F-A2B1-42C8-8E19-AC499C390006}">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<sst xmlns="http://schemas.openxmlformats.org/spreadsheetml/2006/main" count="241" uniqueCount="167">
  <si>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</si>
  <si>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</si>
  <si>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</si>
  <si>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</si>
  <si>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</si>
  <si>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</si>
  <si>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</si>
  <si>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</si>
  <si>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</si>
  <si>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</si>
  <si>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</si>
  <si>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</si>
  <si>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</si>
  <si>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</si>
  <si>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</si>
  <si>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</si>
  <si>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</si>
  <si>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</si>
  <si>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</si>
  <si>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</si>
  <si>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</si>
  <si>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</si>
  <si>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</si>
  <si>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</si>
  <si>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</si>
  <si>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</si>
  <si>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</si>
  <si>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</si>
  <si>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</si>
  <si>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</si>
  <si>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</si>
  <si>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</si>
  <si>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</si>
  <si>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</si>
  <si>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</si>
  <si>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</si>
  <si>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</si>
  <si>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</si>
  <si>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</si>
  <si>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</si>
  <si>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</si>
  <si>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</si>
  <si>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</si>
  <si>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</si>
  <si>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</si>
  <si>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</si>
  <si>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</si>
  <si>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</si>
  <si>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</si>
  <si>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</si>
  <si>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</si>
  <si>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</si>
  <si>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</si>
  <si>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</si>
  <si>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</si>
  <si>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</si>
  <si>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</si>
  <si>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</si>
  <si>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</si>
  <si>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</si>
  <si>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</si>
  <si>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</si>
  <si>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</si>
  <si>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</si>
  <si>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</si>
  <si>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</si>
  <si>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</si>
  <si>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</si>
  <si>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</si>
  <si>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</si>
  <si>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</si>
  <si>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</si>
  <si>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</si>
  <si>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</si>
  <si>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</si>
  <si>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</si>
  <si>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</si>
  <si>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</si>
  <si>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</si>
  <si>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</si>
  <si>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</si>
  <si>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</si>
  <si>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</si>
  <si>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</si>
  <si>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</si>
  <si>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</si>
  <si>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EN 2019 Y ANTERIORES</t>
  </si>
  <si>
    <t>ACTUALIZADO</t>
  </si>
  <si>
    <t>Entre 21-03-2019 y 31-12-2019</t>
  </si>
  <si>
    <t>PROCESOS SIN ABOGADO ASIGNADO(1)</t>
  </si>
  <si>
    <t>(2) Con fecha de actuación en 2020</t>
  </si>
  <si>
    <t>PROCESOS ACTIVOS CON ESTADO TERMINADO(3)</t>
  </si>
  <si>
    <t>(4)Equivalente a un valor indexado de $28.967 millones</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</si>
  <si>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</si>
  <si>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</si>
  <si>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</si>
  <si>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</si>
  <si>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</si>
  <si>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</si>
  <si>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</si>
  <si>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</si>
  <si>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</si>
  <si>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</si>
  <si>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</si>
  <si>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</si>
  <si>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</si>
  <si>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</si>
  <si>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</si>
  <si>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</si>
  <si>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</si>
  <si>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</si>
  <si>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</si>
  <si>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</si>
  <si>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</si>
  <si>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</si>
  <si>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</si>
  <si>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</si>
  <si>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</si>
  <si>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</si>
  <si>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Abogados al 31 de diciembre de 2020</t>
  </si>
  <si>
    <t>ABOGADOS ACTIVOS AL 31-12-2020</t>
  </si>
  <si>
    <t>USUARIOS ACTIVOS</t>
  </si>
  <si>
    <t>RETIRADOS EN LA ENTIDAD SEGUNDO SEMESTRE 2020</t>
  </si>
  <si>
    <t>INACTIVADOS EN EKOGUI SEGUNDO SEMESTRE 2020</t>
  </si>
  <si>
    <t>Indique la fecha en la que genera el reporte</t>
  </si>
  <si>
    <t>Posteriores al 01-01-2020</t>
  </si>
  <si>
    <t>PROCESOS ACTIVOS AL 31 DE DICIEMBRE DE 2020</t>
  </si>
  <si>
    <t>Fecha de diligenciamiento de plantilla</t>
  </si>
  <si>
    <t>PROCESOS TERMINADOS SEGUNDO SEMESTRE 2020</t>
  </si>
  <si>
    <t xml:space="preserve">PROCESO TERMINADOS AL 31 DE DICIEMBRE 2020 </t>
  </si>
  <si>
    <r>
      <t>(3)En el reporte de activos al 31 de diciembre verifique la columna</t>
    </r>
    <r>
      <rPr>
        <b/>
        <i/>
        <sz val="9"/>
        <color theme="1"/>
        <rFont val="Calibri"/>
        <family val="2"/>
        <scheme val="minor"/>
      </rPr>
      <t xml:space="preserve"> Estado General del proceso</t>
    </r>
  </si>
  <si>
    <t>(6) Solo se consideran los procesos activos - calidad demandado al 31 de diciembre de 2020 que tengan calificación de riesgo</t>
  </si>
  <si>
    <t>PROCESOS ACTIVOS EN CALIDAD DEMANDADO AL 31-12-2020</t>
  </si>
  <si>
    <t>PROCESOS CON CALIFICACIÓNSEGUNDO SEMESTRE 2020</t>
  </si>
  <si>
    <t>PROCESOS CON CALIFICACIÓN ANTERIOR A 30-06-2020</t>
  </si>
  <si>
    <t>PREJUDICIALES ACTIVOS AL 31-12-2020</t>
  </si>
  <si>
    <t>REGISTRO DESDE JULIO 1 DE 2020</t>
  </si>
  <si>
    <t>REGISTRO ENTRE 1 DE ENERO Y 30 DE JUNIO 2020</t>
  </si>
  <si>
    <t>TOTAL PREJUDICIALES TERMINADOS II SEM. 2020</t>
  </si>
  <si>
    <t>TERMINADOS ÚLTIMA ACTUACIÓN II SEM. 2020</t>
  </si>
  <si>
    <t>PREJUDICIALES TERMINADOS SEGUNDO SEMESTRE 2020</t>
  </si>
  <si>
    <t>ARBITRAMENTOS ACTIVOS AL 31-12-2020</t>
  </si>
  <si>
    <t>TOTAL ARBITRAMENTOS TERMINADOS  AL 31-12-2020</t>
  </si>
  <si>
    <t>Pagos enlazados al 31-12-2020</t>
  </si>
  <si>
    <t>Obs1</t>
  </si>
  <si>
    <t>Obs2</t>
  </si>
  <si>
    <t>Obs3</t>
  </si>
  <si>
    <t>Obs4</t>
  </si>
  <si>
    <t>Obs5</t>
  </si>
  <si>
    <t>Obs6</t>
  </si>
  <si>
    <t>Escriba la fecha de generación del reporte</t>
  </si>
  <si>
    <t>PROCESOS TERMINADOS DURANTE SEGUNDO SEMESTRE 2020</t>
  </si>
  <si>
    <t>TERMINADOS EN EKOGUI DURANTE SEGUNDO SEMESTRE 2020 (2)</t>
  </si>
  <si>
    <t>ANDRÉS VERGARA BALLÉN</t>
  </si>
  <si>
    <t>EDGAR LEONARDO BOJACÁ</t>
  </si>
  <si>
    <t>FABIO QUINTERO PERILLA</t>
  </si>
  <si>
    <t>YANIRA VILLAMIL SUZUNAGA</t>
  </si>
  <si>
    <t>ANDRÉS MAURICIO GUERRERO VALDERRAMA</t>
  </si>
  <si>
    <t>JAVIER GONZALEZ</t>
  </si>
  <si>
    <t>INSTITUTO COLOMBIANO DE BIENESTAR FAMILIAR</t>
  </si>
  <si>
    <t>YANIRA VILLAMIL S</t>
  </si>
  <si>
    <t xml:space="preserve">La fuente de información de los Arbitramentos es la registrada en Ekogui. </t>
  </si>
  <si>
    <t xml:space="preserve">Última capacitación Abogados activos:
* Para la fecha del reporte se evidenciaron cuatro (4) abogados en estado Inactivo, pero que estaban Activos a 31/12/2020 sin capacitación en eKOGUI.
* Para la fecha del reporte se observó un (1) abogado en estado Inactivo, pero que estaba Activo a 31/12/2020 con capacitación en eKOGUI anterior al 21/03/2019.
* A 31/12/2020 cinco (5) de los abogados activos, sin procesos asignados, se observaron sin capacitación.
* A 31/12/2020 uno (1) de los abogados activos, sin procesos asignados, tiene certificado de capacitación anterior al 21/03/2020.
</t>
  </si>
  <si>
    <t>* Respecto al Jefe Jurídico: En la fecha de capacitación del rol Jefe Jurídico se indica la fecha de asistencia de la persona que participó en representación de la OAJ (Administrador eKOGUI Entidad en ese momento).
* Respecto al Enlace de Pagos: En la fecha de capacitación del rol Enlace de Pagos se indica la fecha de asistencia de la persona que participó en representación de la OAJ para la temática "Perfil Abogado, Módulos y Funcionalidades" en la cual se capacitó sobre el Módulo de Pagos de eKOGUI.</t>
  </si>
  <si>
    <t>* Condenas: Se revisaron dieciseis (16) procesos,  de los cuales diez (10) son procesos terminados con constancia de ejecutoria y sentencia favorable. En cinco (5) procesos se presentó desistimiento de las pretensiones y un (1) proceso terminó con Auto que resuelve Acuerdo Conciliatorio.
* Mayores a 33.000 SMLMV Activos: De los cinco (5) procesos con cuantía mayor a 33.000 SMLMV, el ICBF actúa en dos (2) en calidad de demandante y en tres (3) como demandado. 
* Calificación del Riesgo: De los cuatro (4) procesos sin calificación del riesgo, dos (2) se encuentran en estado activo - terminados. Los dos (2) restantes fueron asignados a los Abogados el 15 y el 16 de diciembre de 2020.</t>
  </si>
  <si>
    <t>* Total Prejudiciales Activos: Según lo registrado en el Reporte eKOGUI a 31/12/2020 (bajo responsabilidad del Administrador eKOGUI de la Entidad y los  Apoderados para la fecha del corte del reporte).
* Prejudiciales Terminados Segundo Semestre 2020: La diferencia se presenta dado que dos (2) de los procesos tienen fecha de última actualización del caso del 15/01/2021 y 08/02/2021.</t>
  </si>
  <si>
    <t xml:space="preserve">* Judiciales: Procesos por abogado: Resulta importante indicar que debido a que el Instituto Colombiano de Bienestar Familiar - ICBF tiene 33 Regionales y la Sede de la Dirección General, la distribución de los procesos judiciales no es equitativa entre los Abogados. Aunado a lo anterior la gestión de la representación judicial no es la única obligación de los Apoderados. Por tanto, por ejemplo, se destaca que en la Entidad se observó que uno (1) solo de los Abogado tenía asignados 459 procesos judiciales y otro 150. Así mismo a 31/12/2020 se observaron trece (13) Abogados activos sin procesos judiciales asignados.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</si>
</sst>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2">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14" fontId="0" fillId="2" borderId="9" xfId="0" applyNumberFormat="1"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0" borderId="9" xfId="0" applyBorder="1" applyAlignment="1">
      <alignment horizontal="center"/>
    </xf>
    <xf numFmtId="0" fontId="0" fillId="2" borderId="22" xfId="0" applyFill="1" applyBorder="1" applyAlignment="1">
      <alignment horizontal="center" vertical="center"/>
    </xf>
    <xf numFmtId="0" fontId="0" fillId="2" borderId="28" xfId="0" applyFill="1" applyBorder="1"/>
    <xf numFmtId="0" fontId="0" fillId="2" borderId="28" xfId="0" applyFill="1" applyBorder="1" applyProtection="1">
      <protection locked="0"/>
    </xf>
    <xf numFmtId="0" fontId="0" fillId="2" borderId="0" xfId="0" applyFill="1" applyBorder="1" applyAlignment="1" applyProtection="1">
      <protection locked="0"/>
    </xf>
    <xf numFmtId="0" fontId="0" fillId="2" borderId="13" xfId="0" applyFill="1" applyBorder="1" applyAlignment="1">
      <alignment wrapText="1"/>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0" fillId="2" borderId="27" xfId="0" applyNumberFormat="1" applyFill="1" applyBorder="1" applyProtection="1">
      <protection locked="0"/>
    </xf>
    <xf numFmtId="14" fontId="5" fillId="2" borderId="5" xfId="0" applyNumberFormat="1" applyFont="1" applyFill="1" applyBorder="1"/>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lignment horizontal="center"/>
    </xf>
    <xf numFmtId="0" fontId="0" fillId="2" borderId="26"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4186-77E3-45B0-8449-08E3DB3EF46E}">
  <dimension ref="B1:O18"/>
  <sheetViews>
    <sheetView showGridLines="0" workbookViewId="0">
      <selection activeCell="P16" sqref="P16"/>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83" t="s">
        <v>85</v>
      </c>
      <c r="C3" s="84"/>
      <c r="D3" s="84"/>
      <c r="E3" s="84"/>
      <c r="F3" s="84"/>
      <c r="G3" s="84"/>
      <c r="H3" s="84"/>
      <c r="I3" s="84"/>
      <c r="J3" s="84"/>
      <c r="K3" s="84"/>
      <c r="L3" s="84"/>
      <c r="M3" s="84"/>
      <c r="N3" s="84"/>
      <c r="O3" s="85"/>
    </row>
    <row r="4" spans="2:15" ht="23.25" x14ac:dyDescent="0.35">
      <c r="B4" s="83" t="s">
        <v>11</v>
      </c>
      <c r="C4" s="84"/>
      <c r="D4" s="84"/>
      <c r="E4" s="84"/>
      <c r="F4" s="84"/>
      <c r="G4" s="84"/>
      <c r="H4" s="84"/>
      <c r="I4" s="84"/>
      <c r="J4" s="84"/>
      <c r="K4" s="84"/>
      <c r="L4" s="84"/>
      <c r="M4" s="84"/>
      <c r="N4" s="84"/>
      <c r="O4" s="85"/>
    </row>
    <row r="5" spans="2:15" x14ac:dyDescent="0.25">
      <c r="B5" s="5"/>
      <c r="C5" s="6"/>
      <c r="D5" s="6"/>
      <c r="E5" s="6"/>
      <c r="F5" s="6"/>
      <c r="G5" s="6"/>
      <c r="H5" s="6"/>
      <c r="I5" s="6"/>
      <c r="J5" s="6"/>
      <c r="K5" s="6"/>
      <c r="L5" s="6"/>
      <c r="M5" s="6"/>
      <c r="N5" s="6"/>
      <c r="O5" s="7"/>
    </row>
    <row r="6" spans="2:15" x14ac:dyDescent="0.25">
      <c r="B6" s="5"/>
      <c r="C6" s="86" t="s">
        <v>101</v>
      </c>
      <c r="D6" s="86"/>
      <c r="E6" s="86"/>
      <c r="F6" s="86"/>
      <c r="G6" s="86"/>
      <c r="H6" s="86"/>
      <c r="I6" s="86"/>
      <c r="J6" s="86"/>
      <c r="K6" s="86"/>
      <c r="L6" s="86"/>
      <c r="M6" s="86"/>
      <c r="N6" s="86"/>
      <c r="O6" s="7"/>
    </row>
    <row r="7" spans="2:15" x14ac:dyDescent="0.25">
      <c r="B7" s="5"/>
      <c r="C7" s="86"/>
      <c r="D7" s="86"/>
      <c r="E7" s="86"/>
      <c r="F7" s="86"/>
      <c r="G7" s="86"/>
      <c r="H7" s="86"/>
      <c r="I7" s="86"/>
      <c r="J7" s="86"/>
      <c r="K7" s="86"/>
      <c r="L7" s="86"/>
      <c r="M7" s="86"/>
      <c r="N7" s="86"/>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EB4C-BF31-445B-9BA4-A17C68E0AB29}">
  <dimension ref="B5:T19"/>
  <sheetViews>
    <sheetView topLeftCell="A4" zoomScaleNormal="100" workbookViewId="0">
      <selection activeCell="C19" sqref="C19:G19"/>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87" t="s">
        <v>121</v>
      </c>
      <c r="C7" s="88"/>
      <c r="D7" s="88"/>
      <c r="E7" s="88"/>
      <c r="F7" s="88"/>
      <c r="G7" s="89"/>
      <c r="T7" s="1" t="s">
        <v>12</v>
      </c>
    </row>
    <row r="8" spans="2:20" ht="15.75" thickBot="1" x14ac:dyDescent="0.3">
      <c r="B8" s="14"/>
      <c r="C8" s="15"/>
      <c r="D8" s="15"/>
      <c r="E8" s="15"/>
      <c r="F8" s="15"/>
      <c r="G8" s="16"/>
      <c r="T8" s="1" t="s">
        <v>13</v>
      </c>
    </row>
    <row r="9" spans="2:20" ht="15.75" thickBot="1" x14ac:dyDescent="0.3">
      <c r="B9" s="92" t="s">
        <v>150</v>
      </c>
      <c r="C9" s="93"/>
      <c r="D9" s="81">
        <v>44274</v>
      </c>
      <c r="E9" s="15"/>
      <c r="F9" s="15"/>
      <c r="G9" s="16"/>
      <c r="T9" s="1" t="s">
        <v>14</v>
      </c>
    </row>
    <row r="10" spans="2:20" x14ac:dyDescent="0.25">
      <c r="B10" s="14"/>
      <c r="C10" s="15"/>
      <c r="D10" s="15"/>
      <c r="E10" s="15"/>
      <c r="F10" s="15"/>
      <c r="G10" s="82">
        <v>43545</v>
      </c>
    </row>
    <row r="11" spans="2:20" x14ac:dyDescent="0.25">
      <c r="B11" s="22" t="s">
        <v>15</v>
      </c>
      <c r="C11" s="23" t="s">
        <v>16</v>
      </c>
      <c r="D11" s="24" t="s">
        <v>6</v>
      </c>
      <c r="E11" s="23" t="s">
        <v>7</v>
      </c>
      <c r="F11" s="23" t="s">
        <v>17</v>
      </c>
      <c r="G11" s="25" t="s">
        <v>87</v>
      </c>
    </row>
    <row r="12" spans="2:20" x14ac:dyDescent="0.25">
      <c r="B12" s="21" t="s">
        <v>0</v>
      </c>
      <c r="C12" s="57" t="s">
        <v>12</v>
      </c>
      <c r="D12" s="60">
        <v>44131</v>
      </c>
      <c r="E12" s="58" t="s">
        <v>153</v>
      </c>
      <c r="F12" s="59"/>
      <c r="G12" s="56" t="str">
        <f>+IF(C12="SI",IF(F12&lt;$G$10,"DESACTUALIZADO",""),"")</f>
        <v>DESACTUALIZADO</v>
      </c>
      <c r="H12" s="42">
        <f t="shared" ref="H12:H17" si="0">+IF(C12="N/A",1,0)</f>
        <v>0</v>
      </c>
      <c r="I12" s="42">
        <f t="shared" ref="I12:I17" si="1">+IF(C12="Si",1,0)</f>
        <v>1</v>
      </c>
      <c r="J12" s="42">
        <f t="shared" ref="J12:J17" si="2">+IF(C12="No",1,0)</f>
        <v>0</v>
      </c>
    </row>
    <row r="13" spans="2:20" x14ac:dyDescent="0.25">
      <c r="B13" s="21" t="s">
        <v>1</v>
      </c>
      <c r="C13" s="57" t="s">
        <v>12</v>
      </c>
      <c r="D13" s="60">
        <v>43740</v>
      </c>
      <c r="E13" s="58" t="s">
        <v>154</v>
      </c>
      <c r="F13" s="59">
        <v>43623</v>
      </c>
      <c r="G13" s="56" t="str">
        <f t="shared" ref="G13:G17" si="3">+IF(C13="SI",IF(F13&lt;$G$10,"DESACTUALIZADO",""),"")</f>
        <v/>
      </c>
      <c r="H13" s="42">
        <f t="shared" si="0"/>
        <v>0</v>
      </c>
      <c r="I13" s="42">
        <f t="shared" si="1"/>
        <v>1</v>
      </c>
      <c r="J13" s="42">
        <f t="shared" si="2"/>
        <v>0</v>
      </c>
    </row>
    <row r="14" spans="2:20" x14ac:dyDescent="0.25">
      <c r="B14" s="21" t="s">
        <v>2</v>
      </c>
      <c r="C14" s="57" t="s">
        <v>12</v>
      </c>
      <c r="D14" s="60">
        <v>43630</v>
      </c>
      <c r="E14" s="58" t="s">
        <v>155</v>
      </c>
      <c r="F14" s="59">
        <v>43623</v>
      </c>
      <c r="G14" s="56" t="str">
        <f t="shared" si="3"/>
        <v/>
      </c>
      <c r="H14" s="42">
        <f t="shared" si="0"/>
        <v>0</v>
      </c>
      <c r="I14" s="42">
        <f t="shared" si="1"/>
        <v>1</v>
      </c>
      <c r="J14" s="42">
        <f t="shared" si="2"/>
        <v>0</v>
      </c>
      <c r="T14" s="49">
        <v>43545</v>
      </c>
    </row>
    <row r="15" spans="2:20" x14ac:dyDescent="0.25">
      <c r="B15" s="21" t="s">
        <v>3</v>
      </c>
      <c r="C15" s="57" t="s">
        <v>12</v>
      </c>
      <c r="D15" s="60">
        <v>42829</v>
      </c>
      <c r="E15" s="58" t="s">
        <v>156</v>
      </c>
      <c r="F15" s="59">
        <v>44055</v>
      </c>
      <c r="G15" s="56" t="str">
        <f t="shared" si="3"/>
        <v/>
      </c>
      <c r="H15" s="42">
        <f t="shared" si="0"/>
        <v>0</v>
      </c>
      <c r="I15" s="42">
        <f t="shared" si="1"/>
        <v>1</v>
      </c>
      <c r="J15" s="42">
        <f t="shared" si="2"/>
        <v>0</v>
      </c>
    </row>
    <row r="16" spans="2:20" x14ac:dyDescent="0.25">
      <c r="B16" s="21" t="s">
        <v>4</v>
      </c>
      <c r="C16" s="57" t="s">
        <v>12</v>
      </c>
      <c r="D16" s="60">
        <v>43762</v>
      </c>
      <c r="E16" s="58" t="s">
        <v>157</v>
      </c>
      <c r="F16" s="58"/>
      <c r="G16" s="56" t="str">
        <f t="shared" si="3"/>
        <v>DESACTUALIZADO</v>
      </c>
      <c r="H16" s="42">
        <f t="shared" si="0"/>
        <v>0</v>
      </c>
      <c r="I16" s="42">
        <f t="shared" si="1"/>
        <v>1</v>
      </c>
      <c r="J16" s="42">
        <f t="shared" si="2"/>
        <v>0</v>
      </c>
    </row>
    <row r="17" spans="2:10" x14ac:dyDescent="0.25">
      <c r="B17" s="21" t="s">
        <v>5</v>
      </c>
      <c r="C17" s="57" t="s">
        <v>12</v>
      </c>
      <c r="D17" s="60">
        <v>41460</v>
      </c>
      <c r="E17" s="58" t="s">
        <v>158</v>
      </c>
      <c r="F17" s="59">
        <v>43623</v>
      </c>
      <c r="G17" s="56" t="str">
        <f t="shared" si="3"/>
        <v/>
      </c>
      <c r="H17" s="42">
        <f t="shared" si="0"/>
        <v>0</v>
      </c>
      <c r="I17" s="42">
        <f t="shared" si="1"/>
        <v>1</v>
      </c>
      <c r="J17" s="42">
        <f t="shared" si="2"/>
        <v>0</v>
      </c>
    </row>
    <row r="18" spans="2:10" x14ac:dyDescent="0.25">
      <c r="B18" s="14"/>
      <c r="C18" s="15"/>
      <c r="D18" s="15"/>
      <c r="E18" s="15"/>
      <c r="F18" s="15"/>
      <c r="G18" s="16"/>
    </row>
    <row r="19" spans="2:10" ht="94.5" customHeight="1" thickBot="1" x14ac:dyDescent="0.3">
      <c r="B19" s="72" t="s">
        <v>104</v>
      </c>
      <c r="C19" s="90" t="s">
        <v>163</v>
      </c>
      <c r="D19" s="90"/>
      <c r="E19" s="90"/>
      <c r="F19" s="90"/>
      <c r="G19" s="91"/>
    </row>
  </sheetData>
  <sheetProtection algorithmName="SHA-512" hashValue="25M01pyRemgaH4CA3gaV6VpBPMwYEpT0BiYjb7YwtGfTlh3I8D8o3d0veWwkPa7DQ+yiOEb8qu00YEaezh5kWw==" saltValue="HJ3GI+QJ+qAq7O7pTyfWrA==" spinCount="100000" sheet="1" objects="1" scenarios="1"/>
  <mergeCells count="3">
    <mergeCell ref="B7:G7"/>
    <mergeCell ref="C19:G19"/>
    <mergeCell ref="B9:C9"/>
  </mergeCells>
  <dataValidations count="2">
    <dataValidation type="date" allowBlank="1" showInputMessage="1" showErrorMessage="1" sqref="F12:F17 D12:D17" xr:uid="{557098AF-D2C2-4EAF-94D0-D183170D681C}">
      <formula1>40544</formula1>
      <formula2>44255</formula2>
    </dataValidation>
    <dataValidation type="list" allowBlank="1" showInputMessage="1" showErrorMessage="1" sqref="C12:C17" xr:uid="{5D73C74E-A09B-48A5-B344-8772BA2FD67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3C2F-3C45-4C74-9A68-80D688B33CFB}">
  <dimension ref="A2:BE3"/>
  <sheetViews>
    <sheetView topLeftCell="AS1" workbookViewId="0">
      <selection activeCell="BE4" sqref="BE4"/>
    </sheetView>
  </sheetViews>
  <sheetFormatPr baseColWidth="10" defaultRowHeight="15" x14ac:dyDescent="0.25"/>
  <sheetData>
    <row r="2" spans="1:57" x14ac:dyDescent="0.25">
      <c r="A2" t="s">
        <v>0</v>
      </c>
      <c r="B2" t="s">
        <v>1</v>
      </c>
      <c r="C2" t="s">
        <v>2</v>
      </c>
      <c r="D2" t="s">
        <v>3</v>
      </c>
      <c r="E2" t="s">
        <v>4</v>
      </c>
      <c r="F2" t="s">
        <v>5</v>
      </c>
      <c r="G2" t="s">
        <v>21</v>
      </c>
      <c r="H2" t="s">
        <v>22</v>
      </c>
      <c r="I2" t="s">
        <v>26</v>
      </c>
      <c r="J2" t="s">
        <v>20</v>
      </c>
      <c r="K2" t="s">
        <v>111</v>
      </c>
      <c r="L2" s="15" t="s">
        <v>112</v>
      </c>
      <c r="M2" s="20" t="s">
        <v>105</v>
      </c>
      <c r="N2" s="20" t="s">
        <v>106</v>
      </c>
      <c r="O2" s="20" t="s">
        <v>107</v>
      </c>
      <c r="Q2" t="s">
        <v>28</v>
      </c>
      <c r="R2" t="s">
        <v>29</v>
      </c>
      <c r="S2" t="s">
        <v>30</v>
      </c>
      <c r="T2" t="s">
        <v>63</v>
      </c>
      <c r="U2" t="s">
        <v>62</v>
      </c>
      <c r="V2" t="s">
        <v>37</v>
      </c>
      <c r="W2" t="s">
        <v>64</v>
      </c>
      <c r="X2" t="s">
        <v>27</v>
      </c>
      <c r="Y2" t="s">
        <v>66</v>
      </c>
      <c r="Z2" t="s">
        <v>65</v>
      </c>
      <c r="AA2" t="s">
        <v>35</v>
      </c>
      <c r="AB2" t="s">
        <v>67</v>
      </c>
      <c r="AC2" t="s">
        <v>68</v>
      </c>
      <c r="AD2" t="s">
        <v>36</v>
      </c>
      <c r="AE2" t="s">
        <v>69</v>
      </c>
      <c r="AF2" t="s">
        <v>70</v>
      </c>
      <c r="AG2" t="s">
        <v>71</v>
      </c>
      <c r="AH2" t="s">
        <v>72</v>
      </c>
      <c r="AI2" t="s">
        <v>69</v>
      </c>
      <c r="AJ2" t="s">
        <v>70</v>
      </c>
      <c r="AK2" t="s">
        <v>71</v>
      </c>
      <c r="AL2" t="s">
        <v>72</v>
      </c>
      <c r="AM2" t="s">
        <v>55</v>
      </c>
      <c r="AN2" t="s">
        <v>57</v>
      </c>
      <c r="AO2" t="s">
        <v>52</v>
      </c>
      <c r="AP2" t="s">
        <v>53</v>
      </c>
      <c r="AQ2" t="s">
        <v>54</v>
      </c>
      <c r="AR2" t="s">
        <v>58</v>
      </c>
      <c r="AS2" t="s">
        <v>75</v>
      </c>
      <c r="AT2" t="s">
        <v>60</v>
      </c>
      <c r="AU2" t="s">
        <v>61</v>
      </c>
      <c r="AV2" t="s">
        <v>77</v>
      </c>
      <c r="AW2" t="s">
        <v>78</v>
      </c>
      <c r="AX2" s="15" t="s">
        <v>80</v>
      </c>
      <c r="AY2" s="15" t="s">
        <v>81</v>
      </c>
      <c r="AZ2" t="s">
        <v>144</v>
      </c>
      <c r="BA2" t="s">
        <v>145</v>
      </c>
      <c r="BB2" t="s">
        <v>146</v>
      </c>
      <c r="BC2" t="s">
        <v>147</v>
      </c>
      <c r="BD2" t="s">
        <v>148</v>
      </c>
      <c r="BE2" t="s">
        <v>149</v>
      </c>
    </row>
    <row r="3" spans="1:57" x14ac:dyDescent="0.25">
      <c r="A3" t="str">
        <f>+USUARIOS!C12</f>
        <v>Si</v>
      </c>
      <c r="B3" t="str">
        <f>+USUARIOS!C13</f>
        <v>Si</v>
      </c>
      <c r="C3" t="str">
        <f>+USUARIOS!C14</f>
        <v>Si</v>
      </c>
      <c r="D3" t="str">
        <f>+USUARIOS!C15</f>
        <v>Si</v>
      </c>
      <c r="E3" t="str">
        <f>+USUARIOS!C16</f>
        <v>Si</v>
      </c>
      <c r="F3" t="str">
        <f>+USUARIOS!C17</f>
        <v>Si</v>
      </c>
      <c r="G3">
        <f>+ABOGADOS!D11</f>
        <v>98</v>
      </c>
      <c r="H3">
        <f>+ABOGADOS!D12</f>
        <v>98</v>
      </c>
      <c r="I3">
        <f>+ABOGADOS!D13</f>
        <v>95</v>
      </c>
      <c r="J3">
        <f>+ABOGADOS!D14</f>
        <v>85</v>
      </c>
      <c r="K3">
        <f>+ABOGADOS!D17</f>
        <v>25</v>
      </c>
      <c r="L3">
        <f>+ABOGADOS!D18</f>
        <v>25</v>
      </c>
      <c r="M3">
        <f>+ABOGADOS!G10</f>
        <v>10</v>
      </c>
      <c r="N3">
        <f>+ABOGADOS!G11</f>
        <v>10</v>
      </c>
      <c r="O3">
        <f>+ABOGADOS!G12</f>
        <v>10</v>
      </c>
      <c r="Q3">
        <f>+JUDICIALES!D11</f>
        <v>3203</v>
      </c>
      <c r="R3">
        <f>+JUDICIALES!D12</f>
        <v>3203</v>
      </c>
      <c r="S3">
        <f>+JUDICIALES!D13</f>
        <v>2</v>
      </c>
      <c r="T3">
        <f>+JUDICIALES!D16</f>
        <v>164</v>
      </c>
      <c r="U3">
        <f>+JUDICIALES!D17</f>
        <v>164</v>
      </c>
      <c r="V3">
        <f>+JUDICIALES!D21</f>
        <v>3720</v>
      </c>
      <c r="W3">
        <f>+JUDICIALES!D22</f>
        <v>44</v>
      </c>
      <c r="X3">
        <f>+JUDICIALES!G9</f>
        <v>5</v>
      </c>
      <c r="Y3">
        <f>+JUDICIALES!G10</f>
        <v>5</v>
      </c>
      <c r="Z3">
        <f>+JUDICIALES!G11</f>
        <v>5</v>
      </c>
      <c r="AA3">
        <f>+JUDICIALES!G15</f>
        <v>2543</v>
      </c>
      <c r="AB3">
        <f>+JUDICIALES!G16</f>
        <v>2538</v>
      </c>
      <c r="AC3">
        <f>+JUDICIALES!G17</f>
        <v>1</v>
      </c>
      <c r="AD3">
        <f>+JUDICIALES!G18</f>
        <v>4</v>
      </c>
      <c r="AE3">
        <f>+JUDICIALES!G21</f>
        <v>449</v>
      </c>
      <c r="AF3">
        <f>+JUDICIALES!G22</f>
        <v>852</v>
      </c>
      <c r="AG3">
        <f>+JUDICIALES!G23</f>
        <v>443</v>
      </c>
      <c r="AH3">
        <f>+JUDICIALES!G24</f>
        <v>795</v>
      </c>
      <c r="AI3">
        <f>+JUDICIALES!H21</f>
        <v>3</v>
      </c>
      <c r="AJ3">
        <f>+JUDICIALES!H22</f>
        <v>851</v>
      </c>
      <c r="AK3">
        <f>+JUDICIALES!H23</f>
        <v>443</v>
      </c>
      <c r="AL3">
        <f>+JUDICIALES!H24</f>
        <v>795</v>
      </c>
      <c r="AM3">
        <f>+PREJUDICIALES!D10</f>
        <v>219</v>
      </c>
      <c r="AN3">
        <f>+PREJUDICIALES!D11</f>
        <v>219</v>
      </c>
      <c r="AO3">
        <f>+PREJUDICIALES!D12</f>
        <v>52</v>
      </c>
      <c r="AP3">
        <f>+PREJUDICIALES!D13</f>
        <v>5</v>
      </c>
      <c r="AQ3">
        <f>+PREJUDICIALES!D14</f>
        <v>162</v>
      </c>
      <c r="AR3">
        <f>+PREJUDICIALES!D17</f>
        <v>84</v>
      </c>
      <c r="AS3">
        <f>+PREJUDICIALES!D18</f>
        <v>82</v>
      </c>
      <c r="AT3">
        <f>+PREJUDICIALES!G12</f>
        <v>20</v>
      </c>
      <c r="AU3">
        <f>+PREJUDICIALES!G13</f>
        <v>0</v>
      </c>
      <c r="AV3">
        <f>+ARBITRAMENTOS!D9</f>
        <v>0</v>
      </c>
      <c r="AW3">
        <f>+ARBITRAMENTOS!D10</f>
        <v>6</v>
      </c>
      <c r="AX3" t="str">
        <f>+PAGOS!D9</f>
        <v>Si</v>
      </c>
      <c r="AY3">
        <f>+PAGOS!D10</f>
        <v>525</v>
      </c>
      <c r="AZ3" t="str">
        <f>+USUARIOS!C19</f>
        <v>* Respecto al Jefe Jurídico: En la fecha de capacitación del rol Jefe Jurídico se indica la fecha de asistencia de la persona que participó en representación de la OAJ (Administrador eKOGUI Entidad en ese momento).
* Respecto al Enlace de Pagos: En la fecha de capacitación del rol Enlace de Pagos se indica la fecha de asistencia de la persona que participó en representación de la OAJ para la temática "Perfil Abogado, Módulos y Funcionalidades" en la cual se capacitó sobre el Módulo de Pagos de eKOGUI.</v>
      </c>
      <c r="BA3" t="str">
        <f>+ABOGADOS!C21</f>
        <v xml:space="preserve">Última capacitación Abogados activos:
* Para la fecha del reporte se evidenciaron cuatro (4) abogados en estado Inactivo, pero que estaban Activos a 31/12/2020 sin capacitación en eKOGUI.
* Para la fecha del reporte se observó un (1) abogado en estado Inactivo, pero que estaba Activo a 31/12/2020 con capacitación en eKOGUI anterior al 21/03/2019.
* A 31/12/2020 cinco (5) de los abogados activos, sin procesos asignados, se observaron sin capacitación.
* A 31/12/2020 uno (1) de los abogados activos, sin procesos asignados, tiene certificado de capacitación anterior al 21/03/2020.
</v>
      </c>
      <c r="BB3" t="str">
        <f>+JUDICIALES!F28</f>
        <v>* Condenas: Se revisaron dieciseis (16) procesos,  de los cuales diez (10) son procesos terminados con constancia de ejecutoria y sentencia favorable. En cinco (5) procesos se presentó desistimiento de las pretensiones y un (1) proceso terminó con Auto que resuelve Acuerdo Conciliatorio.
* Mayores a 33.000 SMLMV Activos: De los cinco (5) procesos con cuantía mayor a 33.000 SMLMV, el ICBF actúa en dos (2) en calidad de demandante y en tres (3) como demandado. 
* Calificación del Riesgo: De los cuatro (4) procesos sin calificación del riesgo, dos (2) se encuentran en estado activo - terminados. Los dos (2) restantes fueron asignados a los Abogados el 15 y el 16 de diciembre de 2020.</v>
      </c>
      <c r="BC3" t="str">
        <f>+PREJUDICIALES!F17</f>
        <v>* Total Prejudiciales Activos: Según lo registrado en el Reporte eKOGUI a 31/12/2020 (bajo responsabilidad del Administrador eKOGUI de la Entidad y los  Apoderados para la fecha del corte del reporte).
* Prejudiciales Terminados Segundo Semestre 2020: La diferencia se presenta dado que dos (2) de los procesos tienen fecha de última actualización del caso del 15/01/2021 y 08/02/2021.</v>
      </c>
      <c r="BD3" t="str">
        <f>+ARBITRAMENTOS!C13</f>
        <v xml:space="preserve">La fuente de información de los Arbitramentos es la registrada en Ekogui. </v>
      </c>
      <c r="BE3">
        <f>+PAGOS!F8</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0B5E8-F134-4553-833A-7946B8442A10}">
  <dimension ref="B1:V25"/>
  <sheetViews>
    <sheetView showGridLines="0" topLeftCell="A7" zoomScaleNormal="100" workbookViewId="0">
      <selection activeCell="H24" sqref="H24"/>
    </sheetView>
  </sheetViews>
  <sheetFormatPr baseColWidth="10" defaultColWidth="11.42578125" defaultRowHeight="15" x14ac:dyDescent="0.2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+IF(D12&lt;=10,D12,IF(ROUNDDOWN(D12*10%,0)&lt;10,10,ROUNDDOWN(D12*10%,0)))</f>
        <v>10</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17.25" customHeight="1" x14ac:dyDescent="0.35">
      <c r="B7" s="14"/>
      <c r="C7" s="20" t="s">
        <v>124</v>
      </c>
      <c r="D7" s="60">
        <v>44274</v>
      </c>
      <c r="E7" s="26"/>
      <c r="F7" s="94" t="str">
        <f>"Seleccione una muestra de "&amp;V3&amp;" abogados activos y complete la siguiente tabla"</f>
        <v>Seleccione una muestra de 10 abogados activos y complete la siguiente tabla</v>
      </c>
      <c r="G7" s="95"/>
      <c r="H7" s="33"/>
    </row>
    <row r="8" spans="2:22" x14ac:dyDescent="0.25">
      <c r="B8" s="14"/>
      <c r="D8" s="15"/>
      <c r="E8" s="15"/>
      <c r="F8" s="96"/>
      <c r="G8" s="97"/>
      <c r="H8" s="16"/>
      <c r="T8" s="1" t="s">
        <v>13</v>
      </c>
    </row>
    <row r="9" spans="2:22" ht="23.25" x14ac:dyDescent="0.25">
      <c r="B9" s="14"/>
      <c r="C9" s="34" t="s">
        <v>119</v>
      </c>
      <c r="E9" s="6"/>
      <c r="F9" s="24" t="s">
        <v>108</v>
      </c>
      <c r="G9" s="24" t="s">
        <v>19</v>
      </c>
      <c r="H9" s="16"/>
      <c r="T9" s="1" t="s">
        <v>14</v>
      </c>
    </row>
    <row r="10" spans="2:22" x14ac:dyDescent="0.25">
      <c r="B10" s="14"/>
      <c r="C10" s="23" t="s">
        <v>120</v>
      </c>
      <c r="D10" s="23" t="s">
        <v>23</v>
      </c>
      <c r="E10" s="6"/>
      <c r="F10" s="20" t="s">
        <v>105</v>
      </c>
      <c r="G10" s="57">
        <v>10</v>
      </c>
      <c r="H10" s="16"/>
    </row>
    <row r="11" spans="2:22" x14ac:dyDescent="0.25">
      <c r="B11" s="14"/>
      <c r="C11" s="20" t="s">
        <v>21</v>
      </c>
      <c r="D11" s="57">
        <v>98</v>
      </c>
      <c r="E11" s="6"/>
      <c r="F11" s="20" t="s">
        <v>106</v>
      </c>
      <c r="G11" s="57">
        <v>10</v>
      </c>
      <c r="H11" s="16"/>
    </row>
    <row r="12" spans="2:22" x14ac:dyDescent="0.25">
      <c r="B12" s="14"/>
      <c r="C12" s="20" t="s">
        <v>22</v>
      </c>
      <c r="D12" s="57">
        <v>98</v>
      </c>
      <c r="E12" s="6"/>
      <c r="F12" s="20" t="s">
        <v>107</v>
      </c>
      <c r="G12" s="57">
        <v>10</v>
      </c>
      <c r="H12" s="16"/>
    </row>
    <row r="13" spans="2:22" x14ac:dyDescent="0.25">
      <c r="B13" s="14"/>
      <c r="C13" s="20" t="s">
        <v>26</v>
      </c>
      <c r="D13" s="57">
        <v>95</v>
      </c>
      <c r="E13" s="6"/>
      <c r="F13" s="53" t="s">
        <v>113</v>
      </c>
      <c r="G13" s="52"/>
      <c r="H13" s="16"/>
    </row>
    <row r="14" spans="2:22" x14ac:dyDescent="0.25">
      <c r="B14" s="14"/>
      <c r="C14" s="20" t="s">
        <v>20</v>
      </c>
      <c r="D14" s="57">
        <v>85</v>
      </c>
      <c r="E14" s="6"/>
      <c r="F14" s="54" t="s">
        <v>114</v>
      </c>
      <c r="G14" s="55"/>
      <c r="H14" s="16"/>
    </row>
    <row r="15" spans="2:22" x14ac:dyDescent="0.25">
      <c r="B15" s="14"/>
      <c r="E15" s="6"/>
      <c r="H15" s="16"/>
    </row>
    <row r="16" spans="2:22" x14ac:dyDescent="0.25">
      <c r="B16" s="14"/>
      <c r="C16" s="23" t="s">
        <v>24</v>
      </c>
      <c r="D16" s="23" t="s">
        <v>23</v>
      </c>
      <c r="E16" s="6"/>
      <c r="F16" s="24" t="s">
        <v>117</v>
      </c>
      <c r="G16" s="24" t="s">
        <v>19</v>
      </c>
      <c r="H16" s="16"/>
    </row>
    <row r="17" spans="2:8" x14ac:dyDescent="0.25">
      <c r="B17" s="14"/>
      <c r="C17" s="20" t="s">
        <v>122</v>
      </c>
      <c r="D17" s="57">
        <v>25</v>
      </c>
      <c r="E17" s="6"/>
      <c r="F17" s="20" t="s">
        <v>125</v>
      </c>
      <c r="G17" s="57">
        <v>22</v>
      </c>
      <c r="H17" s="16"/>
    </row>
    <row r="18" spans="2:8" x14ac:dyDescent="0.25">
      <c r="B18" s="14"/>
      <c r="C18" s="20" t="s">
        <v>123</v>
      </c>
      <c r="D18" s="57">
        <v>25</v>
      </c>
      <c r="E18" s="6"/>
      <c r="F18" s="50" t="s">
        <v>88</v>
      </c>
      <c r="G18" s="57">
        <v>25</v>
      </c>
      <c r="H18" s="16"/>
    </row>
    <row r="19" spans="2:8" x14ac:dyDescent="0.25">
      <c r="B19" s="14"/>
      <c r="C19" s="67"/>
      <c r="E19" s="6"/>
      <c r="F19" s="20" t="s">
        <v>110</v>
      </c>
      <c r="G19" s="57">
        <v>18</v>
      </c>
      <c r="H19" s="16"/>
    </row>
    <row r="20" spans="2:8" ht="15.75" thickBot="1" x14ac:dyDescent="0.3">
      <c r="B20" s="14"/>
      <c r="C20" s="67" t="s">
        <v>109</v>
      </c>
      <c r="D20" s="75"/>
      <c r="E20" s="6"/>
      <c r="F20" s="73" t="s">
        <v>25</v>
      </c>
      <c r="G20" s="74">
        <v>33</v>
      </c>
      <c r="H20" s="16"/>
    </row>
    <row r="21" spans="2:8" x14ac:dyDescent="0.25">
      <c r="B21" s="14"/>
      <c r="C21" s="98" t="s">
        <v>162</v>
      </c>
      <c r="D21" s="99"/>
      <c r="E21" s="99"/>
      <c r="F21" s="99"/>
      <c r="G21" s="100"/>
      <c r="H21" s="16"/>
    </row>
    <row r="22" spans="2:8" x14ac:dyDescent="0.25">
      <c r="B22" s="14"/>
      <c r="C22" s="101"/>
      <c r="D22" s="102"/>
      <c r="E22" s="102"/>
      <c r="F22" s="102"/>
      <c r="G22" s="103"/>
      <c r="H22" s="16"/>
    </row>
    <row r="23" spans="2:8" x14ac:dyDescent="0.25">
      <c r="B23" s="14"/>
      <c r="C23" s="101"/>
      <c r="D23" s="102"/>
      <c r="E23" s="102"/>
      <c r="F23" s="102"/>
      <c r="G23" s="103"/>
      <c r="H23" s="16"/>
    </row>
    <row r="24" spans="2:8" ht="15.75" thickBot="1" x14ac:dyDescent="0.3">
      <c r="B24" s="14"/>
      <c r="C24" s="104"/>
      <c r="D24" s="105"/>
      <c r="E24" s="105"/>
      <c r="F24" s="105"/>
      <c r="G24" s="106"/>
      <c r="H24" s="16"/>
    </row>
    <row r="25" spans="2:8" ht="15.75" thickBot="1" x14ac:dyDescent="0.3">
      <c r="B25" s="17"/>
      <c r="C25" s="18"/>
      <c r="D25" s="18"/>
      <c r="E25" s="18"/>
      <c r="F25" s="18"/>
      <c r="G25" s="18"/>
      <c r="H25" s="19"/>
    </row>
  </sheetData>
  <sheetProtection algorithmName="SHA-512" hashValue="ZChrELvPb+j4cIJ1M3PA4+X3uunizEPjU7fllewijEMUQyJxd2/8M7oH0KxRF81/7BiAi4Zo7WHOguM4F+JBrw==" saltValue="H0s3O6ytyRAZ8aR51gBU2A==" spinCount="100000" sheet="1"/>
  <mergeCells count="2">
    <mergeCell ref="F7:G8"/>
    <mergeCell ref="C21:G24"/>
  </mergeCells>
  <dataValidations count="1">
    <dataValidation type="date" allowBlank="1" showInputMessage="1" showErrorMessage="1" sqref="D7" xr:uid="{1C191474-2F43-41D4-B063-E3FB9EF1CF83}">
      <formula1>44197</formula1>
      <formula2>44286</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820D-2708-42C6-B139-54F103CBEEC5}">
  <dimension ref="B1:W34"/>
  <sheetViews>
    <sheetView showGridLines="0" topLeftCell="A19" zoomScaleNormal="100" workbookViewId="0">
      <selection activeCell="F28" sqref="F28:H33"/>
    </sheetView>
  </sheetViews>
  <sheetFormatPr baseColWidth="10" defaultColWidth="11.42578125" defaultRowHeight="15" x14ac:dyDescent="0.25"/>
  <cols>
    <col min="1" max="1" width="3.85546875" style="1" customWidth="1"/>
    <col min="2" max="2" width="11.42578125" style="1"/>
    <col min="3" max="3" width="56.5703125" style="1" bestFit="1" customWidth="1"/>
    <col min="4" max="4" width="15.28515625" style="1" customWidth="1"/>
    <col min="5" max="5" width="6.28515625" style="1" customWidth="1"/>
    <col min="6" max="6" width="55.85546875" style="1" bestFit="1" customWidth="1"/>
    <col min="7" max="7" width="11.2851562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+IF(D17&lt;=10,D17,IF(ROUNDDOWN(D17*10%,0)&lt;10,10,ROUNDDOWN(D17*10%,0)))</f>
        <v>16</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10" t="s">
        <v>74</v>
      </c>
      <c r="D6" s="110"/>
      <c r="E6" s="110"/>
      <c r="F6" s="110"/>
      <c r="G6" s="110"/>
      <c r="H6" s="110"/>
      <c r="I6" s="33"/>
    </row>
    <row r="7" spans="2:23" x14ac:dyDescent="0.25">
      <c r="B7" s="14"/>
      <c r="C7" s="15"/>
      <c r="D7" s="15"/>
      <c r="E7" s="15"/>
      <c r="F7" s="15"/>
      <c r="G7" s="15"/>
      <c r="H7" s="15"/>
      <c r="I7" s="16"/>
      <c r="U7" s="1" t="s">
        <v>13</v>
      </c>
    </row>
    <row r="8" spans="2:23" x14ac:dyDescent="0.25">
      <c r="B8" s="14"/>
      <c r="C8" s="23" t="s">
        <v>127</v>
      </c>
      <c r="D8" s="60">
        <v>44274</v>
      </c>
      <c r="E8" s="6"/>
      <c r="F8" s="37" t="s">
        <v>116</v>
      </c>
      <c r="G8" s="37" t="s">
        <v>18</v>
      </c>
      <c r="H8" s="15"/>
      <c r="I8" s="16"/>
      <c r="U8" s="1" t="s">
        <v>14</v>
      </c>
    </row>
    <row r="9" spans="2:23" x14ac:dyDescent="0.25">
      <c r="B9" s="14"/>
      <c r="E9" s="6"/>
      <c r="F9" s="20" t="s">
        <v>27</v>
      </c>
      <c r="G9" s="57">
        <v>5</v>
      </c>
      <c r="H9" s="15"/>
      <c r="I9" s="16"/>
    </row>
    <row r="10" spans="2:23" x14ac:dyDescent="0.25">
      <c r="B10" s="14"/>
      <c r="C10" s="23" t="s">
        <v>126</v>
      </c>
      <c r="D10" s="23" t="s">
        <v>23</v>
      </c>
      <c r="E10" s="6"/>
      <c r="F10" s="20" t="s">
        <v>66</v>
      </c>
      <c r="G10" s="57">
        <v>5</v>
      </c>
      <c r="H10" s="15"/>
      <c r="I10" s="16"/>
    </row>
    <row r="11" spans="2:23" x14ac:dyDescent="0.25">
      <c r="B11" s="14"/>
      <c r="C11" s="20" t="s">
        <v>28</v>
      </c>
      <c r="D11" s="57">
        <v>3203</v>
      </c>
      <c r="E11" s="6"/>
      <c r="F11" s="20" t="s">
        <v>93</v>
      </c>
      <c r="G11" s="57">
        <v>5</v>
      </c>
      <c r="H11" s="15"/>
      <c r="I11" s="16"/>
    </row>
    <row r="12" spans="2:23" x14ac:dyDescent="0.25">
      <c r="B12" s="14"/>
      <c r="C12" s="20" t="s">
        <v>29</v>
      </c>
      <c r="D12" s="57">
        <v>3203</v>
      </c>
      <c r="E12" s="6"/>
      <c r="F12" s="38" t="s">
        <v>92</v>
      </c>
      <c r="I12" s="16"/>
    </row>
    <row r="13" spans="2:23" x14ac:dyDescent="0.25">
      <c r="B13" s="14"/>
      <c r="C13" s="20" t="s">
        <v>89</v>
      </c>
      <c r="D13" s="57">
        <v>2</v>
      </c>
      <c r="E13" s="6"/>
      <c r="F13" s="38" t="s">
        <v>94</v>
      </c>
      <c r="I13" s="16"/>
    </row>
    <row r="14" spans="2:23" x14ac:dyDescent="0.25">
      <c r="B14" s="14"/>
      <c r="E14" s="6"/>
      <c r="F14" s="24" t="s">
        <v>34</v>
      </c>
      <c r="G14" s="24" t="s">
        <v>23</v>
      </c>
      <c r="I14" s="16"/>
    </row>
    <row r="15" spans="2:23" x14ac:dyDescent="0.25">
      <c r="B15" s="14"/>
      <c r="C15" s="23" t="s">
        <v>128</v>
      </c>
      <c r="D15" s="23" t="s">
        <v>23</v>
      </c>
      <c r="E15" s="6"/>
      <c r="F15" s="20" t="s">
        <v>132</v>
      </c>
      <c r="G15" s="57">
        <v>2543</v>
      </c>
      <c r="I15" s="16"/>
    </row>
    <row r="16" spans="2:23" x14ac:dyDescent="0.25">
      <c r="B16" s="14"/>
      <c r="C16" s="20" t="s">
        <v>151</v>
      </c>
      <c r="D16" s="57">
        <v>164</v>
      </c>
      <c r="E16" s="6"/>
      <c r="F16" s="20" t="s">
        <v>133</v>
      </c>
      <c r="G16" s="57">
        <v>2538</v>
      </c>
      <c r="H16" s="15"/>
      <c r="I16" s="16"/>
    </row>
    <row r="17" spans="2:9" x14ac:dyDescent="0.25">
      <c r="B17" s="14"/>
      <c r="C17" s="20" t="s">
        <v>152</v>
      </c>
      <c r="D17" s="57">
        <v>164</v>
      </c>
      <c r="E17" s="6"/>
      <c r="F17" s="20" t="s">
        <v>134</v>
      </c>
      <c r="G17" s="57">
        <v>1</v>
      </c>
      <c r="H17" s="15"/>
      <c r="I17" s="16"/>
    </row>
    <row r="18" spans="2:9" x14ac:dyDescent="0.25">
      <c r="B18" s="14"/>
      <c r="C18" s="38" t="s">
        <v>90</v>
      </c>
      <c r="E18" s="6"/>
      <c r="F18" s="20" t="s">
        <v>36</v>
      </c>
      <c r="G18" s="57">
        <v>4</v>
      </c>
      <c r="H18" s="15"/>
      <c r="I18" s="16"/>
    </row>
    <row r="19" spans="2:9" x14ac:dyDescent="0.25">
      <c r="B19" s="14"/>
      <c r="E19" s="6"/>
      <c r="H19" s="15"/>
      <c r="I19" s="16"/>
    </row>
    <row r="20" spans="2:9" ht="29.25" customHeight="1" x14ac:dyDescent="0.25">
      <c r="B20" s="14"/>
      <c r="C20" s="51" t="s">
        <v>33</v>
      </c>
      <c r="D20" s="51" t="s">
        <v>23</v>
      </c>
      <c r="E20" s="6"/>
      <c r="F20" s="39" t="s">
        <v>115</v>
      </c>
      <c r="G20" s="39" t="s">
        <v>31</v>
      </c>
      <c r="H20" s="40" t="s">
        <v>73</v>
      </c>
      <c r="I20" s="16"/>
    </row>
    <row r="21" spans="2:9" x14ac:dyDescent="0.25">
      <c r="B21" s="14"/>
      <c r="C21" s="68" t="s">
        <v>129</v>
      </c>
      <c r="D21" s="69">
        <v>3720</v>
      </c>
      <c r="E21" s="6"/>
      <c r="F21" s="20" t="s">
        <v>69</v>
      </c>
      <c r="G21" s="57">
        <v>449</v>
      </c>
      <c r="H21" s="57">
        <v>3</v>
      </c>
      <c r="I21" s="16"/>
    </row>
    <row r="22" spans="2:9" ht="15" customHeight="1" x14ac:dyDescent="0.25">
      <c r="B22" s="14"/>
      <c r="C22" s="68" t="s">
        <v>91</v>
      </c>
      <c r="D22" s="69">
        <v>44</v>
      </c>
      <c r="E22" s="6"/>
      <c r="F22" s="20" t="s">
        <v>70</v>
      </c>
      <c r="G22" s="57">
        <v>852</v>
      </c>
      <c r="H22" s="57">
        <v>851</v>
      </c>
      <c r="I22" s="16"/>
    </row>
    <row r="23" spans="2:9" ht="24.75" x14ac:dyDescent="0.25">
      <c r="B23" s="14"/>
      <c r="C23" s="80" t="s">
        <v>130</v>
      </c>
      <c r="D23" s="80"/>
      <c r="E23" s="6"/>
      <c r="F23" s="20" t="s">
        <v>71</v>
      </c>
      <c r="G23" s="57">
        <v>443</v>
      </c>
      <c r="H23" s="57">
        <v>443</v>
      </c>
      <c r="I23" s="16"/>
    </row>
    <row r="24" spans="2:9" x14ac:dyDescent="0.25">
      <c r="B24" s="14"/>
      <c r="C24" s="15"/>
      <c r="E24" s="6"/>
      <c r="F24" s="20" t="s">
        <v>72</v>
      </c>
      <c r="G24" s="57">
        <v>795</v>
      </c>
      <c r="H24" s="57">
        <v>795</v>
      </c>
      <c r="I24" s="16"/>
    </row>
    <row r="25" spans="2:9" ht="30" customHeight="1" x14ac:dyDescent="0.25">
      <c r="B25" s="14"/>
      <c r="C25" s="76" t="str">
        <f>"Seleccione "&amp;W3&amp;" procesos teminados en el  segundo semestre de 2020 y llene la siguiente tabla:"</f>
        <v>Seleccione 16 procesos teminados en el  segundo semestre de 2020 y llene la siguiente tabla:</v>
      </c>
      <c r="D25" s="77"/>
      <c r="E25" s="6"/>
      <c r="F25" s="111" t="s">
        <v>131</v>
      </c>
      <c r="G25" s="111"/>
      <c r="H25" s="111"/>
      <c r="I25" s="16"/>
    </row>
    <row r="26" spans="2:9" ht="15.75" thickBot="1" x14ac:dyDescent="0.3">
      <c r="B26" s="14"/>
      <c r="C26" s="78"/>
      <c r="D26" s="79"/>
      <c r="E26" s="6"/>
      <c r="F26" s="70"/>
      <c r="G26" s="15"/>
      <c r="H26" s="15"/>
      <c r="I26" s="16"/>
    </row>
    <row r="27" spans="2:9" ht="15.75" thickBot="1" x14ac:dyDescent="0.3">
      <c r="B27" s="14"/>
      <c r="C27" s="51" t="s">
        <v>103</v>
      </c>
      <c r="D27" s="51" t="s">
        <v>23</v>
      </c>
      <c r="E27" s="6"/>
      <c r="F27" s="107" t="s">
        <v>102</v>
      </c>
      <c r="G27" s="108"/>
      <c r="H27" s="109"/>
      <c r="I27" s="16"/>
    </row>
    <row r="28" spans="2:9" x14ac:dyDescent="0.25">
      <c r="B28" s="14"/>
      <c r="C28" s="20" t="s">
        <v>95</v>
      </c>
      <c r="D28" s="57">
        <v>16</v>
      </c>
      <c r="E28" s="6"/>
      <c r="F28" s="98" t="s">
        <v>164</v>
      </c>
      <c r="G28" s="99"/>
      <c r="H28" s="100"/>
      <c r="I28" s="16"/>
    </row>
    <row r="29" spans="2:9" x14ac:dyDescent="0.25">
      <c r="B29" s="14"/>
      <c r="C29" s="20" t="s">
        <v>96</v>
      </c>
      <c r="D29" s="57">
        <v>10</v>
      </c>
      <c r="E29" s="6"/>
      <c r="F29" s="101"/>
      <c r="G29" s="102"/>
      <c r="H29" s="103"/>
      <c r="I29" s="16"/>
    </row>
    <row r="30" spans="2:9" x14ac:dyDescent="0.25">
      <c r="B30" s="14"/>
      <c r="C30" s="20" t="s">
        <v>97</v>
      </c>
      <c r="D30" s="57">
        <v>0</v>
      </c>
      <c r="E30" s="6"/>
      <c r="F30" s="101"/>
      <c r="G30" s="102"/>
      <c r="H30" s="103"/>
      <c r="I30" s="16"/>
    </row>
    <row r="31" spans="2:9" x14ac:dyDescent="0.25">
      <c r="B31" s="14"/>
      <c r="C31" s="20" t="s">
        <v>98</v>
      </c>
      <c r="D31" s="57">
        <v>0</v>
      </c>
      <c r="E31" s="6"/>
      <c r="F31" s="101"/>
      <c r="G31" s="102"/>
      <c r="H31" s="103"/>
      <c r="I31" s="16"/>
    </row>
    <row r="32" spans="2:9" x14ac:dyDescent="0.25">
      <c r="B32" s="14"/>
      <c r="C32" s="20" t="s">
        <v>99</v>
      </c>
      <c r="D32" s="57">
        <v>0</v>
      </c>
      <c r="E32" s="6"/>
      <c r="F32" s="101"/>
      <c r="G32" s="102"/>
      <c r="H32" s="103"/>
      <c r="I32" s="16"/>
    </row>
    <row r="33" spans="2:9" ht="15.75" thickBot="1" x14ac:dyDescent="0.3">
      <c r="B33" s="14"/>
      <c r="C33" s="15"/>
      <c r="E33" s="6"/>
      <c r="F33" s="104"/>
      <c r="G33" s="105"/>
      <c r="H33" s="106"/>
      <c r="I33" s="16"/>
    </row>
    <row r="34" spans="2:9" ht="15.75" thickBot="1" x14ac:dyDescent="0.3">
      <c r="B34" s="17"/>
      <c r="C34" s="18"/>
      <c r="D34" s="18"/>
      <c r="E34" s="18"/>
      <c r="F34" s="18"/>
      <c r="G34" s="18"/>
      <c r="H34" s="18"/>
      <c r="I34" s="19"/>
    </row>
  </sheetData>
  <sheetProtection algorithmName="SHA-512" hashValue="iDXW2Pe1kt+h4O6Y/BHSgRazJQPsSi5Cg52Szi1m3YiRMnLmFtb7+cAE3LbxRN3FVj+0YskWT7hAe4XSBkEUPg==" saltValue="MHHAfqXQO87AgWmdgmo8Jw==" spinCount="100000" sheet="1"/>
  <mergeCells count="4">
    <mergeCell ref="F27:H27"/>
    <mergeCell ref="F28:H33"/>
    <mergeCell ref="C6:H6"/>
    <mergeCell ref="F25:H2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FC5B-4A94-48EB-8C86-7D20D1A6D852}">
  <dimension ref="B1:V23"/>
  <sheetViews>
    <sheetView showGridLines="0" topLeftCell="A7" zoomScaleNormal="100" workbookViewId="0">
      <selection activeCell="D21" sqref="D21"/>
    </sheetView>
  </sheetViews>
  <sheetFormatPr baseColWidth="10" defaultColWidth="11.42578125" defaultRowHeight="15" x14ac:dyDescent="0.25"/>
  <cols>
    <col min="1" max="1" width="3.85546875" style="1" customWidth="1"/>
    <col min="2" max="2" width="11.42578125" style="1"/>
    <col min="3" max="3" width="50.855468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167</v>
      </c>
    </row>
    <row r="3" spans="2:22" x14ac:dyDescent="0.25">
      <c r="B3" s="14"/>
      <c r="C3" s="15"/>
      <c r="D3" s="15"/>
      <c r="E3" s="15"/>
      <c r="F3" s="15"/>
      <c r="G3" s="15"/>
      <c r="H3" s="16"/>
      <c r="V3" s="28">
        <f>+IF(V2&lt;=20,V2,IF(ROUNDDOWN(V2*10%,0)&lt;20,20,ROUNDDOWN(V2*10%,0)))</f>
        <v>20</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10" t="s">
        <v>56</v>
      </c>
      <c r="D7" s="110"/>
      <c r="E7" s="110"/>
      <c r="F7" s="110"/>
      <c r="G7" s="110"/>
      <c r="H7" s="33"/>
    </row>
    <row r="8" spans="2:22" x14ac:dyDescent="0.25">
      <c r="B8" s="14"/>
      <c r="C8" s="15"/>
      <c r="D8" s="15"/>
      <c r="E8" s="15"/>
      <c r="H8" s="16"/>
      <c r="T8" s="1" t="s">
        <v>13</v>
      </c>
    </row>
    <row r="9" spans="2:22" ht="15" customHeight="1" x14ac:dyDescent="0.25">
      <c r="B9" s="14"/>
      <c r="C9" s="23" t="s">
        <v>135</v>
      </c>
      <c r="D9" s="23" t="s">
        <v>23</v>
      </c>
      <c r="E9" s="6"/>
      <c r="F9" s="94" t="str">
        <f>"Seleccione una muestra de "&amp;V3&amp;" prejudiciales activos registrados antes de 30 de junio de 2020 y complete la siguiente tabla"</f>
        <v>Seleccione una muestra de 20 prejudiciales activos registrados antes de 30 de junio de 2020 y complete la siguiente tabla</v>
      </c>
      <c r="G9" s="95"/>
      <c r="H9" s="16"/>
      <c r="T9" s="1" t="s">
        <v>14</v>
      </c>
    </row>
    <row r="10" spans="2:22" x14ac:dyDescent="0.25">
      <c r="B10" s="14"/>
      <c r="C10" s="20" t="s">
        <v>55</v>
      </c>
      <c r="D10" s="57">
        <v>219</v>
      </c>
      <c r="E10" s="6"/>
      <c r="F10" s="96"/>
      <c r="G10" s="97"/>
      <c r="H10" s="16"/>
    </row>
    <row r="11" spans="2:22" x14ac:dyDescent="0.25">
      <c r="B11" s="14"/>
      <c r="C11" s="20" t="s">
        <v>57</v>
      </c>
      <c r="D11" s="57">
        <v>219</v>
      </c>
      <c r="E11" s="6"/>
      <c r="F11" s="24" t="s">
        <v>33</v>
      </c>
      <c r="G11" s="24" t="s">
        <v>59</v>
      </c>
      <c r="H11" s="16"/>
    </row>
    <row r="12" spans="2:22" x14ac:dyDescent="0.25">
      <c r="B12" s="14"/>
      <c r="C12" s="20" t="s">
        <v>136</v>
      </c>
      <c r="D12" s="57">
        <v>52</v>
      </c>
      <c r="E12" s="6"/>
      <c r="F12" s="36" t="s">
        <v>60</v>
      </c>
      <c r="G12" s="62">
        <v>20</v>
      </c>
      <c r="H12" s="16"/>
    </row>
    <row r="13" spans="2:22" x14ac:dyDescent="0.25">
      <c r="B13" s="14"/>
      <c r="C13" s="20" t="s">
        <v>137</v>
      </c>
      <c r="D13" s="57">
        <v>5</v>
      </c>
      <c r="E13" s="6"/>
      <c r="F13" s="20" t="s">
        <v>61</v>
      </c>
      <c r="G13" s="57">
        <v>0</v>
      </c>
      <c r="H13" s="16"/>
    </row>
    <row r="14" spans="2:22" x14ac:dyDescent="0.25">
      <c r="B14" s="14"/>
      <c r="C14" s="20" t="s">
        <v>86</v>
      </c>
      <c r="D14" s="57">
        <v>162</v>
      </c>
      <c r="E14" s="6"/>
      <c r="F14"/>
      <c r="G14"/>
      <c r="H14" s="16"/>
    </row>
    <row r="15" spans="2:22" x14ac:dyDescent="0.25">
      <c r="B15" s="14"/>
      <c r="E15" s="6"/>
      <c r="F15"/>
      <c r="G15"/>
      <c r="H15" s="16"/>
    </row>
    <row r="16" spans="2:22" ht="15.75" thickBot="1" x14ac:dyDescent="0.3">
      <c r="B16" s="14"/>
      <c r="C16" s="23" t="s">
        <v>140</v>
      </c>
      <c r="D16" s="23" t="s">
        <v>23</v>
      </c>
      <c r="E16" s="6"/>
      <c r="F16" s="112" t="s">
        <v>102</v>
      </c>
      <c r="G16" s="112"/>
      <c r="H16" s="16"/>
    </row>
    <row r="17" spans="2:8" x14ac:dyDescent="0.25">
      <c r="B17" s="14"/>
      <c r="C17" s="20" t="s">
        <v>138</v>
      </c>
      <c r="D17" s="57">
        <v>84</v>
      </c>
      <c r="E17" s="6"/>
      <c r="F17" s="113" t="s">
        <v>165</v>
      </c>
      <c r="G17" s="114"/>
      <c r="H17" s="16"/>
    </row>
    <row r="18" spans="2:8" x14ac:dyDescent="0.25">
      <c r="B18" s="14"/>
      <c r="C18" s="20" t="s">
        <v>139</v>
      </c>
      <c r="D18" s="57">
        <v>82</v>
      </c>
      <c r="E18" s="6"/>
      <c r="F18" s="115"/>
      <c r="G18" s="116"/>
      <c r="H18" s="16"/>
    </row>
    <row r="19" spans="2:8" x14ac:dyDescent="0.25">
      <c r="B19" s="14"/>
      <c r="C19"/>
      <c r="D19"/>
      <c r="E19" s="6"/>
      <c r="F19" s="115"/>
      <c r="G19" s="116"/>
      <c r="H19" s="16"/>
    </row>
    <row r="20" spans="2:8" x14ac:dyDescent="0.25">
      <c r="B20" s="14"/>
      <c r="C20"/>
      <c r="D20"/>
      <c r="E20" s="6"/>
      <c r="F20" s="115"/>
      <c r="G20" s="116"/>
      <c r="H20" s="16"/>
    </row>
    <row r="21" spans="2:8" x14ac:dyDescent="0.25">
      <c r="B21" s="14"/>
      <c r="E21" s="6"/>
      <c r="F21" s="115"/>
      <c r="G21" s="116"/>
      <c r="H21" s="16"/>
    </row>
    <row r="22" spans="2:8" ht="15.75" thickBot="1" x14ac:dyDescent="0.3">
      <c r="B22" s="14"/>
      <c r="C22" s="15"/>
      <c r="D22" s="15"/>
      <c r="E22" s="6"/>
      <c r="F22" s="117"/>
      <c r="G22" s="118"/>
      <c r="H22" s="16"/>
    </row>
    <row r="23" spans="2:8" ht="15.75" thickBot="1" x14ac:dyDescent="0.3">
      <c r="B23" s="17"/>
      <c r="C23" s="18"/>
      <c r="D23" s="18"/>
      <c r="E23" s="18"/>
      <c r="F23" s="18"/>
      <c r="G23" s="18"/>
      <c r="H23" s="19"/>
    </row>
  </sheetData>
  <sheetProtection algorithmName="SHA-512" hashValue="8cM68jN9F5Zjd0sab5G14RklQBcoxtobUI5ZVSG26pRUmCYjBWApV4MNXpHXAZk46q11zOqXcEGp1/59yA2tmg==" saltValue="5l0sFDkLD8IXu11PRprXbw==" spinCount="100000" sheet="1"/>
  <mergeCells count="4">
    <mergeCell ref="F9:G10"/>
    <mergeCell ref="C7:G7"/>
    <mergeCell ref="F16:G16"/>
    <mergeCell ref="F17:G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F4D8-8E0E-4532-890E-2F29FCBB3654}">
  <dimension ref="B1:V17"/>
  <sheetViews>
    <sheetView showGridLines="0" zoomScaleNormal="100" workbookViewId="0">
      <selection activeCell="C13" sqref="C13:G16"/>
    </sheetView>
  </sheetViews>
  <sheetFormatPr baseColWidth="10" defaultColWidth="11.42578125"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6</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76</v>
      </c>
      <c r="D6" s="35"/>
      <c r="E6" s="26"/>
      <c r="F6"/>
      <c r="G6"/>
      <c r="H6" s="33"/>
    </row>
    <row r="7" spans="2:22" x14ac:dyDescent="0.25">
      <c r="B7" s="14"/>
      <c r="C7" s="15"/>
      <c r="D7" s="15"/>
      <c r="E7" s="15"/>
      <c r="F7"/>
      <c r="G7"/>
      <c r="H7" s="16"/>
      <c r="T7" s="1" t="s">
        <v>13</v>
      </c>
    </row>
    <row r="8" spans="2:22" x14ac:dyDescent="0.25">
      <c r="B8" s="14"/>
      <c r="C8" s="23" t="s">
        <v>76</v>
      </c>
      <c r="D8" s="23" t="s">
        <v>23</v>
      </c>
      <c r="E8" s="6"/>
      <c r="F8" s="23" t="s">
        <v>76</v>
      </c>
      <c r="G8" s="23" t="s">
        <v>23</v>
      </c>
      <c r="H8" s="16"/>
      <c r="T8" s="1" t="s">
        <v>14</v>
      </c>
    </row>
    <row r="9" spans="2:22" x14ac:dyDescent="0.25">
      <c r="B9" s="14"/>
      <c r="C9" s="20" t="s">
        <v>141</v>
      </c>
      <c r="D9" s="57">
        <v>0</v>
      </c>
      <c r="E9" s="6"/>
      <c r="F9" s="20" t="s">
        <v>142</v>
      </c>
      <c r="G9" s="63">
        <v>6</v>
      </c>
      <c r="H9" s="16"/>
    </row>
    <row r="10" spans="2:22" x14ac:dyDescent="0.25">
      <c r="B10" s="14"/>
      <c r="C10" s="20" t="s">
        <v>78</v>
      </c>
      <c r="D10" s="57">
        <v>6</v>
      </c>
      <c r="E10" s="6"/>
      <c r="F10" s="20" t="s">
        <v>100</v>
      </c>
      <c r="G10" s="63">
        <v>6</v>
      </c>
      <c r="H10" s="16"/>
    </row>
    <row r="11" spans="2:22" x14ac:dyDescent="0.25">
      <c r="B11" s="14"/>
      <c r="C11" s="15"/>
      <c r="D11" s="61"/>
      <c r="E11" s="6"/>
      <c r="F11" s="15"/>
      <c r="G11" s="64"/>
      <c r="H11" s="16"/>
    </row>
    <row r="12" spans="2:22" ht="15.75" thickBot="1" x14ac:dyDescent="0.3">
      <c r="B12" s="14"/>
      <c r="C12" s="65" t="s">
        <v>104</v>
      </c>
      <c r="D12" s="61"/>
      <c r="E12" s="6"/>
      <c r="F12" s="15"/>
      <c r="G12" s="64"/>
      <c r="H12" s="16"/>
      <c r="T12" s="1">
        <f>IF(D9="",0,1)</f>
        <v>1</v>
      </c>
    </row>
    <row r="13" spans="2:22" x14ac:dyDescent="0.25">
      <c r="B13" s="14"/>
      <c r="C13" s="119" t="s">
        <v>161</v>
      </c>
      <c r="D13" s="120"/>
      <c r="E13" s="120"/>
      <c r="F13" s="120"/>
      <c r="G13" s="121"/>
      <c r="H13" s="16"/>
    </row>
    <row r="14" spans="2:22" x14ac:dyDescent="0.25">
      <c r="B14" s="14"/>
      <c r="C14" s="122"/>
      <c r="D14" s="123"/>
      <c r="E14" s="123"/>
      <c r="F14" s="123"/>
      <c r="G14" s="124"/>
      <c r="H14" s="16"/>
    </row>
    <row r="15" spans="2:22" x14ac:dyDescent="0.25">
      <c r="B15" s="14"/>
      <c r="C15" s="122"/>
      <c r="D15" s="123"/>
      <c r="E15" s="123"/>
      <c r="F15" s="123"/>
      <c r="G15" s="124"/>
      <c r="H15" s="16"/>
    </row>
    <row r="16" spans="2:22" ht="15.75" thickBot="1" x14ac:dyDescent="0.3">
      <c r="B16" s="14"/>
      <c r="C16" s="125"/>
      <c r="D16" s="126"/>
      <c r="E16" s="126"/>
      <c r="F16" s="126"/>
      <c r="G16" s="127"/>
      <c r="H16" s="16"/>
      <c r="T16" s="1">
        <f>IF(G9="",0,1)</f>
        <v>1</v>
      </c>
    </row>
    <row r="17" spans="2:20" ht="15.75" thickBot="1" x14ac:dyDescent="0.3">
      <c r="B17" s="17"/>
      <c r="C17" s="18"/>
      <c r="D17" s="18"/>
      <c r="E17" s="18"/>
      <c r="F17" s="18"/>
      <c r="G17" s="18"/>
      <c r="H17" s="19"/>
      <c r="T17" s="1">
        <f>+T12+T16</f>
        <v>2</v>
      </c>
    </row>
  </sheetData>
  <sheetProtection algorithmName="SHA-512" hashValue="ijilseSxbScgMYPfBbwdT/B9xl1cPmNEOaGwZw/1g5lXqMh8IrOPLGFNEvAyl/utPcoBWeePsuEmufmQmbcKBQ==" saltValue="LWefHhNjw86qf8r+FXt0bQ==" spinCount="100000" sheet="1"/>
  <mergeCells count="1">
    <mergeCell ref="C13:G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69B4-A192-44A1-AC1E-C12705B3B7EC}">
  <dimension ref="B1:V11"/>
  <sheetViews>
    <sheetView showGridLines="0" zoomScaleNormal="100" workbookViewId="0">
      <selection activeCell="D10" sqref="D10"/>
    </sheetView>
  </sheetViews>
  <sheetFormatPr baseColWidth="10" defaultColWidth="11.42578125"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10</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10" t="s">
        <v>8</v>
      </c>
      <c r="D6" s="110"/>
      <c r="E6" s="26"/>
      <c r="F6"/>
      <c r="G6"/>
      <c r="H6" s="33"/>
      <c r="T6" s="1" t="s">
        <v>12</v>
      </c>
    </row>
    <row r="7" spans="2:22" ht="15.75" thickBot="1" x14ac:dyDescent="0.3">
      <c r="B7" s="14"/>
      <c r="C7" s="15"/>
      <c r="D7" s="15"/>
      <c r="E7" s="15"/>
      <c r="F7" s="66" t="s">
        <v>104</v>
      </c>
      <c r="G7"/>
      <c r="H7" s="16"/>
      <c r="T7" s="1" t="s">
        <v>13</v>
      </c>
    </row>
    <row r="8" spans="2:22" x14ac:dyDescent="0.25">
      <c r="B8" s="14"/>
      <c r="C8" s="23" t="s">
        <v>32</v>
      </c>
      <c r="D8" s="23" t="s">
        <v>23</v>
      </c>
      <c r="E8" s="6"/>
      <c r="F8" s="98"/>
      <c r="G8" s="100"/>
      <c r="H8" s="16"/>
      <c r="T8" s="1" t="s">
        <v>14</v>
      </c>
    </row>
    <row r="9" spans="2:22" x14ac:dyDescent="0.25">
      <c r="B9" s="14"/>
      <c r="C9" s="20" t="s">
        <v>80</v>
      </c>
      <c r="D9" s="57" t="s">
        <v>12</v>
      </c>
      <c r="E9" s="6"/>
      <c r="F9" s="101"/>
      <c r="G9" s="103"/>
      <c r="H9" s="16"/>
    </row>
    <row r="10" spans="2:22" ht="15.75" thickBot="1" x14ac:dyDescent="0.3">
      <c r="B10" s="14"/>
      <c r="C10" s="20" t="s">
        <v>143</v>
      </c>
      <c r="D10" s="57">
        <v>525</v>
      </c>
      <c r="E10" s="6"/>
      <c r="F10" s="104"/>
      <c r="G10" s="106"/>
      <c r="H10" s="16"/>
    </row>
    <row r="11" spans="2:22" ht="15.75" thickBot="1" x14ac:dyDescent="0.3">
      <c r="B11" s="17"/>
      <c r="C11" s="18"/>
      <c r="D11" s="18"/>
      <c r="E11" s="18"/>
      <c r="F11" s="18"/>
      <c r="G11" s="18"/>
      <c r="H11" s="19"/>
    </row>
  </sheetData>
  <sheetProtection algorithmName="SHA-512" hashValue="L9TzTy7Xcbu6uZUublFRMTn5WebnIKr2X/GWSznNVSVOYhXXZG52n9W2fY3eyyb8DLFzboT/mW175RmbKqaaow==" saltValue="P1vmzjqaB0jy8n+nktEqKw==" spinCount="100000" sheet="1"/>
  <mergeCells count="2">
    <mergeCell ref="C6:D6"/>
    <mergeCell ref="F8:G10"/>
  </mergeCells>
  <dataValidations count="1">
    <dataValidation type="list" allowBlank="1" showInputMessage="1" showErrorMessage="1" sqref="D9" xr:uid="{BAE67412-584B-4DE4-AA5C-35AE0D2BD371}">
      <formula1>$T$6:$T$7</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4F2B1-919C-4269-A92D-A455391B7464}">
  <dimension ref="B2:M26"/>
  <sheetViews>
    <sheetView showGridLines="0" tabSelected="1" topLeftCell="A7" zoomScaleNormal="100" workbookViewId="0">
      <selection activeCell="G25" sqref="G25"/>
    </sheetView>
  </sheetViews>
  <sheetFormatPr baseColWidth="10" defaultRowHeight="15" x14ac:dyDescent="0.25"/>
  <cols>
    <col min="2" max="2" width="33" bestFit="1" customWidth="1"/>
    <col min="3" max="3" width="14.5703125" bestFit="1" customWidth="1"/>
    <col min="5" max="5" width="33" bestFit="1" customWidth="1"/>
    <col min="6" max="6" width="14.5703125" bestFit="1" customWidth="1"/>
  </cols>
  <sheetData>
    <row r="2" spans="2:13" ht="18.75" x14ac:dyDescent="0.3">
      <c r="B2" s="129" t="s">
        <v>10</v>
      </c>
      <c r="C2" s="129"/>
      <c r="D2" s="129"/>
      <c r="E2" s="129"/>
      <c r="F2" s="129"/>
      <c r="G2" s="129"/>
      <c r="H2" s="47"/>
      <c r="I2" s="47"/>
      <c r="J2" s="47"/>
      <c r="K2" s="47"/>
      <c r="L2" s="47"/>
      <c r="M2" s="48"/>
    </row>
    <row r="3" spans="2:13" ht="18.75" x14ac:dyDescent="0.3">
      <c r="B3" s="129" t="s">
        <v>11</v>
      </c>
      <c r="C3" s="129"/>
      <c r="D3" s="129"/>
      <c r="E3" s="129"/>
      <c r="F3" s="129"/>
      <c r="G3" s="129"/>
      <c r="H3" s="47"/>
      <c r="I3" s="47"/>
      <c r="J3" s="47"/>
      <c r="K3" s="47"/>
      <c r="L3" s="47"/>
      <c r="M3" s="48"/>
    </row>
    <row r="4" spans="2:13" ht="23.25" x14ac:dyDescent="0.35">
      <c r="B4" s="41"/>
      <c r="C4" s="41"/>
      <c r="D4" s="41"/>
      <c r="E4" s="41"/>
      <c r="F4" s="41"/>
      <c r="G4" s="41"/>
      <c r="H4" s="41"/>
      <c r="I4" s="41"/>
      <c r="J4" s="41"/>
      <c r="K4" s="41"/>
      <c r="L4" s="41"/>
      <c r="M4" s="41"/>
    </row>
    <row r="5" spans="2:13" x14ac:dyDescent="0.25">
      <c r="B5" t="s">
        <v>38</v>
      </c>
      <c r="C5" s="128" t="s">
        <v>159</v>
      </c>
      <c r="D5" s="128"/>
      <c r="E5" s="128"/>
      <c r="F5" s="128"/>
      <c r="G5" s="128"/>
      <c r="H5" s="6"/>
      <c r="I5" s="6"/>
      <c r="J5" s="6"/>
    </row>
    <row r="6" spans="2:13" x14ac:dyDescent="0.25">
      <c r="B6" t="s">
        <v>3</v>
      </c>
      <c r="C6" s="128" t="s">
        <v>160</v>
      </c>
      <c r="D6" s="128"/>
      <c r="E6" s="128"/>
      <c r="F6" s="128"/>
      <c r="G6" s="128"/>
      <c r="H6" s="46"/>
      <c r="I6" s="46"/>
      <c r="J6" s="46"/>
    </row>
    <row r="7" spans="2:13" x14ac:dyDescent="0.25">
      <c r="H7" s="6"/>
      <c r="I7" s="6"/>
      <c r="J7" s="6"/>
    </row>
    <row r="8" spans="2:13" x14ac:dyDescent="0.25">
      <c r="B8" t="s">
        <v>39</v>
      </c>
      <c r="C8" s="44" t="str">
        <f>+IF(SUM(USUARIOS!I12:J17)=0,"Falta diligenciar","")</f>
        <v/>
      </c>
      <c r="E8" t="s">
        <v>84</v>
      </c>
      <c r="F8" s="44" t="str">
        <f>+IF(PREJUDICIALES!$D$10="","Falta  actualizar","")</f>
        <v/>
      </c>
    </row>
    <row r="9" spans="2:13" x14ac:dyDescent="0.25">
      <c r="B9" s="43" t="s">
        <v>42</v>
      </c>
      <c r="C9" s="45">
        <f>+SUM(USUARIOS!I12:I17)/(6-SUM(USUARIOS!H12:H17))</f>
        <v>1</v>
      </c>
      <c r="E9" s="43" t="s">
        <v>47</v>
      </c>
      <c r="F9" s="43">
        <f>+PREJUDICIALES!$D$11</f>
        <v>219</v>
      </c>
    </row>
    <row r="10" spans="2:13" x14ac:dyDescent="0.25">
      <c r="B10" s="43" t="s">
        <v>40</v>
      </c>
      <c r="C10" s="43">
        <f>+ABOGADOS!$D$12+SUM(USUARIOS!I12:I17)</f>
        <v>104</v>
      </c>
      <c r="E10" s="43" t="s">
        <v>45</v>
      </c>
      <c r="F10" s="45">
        <f>IFERROR(PREJUDICIALES!$D$11/PREJUDICIALES!$D$10,"")</f>
        <v>1</v>
      </c>
    </row>
    <row r="11" spans="2:13" x14ac:dyDescent="0.25">
      <c r="B11" s="43" t="s">
        <v>9</v>
      </c>
      <c r="C11" s="71" t="s">
        <v>118</v>
      </c>
      <c r="E11" s="43" t="s">
        <v>48</v>
      </c>
      <c r="F11" s="45">
        <f>IFERROR(PREJUDICIALES!$G$13/PREJUDICIALES!$V$3,"")</f>
        <v>0</v>
      </c>
    </row>
    <row r="12" spans="2:13" x14ac:dyDescent="0.25">
      <c r="B12" s="43" t="s">
        <v>41</v>
      </c>
      <c r="C12" s="45">
        <f>IFERROR((ABOGADOS!$G$17+ABOGADOS!$G$18+ABOGADOS!$G$19*0.5)/ABOGADOS!D12,"")</f>
        <v>0.5714285714285714</v>
      </c>
    </row>
    <row r="13" spans="2:13" x14ac:dyDescent="0.25">
      <c r="E13" t="s">
        <v>76</v>
      </c>
      <c r="F13" s="44" t="str">
        <f>+IF(ARBITRAMENTOS!T17=0,"Falta  actualizar","")</f>
        <v/>
      </c>
    </row>
    <row r="14" spans="2:13" x14ac:dyDescent="0.25">
      <c r="B14" t="s">
        <v>83</v>
      </c>
      <c r="C14" s="44" t="str">
        <f>+IF(JUDICIALES!$D$11="","Falta  actualizar","")</f>
        <v/>
      </c>
      <c r="E14" s="43" t="s">
        <v>46</v>
      </c>
      <c r="F14" s="43">
        <f>+ARBITRAMENTOS!D10</f>
        <v>6</v>
      </c>
    </row>
    <row r="15" spans="2:13" x14ac:dyDescent="0.25">
      <c r="B15" s="43" t="s">
        <v>43</v>
      </c>
      <c r="C15" s="43">
        <f>+JUDICIALES!$D$12</f>
        <v>3203</v>
      </c>
      <c r="E15" s="43" t="s">
        <v>45</v>
      </c>
      <c r="F15" s="45" t="str">
        <f>IFERROR(ARBITRAMENTOS!D10/ARBITRAMENTOS!D9,"")</f>
        <v/>
      </c>
    </row>
    <row r="16" spans="2:13" x14ac:dyDescent="0.25">
      <c r="B16" s="43" t="s">
        <v>45</v>
      </c>
      <c r="C16" s="45">
        <f>IFERROR(JUDICIALES!$D$12/JUDICIALES!$D$11,"")</f>
        <v>1</v>
      </c>
    </row>
    <row r="17" spans="2:6" x14ac:dyDescent="0.25">
      <c r="B17" s="43" t="s">
        <v>51</v>
      </c>
      <c r="C17" s="45">
        <f>IFERROR(JUDICIALES!$G$11/JUDICIALES!$G$10,"")</f>
        <v>1</v>
      </c>
      <c r="E17" t="s">
        <v>79</v>
      </c>
      <c r="F17" s="44" t="str">
        <f>+IF(PAGOS!D9="","Falta  actualizar","")</f>
        <v/>
      </c>
    </row>
    <row r="18" spans="2:6" x14ac:dyDescent="0.25">
      <c r="B18" s="43" t="s">
        <v>44</v>
      </c>
      <c r="C18" s="43">
        <f>IFERROR(C15/ABOGADOS!$D$12,"")</f>
        <v>32.683673469387756</v>
      </c>
      <c r="E18" s="43" t="s">
        <v>49</v>
      </c>
      <c r="F18" s="43">
        <f>+PAGOS!D10</f>
        <v>525</v>
      </c>
    </row>
    <row r="19" spans="2:6" x14ac:dyDescent="0.25">
      <c r="B19" s="43" t="s">
        <v>82</v>
      </c>
      <c r="C19" s="45">
        <f>IFERROR(1-(JUDICIALES!$H$22+JUDICIALES!$H$23+JUDICIALES!$H$24)/(JUDICIALES!$G$22+JUDICIALES!$G$23+JUDICIALES!$G$24),"")</f>
        <v>4.7846889952152249E-4</v>
      </c>
      <c r="E19" s="43" t="s">
        <v>50</v>
      </c>
      <c r="F19" s="43" t="str">
        <f>+IF(PAGOS!D9="No","No aplica","si")</f>
        <v>si</v>
      </c>
    </row>
    <row r="21" spans="2:6" ht="15.75" thickBot="1" x14ac:dyDescent="0.3"/>
    <row r="22" spans="2:6" x14ac:dyDescent="0.25">
      <c r="B22" s="2" t="s">
        <v>104</v>
      </c>
      <c r="C22" s="3"/>
      <c r="D22" s="3"/>
      <c r="E22" s="3"/>
      <c r="F22" s="4"/>
    </row>
    <row r="23" spans="2:6" x14ac:dyDescent="0.25">
      <c r="B23" s="115" t="s">
        <v>166</v>
      </c>
      <c r="C23" s="130"/>
      <c r="D23" s="130"/>
      <c r="E23" s="130"/>
      <c r="F23" s="116"/>
    </row>
    <row r="24" spans="2:6" x14ac:dyDescent="0.25">
      <c r="B24" s="115"/>
      <c r="C24" s="130"/>
      <c r="D24" s="130"/>
      <c r="E24" s="130"/>
      <c r="F24" s="116"/>
    </row>
    <row r="25" spans="2:6" x14ac:dyDescent="0.25">
      <c r="B25" s="115"/>
      <c r="C25" s="130"/>
      <c r="D25" s="130"/>
      <c r="E25" s="130"/>
      <c r="F25" s="116"/>
    </row>
    <row r="26" spans="2:6" ht="15.75" thickBot="1" x14ac:dyDescent="0.3">
      <c r="B26" s="117"/>
      <c r="C26" s="131"/>
      <c r="D26" s="131"/>
      <c r="E26" s="131"/>
      <c r="F26" s="118"/>
    </row>
  </sheetData>
  <sheetProtection algorithmName="SHA-512" hashValue="oYy6+FMrDUJp7yajB2nFk6zfxjg7nx9wrBVSyVVHj9e4qRP7KnZOskU3IcSz5XU/0snkC3FPmsPSt6fMl/xLfw==" saltValue="JHNAqtUJ7WP4OFUpc0qITQ==" spinCount="100000" sheet="1" objects="1" scenarios="1"/>
  <mergeCells count="5">
    <mergeCell ref="C5:G5"/>
    <mergeCell ref="C6:G6"/>
    <mergeCell ref="B2:G2"/>
    <mergeCell ref="B3:G3"/>
    <mergeCell ref="B23:F2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738056B2-D495-4E29-9847-6A15F355DA7E}"/>
</file>

<file path=customXml/itemProps2.xml><?xml version="1.0" encoding="utf-8"?>
<ds:datastoreItem xmlns:ds="http://schemas.openxmlformats.org/officeDocument/2006/customXml" ds:itemID="{1AEACDBA-BE21-4F27-93F2-23F0F783B9EC}"/>
</file>

<file path=customXml/itemProps3.xml><?xml version="1.0" encoding="utf-8"?>
<ds:datastoreItem xmlns:ds="http://schemas.openxmlformats.org/officeDocument/2006/customXml" ds:itemID="{E8585915-1601-48F1-A4C1-2FFF800846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Base a pegar</vt:lpstr>
      <vt:lpstr>ABOGADOS</vt:lpstr>
      <vt:lpstr>JUDICIALES</vt:lpstr>
      <vt:lpstr>PREJUDICIALES</vt:lpstr>
      <vt:lpstr>ARBITRAMENTOS</vt:lpstr>
      <vt:lpstr>PAGOS</vt:lpstr>
      <vt:lpstr>Resumen 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Clara Jeannethe Arenas Rivera</cp:lastModifiedBy>
  <dcterms:created xsi:type="dcterms:W3CDTF">2020-06-25T21:16:25Z</dcterms:created>
  <dcterms:modified xsi:type="dcterms:W3CDTF">2021-03-25T21:31:21Z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