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showInkAnnotation="0" codeName="ThisWorkbook" defaultThemeVersion="166925"/>
  <mc:AlternateContent xmlns:mc="http://schemas.openxmlformats.org/markup-compatibility/2006">
    <mc:Choice Requires="x15">
      <x15ac:absPath xmlns:x15ac="http://schemas.microsoft.com/office/spreadsheetml/2010/11/ac" url="C:\Users\yanira.villamil\AppData\Local\Microsoft\Windows\INetCache\Content.Outlook\SSOSLRZN\"/>
    </mc:Choice>
  </mc:AlternateContent>
  <xr:revisionPtr revIDLastSave="0" documentId="13_ncr:1_{B04246C2-D3E6-4546-97BA-130713D99045}" xr6:coauthVersionLast="47" xr6:coauthVersionMax="47" xr10:uidLastSave="{00000000-0000-0000-0000-000000000000}"/>
  <bookViews>
    <workbookView xWindow="-120" yWindow="-120" windowWidth="29040" windowHeight="15840" activeTab="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7" l="1"/>
  <c r="BI3" i="12" l="1"/>
  <c r="BH3" i="12"/>
  <c r="BG3" i="12"/>
  <c r="BF3" i="12"/>
  <c r="BE3" i="12"/>
  <c r="BD3" i="12"/>
  <c r="BC3" i="12"/>
  <c r="BB3" i="12"/>
  <c r="C14" i="12"/>
  <c r="D14" i="12"/>
  <c r="E14" i="12"/>
  <c r="F14" i="12"/>
  <c r="C15" i="12"/>
  <c r="D15" i="12"/>
  <c r="E15" i="12"/>
  <c r="F15" i="12"/>
  <c r="C16" i="12"/>
  <c r="D16" i="12"/>
  <c r="E16" i="12"/>
  <c r="F16" i="12"/>
  <c r="C17" i="12"/>
  <c r="D17" i="12"/>
  <c r="E17" i="12"/>
  <c r="F17" i="12"/>
  <c r="C18" i="12"/>
  <c r="D18" i="12"/>
  <c r="E18" i="12"/>
  <c r="F18" i="12"/>
  <c r="D13" i="12"/>
  <c r="E13" i="12"/>
  <c r="F13" i="12"/>
  <c r="C13" i="12"/>
  <c r="B3" i="12"/>
  <c r="A3" i="12"/>
  <c r="A15" i="12" s="1"/>
  <c r="BP3" i="12"/>
  <c r="A14" i="12" l="1"/>
  <c r="A13" i="12"/>
  <c r="A18" i="12"/>
  <c r="A17" i="12"/>
  <c r="A16" i="12"/>
  <c r="C12" i="5"/>
  <c r="V3" i="7"/>
  <c r="G14" i="1" l="1"/>
  <c r="G15" i="12" s="1"/>
  <c r="G13" i="1"/>
  <c r="G14" i="12" s="1"/>
  <c r="G15" i="1"/>
  <c r="G16" i="12" s="1"/>
  <c r="G16" i="1"/>
  <c r="G17" i="12" s="1"/>
  <c r="G17" i="1"/>
  <c r="G18" i="12" s="1"/>
  <c r="G12" i="1"/>
  <c r="G13" i="12" s="1"/>
  <c r="BO3" i="12" l="1"/>
  <c r="BN3" i="12"/>
  <c r="BM3" i="12"/>
  <c r="BL3" i="12"/>
  <c r="BK3" i="12"/>
  <c r="BJ3" i="12"/>
  <c r="Q3" i="12" l="1"/>
  <c r="P3" i="12"/>
  <c r="O3" i="12"/>
  <c r="N3" i="12"/>
  <c r="M3" i="12"/>
  <c r="L3" i="12"/>
  <c r="K3" i="12"/>
  <c r="J3" i="12"/>
  <c r="I3" i="12"/>
  <c r="F17" i="5" l="1"/>
  <c r="F15" i="5"/>
  <c r="F10" i="5"/>
  <c r="C19" i="5"/>
  <c r="C17" i="5"/>
  <c r="C16" i="5"/>
  <c r="T16" i="10"/>
  <c r="T12" i="10"/>
  <c r="W3" i="8"/>
  <c r="C25" i="8" s="1"/>
  <c r="T17" i="10" l="1"/>
  <c r="F13" i="5" s="1"/>
  <c r="V2" i="9"/>
  <c r="V3" i="9" s="1"/>
  <c r="F9" i="9" s="1"/>
  <c r="F11" i="5" l="1"/>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H3" i="12"/>
  <c r="G3" i="12"/>
  <c r="F3" i="12"/>
  <c r="E3" i="12"/>
  <c r="D3" i="12"/>
  <c r="C3" i="12"/>
  <c r="F19" i="5"/>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<sst xmlns="http://schemas.openxmlformats.org/spreadsheetml/2006/main" count="266" uniqueCount="172">
  <si>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</si>
  <si>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</si>
  <si>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</si>
  <si>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</si>
  <si>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</si>
  <si>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</si>
  <si>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</si>
  <si>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</si>
  <si>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</si>
  <si>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</si>
  <si>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</si>
  <si>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</si>
  <si>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</si>
  <si>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</si>
  <si>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</si>
  <si>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</si>
  <si>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</si>
  <si>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</si>
  <si>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</si>
  <si>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</si>
  <si>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</si>
  <si>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</si>
  <si>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</si>
  <si>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</si>
  <si>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</si>
  <si>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</si>
  <si>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</si>
  <si>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de más de 33.000 SMMLV</t>
  </si>
  <si>
    <t>CANTIDAD DE PROCESOS ACTIVOS</t>
  </si>
  <si>
    <t>PROCESOS ACTIVOS REGISTRADOS EN EKOGUI</t>
  </si>
  <si>
    <t>PROCESOS SIN ABOGADO ASIGNADO</t>
  </si>
  <si>
    <t>PROCESOS</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</si>
  <si>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</si>
  <si>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</si>
  <si>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</si>
  <si>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</si>
  <si>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</si>
  <si>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</si>
  <si>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</si>
  <si>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</si>
  <si>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</si>
  <si>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</si>
  <si>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</si>
  <si>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</si>
  <si>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</si>
  <si>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</si>
  <si>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</si>
  <si>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</si>
  <si>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</si>
  <si>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Pagos relacionados</t>
  </si>
  <si>
    <t>Uso del módulo pagos</t>
  </si>
  <si>
    <t>Actualización más de 33.000 SMMLV</t>
  </si>
  <si>
    <t>REGISTRO EN 2020</t>
  </si>
  <si>
    <t>REGISTRO EN 2019</t>
  </si>
  <si>
    <t>REGISTRO EN 2018 Y ANTERIORES</t>
  </si>
  <si>
    <t>TOTAL PREJUDICIALES ACTIVOS</t>
  </si>
  <si>
    <t>Prejudiciales</t>
  </si>
  <si>
    <t>TOTAL PREJUDICIALES ACTIVOS EN EKOGUI</t>
  </si>
  <si>
    <t>TOTAL PROCESOS TERMINADOS</t>
  </si>
  <si>
    <t>CANTIDAD PREJUDICIALES</t>
  </si>
  <si>
    <t>Procesos que efectivamente se encuentran activos</t>
  </si>
  <si>
    <t>Proceso que se encuentran terminados</t>
  </si>
  <si>
    <t>TERMINADOS EN EKOGUI</t>
  </si>
  <si>
    <t>PROCESOS TERMINADOS EN 2020</t>
  </si>
  <si>
    <t>PROCESOS ACTIVOS CON ESTADO TERMINADO*</t>
  </si>
  <si>
    <t xml:space="preserve">Procesos de más de 33.000 SMMLV con la pieza demanda </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</si>
  <si>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</si>
  <si>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</si>
  <si>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</si>
  <si>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</si>
  <si>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</si>
  <si>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</si>
  <si>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</si>
  <si>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</si>
  <si>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</si>
  <si>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</si>
  <si>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</si>
  <si>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</si>
  <si>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</si>
  <si>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</si>
  <si>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</si>
  <si>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Pagos enlazados</t>
  </si>
  <si>
    <t>Provisión incorrecta</t>
  </si>
  <si>
    <t>JUDICIALES</t>
  </si>
  <si>
    <t>PREJUDICIALES</t>
  </si>
  <si>
    <t>Plantilla de certificado de Control Interno eKOGUI</t>
  </si>
  <si>
    <t>REGISTRO EN 2019 Y ANTERIORES</t>
  </si>
  <si>
    <t>ACTUALIZADO</t>
  </si>
  <si>
    <t>Entre 21-03-2019 y 31-12-2019</t>
  </si>
  <si>
    <t>PROCESOS SIN ABOGADO ASIGNADO(1)</t>
  </si>
  <si>
    <t>PROCESOS ACTIVOS CON ESTADO TERMINADO(3)</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</si>
  <si>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</si>
  <si>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</si>
  <si>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</si>
  <si>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</si>
  <si>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</si>
  <si>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</si>
  <si>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</si>
  <si>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</si>
  <si>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</si>
  <si>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</si>
  <si>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</si>
  <si>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</si>
  <si>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</si>
  <si>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</si>
  <si>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</si>
  <si>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</si>
  <si>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</si>
  <si>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</si>
  <si>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</si>
  <si>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</si>
  <si>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</si>
  <si>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</si>
  <si>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</si>
  <si>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</si>
  <si>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</si>
  <si>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</si>
  <si>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</si>
  <si>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Indique la fecha en la que genera el reporte</t>
  </si>
  <si>
    <t>Posteriores al 01-01-2020</t>
  </si>
  <si>
    <t>Fecha de diligenciamiento de plantilla</t>
  </si>
  <si>
    <t>PREJUDICIALES TERMINADOS SEGUNDO SEMESTRE 2020</t>
  </si>
  <si>
    <t>Obs1</t>
  </si>
  <si>
    <t>Obs2</t>
  </si>
  <si>
    <t>Obs3</t>
  </si>
  <si>
    <t>Obs4</t>
  </si>
  <si>
    <t>Obs5</t>
  </si>
  <si>
    <t>Obs6</t>
  </si>
  <si>
    <t>Escriba la fecha de generación del reporte</t>
  </si>
  <si>
    <t>Obs7</t>
  </si>
  <si>
    <t>Fecha reporte Usuarios</t>
  </si>
  <si>
    <t>Fecha reporte Abogados</t>
  </si>
  <si>
    <t>Fecha reporte Judiciales</t>
  </si>
  <si>
    <t>NOMBRE JEFE CONTROL INTERNO</t>
  </si>
  <si>
    <t>Abogados al 30 de junio de 2021</t>
  </si>
  <si>
    <t>ABOGADOS ACTIVOS AL 30-06-2021</t>
  </si>
  <si>
    <t>INACTIVADOS EN EKOGUI PRIMER SEMESTRE 2021</t>
  </si>
  <si>
    <t>RETIRADOS EN LA ENTIDAD PRIMER SEMESTRE 2021</t>
  </si>
  <si>
    <t>PROCESOS TERMINADOS PRIMER SEMESTRE 2021</t>
  </si>
  <si>
    <t>PROCESOS ACTIVOS AL 30 DE JUNIO DE 2021</t>
  </si>
  <si>
    <t>PROCESO TERMINADOS AL 30 DE JUNIO 2021</t>
  </si>
  <si>
    <r>
      <t>(3)En el reporte de activos al 30 de junio verifique la columna</t>
    </r>
    <r>
      <rPr>
        <b/>
        <i/>
        <sz val="9"/>
        <color theme="1"/>
        <rFont val="Calibri"/>
        <family val="2"/>
        <scheme val="minor"/>
      </rPr>
      <t xml:space="preserve"> Estado General del proceso</t>
    </r>
  </si>
  <si>
    <t>PROCESOS ACTIVOS EN CALIDAD DEMANDADO AL 30-06-2021</t>
  </si>
  <si>
    <t>PROCESOS CON CALIFICACIÓN PRIMER SEMESTRE 2021</t>
  </si>
  <si>
    <t>PROCESOS CON CALIFICACIÓN ANTERIOR A 31-12-2020</t>
  </si>
  <si>
    <t>(6) Solo se consideran los procesos activos - calidad demandado al 30 de junio de 2021 que tengan calificación de riesgo</t>
  </si>
  <si>
    <t>PREJUDICIALES ACTIVOS AL 30-06-2021</t>
  </si>
  <si>
    <t>REGISTRO POSTERIOR AL 01/01/2021</t>
  </si>
  <si>
    <t>REGISTRO ENTRE 1 DE ENERO Y 31 DE DICIEMBRE 2020</t>
  </si>
  <si>
    <t>TERMINADOS ÚLTIMA ACTUACIÓN I SEM. 2021</t>
  </si>
  <si>
    <t>TOTAL PREJUDICIALES TERMINADOS I SEM. 2021</t>
  </si>
  <si>
    <t>ARBITRAMENTOS ACTIVOS AL 30-06-2021</t>
  </si>
  <si>
    <t>TOTAL ARBITRAMENTOS TERMINADOS  AL 30-06-2021</t>
  </si>
  <si>
    <t>Pagos enlazados al 30-06-2021</t>
  </si>
  <si>
    <t>(4)Equivalente a un valor indexado de $29.981 millones</t>
  </si>
  <si>
    <t>(1) Con fecha de registro anterior al 15-06-2021</t>
  </si>
  <si>
    <t>PROCESOS TERMINADOS DURANTE PRIMER SEMESTRE 2021</t>
  </si>
  <si>
    <t>TERMINADOS EN EKOGUI DURANTE PRIMER SEMESTRE 2021 (2)</t>
  </si>
  <si>
    <t>(2) Con fecha de actuación en 2021</t>
  </si>
  <si>
    <t>EDGAR LEONARDO BOJACA CASTRO</t>
  </si>
  <si>
    <t>FABIO QUINTERO PERILLA</t>
  </si>
  <si>
    <t>ANDRES MAURICIO GUERRERO VALDERRAMA</t>
  </si>
  <si>
    <t>YANIRA VILLAMIL  SUZUNAGA</t>
  </si>
  <si>
    <t>INSTITUTO COLOMBIANO DE BIENESTAR FAMILIAR</t>
  </si>
  <si>
    <t>YANIRA VILLAMIL SUZUNAGA</t>
  </si>
  <si>
    <t>JAIRO HERNANDO CARDONA AGUIRRE</t>
  </si>
  <si>
    <t xml:space="preserve">Nota No. 1: De acuerdo con lo estipulado en la "Circular Externa Conjunta No. 03 del 12/07/2021 emitida por la ANDJE y el Ministerio de Justicia con "Asunto: Instructivo del Sistema Único de Gestión e Información Litigiosa del Estado - eKOGUI - Perfil Jefe de Control Interno Versión 10.0" en la columna de "Fecha creación en eKOGUI" se deja la fecha de creación del respectivo usurio en el sistema más no la de la creación del rol para la Entidad.
Nota No. 2: El rol de Jefe Financiero del ICBF fue asignado el 27/10/2020 al Dr. Andrés Vergara Ballén &lt;Andres.Vergara@icbf.gov.co&gt; (Director Financiero de la Entidad) el cual recibió capacitación por parte del Administrador del Sistema el 28/06/2021 (según consta en acta remitida a la OCI), sin embargo, para este rol no se recibió capacitación por parte de la ANDJE con corte a 30/06/2021.
Nota No. 3: El responsable del rol de Jefe FInanciero del ICBF cambió a partir del 14/07/2021, quedando asignado al Dr. Jairo Hernando Cardona Aguirre &lt;Jairo.Cardona@icbf.gov.co&gt;  con capacitación brindada por la ANDJE el 14/07/2021 según certificación emitida por la ANDJE para el "PERFIL JEFE FINANCIERO/ENLACE DE PAGOS, MODULOS Y FUNCIONALIDADES".
Nota No. 4: Respecto al rol de Jefe Jurídico: En la fecha de última capacitación se indica la fecha de asistencia de la persona que participó en representación de la OAJ (Administrador eKOGUI Entidad en ese momento).
Nota No. 5: En cuanto al rol de Enlace de Pagos el responsable en ICBF Fabio Quintero Perilla &lt;Fabio.Quintero@icbf.gov.co&gt; participó en la capacitación brindada por la ANDJE el 14/07/2021 según certificación emitida por la ANDJE para el "PERFIL JEFE FINANCIERO/ENLACE DE PAGOS, MODULOS Y FUNCIONALIDADES".
Nota No. 6: El rol de administrador del sistema cambio a partir del 18/01/2021 siendo ahora el responsable el Dr. Edgar Leonardo Bojaca Castro &lt;Edgar.Bojaca@icbf.gov.co&gt; quien recibió capacitación por parte del hasta ese momento Administrador el 29/01/2021 (según consta en acta remitida a la OCI), sin embargo, para este rol no se recibió capacitación por parte de la ANDJE con corte a 30/06/2021.
</t>
  </si>
  <si>
    <t>Nota No. 1: Al generar la muestra de los Abogados activos en el sistema se revisó la correspondiente a 16 de los cuales 2 (por ejercer en la Entidad el cargo de Coordinador de Grupo Jurídico con usuario en eKOGUI para verificación y supervisión del cumplimiento de las obligaciones de los apoderados) no tienen registrada en el sistema información laboral ni de estudios.
Nota No. 2: Como parte de los abogados que se identificaron sin capacitación, ocho (8) ejercen en la Entidad el rol de Coordinador de Grupo Jurídico de Direcciones Regionales del ICBF a los que durante el primer semestre de 2021 se les creó usuario "Abogado" en el aplicativo eKOGUI para que "ejerzan la verificación y/o supervisión del cumplimiento de las obligaciones de los apoderados y especialmente, para que una vez registrado un proceso nuevo se le asigne al coordinador y este señale a quien debe reasignársele una vez se le otorgue poder".
Nota No. 3: De los 42 abogados que se evidenciaron "Sin capacitación" 25 de estos ante el ICBF tienen la calidad de Apoderados de los Denunciantes de Bienes Vacantes y Mostrencos de Vocaciones Hereditarias.
La anterior condición de conformidad con la normatividade vigente por la cual el ICBF tiene Vocación Hereritaria (capacidad del Instituto, por encontrarse en el quinto orden sucesoral, para heredar tanto los bienes pertenecientes a un patrimonio, cuando el causante no ha testado y no le sobreviven descendientes, cónyuge, ascendientes, hermanos o sobrinos, o cuando en igual circunstancia el testamento fuere declarado nulo). En virtud de la figura jurídica descrita, el ICBF cuenta con el "PROCEDIMIENTO DENUNCIA DE BIENES VACANTES URBANOS, MOSTRENCOS Y VOCACIONES HEREDITARIAS", en el cual se define al denunciante como la persona que da a aviso al ICBF de la existencia de un bien provisoriamente vacante o mostrenco o de una vocación hereditaria. Para el reconocimiento de la participación económica al denunciante existe el "Contrato de Participación", en los casos en que se reconozca la calidad de denunciante, se procederá a suscribir el contrato de participación con el fin de que el denunciante se comprometa a adelantar las gestiones judiciales y extrajudiciales necesarias para que los bienes denunciados le sean adjudicados y entregados real y materialmente al ICBF.
Para adelantar las gestiones judiciales el denunciante debe designar un apoderado judicial que adelante las actuaciones necesarias para lograr el ingreso real y material al patrimonio del ICBF de bienes muebles e inmuebles asociados a denuncias de vacantes urbanos y mostrencos o vocaciones hereditarias.
Por tanto, a estos apoderados se les crea usuario en eKOGUI para que registren las gestiones de estos procesos y para que los Coordinadores de los Grupos Jurídicos de las Regionales del ICBF puedan ejercer labores de supervisión y vigilancia de los contratos de participación que se suscriben con los denunciantes, sin embargo, "la Entidad no cuenta con medios medios coercitivos para que estos realizae las capacitaciones, pues no tienen vinculo con la Entidad". Por último, estos mismos 25 usuarios no cuentan con correo de dominio institucional @icbf.gov.co.
Nota No. 4: Se identificó un usuario rol abogado con fecha de última activación en eKOGUI el 28/06/2021.</t>
  </si>
  <si>
    <t>Nota No. 1: De acuerdo con lo indicado en el Instructivo de la ANDJE, se informa que la única fuente para verificación de los datos de los procesos judiciales activos y registrados es el reporte generado desde eKOGUI.
Nota No. 2: Con relación a los cinco (5) procesos con cuantía mayor a 33.000 SMLMV activos, en dos (2) el ICBF actúa en calidad de demandante y en tres (3) hace parte de los demandados.  
Nota No. 3: Respecto a los 26 procesos que se observaron sin calificacción del riesgo, los siguientes 15 no contaban con está calificación porque a 30/06/2021 no se había contestado la demanda: 1.	11001333503020210008900; 2. 68001333301420200013500; 3. 76001333300420200024000; 4. 68001333301320210001100; 5. 44001334000120190005100; 6. 76001333301520200010900; 7. 11001310500120200017500; 8. 08001333301020210011500; 9. 73001333300720200005800; 10. 05001333303120210005700; 11. 11001333603820210006800; 12. 68001333300220210010500; 13. 50001333300120200005500; 14. 44001334000320200003500; 15. 68001310500220210013100.
Nota No. 4: Frente a la condena del proceso con generación de erogación económica, se registra 1 porque se ordenó el pago de prestaciones sociales, pero en la sentencia no se determinó un valor específico a pagar, y por ende no se identificaron procesos con valor condena mayor a cero ($0) .</t>
  </si>
  <si>
    <t>Nota No. 1: Los datos certificados sobre arbitramentos corresponden a los registrados en eKOGUI.</t>
  </si>
  <si>
    <t>Nota No. 1: Los datos certificados sobre prejudiciales corresponden a los registrados en eKOGUI.
Nota No. 2: Se aprecia una inconsistencia dado que se indica "Prejudiciales Terminados Segundo Semestre 2020". Sin embargo, en atención a lo indicado en el instructivo para la remisión de la presente certificación, se registran los datos corresponditentes a los procesos prejudiciales terminados y con última actuación en el transcurso del primer semestre de 2021.</t>
  </si>
  <si>
    <t>Nota No. 1: Con relación a los procesos Judiciales - Procesos por Abogado, es importante precisar que debido a que el Instituto Colombiano de Bienestar Familiar - ICBF tiene 33 Regionales y la Sede de la Dirección General, la distribución de los procesos judiciales no es equitativa entre los Apoderados. Además, la gestión de la representación judicial de la Entidad corresponde a una más de las obligaciones de los Abogados que hacen parte de los Grupos Jurídicos de las Regionales y de los que pertenecen al Grupo de Representación Judicial de la Oficina Asesora Jurídica. 
Por tanto, por ejemplo, se destaca que ocho (8) de los abogados tienen asignados 1006 procesos judiciales interpuestos en contra del Instituto. Y se encuentran creados como usuarios 47 sin procesos asignados porque siendo Coordinadores de los Grupos Jurídicos supervisan y vigilan la gestión de los Apoderados o son los Abogados de los Denunciantes de Bienes Vacantes o Mostrencos por Vocaciones Hereditarias.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</si>
</sst>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33">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14" fontId="0" fillId="2" borderId="9" xfId="0" applyNumberFormat="1" applyFill="1" applyBorder="1" applyProtection="1">
      <protection locked="0"/>
    </xf>
    <xf numFmtId="0" fontId="0" fillId="2" borderId="0" xfId="0" applyFill="1" applyBorder="1" applyProtection="1">
      <protection locked="0"/>
    </xf>
    <xf numFmtId="0" fontId="0" fillId="2" borderId="9" xfId="0" applyFill="1" applyBorder="1" applyAlignment="1" applyProtection="1">
      <protection locked="0"/>
    </xf>
    <xf numFmtId="0" fontId="0" fillId="0" borderId="9" xfId="0"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Border="1" applyAlignment="1">
      <alignment wrapText="1"/>
    </xf>
    <xf numFmtId="0" fontId="0" fillId="0" borderId="9" xfId="0" applyBorder="1" applyAlignment="1">
      <alignment horizontal="center"/>
    </xf>
    <xf numFmtId="0" fontId="0" fillId="2" borderId="22" xfId="0" applyFill="1" applyBorder="1" applyAlignment="1">
      <alignment horizontal="center" vertical="center"/>
    </xf>
    <xf numFmtId="0" fontId="0" fillId="2" borderId="28" xfId="0" applyFill="1" applyBorder="1"/>
    <xf numFmtId="0" fontId="0" fillId="2" borderId="28" xfId="0" applyFill="1" applyBorder="1" applyProtection="1">
      <protection locked="0"/>
    </xf>
    <xf numFmtId="0" fontId="0" fillId="2" borderId="0" xfId="0" applyFill="1" applyBorder="1" applyAlignment="1" applyProtection="1">
      <protection locked="0"/>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0" fillId="2" borderId="27" xfId="0" applyNumberFormat="1" applyFill="1" applyBorder="1" applyProtection="1">
      <protection locked="0"/>
    </xf>
    <xf numFmtId="14" fontId="5" fillId="2" borderId="5" xfId="0" applyNumberFormat="1" applyFont="1" applyFill="1" applyBorder="1"/>
    <xf numFmtId="14" fontId="0" fillId="0" borderId="0" xfId="0" applyNumberFormat="1"/>
    <xf numFmtId="0" fontId="0" fillId="2" borderId="13" xfId="0" applyFill="1" applyBorder="1" applyAlignment="1" applyProtection="1">
      <alignment wrapText="1"/>
      <protection hidden="1"/>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lignment horizontal="center"/>
    </xf>
    <xf numFmtId="0" fontId="0" fillId="2" borderId="26"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0" fillId="0" borderId="20" xfId="0" applyBorder="1" applyAlignment="1" applyProtection="1">
      <alignment horizontal="center"/>
      <protection locked="0"/>
    </xf>
    <xf numFmtId="0" fontId="6" fillId="0" borderId="0" xfId="0" applyFont="1" applyBorder="1" applyAlignment="1">
      <alignment horizontal="center"/>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election activeCell="P16" sqref="P16"/>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84" t="s">
        <v>85</v>
      </c>
      <c r="C3" s="85"/>
      <c r="D3" s="85"/>
      <c r="E3" s="85"/>
      <c r="F3" s="85"/>
      <c r="G3" s="85"/>
      <c r="H3" s="85"/>
      <c r="I3" s="85"/>
      <c r="J3" s="85"/>
      <c r="K3" s="85"/>
      <c r="L3" s="85"/>
      <c r="M3" s="85"/>
      <c r="N3" s="85"/>
      <c r="O3" s="86"/>
    </row>
    <row r="4" spans="2:15" ht="23.25" x14ac:dyDescent="0.35">
      <c r="B4" s="84" t="s">
        <v>11</v>
      </c>
      <c r="C4" s="85"/>
      <c r="D4" s="85"/>
      <c r="E4" s="85"/>
      <c r="F4" s="85"/>
      <c r="G4" s="85"/>
      <c r="H4" s="85"/>
      <c r="I4" s="85"/>
      <c r="J4" s="85"/>
      <c r="K4" s="85"/>
      <c r="L4" s="85"/>
      <c r="M4" s="85"/>
      <c r="N4" s="85"/>
      <c r="O4" s="86"/>
    </row>
    <row r="5" spans="2:15" x14ac:dyDescent="0.25">
      <c r="B5" s="5"/>
      <c r="C5" s="6"/>
      <c r="D5" s="6"/>
      <c r="E5" s="6"/>
      <c r="F5" s="6"/>
      <c r="G5" s="6"/>
      <c r="H5" s="6"/>
      <c r="I5" s="6"/>
      <c r="J5" s="6"/>
      <c r="K5" s="6"/>
      <c r="L5" s="6"/>
      <c r="M5" s="6"/>
      <c r="N5" s="6"/>
      <c r="O5" s="7"/>
    </row>
    <row r="6" spans="2:15" x14ac:dyDescent="0.25">
      <c r="B6" s="5"/>
      <c r="C6" s="87" t="s">
        <v>99</v>
      </c>
      <c r="D6" s="87"/>
      <c r="E6" s="87"/>
      <c r="F6" s="87"/>
      <c r="G6" s="87"/>
      <c r="H6" s="87"/>
      <c r="I6" s="87"/>
      <c r="J6" s="87"/>
      <c r="K6" s="87"/>
      <c r="L6" s="87"/>
      <c r="M6" s="87"/>
      <c r="N6" s="87"/>
      <c r="O6" s="7"/>
    </row>
    <row r="7" spans="2:15" x14ac:dyDescent="0.25">
      <c r="B7" s="5"/>
      <c r="C7" s="87"/>
      <c r="D7" s="87"/>
      <c r="E7" s="87"/>
      <c r="F7" s="87"/>
      <c r="G7" s="87"/>
      <c r="H7" s="87"/>
      <c r="I7" s="87"/>
      <c r="J7" s="87"/>
      <c r="K7" s="87"/>
      <c r="L7" s="87"/>
      <c r="M7" s="87"/>
      <c r="N7" s="87"/>
      <c r="O7" s="7"/>
    </row>
    <row r="8" spans="2:15" x14ac:dyDescent="0.25">
      <c r="B8" s="5"/>
      <c r="C8" s="6"/>
      <c r="D8" s="6"/>
      <c r="E8" s="6"/>
      <c r="F8" s="6"/>
      <c r="G8" s="6"/>
      <c r="H8" s="6"/>
      <c r="I8" s="6"/>
      <c r="J8" s="6"/>
      <c r="K8" s="6"/>
      <c r="L8" s="6"/>
      <c r="M8" s="6"/>
      <c r="N8" s="6"/>
      <c r="O8" s="7"/>
    </row>
    <row r="9" spans="2:15" x14ac:dyDescent="0.25">
      <c r="B9" s="5"/>
      <c r="C9" s="6"/>
      <c r="D9" s="6"/>
      <c r="E9" s="6"/>
      <c r="F9" s="6"/>
      <c r="G9" s="6"/>
      <c r="H9" s="6"/>
      <c r="I9" s="6"/>
      <c r="J9" s="6"/>
      <c r="K9" s="6"/>
      <c r="L9" s="6"/>
      <c r="M9" s="6"/>
      <c r="N9" s="6"/>
      <c r="O9" s="7"/>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6"/>
      <c r="D15" s="6"/>
      <c r="E15" s="6"/>
      <c r="F15" s="6"/>
      <c r="G15" s="6"/>
      <c r="H15" s="6"/>
      <c r="I15" s="6"/>
      <c r="J15" s="6"/>
      <c r="K15" s="6"/>
      <c r="L15" s="6"/>
      <c r="M15" s="6"/>
      <c r="N15" s="6"/>
      <c r="O15" s="7"/>
    </row>
    <row r="16" spans="2:15" x14ac:dyDescent="0.25">
      <c r="B16" s="5"/>
      <c r="C16" s="6"/>
      <c r="D16" s="6"/>
      <c r="E16" s="6"/>
      <c r="F16" s="6"/>
      <c r="G16" s="6"/>
      <c r="H16" s="6"/>
      <c r="I16" s="6"/>
      <c r="J16" s="6"/>
      <c r="K16" s="6"/>
      <c r="L16" s="6"/>
      <c r="M16" s="6"/>
      <c r="N16" s="6"/>
      <c r="O16" s="7"/>
    </row>
    <row r="17" spans="2:15" x14ac:dyDescent="0.25">
      <c r="B17" s="5"/>
      <c r="C17" s="6"/>
      <c r="D17" s="6"/>
      <c r="E17" s="6"/>
      <c r="F17" s="6"/>
      <c r="G17" s="6"/>
      <c r="H17" s="6"/>
      <c r="I17" s="6"/>
      <c r="J17" s="6"/>
      <c r="K17" s="6"/>
      <c r="L17" s="6"/>
      <c r="M17" s="6"/>
      <c r="N17" s="6"/>
      <c r="O17" s="7"/>
    </row>
    <row r="18" spans="2:15" ht="15.75" thickBot="1" x14ac:dyDescent="0.3">
      <c r="B18" s="8"/>
      <c r="C18" s="9"/>
      <c r="D18" s="9"/>
      <c r="E18" s="9"/>
      <c r="F18" s="9"/>
      <c r="G18" s="9"/>
      <c r="H18" s="9"/>
      <c r="I18" s="9"/>
      <c r="J18" s="9"/>
      <c r="K18" s="9"/>
      <c r="L18" s="9"/>
      <c r="M18" s="9"/>
      <c r="N18" s="9"/>
      <c r="O18" s="10"/>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zoomScale="80" zoomScaleNormal="80" workbookViewId="0">
      <selection activeCell="D42" sqref="D42"/>
    </sheetView>
  </sheetViews>
  <sheetFormatPr baseColWidth="10" defaultColWidth="11.42578125"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42"/>
    <col min="10" max="10" width="11.85546875" style="42" bestFit="1" customWidth="1"/>
    <col min="11" max="16384" width="11.42578125" style="1"/>
  </cols>
  <sheetData>
    <row r="5" spans="2:20" ht="15.75" thickBot="1" x14ac:dyDescent="0.3"/>
    <row r="6" spans="2:20" x14ac:dyDescent="0.25">
      <c r="B6" s="11"/>
      <c r="C6" s="12"/>
      <c r="D6" s="12"/>
      <c r="E6" s="12"/>
      <c r="F6" s="12"/>
      <c r="G6" s="13"/>
    </row>
    <row r="7" spans="2:20" ht="21" x14ac:dyDescent="0.35">
      <c r="B7" s="88" t="s">
        <v>117</v>
      </c>
      <c r="C7" s="89"/>
      <c r="D7" s="89"/>
      <c r="E7" s="89"/>
      <c r="F7" s="89"/>
      <c r="G7" s="90"/>
      <c r="T7" s="1" t="s">
        <v>12</v>
      </c>
    </row>
    <row r="8" spans="2:20" ht="15.75" thickBot="1" x14ac:dyDescent="0.3">
      <c r="B8" s="14"/>
      <c r="C8" s="15"/>
      <c r="D8" s="15"/>
      <c r="E8" s="15"/>
      <c r="F8" s="15"/>
      <c r="G8" s="16"/>
      <c r="T8" s="1" t="s">
        <v>13</v>
      </c>
    </row>
    <row r="9" spans="2:20" ht="15.75" thickBot="1" x14ac:dyDescent="0.3">
      <c r="B9" s="93" t="s">
        <v>128</v>
      </c>
      <c r="C9" s="94"/>
      <c r="D9" s="80">
        <v>44378</v>
      </c>
      <c r="E9" s="15"/>
      <c r="F9" s="15"/>
      <c r="G9" s="16"/>
      <c r="T9" s="1" t="s">
        <v>14</v>
      </c>
    </row>
    <row r="10" spans="2:20" x14ac:dyDescent="0.25">
      <c r="B10" s="14"/>
      <c r="C10" s="15"/>
      <c r="D10" s="15"/>
      <c r="E10" s="15"/>
      <c r="F10" s="15"/>
      <c r="G10" s="81">
        <v>43545</v>
      </c>
    </row>
    <row r="11" spans="2:20" x14ac:dyDescent="0.25">
      <c r="B11" s="22" t="s">
        <v>15</v>
      </c>
      <c r="C11" s="23" t="s">
        <v>16</v>
      </c>
      <c r="D11" s="24" t="s">
        <v>6</v>
      </c>
      <c r="E11" s="23" t="s">
        <v>7</v>
      </c>
      <c r="F11" s="23" t="s">
        <v>17</v>
      </c>
      <c r="G11" s="25" t="s">
        <v>87</v>
      </c>
    </row>
    <row r="12" spans="2:20" x14ac:dyDescent="0.25">
      <c r="B12" s="21" t="s">
        <v>0</v>
      </c>
      <c r="C12" s="57" t="s">
        <v>12</v>
      </c>
      <c r="D12" s="59">
        <v>44391</v>
      </c>
      <c r="E12" s="58" t="s">
        <v>165</v>
      </c>
      <c r="F12" s="59">
        <v>44391</v>
      </c>
      <c r="G12" s="56" t="str">
        <f>+IF(C12="SI",IF(F12&lt;$G$10,"DESACTUALIZADO",""),"")</f>
        <v/>
      </c>
      <c r="H12" s="42">
        <f t="shared" ref="H12:H17" si="0">+IF(C12="N/A",1,0)</f>
        <v>0</v>
      </c>
      <c r="I12" s="42">
        <f t="shared" ref="I12:I17" si="1">+IF(C12="Si",1,0)</f>
        <v>1</v>
      </c>
      <c r="J12" s="42">
        <f t="shared" ref="J12:J17" si="2">+IF(C12="No",1,0)</f>
        <v>0</v>
      </c>
    </row>
    <row r="13" spans="2:20" x14ac:dyDescent="0.25">
      <c r="B13" s="21" t="s">
        <v>1</v>
      </c>
      <c r="C13" s="57" t="s">
        <v>12</v>
      </c>
      <c r="D13" s="60">
        <v>43740</v>
      </c>
      <c r="E13" s="58" t="s">
        <v>159</v>
      </c>
      <c r="F13" s="59">
        <v>43623</v>
      </c>
      <c r="G13" s="56" t="str">
        <f t="shared" ref="G13:G17" si="3">+IF(C13="SI",IF(F13&lt;$G$10,"DESACTUALIZADO",""),"")</f>
        <v/>
      </c>
      <c r="H13" s="42">
        <f t="shared" si="0"/>
        <v>0</v>
      </c>
      <c r="I13" s="42">
        <f t="shared" si="1"/>
        <v>1</v>
      </c>
      <c r="J13" s="42">
        <f t="shared" si="2"/>
        <v>0</v>
      </c>
    </row>
    <row r="14" spans="2:20" x14ac:dyDescent="0.25">
      <c r="B14" s="21" t="s">
        <v>2</v>
      </c>
      <c r="C14" s="57" t="s">
        <v>12</v>
      </c>
      <c r="D14" s="60">
        <v>43630</v>
      </c>
      <c r="E14" s="58" t="s">
        <v>160</v>
      </c>
      <c r="F14" s="59">
        <v>44391</v>
      </c>
      <c r="G14" s="56" t="str">
        <f t="shared" si="3"/>
        <v/>
      </c>
      <c r="H14" s="42">
        <f t="shared" si="0"/>
        <v>0</v>
      </c>
      <c r="I14" s="42">
        <f t="shared" si="1"/>
        <v>1</v>
      </c>
      <c r="J14" s="42">
        <f t="shared" si="2"/>
        <v>0</v>
      </c>
      <c r="T14" s="49">
        <v>43545</v>
      </c>
    </row>
    <row r="15" spans="2:20" x14ac:dyDescent="0.25">
      <c r="B15" s="21" t="s">
        <v>3</v>
      </c>
      <c r="C15" s="57" t="s">
        <v>12</v>
      </c>
      <c r="D15" s="60">
        <v>42829</v>
      </c>
      <c r="E15" s="58" t="s">
        <v>162</v>
      </c>
      <c r="F15" s="59">
        <v>44055</v>
      </c>
      <c r="G15" s="56" t="str">
        <f t="shared" si="3"/>
        <v/>
      </c>
      <c r="H15" s="42">
        <f t="shared" si="0"/>
        <v>0</v>
      </c>
      <c r="I15" s="42">
        <f t="shared" si="1"/>
        <v>1</v>
      </c>
      <c r="J15" s="42">
        <f t="shared" si="2"/>
        <v>0</v>
      </c>
    </row>
    <row r="16" spans="2:20" x14ac:dyDescent="0.25">
      <c r="B16" s="21" t="s">
        <v>4</v>
      </c>
      <c r="C16" s="57" t="s">
        <v>12</v>
      </c>
      <c r="D16" s="60">
        <v>43762</v>
      </c>
      <c r="E16" s="58" t="s">
        <v>161</v>
      </c>
      <c r="F16" s="59">
        <v>44301</v>
      </c>
      <c r="G16" s="56" t="str">
        <f t="shared" si="3"/>
        <v/>
      </c>
      <c r="H16" s="42">
        <f t="shared" si="0"/>
        <v>0</v>
      </c>
      <c r="I16" s="42">
        <f t="shared" si="1"/>
        <v>1</v>
      </c>
      <c r="J16" s="42">
        <f t="shared" si="2"/>
        <v>0</v>
      </c>
    </row>
    <row r="17" spans="2:10" x14ac:dyDescent="0.25">
      <c r="B17" s="21" t="s">
        <v>5</v>
      </c>
      <c r="C17" s="57" t="s">
        <v>12</v>
      </c>
      <c r="D17" s="60">
        <v>44214</v>
      </c>
      <c r="E17" s="58" t="s">
        <v>159</v>
      </c>
      <c r="F17" s="59">
        <v>44225</v>
      </c>
      <c r="G17" s="56" t="str">
        <f t="shared" si="3"/>
        <v/>
      </c>
      <c r="H17" s="42">
        <f t="shared" si="0"/>
        <v>0</v>
      </c>
      <c r="I17" s="42">
        <f t="shared" si="1"/>
        <v>1</v>
      </c>
      <c r="J17" s="42">
        <f t="shared" si="2"/>
        <v>0</v>
      </c>
    </row>
    <row r="18" spans="2:10" x14ac:dyDescent="0.25">
      <c r="B18" s="14"/>
      <c r="C18" s="15"/>
      <c r="D18" s="15"/>
      <c r="E18" s="15"/>
      <c r="F18" s="15"/>
      <c r="G18" s="16"/>
    </row>
    <row r="19" spans="2:10" ht="94.5" customHeight="1" thickBot="1" x14ac:dyDescent="0.3">
      <c r="B19" s="72" t="s">
        <v>102</v>
      </c>
      <c r="C19" s="91" t="s">
        <v>166</v>
      </c>
      <c r="D19" s="91"/>
      <c r="E19" s="91"/>
      <c r="F19" s="91"/>
      <c r="G19" s="92"/>
    </row>
  </sheetData>
  <sheetProtection algorithmName="SHA-512" hashValue="678u2HcNEL4JGQ7xicFOz0k/sSoNaoiSp508kdxKxvQ4eapnU6CIE2xIBkOiWu553Z3j5D2BJ48a0s2IoPgf1g==" saltValue="i8uwVTOFvUGJfKZ99Y2WrA==" spinCount="100000" sheet="1" objects="1" scenarios="1"/>
  <mergeCells count="3">
    <mergeCell ref="B7:G7"/>
    <mergeCell ref="C19:G19"/>
    <mergeCell ref="B9:C9"/>
  </mergeCells>
  <dataValidations count="3">
    <dataValidation type="list" allowBlank="1" showInputMessage="1" showErrorMessage="1" sqref="C12:C17" xr:uid="{00000000-0002-0000-0100-000001000000}">
      <formula1>$T$7:$T$9</formula1>
    </dataValidation>
    <dataValidation type="date" allowBlank="1" showInputMessage="1" showErrorMessage="1" sqref="D9" xr:uid="{0695AC47-2643-4296-9D5B-F263ED290FA5}">
      <formula1>44378</formula1>
      <formula2>44439</formula2>
    </dataValidation>
    <dataValidation type="date" allowBlank="1" showInputMessage="1" showErrorMessage="1" sqref="D12:D17 F12:F17" xr:uid="{1D03F651-1DE0-4826-BD43-5787EEA45BD9}">
      <formula1>40544</formula1>
      <formula2>44439</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5"/>
  <sheetViews>
    <sheetView showGridLines="0" workbookViewId="0">
      <selection activeCell="J22" sqref="J22"/>
    </sheetView>
  </sheetViews>
  <sheetFormatPr baseColWidth="10" defaultColWidth="11.42578125" defaultRowHeight="15" x14ac:dyDescent="0.25"/>
  <cols>
    <col min="1" max="1" width="3.85546875" style="1" customWidth="1"/>
    <col min="2" max="2" width="11.42578125" style="1"/>
    <col min="3" max="3" width="48.140625" style="1" bestFit="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+IF(D12&lt;=10,D12,IF(ROUNDDOWN(D12*10%,0)&lt;10,10,ROUNDDOWN(D12*10%,0)))</f>
        <v>16</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17.25" customHeight="1" x14ac:dyDescent="0.35">
      <c r="B7" s="14"/>
      <c r="C7" s="20" t="s">
        <v>118</v>
      </c>
      <c r="D7" s="60">
        <v>44378</v>
      </c>
      <c r="E7" s="26"/>
      <c r="F7" s="95" t="str">
        <f>"Seleccione una muestra de "&amp;V3&amp;" abogados activos y complete la siguiente tabla"</f>
        <v>Seleccione una muestra de 16 abogados activos y complete la siguiente tabla</v>
      </c>
      <c r="G7" s="96"/>
      <c r="H7" s="33"/>
    </row>
    <row r="8" spans="2:22" x14ac:dyDescent="0.25">
      <c r="B8" s="14"/>
      <c r="D8" s="15"/>
      <c r="E8" s="15"/>
      <c r="F8" s="97"/>
      <c r="G8" s="98"/>
      <c r="H8" s="16"/>
      <c r="T8" s="1" t="s">
        <v>13</v>
      </c>
    </row>
    <row r="9" spans="2:22" ht="23.25" x14ac:dyDescent="0.25">
      <c r="B9" s="14"/>
      <c r="C9" s="34" t="s">
        <v>134</v>
      </c>
      <c r="E9" s="6"/>
      <c r="F9" s="24" t="s">
        <v>106</v>
      </c>
      <c r="G9" s="24" t="s">
        <v>19</v>
      </c>
      <c r="H9" s="16"/>
      <c r="T9" s="1" t="s">
        <v>14</v>
      </c>
    </row>
    <row r="10" spans="2:22" x14ac:dyDescent="0.25">
      <c r="B10" s="14"/>
      <c r="C10" s="23" t="s">
        <v>135</v>
      </c>
      <c r="D10" s="23" t="s">
        <v>23</v>
      </c>
      <c r="E10" s="6"/>
      <c r="F10" s="20" t="s">
        <v>103</v>
      </c>
      <c r="G10" s="57">
        <v>14</v>
      </c>
      <c r="H10" s="16"/>
    </row>
    <row r="11" spans="2:22" x14ac:dyDescent="0.25">
      <c r="B11" s="14"/>
      <c r="C11" s="20" t="s">
        <v>21</v>
      </c>
      <c r="D11" s="57">
        <v>167</v>
      </c>
      <c r="E11" s="6"/>
      <c r="F11" s="20" t="s">
        <v>104</v>
      </c>
      <c r="G11" s="57">
        <v>16</v>
      </c>
      <c r="H11" s="16"/>
    </row>
    <row r="12" spans="2:22" x14ac:dyDescent="0.25">
      <c r="B12" s="14"/>
      <c r="C12" s="20" t="s">
        <v>22</v>
      </c>
      <c r="D12" s="57">
        <v>167</v>
      </c>
      <c r="E12" s="6"/>
      <c r="F12" s="20" t="s">
        <v>105</v>
      </c>
      <c r="G12" s="57">
        <v>14</v>
      </c>
      <c r="H12" s="16"/>
    </row>
    <row r="13" spans="2:22" x14ac:dyDescent="0.25">
      <c r="B13" s="14"/>
      <c r="C13" s="20" t="s">
        <v>26</v>
      </c>
      <c r="D13" s="57">
        <f>167-19</f>
        <v>148</v>
      </c>
      <c r="E13" s="6"/>
      <c r="F13" s="53" t="s">
        <v>111</v>
      </c>
      <c r="G13" s="52"/>
      <c r="H13" s="16"/>
    </row>
    <row r="14" spans="2:22" x14ac:dyDescent="0.25">
      <c r="B14" s="14"/>
      <c r="C14" s="20" t="s">
        <v>20</v>
      </c>
      <c r="D14" s="57">
        <v>120</v>
      </c>
      <c r="E14" s="6"/>
      <c r="F14" s="54" t="s">
        <v>112</v>
      </c>
      <c r="G14" s="55"/>
      <c r="H14" s="16"/>
    </row>
    <row r="15" spans="2:22" x14ac:dyDescent="0.25">
      <c r="B15" s="14"/>
      <c r="E15" s="6"/>
      <c r="H15" s="16"/>
    </row>
    <row r="16" spans="2:22" x14ac:dyDescent="0.25">
      <c r="B16" s="14"/>
      <c r="C16" s="23" t="s">
        <v>24</v>
      </c>
      <c r="D16" s="23" t="s">
        <v>23</v>
      </c>
      <c r="E16" s="6"/>
      <c r="F16" s="24" t="s">
        <v>115</v>
      </c>
      <c r="G16" s="24" t="s">
        <v>19</v>
      </c>
      <c r="H16" s="16"/>
    </row>
    <row r="17" spans="2:8" x14ac:dyDescent="0.25">
      <c r="B17" s="14"/>
      <c r="C17" s="20" t="s">
        <v>137</v>
      </c>
      <c r="D17" s="57">
        <v>35</v>
      </c>
      <c r="E17" s="6"/>
      <c r="F17" s="20" t="s">
        <v>119</v>
      </c>
      <c r="G17" s="57">
        <v>115</v>
      </c>
      <c r="H17" s="16"/>
    </row>
    <row r="18" spans="2:8" x14ac:dyDescent="0.25">
      <c r="B18" s="14"/>
      <c r="C18" s="20" t="s">
        <v>136</v>
      </c>
      <c r="D18" s="57">
        <v>35</v>
      </c>
      <c r="E18" s="6"/>
      <c r="F18" s="50" t="s">
        <v>88</v>
      </c>
      <c r="G18" s="57">
        <v>4</v>
      </c>
      <c r="H18" s="16"/>
    </row>
    <row r="19" spans="2:8" x14ac:dyDescent="0.25">
      <c r="B19" s="14"/>
      <c r="C19" s="67"/>
      <c r="E19" s="6"/>
      <c r="F19" s="20" t="s">
        <v>108</v>
      </c>
      <c r="G19" s="57">
        <v>6</v>
      </c>
      <c r="H19" s="16"/>
    </row>
    <row r="20" spans="2:8" ht="15.75" thickBot="1" x14ac:dyDescent="0.3">
      <c r="B20" s="14"/>
      <c r="C20" s="67" t="s">
        <v>107</v>
      </c>
      <c r="D20" s="75"/>
      <c r="E20" s="6"/>
      <c r="F20" s="73" t="s">
        <v>25</v>
      </c>
      <c r="G20" s="74">
        <v>42</v>
      </c>
      <c r="H20" s="16"/>
    </row>
    <row r="21" spans="2:8" x14ac:dyDescent="0.25">
      <c r="B21" s="14"/>
      <c r="C21" s="99" t="s">
        <v>167</v>
      </c>
      <c r="D21" s="100"/>
      <c r="E21" s="100"/>
      <c r="F21" s="100"/>
      <c r="G21" s="101"/>
      <c r="H21" s="16"/>
    </row>
    <row r="22" spans="2:8" x14ac:dyDescent="0.25">
      <c r="B22" s="14"/>
      <c r="C22" s="102"/>
      <c r="D22" s="103"/>
      <c r="E22" s="103"/>
      <c r="F22" s="103"/>
      <c r="G22" s="104"/>
      <c r="H22" s="16"/>
    </row>
    <row r="23" spans="2:8" x14ac:dyDescent="0.25">
      <c r="B23" s="14"/>
      <c r="C23" s="102"/>
      <c r="D23" s="103"/>
      <c r="E23" s="103"/>
      <c r="F23" s="103"/>
      <c r="G23" s="104"/>
      <c r="H23" s="16"/>
    </row>
    <row r="24" spans="2:8" ht="15.75" thickBot="1" x14ac:dyDescent="0.3">
      <c r="B24" s="14"/>
      <c r="C24" s="105"/>
      <c r="D24" s="106"/>
      <c r="E24" s="106"/>
      <c r="F24" s="106"/>
      <c r="G24" s="107"/>
      <c r="H24" s="16"/>
    </row>
    <row r="25" spans="2:8" ht="15.75" thickBot="1" x14ac:dyDescent="0.3">
      <c r="B25" s="17"/>
      <c r="C25" s="18"/>
      <c r="D25" s="18"/>
      <c r="E25" s="18"/>
      <c r="F25" s="18"/>
      <c r="G25" s="18"/>
      <c r="H25" s="19"/>
    </row>
  </sheetData>
  <sheetProtection algorithmName="SHA-512" hashValue="rb/3VNYOaOrNAKfVd2Bu97DAaTMB+8ludFMeJSLRVTY3sRYluz0fBeQimwuoyy+y566A+D8mXHiEMGfHIWwLyA==" saltValue="23gwLC8xRSDKhOIJw8RYyg==" spinCount="100000" sheet="1"/>
  <mergeCells count="2">
    <mergeCell ref="F7:G8"/>
    <mergeCell ref="C21:G24"/>
  </mergeCells>
  <dataValidations count="1">
    <dataValidation type="date" allowBlank="1" showInputMessage="1" showErrorMessage="1" sqref="D7" xr:uid="{00000000-0002-0000-0200-000000000000}">
      <formula1>44378</formula1>
      <formula2>44439</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A3" zoomScale="98" zoomScaleNormal="98" workbookViewId="0">
      <selection activeCell="D46" sqref="D46"/>
    </sheetView>
  </sheetViews>
  <sheetFormatPr baseColWidth="10" defaultColWidth="11.42578125" defaultRowHeight="15" x14ac:dyDescent="0.25"/>
  <cols>
    <col min="1" max="1" width="3.85546875" style="1" customWidth="1"/>
    <col min="2" max="2" width="11.42578125" style="1"/>
    <col min="3" max="3" width="56.5703125" style="1" bestFit="1" customWidth="1"/>
    <col min="4" max="4" width="15.28515625" style="1" customWidth="1"/>
    <col min="5" max="5" width="6.28515625" style="1" customWidth="1"/>
    <col min="6" max="6" width="55.85546875" style="1" bestFit="1" customWidth="1"/>
    <col min="7" max="7" width="11.2851562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29"/>
      <c r="C2" s="30"/>
      <c r="D2" s="30"/>
      <c r="E2" s="30"/>
      <c r="F2" s="30"/>
      <c r="G2" s="30"/>
      <c r="H2" s="30"/>
      <c r="I2" s="31"/>
    </row>
    <row r="3" spans="2:23" x14ac:dyDescent="0.25">
      <c r="B3" s="14"/>
      <c r="C3" s="15"/>
      <c r="D3" s="15"/>
      <c r="E3" s="15"/>
      <c r="F3" s="15"/>
      <c r="G3" s="15"/>
      <c r="H3" s="15"/>
      <c r="I3" s="16"/>
      <c r="W3" s="28">
        <f>+IF(D17&lt;=10,D17,IF(ROUNDDOWN(D17*10%,0)&lt;10,10,ROUNDDOWN(D17*10%,0)))</f>
        <v>11</v>
      </c>
    </row>
    <row r="4" spans="2:23" x14ac:dyDescent="0.25">
      <c r="B4" s="14"/>
      <c r="C4" s="15"/>
      <c r="D4" s="15"/>
      <c r="E4" s="15"/>
      <c r="F4" s="15"/>
      <c r="G4" s="15"/>
      <c r="H4" s="15"/>
      <c r="I4" s="16"/>
    </row>
    <row r="5" spans="2:23" ht="9" customHeight="1" x14ac:dyDescent="0.25">
      <c r="B5" s="14"/>
      <c r="C5" s="15"/>
      <c r="D5" s="15"/>
      <c r="E5" s="15"/>
      <c r="F5" s="15"/>
      <c r="G5" s="15"/>
      <c r="H5" s="15"/>
      <c r="I5" s="16"/>
    </row>
    <row r="6" spans="2:23" ht="19.5" customHeight="1" x14ac:dyDescent="0.25">
      <c r="B6" s="14"/>
      <c r="C6" s="111" t="s">
        <v>74</v>
      </c>
      <c r="D6" s="111"/>
      <c r="E6" s="111"/>
      <c r="F6" s="111"/>
      <c r="G6" s="111"/>
      <c r="H6" s="111"/>
      <c r="I6" s="33"/>
    </row>
    <row r="7" spans="2:23" x14ac:dyDescent="0.25">
      <c r="B7" s="14"/>
      <c r="C7" s="15"/>
      <c r="D7" s="15"/>
      <c r="E7" s="15"/>
      <c r="F7" s="15"/>
      <c r="G7" s="15"/>
      <c r="H7" s="15"/>
      <c r="I7" s="16"/>
      <c r="U7" s="1" t="s">
        <v>13</v>
      </c>
    </row>
    <row r="8" spans="2:23" x14ac:dyDescent="0.25">
      <c r="B8" s="14"/>
      <c r="C8" s="23" t="s">
        <v>120</v>
      </c>
      <c r="D8" s="60">
        <v>44378</v>
      </c>
      <c r="E8" s="6"/>
      <c r="F8" s="37" t="s">
        <v>114</v>
      </c>
      <c r="G8" s="37" t="s">
        <v>18</v>
      </c>
      <c r="H8" s="15"/>
      <c r="I8" s="16"/>
      <c r="U8" s="1" t="s">
        <v>14</v>
      </c>
    </row>
    <row r="9" spans="2:23" x14ac:dyDescent="0.25">
      <c r="B9" s="14"/>
      <c r="E9" s="6"/>
      <c r="F9" s="20" t="s">
        <v>27</v>
      </c>
      <c r="G9" s="57">
        <v>5</v>
      </c>
      <c r="H9" s="15"/>
      <c r="I9" s="16"/>
    </row>
    <row r="10" spans="2:23" x14ac:dyDescent="0.25">
      <c r="B10" s="14"/>
      <c r="C10" s="23" t="s">
        <v>139</v>
      </c>
      <c r="D10" s="23" t="s">
        <v>23</v>
      </c>
      <c r="E10" s="6"/>
      <c r="F10" s="20" t="s">
        <v>66</v>
      </c>
      <c r="G10" s="57">
        <v>5</v>
      </c>
      <c r="H10" s="15"/>
      <c r="I10" s="16"/>
    </row>
    <row r="11" spans="2:23" x14ac:dyDescent="0.25">
      <c r="B11" s="14"/>
      <c r="C11" s="20" t="s">
        <v>28</v>
      </c>
      <c r="D11" s="57">
        <v>3109</v>
      </c>
      <c r="E11" s="6"/>
      <c r="F11" s="20" t="s">
        <v>91</v>
      </c>
      <c r="G11" s="57">
        <v>5</v>
      </c>
      <c r="H11" s="15"/>
      <c r="I11" s="16"/>
    </row>
    <row r="12" spans="2:23" x14ac:dyDescent="0.25">
      <c r="B12" s="14"/>
      <c r="C12" s="20" t="s">
        <v>29</v>
      </c>
      <c r="D12" s="57">
        <v>3109</v>
      </c>
      <c r="E12" s="6"/>
      <c r="F12" s="38" t="s">
        <v>154</v>
      </c>
      <c r="I12" s="16"/>
    </row>
    <row r="13" spans="2:23" x14ac:dyDescent="0.25">
      <c r="B13" s="14"/>
      <c r="C13" s="20" t="s">
        <v>89</v>
      </c>
      <c r="D13" s="57">
        <v>0</v>
      </c>
      <c r="E13" s="6"/>
      <c r="F13" s="38" t="s">
        <v>92</v>
      </c>
      <c r="I13" s="16"/>
    </row>
    <row r="14" spans="2:23" x14ac:dyDescent="0.25">
      <c r="B14" s="14"/>
      <c r="C14" s="38" t="s">
        <v>155</v>
      </c>
      <c r="E14" s="6"/>
      <c r="F14" s="24" t="s">
        <v>34</v>
      </c>
      <c r="G14" s="24" t="s">
        <v>23</v>
      </c>
      <c r="I14" s="16"/>
    </row>
    <row r="15" spans="2:23" x14ac:dyDescent="0.25">
      <c r="B15" s="14"/>
      <c r="C15" s="23" t="s">
        <v>138</v>
      </c>
      <c r="D15" s="23" t="s">
        <v>23</v>
      </c>
      <c r="E15" s="6"/>
      <c r="F15" s="20" t="s">
        <v>142</v>
      </c>
      <c r="G15" s="57">
        <v>2501</v>
      </c>
      <c r="I15" s="16"/>
    </row>
    <row r="16" spans="2:23" x14ac:dyDescent="0.25">
      <c r="B16" s="14"/>
      <c r="C16" s="20" t="s">
        <v>156</v>
      </c>
      <c r="D16" s="57">
        <v>119</v>
      </c>
      <c r="E16" s="6"/>
      <c r="F16" s="20" t="s">
        <v>143</v>
      </c>
      <c r="G16" s="57">
        <v>2448</v>
      </c>
      <c r="H16" s="15"/>
      <c r="I16" s="16"/>
    </row>
    <row r="17" spans="2:9" x14ac:dyDescent="0.25">
      <c r="B17" s="14"/>
      <c r="C17" s="20" t="s">
        <v>157</v>
      </c>
      <c r="D17" s="57">
        <v>119</v>
      </c>
      <c r="E17" s="6"/>
      <c r="F17" s="20" t="s">
        <v>144</v>
      </c>
      <c r="G17" s="57">
        <v>27</v>
      </c>
      <c r="H17" s="15"/>
      <c r="I17" s="16"/>
    </row>
    <row r="18" spans="2:9" x14ac:dyDescent="0.25">
      <c r="B18" s="14"/>
      <c r="C18" s="38" t="s">
        <v>158</v>
      </c>
      <c r="E18" s="6"/>
      <c r="F18" s="20" t="s">
        <v>36</v>
      </c>
      <c r="G18" s="57">
        <v>26</v>
      </c>
      <c r="H18" s="15"/>
      <c r="I18" s="16"/>
    </row>
    <row r="19" spans="2:9" x14ac:dyDescent="0.25">
      <c r="B19" s="14"/>
      <c r="E19" s="6"/>
      <c r="H19" s="15"/>
      <c r="I19" s="16"/>
    </row>
    <row r="20" spans="2:9" ht="29.25" customHeight="1" x14ac:dyDescent="0.25">
      <c r="B20" s="14"/>
      <c r="C20" s="51" t="s">
        <v>33</v>
      </c>
      <c r="D20" s="51" t="s">
        <v>23</v>
      </c>
      <c r="E20" s="6"/>
      <c r="F20" s="39" t="s">
        <v>113</v>
      </c>
      <c r="G20" s="39" t="s">
        <v>31</v>
      </c>
      <c r="H20" s="40" t="s">
        <v>73</v>
      </c>
      <c r="I20" s="16"/>
    </row>
    <row r="21" spans="2:9" x14ac:dyDescent="0.25">
      <c r="B21" s="14"/>
      <c r="C21" s="68" t="s">
        <v>140</v>
      </c>
      <c r="D21" s="69">
        <v>4013</v>
      </c>
      <c r="E21" s="6"/>
      <c r="F21" s="20" t="s">
        <v>69</v>
      </c>
      <c r="G21" s="57">
        <v>411</v>
      </c>
      <c r="H21" s="57">
        <v>0</v>
      </c>
      <c r="I21" s="16"/>
    </row>
    <row r="22" spans="2:9" ht="15" customHeight="1" x14ac:dyDescent="0.25">
      <c r="B22" s="14"/>
      <c r="C22" s="68" t="s">
        <v>90</v>
      </c>
      <c r="D22" s="69">
        <v>44</v>
      </c>
      <c r="E22" s="6"/>
      <c r="F22" s="20" t="s">
        <v>70</v>
      </c>
      <c r="G22" s="57">
        <v>832</v>
      </c>
      <c r="H22" s="57">
        <v>831</v>
      </c>
      <c r="I22" s="16"/>
    </row>
    <row r="23" spans="2:9" ht="24.75" x14ac:dyDescent="0.25">
      <c r="B23" s="14"/>
      <c r="C23" s="79" t="s">
        <v>141</v>
      </c>
      <c r="D23" s="79"/>
      <c r="E23" s="6"/>
      <c r="F23" s="20" t="s">
        <v>71</v>
      </c>
      <c r="G23" s="57">
        <v>421</v>
      </c>
      <c r="H23" s="57">
        <v>421</v>
      </c>
      <c r="I23" s="16"/>
    </row>
    <row r="24" spans="2:9" x14ac:dyDescent="0.25">
      <c r="B24" s="14"/>
      <c r="C24" s="15"/>
      <c r="E24" s="6"/>
      <c r="F24" s="20" t="s">
        <v>72</v>
      </c>
      <c r="G24" s="57">
        <v>811</v>
      </c>
      <c r="H24" s="57">
        <v>811</v>
      </c>
      <c r="I24" s="16"/>
    </row>
    <row r="25" spans="2:9" ht="30" customHeight="1" x14ac:dyDescent="0.25">
      <c r="B25" s="14"/>
      <c r="C25" s="83" t="str">
        <f>"Seleccione "&amp;W3&amp;" procesos teminados en el  primer semestre de 2021 y llene la siguiente tabla:"</f>
        <v>Seleccione 11 procesos teminados en el  primer semestre de 2021 y llene la siguiente tabla:</v>
      </c>
      <c r="D25" s="76"/>
      <c r="E25" s="6"/>
      <c r="F25" s="112" t="s">
        <v>145</v>
      </c>
      <c r="G25" s="112"/>
      <c r="H25" s="112"/>
      <c r="I25" s="16"/>
    </row>
    <row r="26" spans="2:9" ht="15.75" thickBot="1" x14ac:dyDescent="0.3">
      <c r="B26" s="14"/>
      <c r="C26" s="77"/>
      <c r="D26" s="78"/>
      <c r="E26" s="6"/>
      <c r="F26" s="70"/>
      <c r="G26" s="15"/>
      <c r="H26" s="15"/>
      <c r="I26" s="16"/>
    </row>
    <row r="27" spans="2:9" ht="15.75" thickBot="1" x14ac:dyDescent="0.3">
      <c r="B27" s="14"/>
      <c r="C27" s="51" t="s">
        <v>101</v>
      </c>
      <c r="D27" s="51" t="s">
        <v>23</v>
      </c>
      <c r="E27" s="6"/>
      <c r="F27" s="108" t="s">
        <v>100</v>
      </c>
      <c r="G27" s="109"/>
      <c r="H27" s="110"/>
      <c r="I27" s="16"/>
    </row>
    <row r="28" spans="2:9" x14ac:dyDescent="0.25">
      <c r="B28" s="14"/>
      <c r="C28" s="20" t="s">
        <v>93</v>
      </c>
      <c r="D28" s="57">
        <v>11</v>
      </c>
      <c r="E28" s="6"/>
      <c r="F28" s="99" t="s">
        <v>168</v>
      </c>
      <c r="G28" s="100"/>
      <c r="H28" s="101"/>
      <c r="I28" s="16"/>
    </row>
    <row r="29" spans="2:9" x14ac:dyDescent="0.25">
      <c r="B29" s="14"/>
      <c r="C29" s="20" t="s">
        <v>94</v>
      </c>
      <c r="D29" s="57">
        <v>9</v>
      </c>
      <c r="E29" s="6"/>
      <c r="F29" s="102"/>
      <c r="G29" s="103"/>
      <c r="H29" s="104"/>
      <c r="I29" s="16"/>
    </row>
    <row r="30" spans="2:9" x14ac:dyDescent="0.25">
      <c r="B30" s="14"/>
      <c r="C30" s="20" t="s">
        <v>95</v>
      </c>
      <c r="D30" s="57">
        <v>1</v>
      </c>
      <c r="E30" s="6"/>
      <c r="F30" s="102"/>
      <c r="G30" s="103"/>
      <c r="H30" s="104"/>
      <c r="I30" s="16"/>
    </row>
    <row r="31" spans="2:9" x14ac:dyDescent="0.25">
      <c r="B31" s="14"/>
      <c r="C31" s="20" t="s">
        <v>96</v>
      </c>
      <c r="D31" s="57">
        <v>1</v>
      </c>
      <c r="E31" s="6"/>
      <c r="F31" s="102"/>
      <c r="G31" s="103"/>
      <c r="H31" s="104"/>
      <c r="I31" s="16"/>
    </row>
    <row r="32" spans="2:9" x14ac:dyDescent="0.25">
      <c r="B32" s="14"/>
      <c r="C32" s="20" t="s">
        <v>97</v>
      </c>
      <c r="D32" s="57">
        <v>0</v>
      </c>
      <c r="E32" s="6"/>
      <c r="F32" s="102"/>
      <c r="G32" s="103"/>
      <c r="H32" s="104"/>
      <c r="I32" s="16"/>
    </row>
    <row r="33" spans="2:9" ht="15.75" thickBot="1" x14ac:dyDescent="0.3">
      <c r="B33" s="14"/>
      <c r="C33" s="15"/>
      <c r="E33" s="6"/>
      <c r="F33" s="105"/>
      <c r="G33" s="106"/>
      <c r="H33" s="107"/>
      <c r="I33" s="16"/>
    </row>
    <row r="34" spans="2:9" ht="15.75" thickBot="1" x14ac:dyDescent="0.3">
      <c r="B34" s="17"/>
      <c r="C34" s="18"/>
      <c r="D34" s="18"/>
      <c r="E34" s="18"/>
      <c r="F34" s="18"/>
      <c r="G34" s="18"/>
      <c r="H34" s="18"/>
      <c r="I34" s="19"/>
    </row>
  </sheetData>
  <sheetProtection algorithmName="SHA-512" hashValue="1LQzvxd3FK+E90SQLLzX5Rai2EmYBOBma43kWnmDwskYenMl6bYZx6NaN4CKcWv/yZGRSCPbvwyj2t2pdqNHcA==" saltValue="YE6ZbfAsPhu0GVoeu6CeMg==" spinCount="100000" sheet="1" objects="1" scenarios="1"/>
  <mergeCells count="4">
    <mergeCell ref="F27:H27"/>
    <mergeCell ref="F28:H33"/>
    <mergeCell ref="C6:H6"/>
    <mergeCell ref="F25:H25"/>
  </mergeCells>
  <dataValidations count="1">
    <dataValidation type="date" allowBlank="1" showInputMessage="1" showErrorMessage="1" sqref="D8" xr:uid="{643015F8-9CCD-4076-9060-ADC116C40B4F}">
      <formula1>44378</formula1>
      <formula2>44439</formula2>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workbookViewId="0">
      <selection activeCell="G12" sqref="G12"/>
    </sheetView>
  </sheetViews>
  <sheetFormatPr baseColWidth="10" defaultColWidth="11.42578125" defaultRowHeight="15" x14ac:dyDescent="0.25"/>
  <cols>
    <col min="1" max="1" width="3.85546875" style="1" customWidth="1"/>
    <col min="2" max="2" width="11.42578125" style="1"/>
    <col min="3" max="3" width="50.85546875" style="1" bestFit="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c r="V2" s="1">
        <f>+D13+D14</f>
        <v>66</v>
      </c>
    </row>
    <row r="3" spans="2:22" x14ac:dyDescent="0.25">
      <c r="B3" s="14"/>
      <c r="C3" s="15"/>
      <c r="D3" s="15"/>
      <c r="E3" s="15"/>
      <c r="F3" s="15"/>
      <c r="G3" s="15"/>
      <c r="H3" s="16"/>
      <c r="V3" s="28">
        <f>+IF(V2&lt;=20,V2,IF(ROUNDDOWN(V2*10%,0)&lt;20,20,ROUNDDOWN(V2*10%,0)))</f>
        <v>20</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x14ac:dyDescent="0.25">
      <c r="B7" s="14"/>
      <c r="C7" s="111" t="s">
        <v>56</v>
      </c>
      <c r="D7" s="111"/>
      <c r="E7" s="111"/>
      <c r="F7" s="111"/>
      <c r="G7" s="111"/>
      <c r="H7" s="33"/>
    </row>
    <row r="8" spans="2:22" x14ac:dyDescent="0.25">
      <c r="B8" s="14"/>
      <c r="C8" s="15"/>
      <c r="D8" s="15"/>
      <c r="E8" s="15"/>
      <c r="H8" s="16"/>
      <c r="T8" s="1" t="s">
        <v>13</v>
      </c>
    </row>
    <row r="9" spans="2:22" ht="15" customHeight="1" x14ac:dyDescent="0.25">
      <c r="B9" s="14"/>
      <c r="C9" s="23" t="s">
        <v>146</v>
      </c>
      <c r="D9" s="23" t="s">
        <v>23</v>
      </c>
      <c r="E9" s="6"/>
      <c r="F9" s="95" t="str">
        <f>"Seleccione una muestra de "&amp;V3&amp;" prejudiciales activos registrados antes de 31 de diciembre de 2020 y complete la siguiente tabla"</f>
        <v>Seleccione una muestra de 20 prejudiciales activos registrados antes de 31 de diciembre de 2020 y complete la siguiente tabla</v>
      </c>
      <c r="G9" s="96"/>
      <c r="H9" s="16"/>
      <c r="T9" s="1" t="s">
        <v>14</v>
      </c>
    </row>
    <row r="10" spans="2:22" x14ac:dyDescent="0.25">
      <c r="B10" s="14"/>
      <c r="C10" s="20" t="s">
        <v>55</v>
      </c>
      <c r="D10" s="57">
        <v>127</v>
      </c>
      <c r="E10" s="6"/>
      <c r="F10" s="97"/>
      <c r="G10" s="98"/>
      <c r="H10" s="16"/>
    </row>
    <row r="11" spans="2:22" x14ac:dyDescent="0.25">
      <c r="B11" s="14"/>
      <c r="C11" s="20" t="s">
        <v>57</v>
      </c>
      <c r="D11" s="57">
        <v>127</v>
      </c>
      <c r="E11" s="6"/>
      <c r="F11" s="24" t="s">
        <v>33</v>
      </c>
      <c r="G11" s="24" t="s">
        <v>59</v>
      </c>
      <c r="H11" s="16"/>
    </row>
    <row r="12" spans="2:22" x14ac:dyDescent="0.25">
      <c r="B12" s="14"/>
      <c r="C12" s="20" t="s">
        <v>147</v>
      </c>
      <c r="D12" s="57">
        <v>61</v>
      </c>
      <c r="E12" s="6"/>
      <c r="F12" s="36" t="s">
        <v>60</v>
      </c>
      <c r="G12" s="62">
        <v>17</v>
      </c>
      <c r="H12" s="16"/>
    </row>
    <row r="13" spans="2:22" x14ac:dyDescent="0.25">
      <c r="B13" s="14"/>
      <c r="C13" s="20" t="s">
        <v>148</v>
      </c>
      <c r="D13" s="57">
        <v>14</v>
      </c>
      <c r="E13" s="6"/>
      <c r="F13" s="20" t="s">
        <v>61</v>
      </c>
      <c r="G13" s="57">
        <v>3</v>
      </c>
      <c r="H13" s="16"/>
    </row>
    <row r="14" spans="2:22" x14ac:dyDescent="0.25">
      <c r="B14" s="14"/>
      <c r="C14" s="20" t="s">
        <v>86</v>
      </c>
      <c r="D14" s="57">
        <v>52</v>
      </c>
      <c r="E14" s="6"/>
      <c r="F14"/>
      <c r="G14"/>
      <c r="H14" s="16"/>
    </row>
    <row r="15" spans="2:22" x14ac:dyDescent="0.25">
      <c r="B15" s="14"/>
      <c r="E15" s="6"/>
      <c r="F15"/>
      <c r="G15"/>
      <c r="H15" s="16"/>
    </row>
    <row r="16" spans="2:22" ht="15.75" thickBot="1" x14ac:dyDescent="0.3">
      <c r="B16" s="14"/>
      <c r="C16" s="23" t="s">
        <v>121</v>
      </c>
      <c r="D16" s="23" t="s">
        <v>23</v>
      </c>
      <c r="E16" s="6"/>
      <c r="F16" s="113" t="s">
        <v>100</v>
      </c>
      <c r="G16" s="113"/>
      <c r="H16" s="16"/>
    </row>
    <row r="17" spans="2:8" x14ac:dyDescent="0.25">
      <c r="B17" s="14"/>
      <c r="C17" s="20" t="s">
        <v>150</v>
      </c>
      <c r="D17" s="57">
        <v>130</v>
      </c>
      <c r="E17" s="6"/>
      <c r="F17" s="114" t="s">
        <v>170</v>
      </c>
      <c r="G17" s="115"/>
      <c r="H17" s="16"/>
    </row>
    <row r="18" spans="2:8" x14ac:dyDescent="0.25">
      <c r="B18" s="14"/>
      <c r="C18" s="20" t="s">
        <v>149</v>
      </c>
      <c r="D18" s="57">
        <v>130</v>
      </c>
      <c r="E18" s="6"/>
      <c r="F18" s="116"/>
      <c r="G18" s="117"/>
      <c r="H18" s="16"/>
    </row>
    <row r="19" spans="2:8" x14ac:dyDescent="0.25">
      <c r="B19" s="14"/>
      <c r="C19"/>
      <c r="D19"/>
      <c r="E19" s="6"/>
      <c r="F19" s="116"/>
      <c r="G19" s="117"/>
      <c r="H19" s="16"/>
    </row>
    <row r="20" spans="2:8" x14ac:dyDescent="0.25">
      <c r="B20" s="14"/>
      <c r="C20"/>
      <c r="D20"/>
      <c r="E20" s="6"/>
      <c r="F20" s="116"/>
      <c r="G20" s="117"/>
      <c r="H20" s="16"/>
    </row>
    <row r="21" spans="2:8" x14ac:dyDescent="0.25">
      <c r="B21" s="14"/>
      <c r="E21" s="6"/>
      <c r="F21" s="116"/>
      <c r="G21" s="117"/>
      <c r="H21" s="16"/>
    </row>
    <row r="22" spans="2:8" ht="15.75" thickBot="1" x14ac:dyDescent="0.3">
      <c r="B22" s="14"/>
      <c r="C22" s="15"/>
      <c r="D22" s="15"/>
      <c r="E22" s="6"/>
      <c r="F22" s="118"/>
      <c r="G22" s="119"/>
      <c r="H22" s="16"/>
    </row>
    <row r="23" spans="2:8" ht="15.75" thickBot="1" x14ac:dyDescent="0.3">
      <c r="B23" s="17"/>
      <c r="C23" s="18"/>
      <c r="D23" s="18"/>
      <c r="E23" s="18"/>
      <c r="F23" s="18"/>
      <c r="G23" s="18"/>
      <c r="H23" s="19"/>
    </row>
  </sheetData>
  <sheetProtection algorithmName="SHA-512" hashValue="IFQHgU0wQOs72yfcmcv3fgZbZmNeop7iQNQHEllk7oS+l83wTQuhCYUxhfsLpXfdE5ytlnOwS5TLqs+ZhcJsYg==" saltValue="Vvbanjuf+LAv3tT+FQci/g==" spinCount="100000" sheet="1"/>
  <mergeCells count="4">
    <mergeCell ref="F9:G10"/>
    <mergeCell ref="C7:G7"/>
    <mergeCell ref="F16:G16"/>
    <mergeCell ref="F17:G2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G10" sqref="G10"/>
    </sheetView>
  </sheetViews>
  <sheetFormatPr baseColWidth="10" defaultColWidth="11.42578125"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48.28515625" style="1" bestFit="1" customWidth="1"/>
    <col min="7" max="7" width="21.710937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36.75" customHeight="1" x14ac:dyDescent="0.35">
      <c r="B6" s="14"/>
      <c r="C6" s="34" t="s">
        <v>76</v>
      </c>
      <c r="D6" s="35"/>
      <c r="E6" s="26"/>
      <c r="F6"/>
      <c r="G6"/>
      <c r="H6" s="33"/>
    </row>
    <row r="7" spans="2:22" x14ac:dyDescent="0.25">
      <c r="B7" s="14"/>
      <c r="C7" s="15"/>
      <c r="D7" s="15"/>
      <c r="E7" s="15"/>
      <c r="F7"/>
      <c r="G7"/>
      <c r="H7" s="16"/>
      <c r="T7" s="1" t="s">
        <v>13</v>
      </c>
    </row>
    <row r="8" spans="2:22" x14ac:dyDescent="0.25">
      <c r="B8" s="14"/>
      <c r="C8" s="23" t="s">
        <v>76</v>
      </c>
      <c r="D8" s="23" t="s">
        <v>23</v>
      </c>
      <c r="E8" s="6"/>
      <c r="F8" s="23" t="s">
        <v>76</v>
      </c>
      <c r="G8" s="23" t="s">
        <v>23</v>
      </c>
      <c r="H8" s="16"/>
      <c r="T8" s="1" t="s">
        <v>14</v>
      </c>
    </row>
    <row r="9" spans="2:22" x14ac:dyDescent="0.25">
      <c r="B9" s="14"/>
      <c r="C9" s="20" t="s">
        <v>151</v>
      </c>
      <c r="D9" s="57">
        <v>0</v>
      </c>
      <c r="E9" s="6"/>
      <c r="F9" s="20" t="s">
        <v>152</v>
      </c>
      <c r="G9" s="63">
        <v>6</v>
      </c>
      <c r="H9" s="16"/>
    </row>
    <row r="10" spans="2:22" x14ac:dyDescent="0.25">
      <c r="B10" s="14"/>
      <c r="C10" s="20" t="s">
        <v>78</v>
      </c>
      <c r="D10" s="57">
        <v>0</v>
      </c>
      <c r="E10" s="6"/>
      <c r="F10" s="20" t="s">
        <v>98</v>
      </c>
      <c r="G10" s="63">
        <v>6</v>
      </c>
      <c r="H10" s="16"/>
    </row>
    <row r="11" spans="2:22" x14ac:dyDescent="0.25">
      <c r="B11" s="14"/>
      <c r="C11" s="15"/>
      <c r="D11" s="61"/>
      <c r="E11" s="6"/>
      <c r="F11" s="15"/>
      <c r="G11" s="64"/>
      <c r="H11" s="16"/>
    </row>
    <row r="12" spans="2:22" ht="15.75" thickBot="1" x14ac:dyDescent="0.3">
      <c r="B12" s="14"/>
      <c r="C12" s="65" t="s">
        <v>102</v>
      </c>
      <c r="D12" s="61"/>
      <c r="E12" s="6"/>
      <c r="F12" s="15"/>
      <c r="G12" s="64"/>
      <c r="H12" s="16"/>
      <c r="T12" s="1">
        <f>IF(D9="",0,1)</f>
        <v>1</v>
      </c>
    </row>
    <row r="13" spans="2:22" x14ac:dyDescent="0.25">
      <c r="B13" s="14"/>
      <c r="C13" s="120" t="s">
        <v>169</v>
      </c>
      <c r="D13" s="121"/>
      <c r="E13" s="121"/>
      <c r="F13" s="121"/>
      <c r="G13" s="122"/>
      <c r="H13" s="16"/>
    </row>
    <row r="14" spans="2:22" x14ac:dyDescent="0.25">
      <c r="B14" s="14"/>
      <c r="C14" s="123"/>
      <c r="D14" s="124"/>
      <c r="E14" s="124"/>
      <c r="F14" s="124"/>
      <c r="G14" s="125"/>
      <c r="H14" s="16"/>
    </row>
    <row r="15" spans="2:22" x14ac:dyDescent="0.25">
      <c r="B15" s="14"/>
      <c r="C15" s="123"/>
      <c r="D15" s="124"/>
      <c r="E15" s="124"/>
      <c r="F15" s="124"/>
      <c r="G15" s="125"/>
      <c r="H15" s="16"/>
    </row>
    <row r="16" spans="2:22" ht="15.75" thickBot="1" x14ac:dyDescent="0.3">
      <c r="B16" s="14"/>
      <c r="C16" s="126"/>
      <c r="D16" s="127"/>
      <c r="E16" s="127"/>
      <c r="F16" s="127"/>
      <c r="G16" s="128"/>
      <c r="H16" s="16"/>
      <c r="T16" s="1">
        <f>IF(G9="",0,1)</f>
        <v>1</v>
      </c>
    </row>
    <row r="17" spans="2:20" ht="15.75" thickBot="1" x14ac:dyDescent="0.3">
      <c r="B17" s="17"/>
      <c r="C17" s="18"/>
      <c r="D17" s="18"/>
      <c r="E17" s="18"/>
      <c r="F17" s="18"/>
      <c r="G17" s="18"/>
      <c r="H17" s="19"/>
      <c r="T17" s="1">
        <f>+T12+T16</f>
        <v>2</v>
      </c>
    </row>
  </sheetData>
  <sheetProtection algorithmName="SHA-512" hashValue="8EtTw72DUTsc3xgyVubbRS4sSgH4yVUF1aVBcEbpjtkeW49RZz0xWb+uqV4ctvmgBUedgMxWym8mQZmsu5skNw==" saltValue="s7gKwqCu7U7WrIwxI3BXOQ==" spinCount="100000" sheet="1"/>
  <mergeCells count="1">
    <mergeCell ref="C13:G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D10" sqref="D10"/>
    </sheetView>
  </sheetViews>
  <sheetFormatPr baseColWidth="10" defaultColWidth="11.42578125"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10</v>
      </c>
    </row>
    <row r="4" spans="2:22" x14ac:dyDescent="0.25">
      <c r="B4" s="14"/>
      <c r="C4" s="15"/>
      <c r="D4" s="15"/>
      <c r="E4" s="15"/>
      <c r="F4" s="15"/>
      <c r="G4" s="15"/>
      <c r="H4" s="16"/>
    </row>
    <row r="5" spans="2:22" x14ac:dyDescent="0.25">
      <c r="B5" s="14"/>
      <c r="C5" s="15"/>
      <c r="D5" s="15"/>
      <c r="E5" s="15"/>
      <c r="F5" s="15"/>
      <c r="G5" s="15"/>
      <c r="H5" s="16"/>
    </row>
    <row r="6" spans="2:22" ht="21.75" customHeight="1" x14ac:dyDescent="0.35">
      <c r="B6" s="14"/>
      <c r="C6" s="111" t="s">
        <v>8</v>
      </c>
      <c r="D6" s="111"/>
      <c r="E6" s="26"/>
      <c r="F6"/>
      <c r="G6"/>
      <c r="H6" s="33"/>
      <c r="T6" s="1" t="s">
        <v>12</v>
      </c>
    </row>
    <row r="7" spans="2:22" ht="15.75" thickBot="1" x14ac:dyDescent="0.3">
      <c r="B7" s="14"/>
      <c r="C7" s="15"/>
      <c r="D7" s="15"/>
      <c r="E7" s="15"/>
      <c r="F7" s="66" t="s">
        <v>102</v>
      </c>
      <c r="G7"/>
      <c r="H7" s="16"/>
      <c r="T7" s="1" t="s">
        <v>13</v>
      </c>
    </row>
    <row r="8" spans="2:22" x14ac:dyDescent="0.25">
      <c r="B8" s="14"/>
      <c r="C8" s="23" t="s">
        <v>32</v>
      </c>
      <c r="D8" s="23" t="s">
        <v>23</v>
      </c>
      <c r="E8" s="6"/>
      <c r="F8" s="99"/>
      <c r="G8" s="101"/>
      <c r="H8" s="16"/>
      <c r="T8" s="1" t="s">
        <v>14</v>
      </c>
    </row>
    <row r="9" spans="2:22" x14ac:dyDescent="0.25">
      <c r="B9" s="14"/>
      <c r="C9" s="20" t="s">
        <v>80</v>
      </c>
      <c r="D9" s="57" t="s">
        <v>12</v>
      </c>
      <c r="E9" s="6"/>
      <c r="F9" s="102"/>
      <c r="G9" s="104"/>
      <c r="H9" s="16"/>
    </row>
    <row r="10" spans="2:22" ht="15.75" thickBot="1" x14ac:dyDescent="0.3">
      <c r="B10" s="14"/>
      <c r="C10" s="20" t="s">
        <v>153</v>
      </c>
      <c r="D10" s="57">
        <v>565</v>
      </c>
      <c r="E10" s="6"/>
      <c r="F10" s="105"/>
      <c r="G10" s="107"/>
      <c r="H10" s="16"/>
    </row>
    <row r="11" spans="2:22" ht="15.75" thickBot="1" x14ac:dyDescent="0.3">
      <c r="B11" s="17"/>
      <c r="C11" s="18"/>
      <c r="D11" s="18"/>
      <c r="E11" s="18"/>
      <c r="F11" s="18"/>
      <c r="G11" s="18"/>
      <c r="H11" s="19"/>
    </row>
  </sheetData>
  <sheetProtection algorithmName="SHA-512" hashValue="/ZzSyQAjLAMpx22hv4BMxC56M11jIp+M9GYaD5hWkIVBMYg5KFV9fKVJiMX1aM4pGt6+X5JrrCcQTnqjWfkUxQ==" saltValue="DuBnF281jxedCqpWgH2+Kg==" spinCount="100000" sheet="1"/>
  <mergeCells count="2">
    <mergeCell ref="C6:D6"/>
    <mergeCell ref="F8:G10"/>
  </mergeCells>
  <dataValidations count="1">
    <dataValidation type="list" allowBlank="1" showInputMessage="1" showErrorMessage="1" sqref="D9" xr:uid="{00000000-0002-0000-0600-000000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6"/>
  <sheetViews>
    <sheetView showGridLines="0" tabSelected="1" workbookViewId="0">
      <selection activeCell="B23" sqref="B23:F26"/>
    </sheetView>
  </sheetViews>
  <sheetFormatPr baseColWidth="10" defaultRowHeight="15" x14ac:dyDescent="0.25"/>
  <cols>
    <col min="2" max="2" width="33" bestFit="1" customWidth="1"/>
    <col min="3" max="3" width="14.5703125" bestFit="1" customWidth="1"/>
    <col min="5" max="5" width="33" bestFit="1" customWidth="1"/>
    <col min="6" max="6" width="14.5703125" bestFit="1" customWidth="1"/>
  </cols>
  <sheetData>
    <row r="2" spans="2:13" ht="18.75" x14ac:dyDescent="0.3">
      <c r="B2" s="130" t="s">
        <v>10</v>
      </c>
      <c r="C2" s="130"/>
      <c r="D2" s="130"/>
      <c r="E2" s="130"/>
      <c r="F2" s="130"/>
      <c r="G2" s="130"/>
      <c r="H2" s="47"/>
      <c r="I2" s="47"/>
      <c r="J2" s="47"/>
      <c r="K2" s="47"/>
      <c r="L2" s="47"/>
      <c r="M2" s="48"/>
    </row>
    <row r="3" spans="2:13" ht="18.75" x14ac:dyDescent="0.3">
      <c r="B3" s="130" t="s">
        <v>11</v>
      </c>
      <c r="C3" s="130"/>
      <c r="D3" s="130"/>
      <c r="E3" s="130"/>
      <c r="F3" s="130"/>
      <c r="G3" s="130"/>
      <c r="H3" s="47"/>
      <c r="I3" s="47"/>
      <c r="J3" s="47"/>
      <c r="K3" s="47"/>
      <c r="L3" s="47"/>
      <c r="M3" s="48"/>
    </row>
    <row r="4" spans="2:13" ht="23.25" x14ac:dyDescent="0.35">
      <c r="B4" s="41"/>
      <c r="C4" s="41"/>
      <c r="D4" s="41"/>
      <c r="E4" s="41"/>
      <c r="F4" s="41"/>
      <c r="G4" s="41"/>
      <c r="H4" s="41"/>
      <c r="I4" s="41"/>
      <c r="J4" s="41"/>
      <c r="K4" s="41"/>
      <c r="L4" s="41"/>
      <c r="M4" s="41"/>
    </row>
    <row r="5" spans="2:13" x14ac:dyDescent="0.25">
      <c r="B5" t="s">
        <v>38</v>
      </c>
      <c r="C5" s="129" t="s">
        <v>163</v>
      </c>
      <c r="D5" s="129"/>
      <c r="E5" s="129"/>
      <c r="F5" s="129"/>
      <c r="G5" s="129"/>
      <c r="H5" s="6"/>
      <c r="I5" s="6"/>
      <c r="J5" s="6"/>
    </row>
    <row r="6" spans="2:13" x14ac:dyDescent="0.25">
      <c r="B6" t="s">
        <v>3</v>
      </c>
      <c r="C6" s="129" t="s">
        <v>164</v>
      </c>
      <c r="D6" s="129"/>
      <c r="E6" s="129"/>
      <c r="F6" s="129"/>
      <c r="G6" s="129"/>
      <c r="H6" s="46"/>
      <c r="I6" s="46"/>
      <c r="J6" s="46"/>
    </row>
    <row r="7" spans="2:13" x14ac:dyDescent="0.25">
      <c r="H7" s="6"/>
      <c r="I7" s="6"/>
      <c r="J7" s="6"/>
    </row>
    <row r="8" spans="2:13" x14ac:dyDescent="0.25">
      <c r="B8" t="s">
        <v>39</v>
      </c>
      <c r="C8" s="44" t="str">
        <f>+IF(SUM(USUARIOS!I12:J17)=0,"Falta diligenciar","")</f>
        <v/>
      </c>
      <c r="E8" t="s">
        <v>84</v>
      </c>
      <c r="F8" s="44" t="str">
        <f>+IF(PREJUDICIALES!$D$10="","Falta  actualizar","")</f>
        <v/>
      </c>
    </row>
    <row r="9" spans="2:13" x14ac:dyDescent="0.25">
      <c r="B9" s="43" t="s">
        <v>42</v>
      </c>
      <c r="C9" s="45">
        <f>+SUM(USUARIOS!I12:I17)/(6-SUM(USUARIOS!H12:H17))</f>
        <v>1</v>
      </c>
      <c r="E9" s="43" t="s">
        <v>47</v>
      </c>
      <c r="F9" s="43">
        <f>+PREJUDICIALES!$D$11</f>
        <v>127</v>
      </c>
    </row>
    <row r="10" spans="2:13" x14ac:dyDescent="0.25">
      <c r="B10" s="43" t="s">
        <v>40</v>
      </c>
      <c r="C10" s="43">
        <f>+ABOGADOS!$D$12+SUM(USUARIOS!I12:I17)</f>
        <v>173</v>
      </c>
      <c r="E10" s="43" t="s">
        <v>45</v>
      </c>
      <c r="F10" s="45">
        <f>IFERROR(PREJUDICIALES!$D$11/PREJUDICIALES!$D$10,"")</f>
        <v>1</v>
      </c>
    </row>
    <row r="11" spans="2:13" x14ac:dyDescent="0.25">
      <c r="B11" s="43" t="s">
        <v>9</v>
      </c>
      <c r="C11" s="71" t="s">
        <v>116</v>
      </c>
      <c r="E11" s="43" t="s">
        <v>48</v>
      </c>
      <c r="F11" s="45">
        <f>IFERROR(PREJUDICIALES!$G$13/PREJUDICIALES!$V$3,"")</f>
        <v>0.15</v>
      </c>
    </row>
    <row r="12" spans="2:13" x14ac:dyDescent="0.25">
      <c r="B12" s="43" t="s">
        <v>41</v>
      </c>
      <c r="C12" s="45">
        <f>IFERROR((ABOGADOS!$G$17+ABOGADOS!$G$18+ABOGADOS!$G$19*0.5)/ABOGADOS!D12,"")</f>
        <v>0.73053892215568861</v>
      </c>
    </row>
    <row r="13" spans="2:13" x14ac:dyDescent="0.25">
      <c r="E13" t="s">
        <v>76</v>
      </c>
      <c r="F13" s="44" t="str">
        <f>+IF(ARBITRAMENTOS!T17=0,"Falta  actualizar","")</f>
        <v/>
      </c>
    </row>
    <row r="14" spans="2:13" x14ac:dyDescent="0.25">
      <c r="B14" t="s">
        <v>83</v>
      </c>
      <c r="C14" s="44" t="str">
        <f>+IF(JUDICIALES!$D$11="","Falta  actualizar","")</f>
        <v/>
      </c>
      <c r="E14" s="43" t="s">
        <v>46</v>
      </c>
      <c r="F14" s="43">
        <f>+ARBITRAMENTOS!D10</f>
        <v>0</v>
      </c>
    </row>
    <row r="15" spans="2:13" x14ac:dyDescent="0.25">
      <c r="B15" s="43" t="s">
        <v>43</v>
      </c>
      <c r="C15" s="43">
        <f>+JUDICIALES!$D$12</f>
        <v>3109</v>
      </c>
      <c r="E15" s="43" t="s">
        <v>45</v>
      </c>
      <c r="F15" s="45" t="str">
        <f>IFERROR(ARBITRAMENTOS!D10/ARBITRAMENTOS!D9,"")</f>
        <v/>
      </c>
    </row>
    <row r="16" spans="2:13" x14ac:dyDescent="0.25">
      <c r="B16" s="43" t="s">
        <v>45</v>
      </c>
      <c r="C16" s="45">
        <f>IFERROR(JUDICIALES!$D$12/JUDICIALES!$D$11,"")</f>
        <v>1</v>
      </c>
    </row>
    <row r="17" spans="2:6" x14ac:dyDescent="0.25">
      <c r="B17" s="43" t="s">
        <v>51</v>
      </c>
      <c r="C17" s="45">
        <f>IFERROR(JUDICIALES!$G$11/JUDICIALES!$G$10,"")</f>
        <v>1</v>
      </c>
      <c r="E17" t="s">
        <v>79</v>
      </c>
      <c r="F17" s="44" t="str">
        <f>+IF(PAGOS!D9="","Falta  actualizar","")</f>
        <v/>
      </c>
    </row>
    <row r="18" spans="2:6" x14ac:dyDescent="0.25">
      <c r="B18" s="43" t="s">
        <v>44</v>
      </c>
      <c r="C18" s="43">
        <f>IFERROR(C15/ABOGADOS!$D$12,"")</f>
        <v>18.616766467065869</v>
      </c>
      <c r="E18" s="43" t="s">
        <v>49</v>
      </c>
      <c r="F18" s="43">
        <f>+PAGOS!D10</f>
        <v>565</v>
      </c>
    </row>
    <row r="19" spans="2:6" x14ac:dyDescent="0.25">
      <c r="B19" s="43" t="s">
        <v>82</v>
      </c>
      <c r="C19" s="45">
        <f>IFERROR(1-(JUDICIALES!$H$22+JUDICIALES!$H$23+JUDICIALES!$H$24)/(JUDICIALES!$G$22+JUDICIALES!$G$23+JUDICIALES!$G$24),"")</f>
        <v>4.8449612403100861E-4</v>
      </c>
      <c r="E19" s="43" t="s">
        <v>50</v>
      </c>
      <c r="F19" s="43" t="str">
        <f>+IF(PAGOS!D9="No","No aplica","si")</f>
        <v>si</v>
      </c>
    </row>
    <row r="21" spans="2:6" ht="15.75" thickBot="1" x14ac:dyDescent="0.3"/>
    <row r="22" spans="2:6" x14ac:dyDescent="0.25">
      <c r="B22" s="2" t="s">
        <v>102</v>
      </c>
      <c r="C22" s="3"/>
      <c r="D22" s="3"/>
      <c r="E22" s="3"/>
      <c r="F22" s="4"/>
    </row>
    <row r="23" spans="2:6" x14ac:dyDescent="0.25">
      <c r="B23" s="116" t="s">
        <v>171</v>
      </c>
      <c r="C23" s="131"/>
      <c r="D23" s="131"/>
      <c r="E23" s="131"/>
      <c r="F23" s="117"/>
    </row>
    <row r="24" spans="2:6" x14ac:dyDescent="0.25">
      <c r="B24" s="116"/>
      <c r="C24" s="131"/>
      <c r="D24" s="131"/>
      <c r="E24" s="131"/>
      <c r="F24" s="117"/>
    </row>
    <row r="25" spans="2:6" x14ac:dyDescent="0.25">
      <c r="B25" s="116"/>
      <c r="C25" s="131"/>
      <c r="D25" s="131"/>
      <c r="E25" s="131"/>
      <c r="F25" s="117"/>
    </row>
    <row r="26" spans="2:6" ht="15.75" thickBot="1" x14ac:dyDescent="0.3">
      <c r="B26" s="118"/>
      <c r="C26" s="132"/>
      <c r="D26" s="132"/>
      <c r="E26" s="132"/>
      <c r="F26" s="119"/>
    </row>
  </sheetData>
  <sheetProtection algorithmName="SHA-512" hashValue="oYy6+FMrDUJp7yajB2nFk6zfxjg7nx9wrBVSyVVHj9e4qRP7KnZOskU3IcSz5XU/0snkC3FPmsPSt6fMl/xLfw==" saltValue="JHNAqtUJ7WP4OFUpc0qITQ==" spinCount="100000" sheet="1" objects="1" scenarios="1"/>
  <mergeCells count="5">
    <mergeCell ref="C5:G5"/>
    <mergeCell ref="C6:G6"/>
    <mergeCell ref="B2:G2"/>
    <mergeCell ref="B3:G3"/>
    <mergeCell ref="B23:F2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P18"/>
  <sheetViews>
    <sheetView zoomScaleNormal="100" workbookViewId="0">
      <selection activeCell="B5" sqref="B5"/>
    </sheetView>
  </sheetViews>
  <sheetFormatPr baseColWidth="10" defaultRowHeight="15" x14ac:dyDescent="0.25"/>
  <cols>
    <col min="1" max="1" width="34.42578125" customWidth="1"/>
    <col min="2" max="2" width="29.42578125" customWidth="1"/>
  </cols>
  <sheetData>
    <row r="2" spans="1:68" x14ac:dyDescent="0.25">
      <c r="A2" t="s">
        <v>38</v>
      </c>
      <c r="B2" t="s">
        <v>133</v>
      </c>
      <c r="C2" t="s">
        <v>0</v>
      </c>
      <c r="D2" t="s">
        <v>1</v>
      </c>
      <c r="E2" t="s">
        <v>2</v>
      </c>
      <c r="F2" t="s">
        <v>3</v>
      </c>
      <c r="G2" t="s">
        <v>4</v>
      </c>
      <c r="H2" t="s">
        <v>5</v>
      </c>
      <c r="I2" t="s">
        <v>21</v>
      </c>
      <c r="J2" t="s">
        <v>22</v>
      </c>
      <c r="K2" t="s">
        <v>26</v>
      </c>
      <c r="L2" t="s">
        <v>20</v>
      </c>
      <c r="M2" t="s">
        <v>109</v>
      </c>
      <c r="N2" s="15" t="s">
        <v>110</v>
      </c>
      <c r="O2" s="20" t="s">
        <v>103</v>
      </c>
      <c r="P2" s="20" t="s">
        <v>104</v>
      </c>
      <c r="Q2" s="20" t="s">
        <v>105</v>
      </c>
      <c r="S2" t="s">
        <v>28</v>
      </c>
      <c r="T2" t="s">
        <v>29</v>
      </c>
      <c r="U2" t="s">
        <v>30</v>
      </c>
      <c r="V2" t="s">
        <v>63</v>
      </c>
      <c r="W2" t="s">
        <v>62</v>
      </c>
      <c r="X2" t="s">
        <v>37</v>
      </c>
      <c r="Y2" t="s">
        <v>64</v>
      </c>
      <c r="Z2" t="s">
        <v>27</v>
      </c>
      <c r="AA2" t="s">
        <v>66</v>
      </c>
      <c r="AB2" t="s">
        <v>65</v>
      </c>
      <c r="AC2" t="s">
        <v>35</v>
      </c>
      <c r="AD2" t="s">
        <v>67</v>
      </c>
      <c r="AE2" t="s">
        <v>68</v>
      </c>
      <c r="AF2" t="s">
        <v>36</v>
      </c>
      <c r="AG2" t="s">
        <v>69</v>
      </c>
      <c r="AH2" t="s">
        <v>70</v>
      </c>
      <c r="AI2" t="s">
        <v>71</v>
      </c>
      <c r="AJ2" t="s">
        <v>72</v>
      </c>
      <c r="AK2" t="s">
        <v>69</v>
      </c>
      <c r="AL2" t="s">
        <v>70</v>
      </c>
      <c r="AM2" t="s">
        <v>71</v>
      </c>
      <c r="AN2" t="s">
        <v>72</v>
      </c>
      <c r="AO2" t="s">
        <v>55</v>
      </c>
      <c r="AP2" t="s">
        <v>57</v>
      </c>
      <c r="AQ2" t="s">
        <v>52</v>
      </c>
      <c r="AR2" t="s">
        <v>53</v>
      </c>
      <c r="AS2" t="s">
        <v>54</v>
      </c>
      <c r="AT2" t="s">
        <v>58</v>
      </c>
      <c r="AU2" t="s">
        <v>75</v>
      </c>
      <c r="AV2" t="s">
        <v>60</v>
      </c>
      <c r="AW2" t="s">
        <v>61</v>
      </c>
      <c r="AX2" t="s">
        <v>77</v>
      </c>
      <c r="AY2" t="s">
        <v>78</v>
      </c>
      <c r="AZ2" s="15" t="s">
        <v>80</v>
      </c>
      <c r="BA2" s="15" t="s">
        <v>81</v>
      </c>
      <c r="BB2" s="82" t="s">
        <v>130</v>
      </c>
      <c r="BC2" s="82" t="s">
        <v>131</v>
      </c>
      <c r="BD2" s="82" t="s">
        <v>132</v>
      </c>
      <c r="BE2" t="s">
        <v>93</v>
      </c>
      <c r="BF2" t="s">
        <v>94</v>
      </c>
      <c r="BG2" t="s">
        <v>95</v>
      </c>
      <c r="BH2" t="s">
        <v>96</v>
      </c>
      <c r="BI2" t="s">
        <v>97</v>
      </c>
      <c r="BJ2" t="s">
        <v>122</v>
      </c>
      <c r="BK2" t="s">
        <v>123</v>
      </c>
      <c r="BL2" t="s">
        <v>124</v>
      </c>
      <c r="BM2" t="s">
        <v>125</v>
      </c>
      <c r="BN2" t="s">
        <v>126</v>
      </c>
      <c r="BO2" t="s">
        <v>127</v>
      </c>
      <c r="BP2" t="s">
        <v>129</v>
      </c>
    </row>
    <row r="3" spans="1:68" x14ac:dyDescent="0.25">
      <c r="A3" t="str">
        <f>'Resumen general'!C5</f>
        <v>INSTITUTO COLOMBIANO DE BIENESTAR FAMILIAR</v>
      </c>
      <c r="B3" t="str">
        <f>'Resumen general'!C6</f>
        <v>YANIRA VILLAMIL SUZUNAGA</v>
      </c>
      <c r="C3" t="str">
        <f>+USUARIOS!C12</f>
        <v>Si</v>
      </c>
      <c r="D3" t="str">
        <f>+USUARIOS!C13</f>
        <v>Si</v>
      </c>
      <c r="E3" t="str">
        <f>+USUARIOS!C14</f>
        <v>Si</v>
      </c>
      <c r="F3" t="str">
        <f>+USUARIOS!C15</f>
        <v>Si</v>
      </c>
      <c r="G3" t="str">
        <f>+USUARIOS!C16</f>
        <v>Si</v>
      </c>
      <c r="H3" t="str">
        <f>+USUARIOS!C17</f>
        <v>Si</v>
      </c>
      <c r="I3">
        <f>+ABOGADOS!D11</f>
        <v>167</v>
      </c>
      <c r="J3">
        <f>+ABOGADOS!D12</f>
        <v>167</v>
      </c>
      <c r="K3">
        <f>+ABOGADOS!D13</f>
        <v>148</v>
      </c>
      <c r="L3">
        <f>+ABOGADOS!D14</f>
        <v>120</v>
      </c>
      <c r="M3">
        <f>+ABOGADOS!D17</f>
        <v>35</v>
      </c>
      <c r="N3">
        <f>+ABOGADOS!D18</f>
        <v>35</v>
      </c>
      <c r="O3">
        <f>+ABOGADOS!G10</f>
        <v>14</v>
      </c>
      <c r="P3">
        <f>+ABOGADOS!G11</f>
        <v>16</v>
      </c>
      <c r="Q3">
        <f>+ABOGADOS!G12</f>
        <v>14</v>
      </c>
      <c r="S3">
        <f>+JUDICIALES!D11</f>
        <v>3109</v>
      </c>
      <c r="T3">
        <f>+JUDICIALES!D12</f>
        <v>3109</v>
      </c>
      <c r="U3">
        <f>+JUDICIALES!D13</f>
        <v>0</v>
      </c>
      <c r="V3">
        <f>+JUDICIALES!D16</f>
        <v>119</v>
      </c>
      <c r="W3">
        <f>+JUDICIALES!D17</f>
        <v>119</v>
      </c>
      <c r="X3">
        <f>+JUDICIALES!D21</f>
        <v>4013</v>
      </c>
      <c r="Y3">
        <f>+JUDICIALES!D22</f>
        <v>44</v>
      </c>
      <c r="Z3">
        <f>+JUDICIALES!G9</f>
        <v>5</v>
      </c>
      <c r="AA3">
        <f>+JUDICIALES!G10</f>
        <v>5</v>
      </c>
      <c r="AB3">
        <f>+JUDICIALES!G11</f>
        <v>5</v>
      </c>
      <c r="AC3">
        <f>+JUDICIALES!G15</f>
        <v>2501</v>
      </c>
      <c r="AD3">
        <f>+JUDICIALES!G16</f>
        <v>2448</v>
      </c>
      <c r="AE3">
        <f>+JUDICIALES!G17</f>
        <v>27</v>
      </c>
      <c r="AF3">
        <f>+JUDICIALES!G18</f>
        <v>26</v>
      </c>
      <c r="AG3">
        <f>+JUDICIALES!G21</f>
        <v>411</v>
      </c>
      <c r="AH3">
        <f>+JUDICIALES!G22</f>
        <v>832</v>
      </c>
      <c r="AI3">
        <f>+JUDICIALES!G23</f>
        <v>421</v>
      </c>
      <c r="AJ3">
        <f>+JUDICIALES!G24</f>
        <v>811</v>
      </c>
      <c r="AK3">
        <f>+JUDICIALES!H21</f>
        <v>0</v>
      </c>
      <c r="AL3">
        <f>+JUDICIALES!H22</f>
        <v>831</v>
      </c>
      <c r="AM3">
        <f>+JUDICIALES!H23</f>
        <v>421</v>
      </c>
      <c r="AN3">
        <f>+JUDICIALES!H24</f>
        <v>811</v>
      </c>
      <c r="AO3">
        <f>+PREJUDICIALES!D10</f>
        <v>127</v>
      </c>
      <c r="AP3">
        <f>+PREJUDICIALES!D11</f>
        <v>127</v>
      </c>
      <c r="AQ3">
        <f>+PREJUDICIALES!D12</f>
        <v>61</v>
      </c>
      <c r="AR3">
        <f>+PREJUDICIALES!D13</f>
        <v>14</v>
      </c>
      <c r="AS3">
        <f>+PREJUDICIALES!D14</f>
        <v>52</v>
      </c>
      <c r="AT3">
        <f>+PREJUDICIALES!D17</f>
        <v>130</v>
      </c>
      <c r="AU3">
        <f>+PREJUDICIALES!D18</f>
        <v>130</v>
      </c>
      <c r="AV3">
        <f>+PREJUDICIALES!G12</f>
        <v>17</v>
      </c>
      <c r="AW3">
        <f>+PREJUDICIALES!G13</f>
        <v>3</v>
      </c>
      <c r="AX3">
        <f>+ARBITRAMENTOS!D9</f>
        <v>0</v>
      </c>
      <c r="AY3">
        <f>+ARBITRAMENTOS!D10</f>
        <v>0</v>
      </c>
      <c r="AZ3" t="str">
        <f>+PAGOS!D9</f>
        <v>Si</v>
      </c>
      <c r="BA3">
        <f>+PAGOS!D10</f>
        <v>565</v>
      </c>
      <c r="BB3" s="82">
        <f>USUARIOS!D9</f>
        <v>44378</v>
      </c>
      <c r="BC3" s="82">
        <f>ABOGADOS!D7</f>
        <v>44378</v>
      </c>
      <c r="BD3" s="82">
        <f>JUDICIALES!D8</f>
        <v>44378</v>
      </c>
      <c r="BE3">
        <f>JUDICIALES!D28</f>
        <v>11</v>
      </c>
      <c r="BF3">
        <f>JUDICIALES!D29</f>
        <v>9</v>
      </c>
      <c r="BG3">
        <f>JUDICIALES!D30</f>
        <v>1</v>
      </c>
      <c r="BH3">
        <f>JUDICIALES!D31</f>
        <v>1</v>
      </c>
      <c r="BI3">
        <f>JUDICIALES!D32</f>
        <v>0</v>
      </c>
      <c r="BJ3" t="str">
        <f>+USUARIOS!C19</f>
        <v xml:space="preserve">Nota No. 1: De acuerdo con lo estipulado en la "Circular Externa Conjunta No. 03 del 12/07/2021 emitida por la ANDJE y el Ministerio de Justicia con "Asunto: Instructivo del Sistema Único de Gestión e Información Litigiosa del Estado - eKOGUI - Perfil Jefe de Control Interno Versión 10.0" en la columna de "Fecha creación en eKOGUI" se deja la fecha de creación del respectivo usurio en el sistema más no la de la creación del rol para la Entidad.
Nota No. 2: El rol de Jefe Financiero del ICBF fue asignado el 27/10/2020 al Dr. Andrés Vergara Ballén &lt;Andres.Vergara@icbf.gov.co&gt; (Director Financiero de la Entidad) el cual recibió capacitación por parte del Administrador del Sistema el 28/06/2021 (según consta en acta remitida a la OCI), sin embargo, para este rol no se recibió capacitación por parte de la ANDJE con corte a 30/06/2021.
Nota No. 3: El responsable del rol de Jefe FInanciero del ICBF cambió a partir del 14/07/2021, quedando asignado al Dr. Jairo Hernando Cardona Aguirre &lt;Jairo.Cardona@icbf.gov.co&gt;  con capacitación brindada por la ANDJE el 14/07/2021 según certificación emitida por la ANDJE para el "PERFIL JEFE FINANCIERO/ENLACE DE PAGOS, MODULOS Y FUNCIONALIDADES".
Nota No. 4: Respecto al rol de Jefe Jurídico: En la fecha de última capacitación se indica la fecha de asistencia de la persona que participó en representación de la OAJ (Administrador eKOGUI Entidad en ese momento).
Nota No. 5: En cuanto al rol de Enlace de Pagos el responsable en ICBF Fabio Quintero Perilla &lt;Fabio.Quintero@icbf.gov.co&gt; participó en la capacitación brindada por la ANDJE el 14/07/2021 según certificación emitida por la ANDJE para el "PERFIL JEFE FINANCIERO/ENLACE DE PAGOS, MODULOS Y FUNCIONALIDADES".
Nota No. 6: El rol de administrador del sistema cambio a partir del 18/01/2021 siendo ahora el responsable el Dr. Edgar Leonardo Bojaca Castro &lt;Edgar.Bojaca@icbf.gov.co&gt; quien recibió capacitación por parte del hasta ese momento Administrador el 29/01/2021 (según consta en acta remitida a la OCI), sin embargo, para este rol no se recibió capacitación por parte de la ANDJE con corte a 30/06/2021.
</v>
      </c>
      <c r="BK3" t="str">
        <f>+ABOGADOS!C21</f>
        <v>Nota No. 1: Al generar la muestra de los Abogados activos en el sistema se revisó la correspondiente a 16 de los cuales 2 (por ejercer en la Entidad el cargo de Coordinador de Grupo Jurídico con usuario en eKOGUI para verificación y supervisión del cumplimiento de las obligaciones de los apoderados) no tienen registrada en el sistema información laboral ni de estudios.
Nota No. 2: Como parte de los abogados que se identificaron sin capacitación, ocho (8) ejercen en la Entidad el rol de Coordinador de Grupo Jurídico de Direcciones Regionales del ICBF a los que durante el primer semestre de 2021 se les creó usuario "Abogado" en el aplicativo eKOGUI para que "ejerzan la verificación y/o supervisión del cumplimiento de las obligaciones de los apoderados y especialmente, para que una vez registrado un proceso nuevo se le asigne al coordinador y este señale a quien debe reasignársele una vez se le otorgue poder".
Nota No. 3: De los 42 abogados que se evidenciaron "Sin capacitación" 25 de estos ante el ICBF tienen la calidad de Apoderados de los Denunciantes de Bienes Vacantes y Mostrencos de Vocaciones Hereditarias.
La anterior condición de conformidad con la normatividade vigente por la cual el ICBF tiene Vocación Hereritaria (capacidad del Instituto, por encontrarse en el quinto orden sucesoral, para heredar tanto los bienes pertenecientes a un patrimonio, cuando el causante no ha testado y no le sobreviven descendientes, cónyuge, ascendientes, hermanos o sobrinos, o cuando en igual circunstancia el testamento fuere declarado nulo). En virtud de la figura jurídica descrita, el ICBF cuenta con el "PROCEDIMIENTO DENUNCIA DE BIENES VACANTES URBANOS, MOSTRENCOS Y VOCACIONES HEREDITARIAS", en el cual se define al denunciante como la persona que da a aviso al ICBF de la existencia de un bien provisoriamente vacante o mostrenco o de una vocación hereditaria. Para el reconocimiento de la participación económica al denunciante existe el "Contrato de Participación", en los casos en que se reconozca la calidad de denunciante, se procederá a suscribir el contrato de participación con el fin de que el denunciante se comprometa a adelantar las gestiones judiciales y extrajudiciales necesarias para que los bienes denunciados le sean adjudicados y entregados real y materialmente al ICBF.
Para adelantar las gestiones judiciales el denunciante debe designar un apoderado judicial que adelante las actuaciones necesarias para lograr el ingreso real y material al patrimonio del ICBF de bienes muebles e inmuebles asociados a denuncias de vacantes urbanos y mostrencos o vocaciones hereditarias.
Por tanto, a estos apoderados se les crea usuario en eKOGUI para que registren las gestiones de estos procesos y para que los Coordinadores de los Grupos Jurídicos de las Regionales del ICBF puedan ejercer labores de supervisión y vigilancia de los contratos de participación que se suscriben con los denunciantes, sin embargo, "la Entidad no cuenta con medios medios coercitivos para que estos realizae las capacitaciones, pues no tienen vinculo con la Entidad". Por último, estos mismos 25 usuarios no cuentan con correo de dominio institucional @icbf.gov.co.
Nota No. 4: Se identificó un usuario rol abogado con fecha de última activación en eKOGUI el 28/06/2021.</v>
      </c>
      <c r="BL3" t="str">
        <f>+JUDICIALES!F28</f>
        <v>Nota No. 1: De acuerdo con lo indicado en el Instructivo de la ANDJE, se informa que la única fuente para verificación de los datos de los procesos judiciales activos y registrados es el reporte generado desde eKOGUI.
Nota No. 2: Con relación a los cinco (5) procesos con cuantía mayor a 33.000 SMLMV activos, en dos (2) el ICBF actúa en calidad de demandante y en tres (3) hace parte de los demandados.  
Nota No. 3: Respecto a los 26 procesos que se observaron sin calificacción del riesgo, los siguientes 15 no contaban con está calificación porque a 30/06/2021 no se había contestado la demanda: 1.	11001333503020210008900; 2. 68001333301420200013500; 3. 76001333300420200024000; 4. 68001333301320210001100; 5. 44001334000120190005100; 6. 76001333301520200010900; 7. 11001310500120200017500; 8. 08001333301020210011500; 9. 73001333300720200005800; 10. 05001333303120210005700; 11. 11001333603820210006800; 12. 68001333300220210010500; 13. 50001333300120200005500; 14. 44001334000320200003500; 15. 68001310500220210013100.
Nota No. 4: Frente a la condena del proceso con generación de erogación económica, se registra 1 porque se ordenó el pago de prestaciones sociales, pero en la sentencia no se determinó un valor específico a pagar, y por ende no se identificaron procesos con valor condena mayor a cero ($0) .</v>
      </c>
      <c r="BM3" t="str">
        <f>+PREJUDICIALES!F17</f>
        <v>Nota No. 1: Los datos certificados sobre prejudiciales corresponden a los registrados en eKOGUI.
Nota No. 2: Se aprecia una inconsistencia dado que se indica "Prejudiciales Terminados Segundo Semestre 2020". Sin embargo, en atención a lo indicado en el instructivo para la remisión de la presente certificación, se registran los datos corresponditentes a los procesos prejudiciales terminados y con última actuación en el transcurso del primer semestre de 2021.</v>
      </c>
      <c r="BN3" t="str">
        <f>+ARBITRAMENTOS!C13</f>
        <v>Nota No. 1: Los datos certificados sobre arbitramentos corresponden a los registrados en eKOGUI.</v>
      </c>
      <c r="BO3">
        <f>+PAGOS!F8</f>
        <v>0</v>
      </c>
      <c r="BP3" t="str">
        <f>'Resumen general'!B23</f>
        <v>Nota No. 1: Con relación a los procesos Judiciales - Procesos por Abogado, es importante precisar que debido a que el Instituto Colombiano de Bienestar Familiar - ICBF tiene 33 Regionales y la Sede de la Dirección General, la distribución de los procesos judiciales no es equitativa entre los Apoderados. Además, la gestión de la representación judicial de la Entidad corresponde a una más de las obligaciones de los Abogados que hacen parte de los Grupos Jurídicos de las Regionales y de los que pertenecen al Grupo de Representación Judicial de la Oficina Asesora Jurídica. 
Por tanto, por ejemplo, se destaca que ocho (8) de los abogados tienen asignados 1006 procesos judiciales interpuestos en contra del Instituto. Y se encuentran creados como usuarios 47 sin procesos asignados porque siendo Coordinadores de los Grupos Jurídicos supervisan y vigilan la gestión de los Apoderados o son los Abogados de los Denunciantes de Bienes Vacantes o Mostrencos por Vocaciones Hereditarias.</v>
      </c>
    </row>
    <row r="12" spans="1:68" x14ac:dyDescent="0.25">
      <c r="A12" t="s">
        <v>38</v>
      </c>
      <c r="B12" t="s">
        <v>15</v>
      </c>
      <c r="C12" t="s">
        <v>16</v>
      </c>
      <c r="D12" t="s">
        <v>6</v>
      </c>
      <c r="E12" t="s">
        <v>7</v>
      </c>
      <c r="F12" t="s">
        <v>17</v>
      </c>
      <c r="G12" t="s">
        <v>87</v>
      </c>
    </row>
    <row r="13" spans="1:68" x14ac:dyDescent="0.25">
      <c r="A13" t="str">
        <f t="shared" ref="A13:A18" si="0">$A$3</f>
        <v>INSTITUTO COLOMBIANO DE BIENESTAR FAMILIAR</v>
      </c>
      <c r="B13" t="s">
        <v>0</v>
      </c>
      <c r="C13" t="str">
        <f>USUARIOS!C12</f>
        <v>Si</v>
      </c>
      <c r="D13">
        <f>USUARIOS!D12</f>
        <v>44391</v>
      </c>
      <c r="E13" t="str">
        <f>USUARIOS!E12</f>
        <v>JAIRO HERNANDO CARDONA AGUIRRE</v>
      </c>
      <c r="F13">
        <f>USUARIOS!F12</f>
        <v>44391</v>
      </c>
      <c r="G13" t="str">
        <f>USUARIOS!G12</f>
        <v/>
      </c>
    </row>
    <row r="14" spans="1:68" x14ac:dyDescent="0.25">
      <c r="A14" t="str">
        <f t="shared" si="0"/>
        <v>INSTITUTO COLOMBIANO DE BIENESTAR FAMILIAR</v>
      </c>
      <c r="B14" t="s">
        <v>1</v>
      </c>
      <c r="C14" t="str">
        <f>USUARIOS!C13</f>
        <v>Si</v>
      </c>
      <c r="D14">
        <f>USUARIOS!D13</f>
        <v>43740</v>
      </c>
      <c r="E14" t="str">
        <f>USUARIOS!E13</f>
        <v>EDGAR LEONARDO BOJACA CASTRO</v>
      </c>
      <c r="F14">
        <f>USUARIOS!F13</f>
        <v>43623</v>
      </c>
      <c r="G14" t="str">
        <f>USUARIOS!G13</f>
        <v/>
      </c>
    </row>
    <row r="15" spans="1:68" x14ac:dyDescent="0.25">
      <c r="A15" t="str">
        <f t="shared" si="0"/>
        <v>INSTITUTO COLOMBIANO DE BIENESTAR FAMILIAR</v>
      </c>
      <c r="B15" t="s">
        <v>2</v>
      </c>
      <c r="C15" t="str">
        <f>USUARIOS!C14</f>
        <v>Si</v>
      </c>
      <c r="D15">
        <f>USUARIOS!D14</f>
        <v>43630</v>
      </c>
      <c r="E15" t="str">
        <f>USUARIOS!E14</f>
        <v>FABIO QUINTERO PERILLA</v>
      </c>
      <c r="F15">
        <f>USUARIOS!F14</f>
        <v>44391</v>
      </c>
      <c r="G15" t="str">
        <f>USUARIOS!G14</f>
        <v/>
      </c>
    </row>
    <row r="16" spans="1:68" x14ac:dyDescent="0.25">
      <c r="A16" t="str">
        <f t="shared" si="0"/>
        <v>INSTITUTO COLOMBIANO DE BIENESTAR FAMILIAR</v>
      </c>
      <c r="B16" t="s">
        <v>3</v>
      </c>
      <c r="C16" t="str">
        <f>USUARIOS!C15</f>
        <v>Si</v>
      </c>
      <c r="D16">
        <f>USUARIOS!D15</f>
        <v>42829</v>
      </c>
      <c r="E16" t="str">
        <f>USUARIOS!E15</f>
        <v>YANIRA VILLAMIL  SUZUNAGA</v>
      </c>
      <c r="F16">
        <f>USUARIOS!F15</f>
        <v>44055</v>
      </c>
      <c r="G16" t="str">
        <f>USUARIOS!G15</f>
        <v/>
      </c>
    </row>
    <row r="17" spans="1:7" x14ac:dyDescent="0.25">
      <c r="A17" t="str">
        <f t="shared" si="0"/>
        <v>INSTITUTO COLOMBIANO DE BIENESTAR FAMILIAR</v>
      </c>
      <c r="B17" t="s">
        <v>4</v>
      </c>
      <c r="C17" t="str">
        <f>USUARIOS!C16</f>
        <v>Si</v>
      </c>
      <c r="D17">
        <f>USUARIOS!D16</f>
        <v>43762</v>
      </c>
      <c r="E17" t="str">
        <f>USUARIOS!E16</f>
        <v>ANDRES MAURICIO GUERRERO VALDERRAMA</v>
      </c>
      <c r="F17">
        <f>USUARIOS!F16</f>
        <v>44301</v>
      </c>
      <c r="G17" t="str">
        <f>USUARIOS!G16</f>
        <v/>
      </c>
    </row>
    <row r="18" spans="1:7" x14ac:dyDescent="0.25">
      <c r="A18" t="str">
        <f t="shared" si="0"/>
        <v>INSTITUTO COLOMBIANO DE BIENESTAR FAMILIAR</v>
      </c>
      <c r="B18" t="s">
        <v>5</v>
      </c>
      <c r="C18" t="str">
        <f>USUARIOS!C17</f>
        <v>Si</v>
      </c>
      <c r="D18">
        <f>USUARIOS!D17</f>
        <v>44214</v>
      </c>
      <c r="E18" t="str">
        <f>USUARIOS!E17</f>
        <v>EDGAR LEONARDO BOJACA CASTRO</v>
      </c>
      <c r="F18">
        <f>USUARIOS!F17</f>
        <v>44225</v>
      </c>
      <c r="G18" t="str">
        <f>USUARIOS!G17</f>
        <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BD53C97C-53F9-44D8-BF1E-2B98D88553FC}"/>
</file>

<file path=customXml/itemProps2.xml><?xml version="1.0" encoding="utf-8"?>
<ds:datastoreItem xmlns:ds="http://schemas.openxmlformats.org/officeDocument/2006/customXml" ds:itemID="{88E49C04-22A1-4C38-9F13-A75566A5D2B6}"/>
</file>

<file path=customXml/itemProps3.xml><?xml version="1.0" encoding="utf-8"?>
<ds:datastoreItem xmlns:ds="http://schemas.openxmlformats.org/officeDocument/2006/customXml" ds:itemID="{CAA56E17-6CC7-4720-B19A-A262E1DAD8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Yanira Villamil Suzunaga</cp:lastModifiedBy>
  <dcterms:created xsi:type="dcterms:W3CDTF">2020-06-25T21:16:25Z</dcterms:created>
  <dcterms:modified xsi:type="dcterms:W3CDTF">2021-08-25T19:44:54Z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