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codeName="ThisWorkbook" defaultThemeVersion="166925"/>
  <mc:AlternateContent xmlns:mc="http://schemas.openxmlformats.org/markup-compatibility/2006">
    <mc:Choice Requires="x15">
      <x15ac:absPath xmlns:x15ac="http://schemas.microsoft.com/office/spreadsheetml/2010/11/ac" url="https://icbfgob-my.sharepoint.com/personal/clara_arenas_icbf_gov_co/Documents/2022OCI/eKOGUI_Reportes_12072022/eKOGUI_Reportes_OCI_Rev/"/>
    </mc:Choice>
  </mc:AlternateContent>
  <xr:revisionPtr revIDLastSave="242" documentId="8_{7C98A24F-6C83-49BE-9467-885CF6D9730E}" xr6:coauthVersionLast="47" xr6:coauthVersionMax="47" xr10:uidLastSave="{24A0EB7A-4F41-420C-AAC3-F39B6791EF65}"/>
  <bookViews>
    <workbookView xWindow="-108" yWindow="-108" windowWidth="23256" windowHeight="12576" tabRatio="777" activeTab="6"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<sst xmlns="http://schemas.openxmlformats.org/spreadsheetml/2006/main" count="277" uniqueCount="203">
  <si>
    <t>Plantilla de certificado de Control Interno eKOGUI</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</si>
  <si>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</si>
  <si>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</si>
  <si>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ACTIVOS</t>
  </si>
  <si>
    <t>Si</t>
  </si>
  <si>
    <t>Favor Diligenciar los Campos Resaltados</t>
  </si>
  <si>
    <t>No</t>
  </si>
  <si>
    <t>Fecha de diligenciamiento de plantilla</t>
  </si>
  <si>
    <t>N/A</t>
  </si>
  <si>
    <t>Favor Diligenciar los campos Resaltados</t>
  </si>
  <si>
    <t>ROL</t>
  </si>
  <si>
    <t>TIENE EL ROL</t>
  </si>
  <si>
    <t>FECHA CREACIÓN  EN EKOGUI</t>
  </si>
  <si>
    <t>NOMBRE</t>
  </si>
  <si>
    <t>FECHA ÚLTIMA CAPACITACIÓN</t>
  </si>
  <si>
    <t>ACTUALIZADO</t>
  </si>
  <si>
    <t>JEFE FINANCIERO</t>
  </si>
  <si>
    <t>CLAUDIA PATRICIA GARCÍA GUATAMA</t>
  </si>
  <si>
    <t>JEFE JURÍDICO</t>
  </si>
  <si>
    <t>EDGAR LEONARDO BOJACÁ CASTRO</t>
  </si>
  <si>
    <t>ENLACE DE PAGOS</t>
  </si>
  <si>
    <t>QUINTERO PERILLA FABIO</t>
  </si>
  <si>
    <t>JEFE CONTROL INTERNO</t>
  </si>
  <si>
    <t>YANIRA VILLAMIL SUZUNAGA</t>
  </si>
  <si>
    <t>SECRETARIO TÉCNICO</t>
  </si>
  <si>
    <t>LUZ FRANCY BARRIO RAMÍREZ</t>
  </si>
  <si>
    <t>ADMINISTRADOR DE LA ENTIDAD</t>
  </si>
  <si>
    <t>Observaciones</t>
  </si>
  <si>
    <t>Abogados al 30 de junio de 2022</t>
  </si>
  <si>
    <t>INFORMACIÓN (1)</t>
  </si>
  <si>
    <t>CANTIDAD DE ABOGADOS</t>
  </si>
  <si>
    <t>ABOGADOS ACTIVOS AL 30-06-2022</t>
  </si>
  <si>
    <t>CANTIDAD</t>
  </si>
  <si>
    <t>Tiene información estudios</t>
  </si>
  <si>
    <t>CANTIDAD DE ABOGADOS LITIGANDO SEGUN JURIDICA</t>
  </si>
  <si>
    <t>Tienen información experiencia</t>
  </si>
  <si>
    <t>ABOGADOS CREADOS EN EKOGUI ACTIVOS</t>
  </si>
  <si>
    <t>Tienen Información laboral</t>
  </si>
  <si>
    <t>ABOGADOS CON CORREO ACTUALIZADO</t>
  </si>
  <si>
    <t>(1) Se visualiza en el detalle del abogado a la fecha de revisión</t>
  </si>
  <si>
    <t>Solamente se revisa que tenga registrada alguna información registrada</t>
  </si>
  <si>
    <t>ABOGADOS INACTIVOS</t>
  </si>
  <si>
    <t>ÚLTIMA CAPACITACIÓN ABOGADOS ACTIVOS</t>
  </si>
  <si>
    <t>RETIRADOS EN LA ENTIDAD PRIMER SEMESTRE 2022 SEGÚN JURIDICA</t>
  </si>
  <si>
    <t>Posteriores al 01-01-2020</t>
  </si>
  <si>
    <t>INACTIVADOS EN EKOGUI PRIMER SEMESTRE 2022</t>
  </si>
  <si>
    <t>Entre 21-03-2019 y 31-12-2019</t>
  </si>
  <si>
    <t>Capacitaciones anteriores al 21-03-2019</t>
  </si>
  <si>
    <t>Sin capacitación</t>
  </si>
  <si>
    <t>Observaciones:</t>
  </si>
  <si>
    <t>Procesos Judiciales</t>
  </si>
  <si>
    <t>MAYORES A 33.000 SMMLV(4) ACTIVOS</t>
  </si>
  <si>
    <t xml:space="preserve">CANTIDAD </t>
  </si>
  <si>
    <t>Cantidad de procesos de más de 33.000 SMMLV SEGÚN JURIDICA</t>
  </si>
  <si>
    <t>PROCESOS ACTIVOS AL 30 DE JUNIO DE 2022</t>
  </si>
  <si>
    <t>Procesos de más de 33.000 SMMLV registrados en eKOGUI</t>
  </si>
  <si>
    <t>CANTIDAD DE PROCESOS ACTIVOS SEGÚN JURIDICA</t>
  </si>
  <si>
    <t>Procesos de más de 33.000 SMMLV con la pieza demanda(5)</t>
  </si>
  <si>
    <t>PROCESOS ACTIVOS REGISTRADOS EN EKOGUI</t>
  </si>
  <si>
    <t>(4)Equivalente a un valor indexado de $33.000 millones a 30 de junio de 2022</t>
  </si>
  <si>
    <t>PROCESOS SIN ABOGADO ASIGNADO(1)</t>
  </si>
  <si>
    <t>(5) Puede ser remitida a la ANDJE o cargada en el sistema</t>
  </si>
  <si>
    <t>(1) Con fecha de registro anterior al 15-06-2022</t>
  </si>
  <si>
    <t>CALIFICACIÓN DE RIESGO</t>
  </si>
  <si>
    <t>PROCESOS TERMINADOS PRIMER SEMESTRE 2022</t>
  </si>
  <si>
    <t>PROCESOS ACTIVOS EN EKOGUI  EN CALIDAD DEMANDADO AL 30-06-2022</t>
  </si>
  <si>
    <t>PROCESOS TERMINADOS DURANTE PRIMER SEMESTRE 2022 SEGÚN JURIDICA</t>
  </si>
  <si>
    <t>PROCESOS EN EKOGUI CON CALIFICACIÓN PRIMER SEMESTRE 2022</t>
  </si>
  <si>
    <t>TERMINADOS EN EKOGUI DURANTE PRIMER SEMESTRE 2022 (2)</t>
  </si>
  <si>
    <t>PROCESOS EN EKOGUI CON CALIFICACIÓN ANTERIOR A 31-12-2021</t>
  </si>
  <si>
    <t>(2) Con fecha de actuación en 2022</t>
  </si>
  <si>
    <t>PROCESOS EN EKOGUI SIN CALIFICACIÓN</t>
  </si>
  <si>
    <t>ACTUALIZACIÓN</t>
  </si>
  <si>
    <t>PROVISIÓN CONTABLE (6)</t>
  </si>
  <si>
    <t># PROCESOS</t>
  </si>
  <si>
    <t>CON PROVISIÓN IGUAL A CERO</t>
  </si>
  <si>
    <t>PROCESO TERMINADOS EN EKOGUI AL 30 DE JUNIO 2022</t>
  </si>
  <si>
    <t>PROBABILIDAD DE PERDER EL CASO ALTA</t>
  </si>
  <si>
    <t>PROCESOS ACTIVOS EN EKOGUI CON ESTADO TERMINADO(3)</t>
  </si>
  <si>
    <t>PROBABILIDAD DE PERDER EL CASO MEDIA</t>
  </si>
  <si>
    <r>
      <t>(3)En el reporte de activos al 30 de junio verifique la columna</t>
    </r>
    <r>
      <rPr>
        <b/>
        <i/>
        <sz val="9"/>
        <color theme="1"/>
        <rFont val="Calibri"/>
        <family val="2"/>
        <scheme val="minor"/>
      </rPr>
      <t xml:space="preserve"> Estado General del proceso</t>
    </r>
  </si>
  <si>
    <t>PROBABILIDAD DE PERDER EL CASO BAJA</t>
  </si>
  <si>
    <t>PROBABILIDAD DE PERDER EL CASO REMOTA</t>
  </si>
  <si>
    <t>(6) Solo se consideran los procesos activos en e-Kogui - calidad demandado al 30 de JUNIO de 2022 que tengan calificación de riesgo</t>
  </si>
  <si>
    <t>CONDENAS</t>
  </si>
  <si>
    <t>OBSERVACIONES</t>
  </si>
  <si>
    <t>PROCESOS ANALIZADOS</t>
  </si>
  <si>
    <t>PROCESOS TERMINADOS CON EJECUTORIA</t>
  </si>
  <si>
    <t>PROCESOS DESFAVORABLES</t>
  </si>
  <si>
    <t>PROCESOS QUE GENERAN EROGACIÓN ECONÓMICA</t>
  </si>
  <si>
    <t>PROCESOS CON VALOR CONDENA MAYOR A CERO</t>
  </si>
  <si>
    <t>Conciliaciones Prejudiciales</t>
  </si>
  <si>
    <t>PREJUDICIALES ACTIVAS AL 30-06-2022</t>
  </si>
  <si>
    <t>TOTAL PREJUDICIALES ACTIVOS SEGÚN JURIDICA</t>
  </si>
  <si>
    <t>TOTAL PREJUDICIALES ACTIVOS EN EKOGUI</t>
  </si>
  <si>
    <t>CANTIDAD PREJUDICIALES</t>
  </si>
  <si>
    <t>REGISTRO POSTERIOR AL 31/12/2021</t>
  </si>
  <si>
    <t>Procesos que efectivamente se encuentran activos</t>
  </si>
  <si>
    <t>REGISTRO ENTRE  1 DE JULIO Y 31 DE DICIEMBRE DE 2021</t>
  </si>
  <si>
    <t>Procesos que se encuentran terminados</t>
  </si>
  <si>
    <t>REGISTRO EN PRIMER SEMESTRE DE 2021 Y ANTERIORES</t>
  </si>
  <si>
    <t>PREJUDICIALES TERMINADAS SEGUNDO SEMESTRE 2021</t>
  </si>
  <si>
    <t>TOTAL PREJUDICIALES TERMINADOS I SEM. 2022 SEGÚN JURIDICA</t>
  </si>
  <si>
    <t>TERMINADOS EN EKOGUI ÚLTIMA ACTUACIÓN  I SEM. 2022</t>
  </si>
  <si>
    <t>ARBITRAMENTOS</t>
  </si>
  <si>
    <t>ARBITRAMENTOS ACTIVOS AL 30-06-2022 SEGÚN JURIDICA</t>
  </si>
  <si>
    <t>TOTAL ARBITRAMENTOS TERMINADOS  AL 30-06-2022 SEGÚN JURIDICA</t>
  </si>
  <si>
    <t>ARBITRAMENTOS ACTIVOS REGISTRADOS EN EKOGUI</t>
  </si>
  <si>
    <t>ARBITRAMENTOS TERMINADOS EN EKOGUI</t>
  </si>
  <si>
    <t>Pagos</t>
  </si>
  <si>
    <t>PROCESOS ACTIVOS</t>
  </si>
  <si>
    <t>Gestiona pagos en SIIF de MinHacienda</t>
  </si>
  <si>
    <t>Su entidad utilizo el modulo de pagos en 2022-I?</t>
  </si>
  <si>
    <t>Plantilla de certificado de Control Interno</t>
  </si>
  <si>
    <t>Favor Diligenciar los Campos Resaltados y Revisar la Información Incompleta Antes de Remitir a la ANDJE *</t>
  </si>
  <si>
    <t>NOMBRE ENTIDAD QUE REPORTA</t>
  </si>
  <si>
    <t>NOMBRE JEFE CONTROL INTERNO QUE REPORTA</t>
  </si>
  <si>
    <t>INFORMACIÓN USUARIOS</t>
  </si>
  <si>
    <t>PREJUDICIALES</t>
  </si>
  <si>
    <t>Completitud de roles</t>
  </si>
  <si>
    <t>Procesos prejudiciales</t>
  </si>
  <si>
    <t>Usuarios activos</t>
  </si>
  <si>
    <t>Porcentaje de registro</t>
  </si>
  <si>
    <t>Uso del sistema</t>
  </si>
  <si>
    <t>No Aplica</t>
  </si>
  <si>
    <t>Actualización prejudiciales</t>
  </si>
  <si>
    <t>Nivel de capacitación</t>
  </si>
  <si>
    <t>JUDICIALES</t>
  </si>
  <si>
    <t>Procesos arbitrales</t>
  </si>
  <si>
    <t>Procesos activos</t>
  </si>
  <si>
    <t>Actualización más de 33.000 SMMLV</t>
  </si>
  <si>
    <t>PAGOS</t>
  </si>
  <si>
    <t>Procesos por abogado</t>
  </si>
  <si>
    <t>Uso del Módulo Pagos</t>
  </si>
  <si>
    <t>Provisión incorrecta</t>
  </si>
  <si>
    <t>Realiza Pagos por SIIF</t>
  </si>
  <si>
    <t xml:space="preserve">*Nota Los valores arrojados en esta hoja son solo para referencia y control del diligenciamiento, no deben ser usados para </t>
  </si>
  <si>
    <t>calificar o cualificar o comparar a las entidades, no hay valores buenos ni malos. No es una hoja de validaciÓn</t>
  </si>
  <si>
    <t>ENTIDAD</t>
  </si>
  <si>
    <t>NOMBRE JEFE CONTROL INTERNO</t>
  </si>
  <si>
    <t>CANTIDAD DE ABOGADOS LITIGANDO</t>
  </si>
  <si>
    <t>ABOGADOS CON PROCESOS ACTIVOS</t>
  </si>
  <si>
    <t>RETIRADOS EN LA ENTIDAD PRIMER SEMESTRE 2020</t>
  </si>
  <si>
    <t>INACTIVADOS EN EKOGUI PRIMER SEMESTRE 2020</t>
  </si>
  <si>
    <t>TIENE INFORMACIÓN ESTUDIOS</t>
  </si>
  <si>
    <t>TIENEN INFORMACIÓN EXPERIENCIA</t>
  </si>
  <si>
    <t>TIENEN INFORMACIÓN LABORAL</t>
  </si>
  <si>
    <t>POSTERIORES AL 01-01-2020</t>
  </si>
  <si>
    <t>ENTRE 21-03-2019 Y 31-12-2019</t>
  </si>
  <si>
    <t>CAPACITACIONES ANTERIORES AL 21-03-2019</t>
  </si>
  <si>
    <t>SIN CAPACITACIÓN</t>
  </si>
  <si>
    <t>CANTIDAD DE PROCESOS ACTIVOS</t>
  </si>
  <si>
    <t>PROCESOS SIN ABOGADO ASIGNADO</t>
  </si>
  <si>
    <t>PROCESOS TERMINADOS PERIODO</t>
  </si>
  <si>
    <t>TERMINADOS PERIODO EN EKOGUI</t>
  </si>
  <si>
    <t>PROCESO ENTIDAD TERMINADOS</t>
  </si>
  <si>
    <t>PROCESOS ACTIVOS CON ESTADO TERMINADO</t>
  </si>
  <si>
    <t>CANTIDAD DE PROCESOS DE MÁS DE 33.000 SMMLV</t>
  </si>
  <si>
    <t>PROCESOS DE MÁS DE 33.000 SMMLV REGISTRADOS EN EKOGUI</t>
  </si>
  <si>
    <t xml:space="preserve">PROCESOS DE MÁS DE 33.000 SMMLV CON LA PIEZA DEMANDA </t>
  </si>
  <si>
    <t>PROCESOS ACTIVOS EN CALIDAD DEMANDADO</t>
  </si>
  <si>
    <t>PROCESOS CON CALIFICACIÓN  EN 2020</t>
  </si>
  <si>
    <t>PROCESOS CON CALIFICACIÓN ANTERIOR A 2020</t>
  </si>
  <si>
    <t>PROCESOS SIN CALIFICACIÓN</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</si>
  <si>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</si>
  <si>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</si>
  <si>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</si>
  <si>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</si>
  <si>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</si>
  <si>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</si>
  <si>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</si>
  <si>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</si>
  <si>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PREJUDICIALES ACTIVOS</t>
  </si>
  <si>
    <t>REGISTRO EN 2020</t>
  </si>
  <si>
    <t>REGISTRO EN 2019</t>
  </si>
  <si>
    <t>REGISTRO EN 2018 Y ANTERIORES</t>
  </si>
  <si>
    <t>TOTAL PROCESOS TERMINADOS</t>
  </si>
  <si>
    <t>TERMINADOS ÚLTIMA ACTUACIÓN EN 2020</t>
  </si>
  <si>
    <t>Proceso que se encuentran terminados</t>
  </si>
  <si>
    <t>ARBITRAMENTOS ACTIVOS</t>
  </si>
  <si>
    <t>ARBITRAMENTOS REGISTRADOS EN EKOGUI</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</si>
  <si>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</si>
  <si>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</si>
  <si>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</si>
  <si>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</si>
  <si>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</si>
  <si>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</si>
  <si>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</si>
  <si>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</si>
  <si>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</si>
  <si>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</si>
  <si>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</si>
  <si>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</si>
  <si>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</si>
  <si>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OCI Nota No. 1. Desde la OCI mediante correo electrónico del 02/08/2022 se solicitó a la OAJ "Revisar y confirmar respecto a los arbitramentos sí se tuvieron o no procesos de este tipo en la Entidad activos para el 30/06/2022" la OAJ respondió con correo electrónico y memorando radicado No. 202210400000131323 del 09/08/2022 "Respecto a los arbitramentos se informa que para el 1er semestre 2022, la entidad no registro este tipo de procesos en el sistema eKOGUI".</t>
  </si>
  <si>
    <t>Instituto Colombiano de Bienestar Familiar - ICBF</t>
  </si>
  <si>
    <t>Yanira Villamil</t>
  </si>
  <si>
    <t>OCI Nota No. 1. En el ítem de Procesos por abogado, desde la OCI del ICBF debemos indicar que, por la estructura orgánica de la Entidad y por los múltiples temas legales que se atienden desde los grupos jurídicos de la regionales, NO se puede asumir que el reparto de los procesos judiciales es equitativo entre todos los abogados que ejercen la representación judicial del Instituto.</t>
  </si>
  <si>
    <t>OCI Nota No. 1. Desde la OCI mediante correo electrónico del 02/08/2022 se solicitó a la OAJ "indicar la cantidad de Abogados Litigando (activos) para el ICBF a 30/06/2022" la OAJ respondió con correo electrónico y memorando radicado No. 202210400000131323 del 09/08/2022 que "En relación con la cantidad de usuarios rol abogado litigando, se informa que, a corte a 30 de junio de 2022, en el Sistema de Gestión e Información Litigiosa del Estado - eKOGUI de la entidad, se encontraban 167 usuarios activos. Se precisa que, se han creado perfiles de apoderado a los coordinadores de los Grupos Jurídicos Regionales y/o a colaboradores de la Oficina Asesora Jurídica para que apoyen el seguimiento al cumplimiento de las actividades de los apoderados". 
OCI Nota No. 2. El reporte eKOGUI_Usuarios_Rol_Abogado refleja 168 usuarios activos, pero se descuenta 1 que corresponde al de Migración eKOGUI, por tanto, los usuarios con rol abogado activo son 167.
OCI Nota No. 3. Respecto al dato de "Abogados con correo actualizado" se encontraron en el reporte eKOGUI_Usuarios_Rol_Abogado 167 todos con correo electrónico registrado, de los cuales 36 son de dominio diferente al de icbf.gov.co, (es decir, corresponden a dominios como gmail, hotmail, yahoo, outlook, dejud).
OCI Nota No. 4. La OAJ respondió "Respecto al rol de Abogados, se informa que, durante el 1er semestre de 2022, se inactivaron un total de 23 usuarios...".
OCI Nota No. 5. El reporte eKOGUI_Usuarios_Rol_Abogado refleja en total 508 en estado inactivo, descontando 1 que correspondía al de Migración eKOGUI, siendo 23 los inactivados durante el 1er semestre de 2022.
OCI Nota No. 6. La OAJ respondió "Ahora bien, con respecto al numeral 4.4 en el cual se solicita información de los Abogados que a 30 de junio 2022, no tuvieran soporte de ninguna capacitación en eKOGUI, se informa que pese a las gestiones y convocatorias realizadas por parte de la administración eKOGUI, no ha sido posible lograr la participación de 35 usuarios perfil abogado, de los cuales 30 corresponden a los abogados de contratos de participación y 5 usuarios nuevos que ejercen representación judicial en los Grupos
Jurídicos Regionales y que están pendientes de programar fecha de capacitación. Es de precisar que, los apoderados de los denunciantes de Bienes Vacantes, Mostrencos o Vocaciones Hereditarias, se les ha creado usuario de eKOGUI, no obstante, no es factible exigirles tomar capacitaciones y por ello, se ha recomendado a los Grupos Jurídicos Regionales que actualicen el aplicativo a través de la supervisión de los contratos de participación".
 OCI Nota No. 7. Revisados los soportes y evidencias de capacitación desde la OCI mediante correo electrónico del 16/08/2022 se solicitó a la OAJ respecto a "41 registros indicar la justificación y remitir el soporte detallado de la gestión adelantada desde la OAJ con el fin de lograr la capacitación efectiva en eKOGUI" la OAJ respondió con correo electrónico del 19/08/2022 respecto a nueve (9) de estos Abogados "Frente a la capacitación realizada el día de hoy, se aportan los correos electrónicos por medio de los cuales se envió la invitación, la grabación y listado teams, en los cuales se evidencia la participación de los apoderados".</t>
  </si>
  <si>
    <t xml:space="preserve">OCI Nota No. 1. Según lo informado por la OAJ y verificado por la OCI en los respectivos reportes de procesos activos y terminados, la única fuente de información de la entidad es el sistema eKOGUI.
OCI Nota No. 2. Desde la OCI mediante correo electrónico del 02/08/2022 se solicitó a la OAJ "Respecto a los procesos judiciales, indicar la cantidad de procesos judiciales activos en la Entidad a 30/06/2022" la OAJ respondió con correo electrónico y memorando radicado No. 202210400000131323 del 09/08/2022 "Respecto a los procesos judiciales, con corte a 30 de junio de 2022, se encontraban activos un total de: 3097".
OCI Nota No. 3. El reporte eKOGUI_Activos previo filtro (Contador de Procesos por 1 dejando solo procesos únicos) genera un total de 3097 registros.
OCI Nota No. 4. Se identifió 1 proceso "Sin Abogado Asignado" correspondiente al No. 054498310500120210027400 dado que aun cuando tiene en "Fecha de registro del proceso" el 29/04/2022 en la "Fecha Asignación" el dato no está diligenciado.
OCI Nota No. 5. Desde la OCI mediante correo electrónico del 02/08/2022 se solicitó a la OAJ "En cuanto a los procesos judiciales, indicar la cantidad de procesos judiciales terminados en la Entidad a 30/06/2022" la OAJ respondió con correo electrónico y memorando radicado No. 202210400000131323 del 09/08/2022 "En cuanto a los procesos judiciales, con corte a 30 de junio de 2022, se encontraban terminados un total de: 4539".
OCI Nota No. 6. El reporte eKOGUI_Terminados previo filtro (Contador de Procesos por 1 dejando solo procesos únicos) genera un total de 4539 registros. </t>
  </si>
  <si>
    <t>OCI Nota No. 1. Según lo informado por la OAJ y verificado por la OCI en el respectivo reporte de Conciliaciones Extrajudiciales, la única fuente de información de la entidad es el sistema eKOGUI.
OCI Nota No. 2. Desde la OCI mediante correo electrónico del 02/08/2022 se solicitó a la OAJ "Frente a los procesos prejudiciales, indicar la cantidad de procesos prejudiciales activos en la Entidad a 30/06/2022" la OAJ respondió con correo electrónico y memorando radicado No. 202210400000131323 del 09/08/2022 "Frente a las conciliaciones prejudiciales, con corte a 30 de junio de 2022, se encontraban activas un total de: 33".
OCI Nota No. 3. Desde la OCI mediante correo electrónico del 02/08/2022 se solicitó a la OAJ "Sobre los procesos prejudiciales, indicar la cantidad de procesos prejudiciales terminados en la Entidad a 30/06/2022" la OAJ respondió con correo electrónico y memorando radicado No. 202210400000131323 del 09/08/2022 "Sobre las conciliaciones prejudiciales, con corte a 30 de junio de 2022, se encontraban terminadas un total de: 57".</t>
  </si>
  <si>
    <t xml:space="preserve">OCI Nota No. 1. Desde la OCI mediante correo electrónico del 02/08/2022 se solicitó a la OAJ "Informar y remitir soportes con corte a 30/06/2022 sobre cuántos pagos respecto a (sentencias, conciliaciones y laudos arbitrales) se han efectuado en total (por el ICBF) a través de la plataforma SIIF Nación, cuántos pagos durante el 1er semestre de 2022, e indicar sí se ha presentado algún inconveniente en la plataforma del Ministerio de Hacienda (para pagar) o en el módulo de eKOGUI (para registrar) las respectivas transacciones" la OAJ respondió con correo electrónico y memorando radicado No. 202210400000131323 del 09/08/2022 "con respecto a la información de pagos de sentencias, conciliaciones y laudos arbitrales efectuados por el ICBF a través de la plataforma SIIF Nación durante el 1er semestre, aportamos cuadro Excel en el cual se encuentra la relación e información de todos los pagos realizados. Ahora bien, respecto a los inconvenientes presentados en la plataforma del Ministerio de Hacienda, solicitamos información a la Dirección Financiera y no hemos obtenido respuesta alguna. (anexamos correo de evidencia). En cuanto a los inconvenientes en el módulo de eKOGUI (para registrar) las respectivas transacciones, informamos que a la fecha no hemos presentado ningún error o problema con este".
OCI Nota No. 2. Revisado el mencionado "cuadro Excel en el cual se encuentra la relación e información de todos los pagos realizados" denominado "Pagos por sentencias SIIF Nación acumulado junio 2022", se evidenció que durante el 1er semestre de 2022 se efectuaron y registraron 72 pagos. </t>
  </si>
  <si>
    <t>OCI Nota No. 1. Desde la OCI mediante correo electrónico del 02/08/2022 se solicitó a la OAJ "Respecto a los siguientes Usuarios (principales) por favor confirmar y/o indicar los datos de “Fecha creación en eKOGUI” y “Fecha Última Capacitación” a 30/06/2022, adjuntando el soporte respectivo, emitido por la ANDJE" la OAJ respondió lo correspondiente con correo electrónico y memorando radicado No. 202210400000131323 del 09/08/2022. Los útimos dos roles creados en el sistema el 29/04/2022 
fueron el de Jefe Financiero (con última capacitación del 27/05/2022 y soporte emitido por la ANDJE el 05/08/2022) y el de Secretario Técnico (con última capacitación del 30/06/2022 y soporte emitido por la ANDJE del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</si>
</sst>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wrapText="1"/>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wrapText="1"/>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wrapText="1"/>
      <protection locked="0"/>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0" fillId="6" borderId="23"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24" xfId="0"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heetViews>
  <sheetFormatPr baseColWidth="10" defaultColWidth="11.44140625" defaultRowHeight="14.4" x14ac:dyDescent="0.3"/>
  <sheetData>
    <row r="1" spans="2:15" ht="15" thickBot="1" x14ac:dyDescent="0.35"/>
    <row r="2" spans="2:15" x14ac:dyDescent="0.3">
      <c r="B2" s="2"/>
      <c r="C2" s="3"/>
      <c r="D2" s="3"/>
      <c r="E2" s="3"/>
      <c r="F2" s="3"/>
      <c r="G2" s="3"/>
      <c r="H2" s="3"/>
      <c r="I2" s="3"/>
      <c r="J2" s="3"/>
      <c r="K2" s="3"/>
      <c r="L2" s="3"/>
      <c r="M2" s="3"/>
      <c r="N2" s="3"/>
      <c r="O2" s="4"/>
    </row>
    <row r="3" spans="2:15" ht="23.4" x14ac:dyDescent="0.45">
      <c r="B3" s="77" t="s">
        <v>0</v>
      </c>
      <c r="C3" s="78"/>
      <c r="D3" s="78"/>
      <c r="E3" s="78"/>
      <c r="F3" s="78"/>
      <c r="G3" s="78"/>
      <c r="H3" s="78"/>
      <c r="I3" s="78"/>
      <c r="J3" s="78"/>
      <c r="K3" s="78"/>
      <c r="L3" s="78"/>
      <c r="M3" s="78"/>
      <c r="N3" s="78"/>
      <c r="O3" s="79"/>
    </row>
    <row r="4" spans="2:15" ht="23.4" x14ac:dyDescent="0.45">
      <c r="B4" s="77" t="s">
        <v>1</v>
      </c>
      <c r="C4" s="78"/>
      <c r="D4" s="78"/>
      <c r="E4" s="78"/>
      <c r="F4" s="78"/>
      <c r="G4" s="78"/>
      <c r="H4" s="78"/>
      <c r="I4" s="78"/>
      <c r="J4" s="78"/>
      <c r="K4" s="78"/>
      <c r="L4" s="78"/>
      <c r="M4" s="78"/>
      <c r="N4" s="78"/>
      <c r="O4" s="79"/>
    </row>
    <row r="5" spans="2:15" x14ac:dyDescent="0.3">
      <c r="B5" s="5"/>
      <c r="O5" s="6"/>
    </row>
    <row r="6" spans="2:15" x14ac:dyDescent="0.3">
      <c r="B6" s="5"/>
      <c r="C6" s="80" t="s">
        <v>2</v>
      </c>
      <c r="D6" s="80"/>
      <c r="E6" s="80"/>
      <c r="F6" s="80"/>
      <c r="G6" s="80"/>
      <c r="H6" s="80"/>
      <c r="I6" s="80"/>
      <c r="J6" s="80"/>
      <c r="K6" s="80"/>
      <c r="L6" s="80"/>
      <c r="M6" s="80"/>
      <c r="N6" s="80"/>
      <c r="O6" s="6"/>
    </row>
    <row r="7" spans="2:15" x14ac:dyDescent="0.3">
      <c r="B7" s="5"/>
      <c r="C7" s="80"/>
      <c r="D7" s="80"/>
      <c r="E7" s="80"/>
      <c r="F7" s="80"/>
      <c r="G7" s="80"/>
      <c r="H7" s="80"/>
      <c r="I7" s="80"/>
      <c r="J7" s="80"/>
      <c r="K7" s="80"/>
      <c r="L7" s="80"/>
      <c r="M7" s="80"/>
      <c r="N7" s="80"/>
      <c r="O7" s="6"/>
    </row>
    <row r="8" spans="2:15" x14ac:dyDescent="0.3">
      <c r="B8" s="5"/>
      <c r="O8" s="6"/>
    </row>
    <row r="9" spans="2:15" x14ac:dyDescent="0.3">
      <c r="B9" s="5"/>
      <c r="O9" s="6"/>
    </row>
    <row r="10" spans="2:15" x14ac:dyDescent="0.3">
      <c r="B10" s="5"/>
      <c r="O10" s="6"/>
    </row>
    <row r="11" spans="2:15" x14ac:dyDescent="0.3">
      <c r="B11" s="5"/>
      <c r="O11" s="6"/>
    </row>
    <row r="12" spans="2:15" x14ac:dyDescent="0.3">
      <c r="B12" s="5"/>
      <c r="O12" s="6"/>
    </row>
    <row r="13" spans="2:15" x14ac:dyDescent="0.3">
      <c r="B13" s="5"/>
      <c r="O13" s="6"/>
    </row>
    <row r="14" spans="2:15" x14ac:dyDescent="0.3">
      <c r="B14" s="5"/>
      <c r="O14" s="6"/>
    </row>
    <row r="15" spans="2:15" x14ac:dyDescent="0.3">
      <c r="B15" s="5"/>
      <c r="O15" s="6"/>
    </row>
    <row r="16" spans="2:15" x14ac:dyDescent="0.3">
      <c r="B16" s="5"/>
      <c r="O16" s="6"/>
    </row>
    <row r="17" spans="2:15" x14ac:dyDescent="0.3">
      <c r="B17" s="5"/>
      <c r="O17" s="6"/>
    </row>
    <row r="18" spans="2:15" ht="15" thickBot="1" x14ac:dyDescent="0.35">
      <c r="B18" s="7"/>
      <c r="C18" s="8"/>
      <c r="D18" s="8"/>
      <c r="E18" s="8"/>
      <c r="F18" s="8"/>
      <c r="G18" s="8"/>
      <c r="H18" s="8"/>
      <c r="I18" s="8"/>
      <c r="J18" s="8"/>
      <c r="K18" s="8"/>
      <c r="L18" s="8"/>
      <c r="M18" s="8"/>
      <c r="N18" s="8"/>
      <c r="O18" s="9"/>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opLeftCell="A10" zoomScale="110" zoomScaleNormal="110" workbookViewId="0">
      <selection activeCell="C19" sqref="C19:G19"/>
    </sheetView>
  </sheetViews>
  <sheetFormatPr baseColWidth="10" defaultColWidth="11.44140625" defaultRowHeight="14.4" x14ac:dyDescent="0.3"/>
  <cols>
    <col min="1" max="1" width="6.44140625" style="1" customWidth="1"/>
    <col min="2" max="2" width="34.33203125" style="1" customWidth="1"/>
    <col min="3" max="3" width="13.33203125" style="1" customWidth="1"/>
    <col min="4" max="4" width="27.44140625" style="1" customWidth="1"/>
    <col min="5" max="5" width="57.44140625" style="1" customWidth="1"/>
    <col min="6" max="6" width="30.109375" style="1" customWidth="1"/>
    <col min="7" max="7" width="15.6640625" style="1" customWidth="1"/>
    <col min="8" max="9" width="11.44140625" style="36"/>
    <col min="10" max="10" width="11.88671875" style="36" bestFit="1" customWidth="1"/>
    <col min="11" max="16384" width="11.44140625" style="1"/>
  </cols>
  <sheetData>
    <row r="5" spans="2:20" ht="15" thickBot="1" x14ac:dyDescent="0.35"/>
    <row r="6" spans="2:20" x14ac:dyDescent="0.3">
      <c r="B6" s="10"/>
      <c r="C6" s="11"/>
      <c r="D6" s="11"/>
      <c r="E6" s="11"/>
      <c r="F6" s="11"/>
      <c r="G6" s="12"/>
    </row>
    <row r="7" spans="2:20" ht="21" x14ac:dyDescent="0.4">
      <c r="B7" s="81" t="s">
        <v>3</v>
      </c>
      <c r="C7" s="82"/>
      <c r="D7" s="82"/>
      <c r="E7" s="82"/>
      <c r="F7" s="82"/>
      <c r="G7" s="83"/>
      <c r="T7" s="1" t="s">
        <v>4</v>
      </c>
    </row>
    <row r="8" spans="2:20" ht="15" thickBot="1" x14ac:dyDescent="0.35">
      <c r="B8" s="13"/>
      <c r="D8" s="89" t="s">
        <v>5</v>
      </c>
      <c r="E8" s="89"/>
      <c r="G8" s="14"/>
      <c r="T8" s="1" t="s">
        <v>6</v>
      </c>
    </row>
    <row r="9" spans="2:20" ht="15" thickBot="1" x14ac:dyDescent="0.35">
      <c r="B9" s="87" t="s">
        <v>7</v>
      </c>
      <c r="C9" s="88"/>
      <c r="D9" s="69">
        <v>44783</v>
      </c>
      <c r="G9" s="14"/>
      <c r="T9" s="1" t="s">
        <v>8</v>
      </c>
    </row>
    <row r="10" spans="2:20" x14ac:dyDescent="0.3">
      <c r="B10" s="13" t="s">
        <v>9</v>
      </c>
      <c r="G10" s="58">
        <v>43545</v>
      </c>
    </row>
    <row r="11" spans="2:20" x14ac:dyDescent="0.3">
      <c r="B11" s="20" t="s">
        <v>10</v>
      </c>
      <c r="C11" s="21" t="s">
        <v>11</v>
      </c>
      <c r="D11" s="22" t="s">
        <v>12</v>
      </c>
      <c r="E11" s="21" t="s">
        <v>13</v>
      </c>
      <c r="F11" s="21" t="s">
        <v>14</v>
      </c>
      <c r="G11" s="23" t="s">
        <v>15</v>
      </c>
    </row>
    <row r="12" spans="2:20" x14ac:dyDescent="0.3">
      <c r="B12" s="19" t="s">
        <v>16</v>
      </c>
      <c r="C12" s="68" t="s">
        <v>4</v>
      </c>
      <c r="D12" s="69">
        <v>44680</v>
      </c>
      <c r="E12" s="68" t="s">
        <v>17</v>
      </c>
      <c r="F12" s="69">
        <v>44708</v>
      </c>
      <c r="G12" s="70" t="str">
        <f>+IF(C12="SI",IF(F12&lt;$G$10,"DESACTUALIZADO",""),"")</f>
        <v/>
      </c>
      <c r="H12" s="36">
        <f t="shared" ref="H12:H17" si="0">+IF(C12="N/A",1,0)</f>
        <v>0</v>
      </c>
      <c r="I12" s="36">
        <f t="shared" ref="I12:I17" si="1">+IF(C12="Si",1,0)</f>
        <v>1</v>
      </c>
      <c r="J12" s="36">
        <f t="shared" ref="J12:J17" si="2">+IF(C12="No",1,0)</f>
        <v>0</v>
      </c>
    </row>
    <row r="13" spans="2:20" x14ac:dyDescent="0.3">
      <c r="B13" s="19" t="s">
        <v>18</v>
      </c>
      <c r="C13" s="68" t="s">
        <v>4</v>
      </c>
      <c r="D13" s="69">
        <v>43740</v>
      </c>
      <c r="E13" s="68" t="s">
        <v>19</v>
      </c>
      <c r="F13" s="69">
        <v>44460</v>
      </c>
      <c r="G13" s="70" t="str">
        <f t="shared" ref="G13:G17" si="3">+IF(C13="SI",IF(F13&lt;$G$10,"DESACTUALIZADO",""),"")</f>
        <v/>
      </c>
      <c r="H13" s="36">
        <f t="shared" si="0"/>
        <v>0</v>
      </c>
      <c r="I13" s="36">
        <f t="shared" si="1"/>
        <v>1</v>
      </c>
      <c r="J13" s="36">
        <f t="shared" si="2"/>
        <v>0</v>
      </c>
    </row>
    <row r="14" spans="2:20" x14ac:dyDescent="0.3">
      <c r="B14" s="19" t="s">
        <v>20</v>
      </c>
      <c r="C14" s="68" t="s">
        <v>4</v>
      </c>
      <c r="D14" s="69">
        <v>43630</v>
      </c>
      <c r="E14" s="68" t="s">
        <v>21</v>
      </c>
      <c r="F14" s="69">
        <v>44391</v>
      </c>
      <c r="G14" s="70" t="str">
        <f>+IF(C14="SI",IF(F14&lt;$G$10,"DESACTUALIZADO",""),"")</f>
        <v/>
      </c>
      <c r="H14" s="36">
        <f>+IF(C14="N/A",1,0)</f>
        <v>0</v>
      </c>
      <c r="I14" s="36">
        <f>+IF(C14="Si",1,0)</f>
        <v>1</v>
      </c>
      <c r="J14" s="36">
        <f>+IF(C14="No",1,0)</f>
        <v>0</v>
      </c>
      <c r="T14" s="41">
        <v>43545</v>
      </c>
    </row>
    <row r="15" spans="2:20" x14ac:dyDescent="0.3">
      <c r="B15" s="19" t="s">
        <v>22</v>
      </c>
      <c r="C15" s="68" t="s">
        <v>4</v>
      </c>
      <c r="D15" s="69">
        <v>42829</v>
      </c>
      <c r="E15" s="68" t="s">
        <v>23</v>
      </c>
      <c r="F15" s="69">
        <v>44599</v>
      </c>
      <c r="G15" s="70" t="str">
        <f>+IF(C15="SI",IF(F15&lt;$G$10,"DESACTUALIZADO",""),"")</f>
        <v/>
      </c>
      <c r="H15" s="36">
        <f>+IF(C15="N/A",1,0)</f>
        <v>0</v>
      </c>
      <c r="I15" s="36">
        <f>+IF(C15="Si",1,0)</f>
        <v>1</v>
      </c>
      <c r="J15" s="36">
        <f>+IF(C15="No",1,0)</f>
        <v>0</v>
      </c>
    </row>
    <row r="16" spans="2:20" x14ac:dyDescent="0.3">
      <c r="B16" s="19" t="s">
        <v>24</v>
      </c>
      <c r="C16" s="68" t="s">
        <v>4</v>
      </c>
      <c r="D16" s="69">
        <v>44680</v>
      </c>
      <c r="E16" s="68" t="s">
        <v>25</v>
      </c>
      <c r="F16" s="69">
        <v>44742</v>
      </c>
      <c r="G16" s="70" t="str">
        <f t="shared" si="3"/>
        <v/>
      </c>
      <c r="H16" s="36">
        <f t="shared" si="0"/>
        <v>0</v>
      </c>
      <c r="I16" s="36">
        <f t="shared" si="1"/>
        <v>1</v>
      </c>
      <c r="J16" s="36">
        <f t="shared" si="2"/>
        <v>0</v>
      </c>
    </row>
    <row r="17" spans="2:10" x14ac:dyDescent="0.3">
      <c r="B17" s="19" t="s">
        <v>26</v>
      </c>
      <c r="C17" s="68" t="s">
        <v>4</v>
      </c>
      <c r="D17" s="69">
        <v>44214</v>
      </c>
      <c r="E17" s="68" t="s">
        <v>19</v>
      </c>
      <c r="F17" s="69">
        <v>44411</v>
      </c>
      <c r="G17" s="70" t="str">
        <f t="shared" si="3"/>
        <v/>
      </c>
      <c r="H17" s="36">
        <f t="shared" si="0"/>
        <v>0</v>
      </c>
      <c r="I17" s="36">
        <f t="shared" si="1"/>
        <v>1</v>
      </c>
      <c r="J17" s="36">
        <f t="shared" si="2"/>
        <v>0</v>
      </c>
    </row>
    <row r="18" spans="2:10" x14ac:dyDescent="0.3">
      <c r="B18" s="13"/>
      <c r="G18" s="14"/>
    </row>
    <row r="19" spans="2:10" ht="94.5" customHeight="1" thickBot="1" x14ac:dyDescent="0.35">
      <c r="B19" s="53" t="s">
        <v>27</v>
      </c>
      <c r="C19" s="84" t="s">
        <v>202</v>
      </c>
      <c r="D19" s="85"/>
      <c r="E19" s="85"/>
      <c r="F19" s="85"/>
      <c r="G19" s="86"/>
    </row>
  </sheetData>
  <sheetProtection algorithmName="SHA-512" hashValue="guBwrDrRnk1KuL1QTxzhX+93X5l/aUSlJP3gAz5OjRJbKk1gJlGrcA8FEPrUFZMHmi3icEReOMBE9XonogNp0w==" saltValue="7DocmJkL4AB8U+xMv4KRdA==" spinCount="100000" sheet="1" objects="1" scenarios="1"/>
  <dataConsolidate/>
  <mergeCells count="4">
    <mergeCell ref="B7:G7"/>
    <mergeCell ref="C19:G19"/>
    <mergeCell ref="B9:C9"/>
    <mergeCell ref="D8:E8"/>
  </mergeCells>
  <conditionalFormatting sqref="C12:C17">
    <cfRule type="containsText" dxfId="49" priority="23" operator="containsText" text="N/A">
      <formula>NOT(ISERROR(SEARCH("N/A",C12)))</formula>
    </cfRule>
    <cfRule type="containsBlanks" dxfId="48" priority="31">
      <formula>LEN(TRIM(C12))=0</formula>
    </cfRule>
  </conditionalFormatting>
  <conditionalFormatting sqref="D9">
    <cfRule type="containsBlanks" dxfId="47" priority="30">
      <formula>LEN(TRIM(D9))=0</formula>
    </cfRule>
  </conditionalFormatting>
  <conditionalFormatting sqref="D12:F13 D16:F17">
    <cfRule type="containsBlanks" dxfId="46" priority="25">
      <formula>LEN(TRIM(D12))=0</formula>
    </cfRule>
  </conditionalFormatting>
  <conditionalFormatting sqref="C19">
    <cfRule type="containsBlanks" dxfId="45" priority="24">
      <formula>LEN(TRIM(C19))=0</formula>
    </cfRule>
  </conditionalFormatting>
  <conditionalFormatting sqref="D12:F12 D13 D16:D17">
    <cfRule type="expression" dxfId="44" priority="19">
      <formula>OR($C$12="No",$C$12="N/A")</formula>
    </cfRule>
  </conditionalFormatting>
  <conditionalFormatting sqref="D13:F13">
    <cfRule type="expression" dxfId="43" priority="16">
      <formula>OR($C$13="No",$C$13="N/A")</formula>
    </cfRule>
  </conditionalFormatting>
  <conditionalFormatting sqref="D16:F16">
    <cfRule type="expression" dxfId="42" priority="13">
      <formula>OR($C$16="No",$C$16="N/A")</formula>
    </cfRule>
  </conditionalFormatting>
  <conditionalFormatting sqref="D17:F17">
    <cfRule type="expression" dxfId="41" priority="12">
      <formula>OR($C$17="No",$C$17="N/A")</formula>
    </cfRule>
  </conditionalFormatting>
  <conditionalFormatting sqref="F13 F16:F17">
    <cfRule type="expression" dxfId="40" priority="11">
      <formula>OR($C$12="No",$C$12="N/A")</formula>
    </cfRule>
  </conditionalFormatting>
  <conditionalFormatting sqref="D14:D15">
    <cfRule type="containsBlanks" dxfId="39" priority="10">
      <formula>LEN(TRIM(D14))=0</formula>
    </cfRule>
  </conditionalFormatting>
  <conditionalFormatting sqref="D14">
    <cfRule type="expression" dxfId="38" priority="9">
      <formula>OR($C$14="No",$C$14="N/A")</formula>
    </cfRule>
  </conditionalFormatting>
  <conditionalFormatting sqref="D15">
    <cfRule type="expression" dxfId="37" priority="8">
      <formula>OR($C$15="No",$C$15="N/A")</formula>
    </cfRule>
  </conditionalFormatting>
  <conditionalFormatting sqref="E14:E15">
    <cfRule type="containsBlanks" dxfId="36" priority="7">
      <formula>LEN(TRIM(E14))=0</formula>
    </cfRule>
  </conditionalFormatting>
  <conditionalFormatting sqref="E14">
    <cfRule type="expression" dxfId="35" priority="6">
      <formula>OR($C$14="No",$C$14="N/A")</formula>
    </cfRule>
  </conditionalFormatting>
  <conditionalFormatting sqref="E15">
    <cfRule type="expression" dxfId="34" priority="5">
      <formula>OR($C$15="No",$C$15="N/A")</formula>
    </cfRule>
  </conditionalFormatting>
  <conditionalFormatting sqref="F14:F15">
    <cfRule type="containsBlanks" dxfId="33" priority="4">
      <formula>LEN(TRIM(F14))=0</formula>
    </cfRule>
  </conditionalFormatting>
  <conditionalFormatting sqref="F14">
    <cfRule type="expression" dxfId="32" priority="3">
      <formula>OR($C$14="No",$C$14="N/A")</formula>
    </cfRule>
  </conditionalFormatting>
  <conditionalFormatting sqref="F15">
    <cfRule type="expression" dxfId="31" priority="2">
      <formula>OR($C$15="No",$C$15="N/A")</formula>
    </cfRule>
  </conditionalFormatting>
  <conditionalFormatting sqref="E17">
    <cfRule type="expression" dxfId="30" priority="1">
      <formula>OR($C$13="No",$C$13="N/A")</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44742</formula1>
      <formula2>44823</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D12:D17 F12:F17" xr:uid="{00000000-0002-0000-0100-000004000000}">
      <formula1>40544</formula1>
      <formula2>44823</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topLeftCell="C2" zoomScale="110" zoomScaleNormal="110" workbookViewId="0">
      <selection activeCell="D14" sqref="D14"/>
    </sheetView>
  </sheetViews>
  <sheetFormatPr baseColWidth="10" defaultColWidth="11.44140625" defaultRowHeight="14.4" x14ac:dyDescent="0.3"/>
  <cols>
    <col min="1" max="1" width="3.88671875" style="1" customWidth="1"/>
    <col min="2" max="2" width="11.44140625" style="1"/>
    <col min="3" max="3" width="58.5546875" style="1" customWidth="1"/>
    <col min="4" max="4" width="20.88671875" style="1" customWidth="1"/>
    <col min="5" max="5" width="6.33203125" style="1" customWidth="1"/>
    <col min="6" max="6" width="41.44140625" style="1" customWidth="1"/>
    <col min="7" max="7" width="24.109375" style="1" customWidth="1"/>
    <col min="8" max="8" width="7.33203125" style="1" customWidth="1"/>
    <col min="9" max="16384" width="11.44140625" style="1"/>
  </cols>
  <sheetData>
    <row r="1" spans="2:22" ht="15" thickBot="1" x14ac:dyDescent="0.35"/>
    <row r="2" spans="2:22" x14ac:dyDescent="0.3">
      <c r="B2" s="10"/>
      <c r="C2" s="11"/>
      <c r="D2" s="11"/>
      <c r="E2" s="11"/>
      <c r="F2" s="11"/>
      <c r="G2" s="11"/>
      <c r="H2" s="12"/>
    </row>
    <row r="3" spans="2:22" x14ac:dyDescent="0.3">
      <c r="B3" s="13"/>
      <c r="H3" s="14"/>
      <c r="V3" s="25">
        <f>+IF(D12&lt;=10,D12,IF(ROUNDDOWN(D12*10%,0)&lt;10,10,ROUNDDOWN(D12*10%,0)))</f>
        <v>16</v>
      </c>
    </row>
    <row r="4" spans="2:22" x14ac:dyDescent="0.3">
      <c r="B4" s="13"/>
      <c r="H4" s="14"/>
    </row>
    <row r="5" spans="2:22" x14ac:dyDescent="0.3">
      <c r="B5" s="13"/>
      <c r="D5" s="1" t="s">
        <v>5</v>
      </c>
      <c r="H5" s="14"/>
    </row>
    <row r="6" spans="2:22" ht="15" customHeight="1" x14ac:dyDescent="0.3">
      <c r="B6" s="13"/>
      <c r="G6" s="26"/>
      <c r="H6" s="27"/>
    </row>
    <row r="7" spans="2:22" ht="17.25" customHeight="1" x14ac:dyDescent="0.4">
      <c r="B7" s="13"/>
      <c r="C7" s="18" t="s">
        <v>7</v>
      </c>
      <c r="D7" s="69">
        <v>44792</v>
      </c>
      <c r="E7" s="24"/>
      <c r="F7" s="90" t="str">
        <f>"Seleccione una muestra de "&amp;V3&amp;" abogados activos y complete la siguiente tabla"</f>
        <v>Seleccione una muestra de 16 abogados activos y complete la siguiente tabla</v>
      </c>
      <c r="G7" s="91"/>
      <c r="H7" s="27"/>
    </row>
    <row r="8" spans="2:22" x14ac:dyDescent="0.3">
      <c r="B8" s="13"/>
      <c r="F8" s="92"/>
      <c r="G8" s="93"/>
      <c r="H8" s="14"/>
      <c r="T8" s="1" t="s">
        <v>6</v>
      </c>
    </row>
    <row r="9" spans="2:22" ht="23.4" x14ac:dyDescent="0.3">
      <c r="B9" s="13"/>
      <c r="C9" s="28" t="s">
        <v>28</v>
      </c>
      <c r="E9"/>
      <c r="F9" s="22" t="s">
        <v>29</v>
      </c>
      <c r="G9" s="22" t="s">
        <v>30</v>
      </c>
      <c r="H9" s="14"/>
      <c r="T9" s="1" t="s">
        <v>8</v>
      </c>
    </row>
    <row r="10" spans="2:22" x14ac:dyDescent="0.3">
      <c r="B10" s="13"/>
      <c r="C10" s="21" t="s">
        <v>31</v>
      </c>
      <c r="D10" s="21" t="s">
        <v>32</v>
      </c>
      <c r="E10"/>
      <c r="F10" s="18" t="s">
        <v>33</v>
      </c>
      <c r="G10" s="68">
        <v>16</v>
      </c>
      <c r="H10" s="14"/>
    </row>
    <row r="11" spans="2:22" x14ac:dyDescent="0.3">
      <c r="B11" s="13"/>
      <c r="C11" s="18" t="s">
        <v>34</v>
      </c>
      <c r="D11" s="68">
        <v>167</v>
      </c>
      <c r="E11"/>
      <c r="F11" s="18" t="s">
        <v>35</v>
      </c>
      <c r="G11" s="68">
        <v>16</v>
      </c>
      <c r="H11" s="14"/>
    </row>
    <row r="12" spans="2:22" x14ac:dyDescent="0.3">
      <c r="B12" s="13"/>
      <c r="C12" s="18" t="s">
        <v>36</v>
      </c>
      <c r="D12" s="68">
        <v>167</v>
      </c>
      <c r="E12"/>
      <c r="F12" s="18" t="s">
        <v>37</v>
      </c>
      <c r="G12" s="68">
        <v>16</v>
      </c>
      <c r="H12" s="14"/>
    </row>
    <row r="13" spans="2:22" x14ac:dyDescent="0.3">
      <c r="B13" s="13"/>
      <c r="C13" s="18" t="s">
        <v>38</v>
      </c>
      <c r="D13" s="68">
        <v>167</v>
      </c>
      <c r="E13"/>
      <c r="F13" s="44" t="s">
        <v>39</v>
      </c>
      <c r="G13" s="43"/>
      <c r="H13" s="14"/>
    </row>
    <row r="14" spans="2:22" x14ac:dyDescent="0.3">
      <c r="B14" s="13"/>
      <c r="E14"/>
      <c r="F14" s="45" t="s">
        <v>40</v>
      </c>
      <c r="G14" s="46"/>
      <c r="H14" s="14"/>
    </row>
    <row r="15" spans="2:22" x14ac:dyDescent="0.3">
      <c r="B15" s="13"/>
      <c r="E15"/>
      <c r="H15" s="14"/>
    </row>
    <row r="16" spans="2:22" x14ac:dyDescent="0.3">
      <c r="B16" s="13"/>
      <c r="C16" s="21" t="s">
        <v>41</v>
      </c>
      <c r="D16" s="21" t="s">
        <v>32</v>
      </c>
      <c r="E16"/>
      <c r="F16" s="22" t="s">
        <v>42</v>
      </c>
      <c r="G16" s="22" t="s">
        <v>30</v>
      </c>
      <c r="H16" s="14"/>
    </row>
    <row r="17" spans="2:8" x14ac:dyDescent="0.3">
      <c r="B17" s="13"/>
      <c r="C17" s="18" t="s">
        <v>43</v>
      </c>
      <c r="D17" s="68">
        <v>23</v>
      </c>
      <c r="E17"/>
      <c r="F17" s="18" t="s">
        <v>44</v>
      </c>
      <c r="G17" s="68">
        <v>141</v>
      </c>
      <c r="H17" s="14"/>
    </row>
    <row r="18" spans="2:8" x14ac:dyDescent="0.3">
      <c r="B18" s="13"/>
      <c r="C18" s="18" t="s">
        <v>45</v>
      </c>
      <c r="D18" s="68">
        <v>23</v>
      </c>
      <c r="E18"/>
      <c r="F18" s="37" t="s">
        <v>46</v>
      </c>
      <c r="G18" s="68">
        <v>0</v>
      </c>
      <c r="H18" s="14"/>
    </row>
    <row r="19" spans="2:8" x14ac:dyDescent="0.3">
      <c r="B19" s="13"/>
      <c r="C19" s="49"/>
      <c r="E19"/>
      <c r="F19" s="18" t="s">
        <v>47</v>
      </c>
      <c r="G19" s="68">
        <v>0</v>
      </c>
      <c r="H19" s="14"/>
    </row>
    <row r="20" spans="2:8" x14ac:dyDescent="0.3">
      <c r="B20" s="13"/>
      <c r="C20" s="49"/>
      <c r="E20"/>
      <c r="F20" s="18" t="s">
        <v>48</v>
      </c>
      <c r="G20" s="68">
        <v>26</v>
      </c>
      <c r="H20" s="14"/>
    </row>
    <row r="21" spans="2:8" x14ac:dyDescent="0.3">
      <c r="B21" s="13"/>
      <c r="C21" s="49" t="s">
        <v>49</v>
      </c>
      <c r="E21"/>
      <c r="F21"/>
      <c r="G21"/>
      <c r="H21" s="14"/>
    </row>
    <row r="22" spans="2:8" x14ac:dyDescent="0.3">
      <c r="B22" s="13"/>
      <c r="C22" s="94" t="s">
        <v>198</v>
      </c>
      <c r="D22" s="95"/>
      <c r="E22" s="95"/>
      <c r="F22" s="95"/>
      <c r="G22" s="96"/>
      <c r="H22" s="14"/>
    </row>
    <row r="23" spans="2:8" x14ac:dyDescent="0.3">
      <c r="B23" s="13"/>
      <c r="C23" s="97"/>
      <c r="D23" s="98"/>
      <c r="E23" s="98"/>
      <c r="F23" s="98"/>
      <c r="G23" s="99"/>
      <c r="H23" s="14"/>
    </row>
    <row r="24" spans="2:8" x14ac:dyDescent="0.3">
      <c r="B24" s="13"/>
      <c r="C24" s="97"/>
      <c r="D24" s="98"/>
      <c r="E24" s="98"/>
      <c r="F24" s="98"/>
      <c r="G24" s="99"/>
      <c r="H24" s="14"/>
    </row>
    <row r="25" spans="2:8" x14ac:dyDescent="0.3">
      <c r="B25" s="13"/>
      <c r="C25" s="100"/>
      <c r="D25" s="101"/>
      <c r="E25" s="101"/>
      <c r="F25" s="101"/>
      <c r="G25" s="102"/>
      <c r="H25" s="14"/>
    </row>
    <row r="26" spans="2:8" ht="15" thickBot="1" x14ac:dyDescent="0.35">
      <c r="B26" s="15"/>
      <c r="C26" s="16"/>
      <c r="D26" s="16"/>
      <c r="E26" s="16"/>
      <c r="F26" s="16"/>
      <c r="G26" s="16"/>
      <c r="H26" s="17"/>
    </row>
  </sheetData>
  <sheetProtection algorithmName="SHA-512" hashValue="8RVfEKhnYWfIrZgxadx6Lc2rQDLeuKO1UW4AlYqnO3coVmDLUoIAogyz2Won+/zis7CW1pAtLh7Ek1Vaki8u8w==" saltValue="vQUyMhNw20AE2MFLVmAxDA=="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44742</formula1>
      <formula2>44823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topLeftCell="D6" zoomScale="110" zoomScaleNormal="110" workbookViewId="0">
      <selection activeCell="H26" sqref="H26"/>
    </sheetView>
  </sheetViews>
  <sheetFormatPr baseColWidth="10" defaultColWidth="11.44140625" defaultRowHeight="14.4" x14ac:dyDescent="0.3"/>
  <cols>
    <col min="1" max="1" width="3.88671875" style="1" customWidth="1"/>
    <col min="2" max="2" width="11.44140625" style="1"/>
    <col min="3" max="3" width="70.33203125" style="1" customWidth="1"/>
    <col min="4" max="4" width="15.33203125" style="1" customWidth="1"/>
    <col min="5" max="5" width="6.33203125" style="1" customWidth="1"/>
    <col min="6" max="6" width="70.109375" style="1" customWidth="1"/>
    <col min="7" max="7" width="16.88671875" style="1" customWidth="1"/>
    <col min="8" max="8" width="15.33203125" style="1" customWidth="1"/>
    <col min="9" max="9" width="7.33203125" style="1" customWidth="1"/>
    <col min="10" max="16384" width="11.44140625" style="1"/>
  </cols>
  <sheetData>
    <row r="1" spans="2:23" ht="15" thickBot="1" x14ac:dyDescent="0.35"/>
    <row r="2" spans="2:23" ht="9" customHeight="1" x14ac:dyDescent="0.3">
      <c r="B2" s="10"/>
      <c r="C2" s="11"/>
      <c r="D2" s="11"/>
      <c r="E2" s="11"/>
      <c r="F2" s="11"/>
      <c r="G2" s="11"/>
      <c r="H2" s="11"/>
      <c r="I2" s="12"/>
    </row>
    <row r="3" spans="2:23" x14ac:dyDescent="0.3">
      <c r="B3" s="13"/>
      <c r="I3" s="14"/>
      <c r="W3" s="25">
        <f>+IF(D17&lt;=10,D17,IF(ROUNDDOWN(D17*10%,0)&lt;10,10,ROUNDDOWN(D17*10%,0)))</f>
        <v>19</v>
      </c>
    </row>
    <row r="4" spans="2:23" x14ac:dyDescent="0.3">
      <c r="B4" s="13"/>
      <c r="I4" s="14"/>
    </row>
    <row r="5" spans="2:23" ht="9" customHeight="1" x14ac:dyDescent="0.3">
      <c r="B5" s="13"/>
      <c r="I5" s="14"/>
    </row>
    <row r="6" spans="2:23" ht="19.5" customHeight="1" x14ac:dyDescent="0.3">
      <c r="B6" s="13"/>
      <c r="C6" s="108" t="s">
        <v>50</v>
      </c>
      <c r="D6" s="108"/>
      <c r="E6" s="108"/>
      <c r="F6" s="108"/>
      <c r="G6" s="108"/>
      <c r="H6" s="108"/>
      <c r="I6" s="27"/>
    </row>
    <row r="7" spans="2:23" x14ac:dyDescent="0.3">
      <c r="B7" s="13"/>
      <c r="E7" s="71" t="s">
        <v>5</v>
      </c>
      <c r="I7" s="14"/>
      <c r="U7" s="1" t="s">
        <v>6</v>
      </c>
    </row>
    <row r="8" spans="2:23" x14ac:dyDescent="0.3">
      <c r="B8" s="13"/>
      <c r="C8" s="21" t="s">
        <v>7</v>
      </c>
      <c r="D8" s="69">
        <v>44795</v>
      </c>
      <c r="E8"/>
      <c r="F8" s="31" t="s">
        <v>51</v>
      </c>
      <c r="G8" s="76" t="s">
        <v>52</v>
      </c>
      <c r="I8" s="14"/>
      <c r="U8" s="1" t="s">
        <v>8</v>
      </c>
    </row>
    <row r="9" spans="2:23" x14ac:dyDescent="0.3">
      <c r="B9" s="13"/>
      <c r="E9"/>
      <c r="F9" s="18" t="s">
        <v>53</v>
      </c>
      <c r="G9" s="68">
        <v>2</v>
      </c>
      <c r="I9" s="14"/>
    </row>
    <row r="10" spans="2:23" x14ac:dyDescent="0.3">
      <c r="B10" s="13"/>
      <c r="C10" s="21" t="s">
        <v>54</v>
      </c>
      <c r="D10" s="21" t="s">
        <v>32</v>
      </c>
      <c r="E10"/>
      <c r="F10" s="18" t="s">
        <v>55</v>
      </c>
      <c r="G10" s="68">
        <v>2</v>
      </c>
      <c r="I10" s="14"/>
    </row>
    <row r="11" spans="2:23" x14ac:dyDescent="0.3">
      <c r="B11" s="13"/>
      <c r="C11" s="18" t="s">
        <v>56</v>
      </c>
      <c r="D11" s="68">
        <v>3097</v>
      </c>
      <c r="E11"/>
      <c r="F11" s="18" t="s">
        <v>57</v>
      </c>
      <c r="G11" s="68">
        <v>2</v>
      </c>
      <c r="I11" s="14"/>
    </row>
    <row r="12" spans="2:23" x14ac:dyDescent="0.3">
      <c r="B12" s="13"/>
      <c r="C12" s="18" t="s">
        <v>58</v>
      </c>
      <c r="D12" s="68">
        <v>3097</v>
      </c>
      <c r="E12"/>
      <c r="F12" s="32" t="s">
        <v>59</v>
      </c>
      <c r="I12" s="14"/>
    </row>
    <row r="13" spans="2:23" x14ac:dyDescent="0.3">
      <c r="B13" s="13"/>
      <c r="C13" s="18" t="s">
        <v>60</v>
      </c>
      <c r="D13" s="68">
        <v>1</v>
      </c>
      <c r="E13"/>
      <c r="F13" s="32" t="s">
        <v>61</v>
      </c>
      <c r="I13" s="14"/>
    </row>
    <row r="14" spans="2:23" x14ac:dyDescent="0.3">
      <c r="B14" s="13"/>
      <c r="C14" s="32" t="s">
        <v>62</v>
      </c>
      <c r="E14"/>
      <c r="F14" s="22" t="s">
        <v>63</v>
      </c>
      <c r="G14" s="21" t="s">
        <v>32</v>
      </c>
      <c r="I14" s="14"/>
    </row>
    <row r="15" spans="2:23" x14ac:dyDescent="0.3">
      <c r="B15" s="13"/>
      <c r="C15" s="21" t="s">
        <v>64</v>
      </c>
      <c r="D15" s="21" t="s">
        <v>32</v>
      </c>
      <c r="E15"/>
      <c r="F15" s="18" t="s">
        <v>65</v>
      </c>
      <c r="G15" s="68">
        <v>2510</v>
      </c>
      <c r="I15" s="14"/>
    </row>
    <row r="16" spans="2:23" x14ac:dyDescent="0.3">
      <c r="B16" s="13"/>
      <c r="C16" s="18" t="s">
        <v>66</v>
      </c>
      <c r="D16" s="68">
        <v>196</v>
      </c>
      <c r="E16"/>
      <c r="F16" s="18" t="s">
        <v>67</v>
      </c>
      <c r="G16" s="68">
        <v>2508</v>
      </c>
      <c r="I16" s="14"/>
    </row>
    <row r="17" spans="2:9" x14ac:dyDescent="0.3">
      <c r="B17" s="13"/>
      <c r="C17" s="18" t="s">
        <v>68</v>
      </c>
      <c r="D17" s="68">
        <v>196</v>
      </c>
      <c r="E17"/>
      <c r="F17" s="18" t="s">
        <v>69</v>
      </c>
      <c r="G17" s="68">
        <v>1</v>
      </c>
      <c r="I17" s="14"/>
    </row>
    <row r="18" spans="2:9" x14ac:dyDescent="0.3">
      <c r="B18" s="13"/>
      <c r="C18" s="32" t="s">
        <v>70</v>
      </c>
      <c r="E18"/>
      <c r="F18" s="18" t="s">
        <v>71</v>
      </c>
      <c r="G18" s="68">
        <v>1</v>
      </c>
      <c r="I18" s="14"/>
    </row>
    <row r="19" spans="2:9" x14ac:dyDescent="0.3">
      <c r="B19" s="13"/>
      <c r="E19"/>
      <c r="I19" s="14"/>
    </row>
    <row r="20" spans="2:9" ht="29.25" customHeight="1" x14ac:dyDescent="0.3">
      <c r="B20" s="13"/>
      <c r="C20" s="42" t="s">
        <v>72</v>
      </c>
      <c r="D20" s="42" t="s">
        <v>32</v>
      </c>
      <c r="E20"/>
      <c r="F20" s="33" t="s">
        <v>73</v>
      </c>
      <c r="G20" s="42" t="s">
        <v>74</v>
      </c>
      <c r="H20" s="34" t="s">
        <v>75</v>
      </c>
      <c r="I20" s="14"/>
    </row>
    <row r="21" spans="2:9" x14ac:dyDescent="0.3">
      <c r="B21" s="13"/>
      <c r="C21" s="51" t="s">
        <v>76</v>
      </c>
      <c r="D21" s="68">
        <v>4539</v>
      </c>
      <c r="E21"/>
      <c r="F21" s="18" t="s">
        <v>77</v>
      </c>
      <c r="G21" s="68">
        <v>350</v>
      </c>
      <c r="H21" s="68">
        <v>0</v>
      </c>
      <c r="I21" s="14"/>
    </row>
    <row r="22" spans="2:9" ht="15" customHeight="1" x14ac:dyDescent="0.3">
      <c r="B22" s="13"/>
      <c r="C22" s="51" t="s">
        <v>78</v>
      </c>
      <c r="D22" s="68">
        <v>50</v>
      </c>
      <c r="E22"/>
      <c r="F22" s="18" t="s">
        <v>79</v>
      </c>
      <c r="G22" s="68">
        <v>759</v>
      </c>
      <c r="H22" s="68">
        <v>759</v>
      </c>
      <c r="I22" s="14"/>
    </row>
    <row r="23" spans="2:9" x14ac:dyDescent="0.3">
      <c r="B23" s="13"/>
      <c r="C23" s="57" t="s">
        <v>80</v>
      </c>
      <c r="D23" s="57"/>
      <c r="E23"/>
      <c r="F23" s="18" t="s">
        <v>81</v>
      </c>
      <c r="G23" s="68">
        <v>418</v>
      </c>
      <c r="H23" s="68">
        <v>418</v>
      </c>
      <c r="I23" s="14"/>
    </row>
    <row r="24" spans="2:9" x14ac:dyDescent="0.3">
      <c r="B24" s="13"/>
      <c r="E24"/>
      <c r="F24" s="18" t="s">
        <v>82</v>
      </c>
      <c r="G24" s="68">
        <v>982</v>
      </c>
      <c r="H24" s="68">
        <v>982</v>
      </c>
      <c r="I24" s="14"/>
    </row>
    <row r="25" spans="2:9" ht="30" customHeight="1" x14ac:dyDescent="0.3">
      <c r="B25" s="13"/>
      <c r="C25" s="59" t="str">
        <f>"Seleccione "&amp;W3&amp;" procesos teminados en el  primer semestre de 2022 y llene la siguiente tabla:"</f>
        <v>Seleccione 19 procesos teminados en el  primer semestre de 2022 y llene la siguiente tabla:</v>
      </c>
      <c r="D25" s="54"/>
      <c r="E25"/>
      <c r="F25" s="109" t="s">
        <v>83</v>
      </c>
      <c r="G25" s="109"/>
      <c r="H25" s="109"/>
      <c r="I25" s="14"/>
    </row>
    <row r="26" spans="2:9" ht="15" thickBot="1" x14ac:dyDescent="0.35">
      <c r="B26" s="13"/>
      <c r="C26" s="55"/>
      <c r="D26" s="56"/>
      <c r="E26"/>
      <c r="F26" s="52"/>
      <c r="I26" s="14"/>
    </row>
    <row r="27" spans="2:9" x14ac:dyDescent="0.3">
      <c r="B27" s="13"/>
      <c r="C27" s="42" t="s">
        <v>84</v>
      </c>
      <c r="D27" s="42" t="s">
        <v>32</v>
      </c>
      <c r="E27"/>
      <c r="F27" s="103" t="s">
        <v>85</v>
      </c>
      <c r="G27" s="104"/>
      <c r="H27" s="105"/>
      <c r="I27" s="14"/>
    </row>
    <row r="28" spans="2:9" x14ac:dyDescent="0.3">
      <c r="B28" s="13"/>
      <c r="C28" s="18" t="s">
        <v>86</v>
      </c>
      <c r="D28" s="68">
        <v>19</v>
      </c>
      <c r="E28"/>
      <c r="F28" s="106" t="s">
        <v>199</v>
      </c>
      <c r="G28" s="107"/>
      <c r="H28" s="107"/>
      <c r="I28" s="14"/>
    </row>
    <row r="29" spans="2:9" x14ac:dyDescent="0.3">
      <c r="B29" s="13"/>
      <c r="C29" s="18" t="s">
        <v>87</v>
      </c>
      <c r="D29" s="68">
        <v>11</v>
      </c>
      <c r="E29"/>
      <c r="F29" s="107"/>
      <c r="G29" s="107"/>
      <c r="H29" s="107"/>
      <c r="I29" s="14"/>
    </row>
    <row r="30" spans="2:9" x14ac:dyDescent="0.3">
      <c r="B30" s="13"/>
      <c r="C30" s="18" t="s">
        <v>88</v>
      </c>
      <c r="D30" s="68">
        <v>1</v>
      </c>
      <c r="E30"/>
      <c r="F30" s="107"/>
      <c r="G30" s="107"/>
      <c r="H30" s="107"/>
      <c r="I30" s="14"/>
    </row>
    <row r="31" spans="2:9" x14ac:dyDescent="0.3">
      <c r="B31" s="13"/>
      <c r="C31" s="18" t="s">
        <v>89</v>
      </c>
      <c r="D31" s="68">
        <v>0</v>
      </c>
      <c r="E31"/>
      <c r="F31" s="107"/>
      <c r="G31" s="107"/>
      <c r="H31" s="107"/>
      <c r="I31" s="14"/>
    </row>
    <row r="32" spans="2:9" x14ac:dyDescent="0.3">
      <c r="B32" s="13"/>
      <c r="C32" s="18" t="s">
        <v>90</v>
      </c>
      <c r="D32" s="68">
        <v>0</v>
      </c>
      <c r="E32"/>
      <c r="F32" s="107"/>
      <c r="G32" s="107"/>
      <c r="H32" s="107"/>
      <c r="I32" s="14"/>
    </row>
    <row r="33" spans="2:9" x14ac:dyDescent="0.3">
      <c r="B33" s="13"/>
      <c r="E33"/>
      <c r="F33" s="107"/>
      <c r="G33" s="107"/>
      <c r="H33" s="107"/>
      <c r="I33" s="14"/>
    </row>
    <row r="34" spans="2:9" ht="15" thickBot="1" x14ac:dyDescent="0.35">
      <c r="B34" s="15"/>
      <c r="C34" s="16"/>
      <c r="D34" s="16"/>
      <c r="E34" s="16"/>
      <c r="F34" s="16"/>
      <c r="G34" s="16"/>
      <c r="H34" s="16"/>
      <c r="I34" s="17"/>
    </row>
  </sheetData>
  <sheetProtection algorithmName="SHA-512" hashValue="B9V84//xA42RdCAYWxnnmge3JebK6lrTBnVqgqUZdoaV3dQ6rZl/I6IC2ReFAYckWa0swdX3mj/vDzzbeCdsaQ==" saltValue="dyWH2baFBv95gWeLj1vbeg=="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44742</formula1>
      <formula2>44823</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zoomScale="110" zoomScaleNormal="110" workbookViewId="0">
      <selection activeCell="F16" sqref="F16:G16"/>
    </sheetView>
  </sheetViews>
  <sheetFormatPr baseColWidth="10" defaultColWidth="11.44140625" defaultRowHeight="14.4" x14ac:dyDescent="0.3"/>
  <cols>
    <col min="1" max="1" width="3.88671875" style="1" customWidth="1"/>
    <col min="2" max="2" width="11.44140625" style="1"/>
    <col min="3" max="3" width="57.88671875" style="1" customWidth="1"/>
    <col min="4" max="4" width="20.88671875" style="1" customWidth="1"/>
    <col min="5" max="5" width="6.33203125" style="1" customWidth="1"/>
    <col min="6" max="6" width="47.88671875" style="1" bestFit="1" customWidth="1"/>
    <col min="7" max="7" width="24.109375" style="1" customWidth="1"/>
    <col min="8" max="8" width="7.33203125" style="1" customWidth="1"/>
    <col min="9" max="16384" width="11.44140625" style="1"/>
  </cols>
  <sheetData>
    <row r="1" spans="2:22" ht="15" thickBot="1" x14ac:dyDescent="0.35"/>
    <row r="2" spans="2:22" x14ac:dyDescent="0.3">
      <c r="B2" s="10"/>
      <c r="C2" s="11"/>
      <c r="D2" s="11"/>
      <c r="E2" s="11"/>
      <c r="F2" s="11"/>
      <c r="G2" s="11"/>
      <c r="H2" s="12"/>
      <c r="V2" s="1">
        <f>+D13+D14</f>
        <v>4</v>
      </c>
    </row>
    <row r="3" spans="2:22" x14ac:dyDescent="0.3">
      <c r="B3" s="13"/>
      <c r="H3" s="14"/>
      <c r="V3" s="25">
        <f>+IF(V2&lt;=20,V2,IF(ROUNDDOWN(V2*10%,0)&lt;20,20,ROUNDDOWN(V2*10%,0)))</f>
        <v>4</v>
      </c>
    </row>
    <row r="4" spans="2:22" x14ac:dyDescent="0.3">
      <c r="B4" s="13"/>
      <c r="H4" s="14"/>
    </row>
    <row r="5" spans="2:22" x14ac:dyDescent="0.3">
      <c r="B5" s="13"/>
      <c r="H5" s="14"/>
    </row>
    <row r="6" spans="2:22" ht="15" customHeight="1" x14ac:dyDescent="0.3">
      <c r="B6" s="13"/>
      <c r="G6" s="26"/>
      <c r="H6" s="27"/>
    </row>
    <row r="7" spans="2:22" ht="23.4" x14ac:dyDescent="0.3">
      <c r="B7" s="13"/>
      <c r="C7" s="108" t="s">
        <v>91</v>
      </c>
      <c r="D7" s="108"/>
      <c r="E7" s="108"/>
      <c r="F7" s="108"/>
      <c r="G7" s="108"/>
      <c r="H7" s="27"/>
    </row>
    <row r="8" spans="2:22" x14ac:dyDescent="0.3">
      <c r="B8" s="13"/>
      <c r="E8" s="74" t="s">
        <v>5</v>
      </c>
      <c r="H8" s="14"/>
      <c r="T8" s="1" t="s">
        <v>6</v>
      </c>
    </row>
    <row r="9" spans="2:22" ht="15" customHeight="1" x14ac:dyDescent="0.3">
      <c r="B9" s="13"/>
      <c r="C9" s="21" t="s">
        <v>92</v>
      </c>
      <c r="D9" s="21" t="s">
        <v>32</v>
      </c>
      <c r="E9"/>
      <c r="F9" s="90" t="str">
        <f>"Seleccione una muestra de "&amp;V3&amp;" prejudiciales activos registrados antes de 1 de enero de 2022 y complete la siguiente tabla"</f>
        <v>Seleccione una muestra de 4 prejudiciales activos registrados antes de 1 de enero de 2022 y complete la siguiente tabla</v>
      </c>
      <c r="G9" s="91"/>
      <c r="H9" s="14"/>
      <c r="T9" s="1" t="s">
        <v>8</v>
      </c>
    </row>
    <row r="10" spans="2:22" x14ac:dyDescent="0.3">
      <c r="B10" s="13"/>
      <c r="C10" s="18" t="s">
        <v>93</v>
      </c>
      <c r="D10" s="68">
        <v>33</v>
      </c>
      <c r="E10"/>
      <c r="F10" s="92"/>
      <c r="G10" s="93"/>
      <c r="H10" s="14"/>
    </row>
    <row r="11" spans="2:22" x14ac:dyDescent="0.3">
      <c r="B11" s="13"/>
      <c r="C11" s="18" t="s">
        <v>94</v>
      </c>
      <c r="D11" s="68">
        <v>33</v>
      </c>
      <c r="E11"/>
      <c r="F11" s="22" t="s">
        <v>72</v>
      </c>
      <c r="G11" s="22" t="s">
        <v>95</v>
      </c>
      <c r="H11" s="14"/>
    </row>
    <row r="12" spans="2:22" x14ac:dyDescent="0.3">
      <c r="B12" s="13"/>
      <c r="C12" s="18" t="s">
        <v>96</v>
      </c>
      <c r="D12" s="68">
        <v>29</v>
      </c>
      <c r="E12"/>
      <c r="F12" s="30" t="s">
        <v>97</v>
      </c>
      <c r="G12" s="68">
        <v>0</v>
      </c>
      <c r="H12" s="14"/>
    </row>
    <row r="13" spans="2:22" x14ac:dyDescent="0.3">
      <c r="B13" s="13"/>
      <c r="C13" s="18" t="s">
        <v>98</v>
      </c>
      <c r="D13" s="68">
        <v>3</v>
      </c>
      <c r="E13"/>
      <c r="F13" s="18" t="s">
        <v>99</v>
      </c>
      <c r="G13" s="68">
        <v>4</v>
      </c>
      <c r="H13" s="14"/>
    </row>
    <row r="14" spans="2:22" x14ac:dyDescent="0.3">
      <c r="B14" s="13"/>
      <c r="C14" s="18" t="s">
        <v>100</v>
      </c>
      <c r="D14" s="68">
        <v>1</v>
      </c>
      <c r="E14"/>
      <c r="F14"/>
      <c r="G14"/>
      <c r="H14" s="14"/>
    </row>
    <row r="15" spans="2:22" x14ac:dyDescent="0.3">
      <c r="B15" s="13"/>
      <c r="E15"/>
      <c r="F15"/>
      <c r="G15"/>
      <c r="H15" s="14"/>
    </row>
    <row r="16" spans="2:22" x14ac:dyDescent="0.3">
      <c r="B16" s="13"/>
      <c r="C16" s="21" t="s">
        <v>101</v>
      </c>
      <c r="D16" s="21" t="s">
        <v>32</v>
      </c>
      <c r="E16"/>
      <c r="F16" s="110" t="s">
        <v>85</v>
      </c>
      <c r="G16" s="110"/>
      <c r="H16" s="14"/>
    </row>
    <row r="17" spans="2:8" x14ac:dyDescent="0.3">
      <c r="B17" s="13"/>
      <c r="C17" s="18" t="s">
        <v>102</v>
      </c>
      <c r="D17" s="68">
        <v>57</v>
      </c>
      <c r="E17"/>
      <c r="F17" s="106" t="s">
        <v>200</v>
      </c>
      <c r="G17" s="107"/>
      <c r="H17" s="14"/>
    </row>
    <row r="18" spans="2:8" x14ac:dyDescent="0.3">
      <c r="B18" s="13"/>
      <c r="C18" s="18" t="s">
        <v>103</v>
      </c>
      <c r="D18" s="68">
        <v>57</v>
      </c>
      <c r="E18"/>
      <c r="F18" s="107"/>
      <c r="G18" s="107"/>
      <c r="H18" s="14"/>
    </row>
    <row r="19" spans="2:8" x14ac:dyDescent="0.3">
      <c r="B19" s="13"/>
      <c r="C19"/>
      <c r="D19"/>
      <c r="E19"/>
      <c r="F19" s="107"/>
      <c r="G19" s="107"/>
      <c r="H19" s="14"/>
    </row>
    <row r="20" spans="2:8" x14ac:dyDescent="0.3">
      <c r="B20" s="13"/>
      <c r="C20"/>
      <c r="D20"/>
      <c r="E20"/>
      <c r="F20" s="107"/>
      <c r="G20" s="107"/>
      <c r="H20" s="14"/>
    </row>
    <row r="21" spans="2:8" x14ac:dyDescent="0.3">
      <c r="B21" s="13"/>
      <c r="E21"/>
      <c r="F21" s="107"/>
      <c r="G21" s="107"/>
      <c r="H21" s="14"/>
    </row>
    <row r="22" spans="2:8" x14ac:dyDescent="0.3">
      <c r="B22" s="13"/>
      <c r="E22"/>
      <c r="F22" s="107"/>
      <c r="G22" s="107"/>
      <c r="H22" s="14"/>
    </row>
    <row r="23" spans="2:8" ht="15" thickBot="1" x14ac:dyDescent="0.35">
      <c r="B23" s="15"/>
      <c r="C23" s="16"/>
      <c r="D23" s="16"/>
      <c r="E23" s="16"/>
      <c r="F23" s="16"/>
      <c r="G23" s="16"/>
      <c r="H23" s="17"/>
    </row>
  </sheetData>
  <sheetProtection algorithmName="SHA-512" hashValue="Wf5KuS89gzAkE/zlROayh3GmR2VHv5jD9K3uyAQup5YkvfIVH9881Kz9QUlC5khUuPa2X9qKcAYrADqr5rDyTQ==" saltValue="pjCYByopMlSVTaLu5XMRt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G10" sqref="G10"/>
    </sheetView>
  </sheetViews>
  <sheetFormatPr baseColWidth="10" defaultColWidth="11.44140625" defaultRowHeight="14.4" x14ac:dyDescent="0.3"/>
  <cols>
    <col min="1" max="1" width="3.88671875" style="1" customWidth="1"/>
    <col min="2" max="2" width="11.44140625" style="1"/>
    <col min="3" max="3" width="53.5546875" style="1" customWidth="1"/>
    <col min="4" max="4" width="20.88671875" style="1" customWidth="1"/>
    <col min="5" max="5" width="6.33203125" style="1" customWidth="1"/>
    <col min="6" max="6" width="64.5546875" style="1" customWidth="1"/>
    <col min="7" max="7" width="21.6640625" style="1" customWidth="1"/>
    <col min="8" max="8" width="7.33203125" style="1" customWidth="1"/>
    <col min="9" max="16384" width="11.44140625" style="1"/>
  </cols>
  <sheetData>
    <row r="1" spans="2:22" ht="15" thickBot="1" x14ac:dyDescent="0.35"/>
    <row r="2" spans="2:22" x14ac:dyDescent="0.3">
      <c r="B2" s="10"/>
      <c r="C2" s="11"/>
      <c r="D2" s="11"/>
      <c r="E2" s="11"/>
      <c r="F2" s="11"/>
      <c r="G2" s="11"/>
      <c r="H2" s="12"/>
    </row>
    <row r="3" spans="2:22" x14ac:dyDescent="0.3">
      <c r="B3" s="13"/>
      <c r="H3" s="14"/>
      <c r="V3" s="25">
        <f>+IF(D10&lt;=10,D10,IF(ROUNDDOWN(D10*10%,0)&gt;10,10,ROUNDDOWN(D10*10%,0)))</f>
        <v>2</v>
      </c>
    </row>
    <row r="4" spans="2:22" x14ac:dyDescent="0.3">
      <c r="B4" s="13"/>
      <c r="H4" s="14"/>
    </row>
    <row r="5" spans="2:22" x14ac:dyDescent="0.3">
      <c r="B5" s="13"/>
      <c r="H5" s="14"/>
    </row>
    <row r="6" spans="2:22" ht="36.75" customHeight="1" x14ac:dyDescent="0.45">
      <c r="B6" s="13"/>
      <c r="C6" s="28" t="s">
        <v>104</v>
      </c>
      <c r="D6" s="29"/>
      <c r="E6" s="24"/>
      <c r="F6"/>
      <c r="G6"/>
      <c r="H6" s="27"/>
    </row>
    <row r="7" spans="2:22" x14ac:dyDescent="0.3">
      <c r="B7" s="13"/>
      <c r="C7" s="1" t="s">
        <v>5</v>
      </c>
      <c r="F7"/>
      <c r="G7"/>
      <c r="H7" s="14"/>
      <c r="T7" s="1" t="s">
        <v>6</v>
      </c>
    </row>
    <row r="8" spans="2:22" x14ac:dyDescent="0.3">
      <c r="B8" s="13"/>
      <c r="C8" s="21" t="s">
        <v>104</v>
      </c>
      <c r="D8" s="21" t="s">
        <v>32</v>
      </c>
      <c r="E8"/>
      <c r="F8" s="21" t="s">
        <v>104</v>
      </c>
      <c r="G8" s="21" t="s">
        <v>32</v>
      </c>
      <c r="H8" s="14"/>
      <c r="T8" s="1" t="s">
        <v>8</v>
      </c>
    </row>
    <row r="9" spans="2:22" x14ac:dyDescent="0.3">
      <c r="B9" s="13"/>
      <c r="C9" s="18" t="s">
        <v>105</v>
      </c>
      <c r="D9" s="68">
        <v>2</v>
      </c>
      <c r="E9"/>
      <c r="F9" s="18" t="s">
        <v>106</v>
      </c>
      <c r="G9" s="68">
        <v>0</v>
      </c>
      <c r="H9" s="14"/>
    </row>
    <row r="10" spans="2:22" x14ac:dyDescent="0.3">
      <c r="B10" s="13"/>
      <c r="C10" s="18" t="s">
        <v>107</v>
      </c>
      <c r="D10" s="68">
        <v>2</v>
      </c>
      <c r="E10"/>
      <c r="F10" s="18" t="s">
        <v>108</v>
      </c>
      <c r="G10" s="68">
        <v>7</v>
      </c>
      <c r="H10" s="14"/>
    </row>
    <row r="11" spans="2:22" x14ac:dyDescent="0.3">
      <c r="B11" s="13"/>
      <c r="D11" s="47"/>
      <c r="E11"/>
      <c r="G11" s="48"/>
      <c r="H11" s="14"/>
    </row>
    <row r="12" spans="2:22" x14ac:dyDescent="0.3">
      <c r="B12" s="13"/>
      <c r="C12" s="49" t="s">
        <v>27</v>
      </c>
      <c r="D12" s="47"/>
      <c r="E12"/>
      <c r="G12" s="48"/>
      <c r="H12" s="14"/>
      <c r="T12" s="1">
        <f>IF(D9="",0,1)</f>
        <v>1</v>
      </c>
    </row>
    <row r="13" spans="2:22" x14ac:dyDescent="0.3">
      <c r="B13" s="13"/>
      <c r="C13" s="94" t="s">
        <v>194</v>
      </c>
      <c r="D13" s="95"/>
      <c r="E13" s="95"/>
      <c r="F13" s="95"/>
      <c r="G13" s="96"/>
      <c r="H13" s="14"/>
    </row>
    <row r="14" spans="2:22" x14ac:dyDescent="0.3">
      <c r="B14" s="13"/>
      <c r="C14" s="97"/>
      <c r="D14" s="98"/>
      <c r="E14" s="98"/>
      <c r="F14" s="98"/>
      <c r="G14" s="99"/>
      <c r="H14" s="14"/>
    </row>
    <row r="15" spans="2:22" x14ac:dyDescent="0.3">
      <c r="B15" s="13"/>
      <c r="C15" s="97"/>
      <c r="D15" s="98"/>
      <c r="E15" s="98"/>
      <c r="F15" s="98"/>
      <c r="G15" s="99"/>
      <c r="H15" s="14"/>
    </row>
    <row r="16" spans="2:22" x14ac:dyDescent="0.3">
      <c r="B16" s="13"/>
      <c r="C16" s="100"/>
      <c r="D16" s="101"/>
      <c r="E16" s="101"/>
      <c r="F16" s="101"/>
      <c r="G16" s="102"/>
      <c r="H16" s="14"/>
      <c r="T16" s="1">
        <f>IF(G9="",0,1)</f>
        <v>1</v>
      </c>
    </row>
    <row r="17" spans="2:20" ht="15" thickBot="1" x14ac:dyDescent="0.35">
      <c r="B17" s="15"/>
      <c r="C17" s="16"/>
      <c r="D17" s="16"/>
      <c r="E17" s="16"/>
      <c r="F17" s="16"/>
      <c r="G17" s="16"/>
      <c r="H17" s="17"/>
      <c r="T17" s="1">
        <f>+T12+T16</f>
        <v>2</v>
      </c>
    </row>
  </sheetData>
  <sheetProtection algorithmName="SHA-512" hashValue="+FCFzMTUyQz9xCbsVZjWh6VfuEuNyvSas18p2Zc+tciO//oKW2KvySRCIuGHsJUxL58937RSbcNcAVq208JAUg==" saltValue="SyOhJUcB2fukD14ffgbYiQ=="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tabSelected="1" workbookViewId="0">
      <selection activeCell="D10" sqref="D10"/>
    </sheetView>
  </sheetViews>
  <sheetFormatPr baseColWidth="10" defaultColWidth="11.44140625" defaultRowHeight="14.4" x14ac:dyDescent="0.3"/>
  <cols>
    <col min="1" max="1" width="3.88671875" style="1" customWidth="1"/>
    <col min="2" max="2" width="11.44140625" style="1"/>
    <col min="3" max="3" width="44.109375" style="1" customWidth="1"/>
    <col min="4" max="4" width="20.88671875" style="1" customWidth="1"/>
    <col min="5" max="5" width="6.33203125" style="1" customWidth="1"/>
    <col min="6" max="6" width="36.44140625" style="1" customWidth="1"/>
    <col min="7" max="7" width="24.109375" style="1" customWidth="1"/>
    <col min="8" max="8" width="7.33203125" style="1" customWidth="1"/>
    <col min="9" max="16384" width="11.44140625" style="1"/>
  </cols>
  <sheetData>
    <row r="1" spans="2:22" ht="15" thickBot="1" x14ac:dyDescent="0.35"/>
    <row r="2" spans="2:22" x14ac:dyDescent="0.3">
      <c r="B2" s="10"/>
      <c r="C2" s="11"/>
      <c r="D2" s="11"/>
      <c r="E2" s="11"/>
      <c r="F2" s="11"/>
      <c r="G2" s="11"/>
      <c r="H2" s="12"/>
    </row>
    <row r="3" spans="2:22" x14ac:dyDescent="0.3">
      <c r="B3" s="13"/>
      <c r="H3" s="14"/>
      <c r="V3" s="25" t="e">
        <f>+IF(D10&lt;=10,D10,IF(ROUNDDOWN(D10*10%,0)&gt;10,10,ROUNDDOWN(D10*10%,0)))</f>
        <v>#VALUE!</v>
      </c>
    </row>
    <row r="4" spans="2:22" x14ac:dyDescent="0.3">
      <c r="B4" s="13"/>
      <c r="H4" s="14"/>
    </row>
    <row r="5" spans="2:22" x14ac:dyDescent="0.3">
      <c r="B5" s="13"/>
      <c r="H5" s="14"/>
    </row>
    <row r="6" spans="2:22" ht="21.75" customHeight="1" x14ac:dyDescent="0.4">
      <c r="B6" s="13"/>
      <c r="C6" s="108" t="s">
        <v>109</v>
      </c>
      <c r="D6" s="108"/>
      <c r="E6" s="24"/>
      <c r="F6"/>
      <c r="G6"/>
      <c r="H6" s="27"/>
      <c r="T6" s="1" t="s">
        <v>4</v>
      </c>
    </row>
    <row r="7" spans="2:22" x14ac:dyDescent="0.3">
      <c r="B7" s="13"/>
      <c r="C7" s="1" t="s">
        <v>5</v>
      </c>
      <c r="F7" s="50" t="s">
        <v>27</v>
      </c>
      <c r="G7"/>
      <c r="H7" s="14"/>
      <c r="T7" s="1" t="s">
        <v>6</v>
      </c>
    </row>
    <row r="8" spans="2:22" x14ac:dyDescent="0.3">
      <c r="B8" s="13"/>
      <c r="C8" s="21" t="s">
        <v>110</v>
      </c>
      <c r="D8" s="21" t="s">
        <v>32</v>
      </c>
      <c r="E8"/>
      <c r="F8" s="94" t="s">
        <v>201</v>
      </c>
      <c r="G8" s="96"/>
      <c r="H8" s="14"/>
      <c r="T8" s="1" t="s">
        <v>8</v>
      </c>
    </row>
    <row r="9" spans="2:22" x14ac:dyDescent="0.3">
      <c r="B9" s="13"/>
      <c r="C9" s="18" t="s">
        <v>111</v>
      </c>
      <c r="D9" s="68" t="s">
        <v>4</v>
      </c>
      <c r="E9"/>
      <c r="F9" s="97"/>
      <c r="G9" s="99"/>
      <c r="H9" s="14"/>
    </row>
    <row r="10" spans="2:22" x14ac:dyDescent="0.3">
      <c r="B10" s="13"/>
      <c r="C10" s="18" t="s">
        <v>112</v>
      </c>
      <c r="D10" s="68" t="s">
        <v>4</v>
      </c>
      <c r="E10"/>
      <c r="F10" s="100"/>
      <c r="G10" s="102"/>
      <c r="H10" s="14"/>
    </row>
    <row r="11" spans="2:22" ht="15" thickBot="1" x14ac:dyDescent="0.35">
      <c r="B11" s="15"/>
      <c r="C11" s="16"/>
      <c r="D11" s="16"/>
      <c r="E11" s="16"/>
      <c r="F11" s="16"/>
      <c r="G11" s="16"/>
      <c r="H11" s="17"/>
    </row>
  </sheetData>
  <sheetProtection algorithmName="SHA-512" hashValue="5qujBfQQ7RZMhSfW3LqfxXxVuPd8KbOJQKh15P8GKG8cOXsJPu3apxq/6MgUYGlAEizpvLIU3x8ux0MZK7Zg3A==" saltValue="jV6bSp1iEYBcnSzTRXO6Og==" spinCount="100000" sheet="1" objects="1" scenarios="1"/>
  <mergeCells count="2">
    <mergeCell ref="C6:D6"/>
    <mergeCell ref="F8:G10"/>
  </mergeCells>
  <conditionalFormatting sqref="D9">
    <cfRule type="containsBlanks" dxfId="5" priority="3">
      <formula>LEN(TRIM(D9))=0</formula>
    </cfRule>
  </conditionalFormatting>
  <conditionalFormatting sqref="F8">
    <cfRule type="containsBlanks" dxfId="4" priority="2">
      <formula>LEN(TRIM(F8))=0</formula>
    </cfRule>
  </conditionalFormatting>
  <conditionalFormatting sqref="D10">
    <cfRule type="containsBlanks" dxfId="3" priority="1">
      <formula>LEN(TRIM(D10))=0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zoomScale="85" zoomScaleNormal="85" workbookViewId="0">
      <selection activeCell="C12" sqref="C12"/>
    </sheetView>
  </sheetViews>
  <sheetFormatPr baseColWidth="10" defaultColWidth="11.44140625" defaultRowHeight="14.4" x14ac:dyDescent="0.3"/>
  <cols>
    <col min="2" max="2" width="42.6640625" customWidth="1"/>
    <col min="3" max="3" width="14.5546875" bestFit="1" customWidth="1"/>
    <col min="5" max="5" width="33" bestFit="1" customWidth="1"/>
    <col min="6" max="6" width="14.5546875" bestFit="1" customWidth="1"/>
  </cols>
  <sheetData>
    <row r="2" spans="2:13" ht="18" x14ac:dyDescent="0.35">
      <c r="B2" s="117" t="s">
        <v>113</v>
      </c>
      <c r="C2" s="117"/>
      <c r="D2" s="117"/>
      <c r="E2" s="117"/>
      <c r="F2" s="117"/>
      <c r="G2" s="117"/>
      <c r="H2" s="39"/>
      <c r="I2" s="39"/>
      <c r="J2" s="39"/>
      <c r="K2" s="39"/>
      <c r="L2" s="39"/>
      <c r="M2" s="40"/>
    </row>
    <row r="3" spans="2:13" ht="18" x14ac:dyDescent="0.35">
      <c r="B3" s="117" t="s">
        <v>1</v>
      </c>
      <c r="C3" s="117"/>
      <c r="D3" s="117"/>
      <c r="E3" s="117"/>
      <c r="F3" s="117"/>
      <c r="G3" s="117"/>
      <c r="H3" s="39"/>
      <c r="I3" s="39"/>
      <c r="J3" s="39"/>
      <c r="K3" s="39"/>
      <c r="L3" s="39"/>
      <c r="M3" s="40"/>
    </row>
    <row r="4" spans="2:13" ht="24" thickBot="1" x14ac:dyDescent="0.5">
      <c r="B4" s="35"/>
      <c r="C4" s="75"/>
      <c r="D4" s="75" t="s">
        <v>114</v>
      </c>
      <c r="E4" s="35"/>
      <c r="F4" s="35"/>
      <c r="G4" s="35"/>
      <c r="H4" s="35"/>
      <c r="I4" s="35"/>
      <c r="J4" s="35"/>
      <c r="K4" s="35"/>
      <c r="L4" s="35"/>
      <c r="M4" s="35"/>
    </row>
    <row r="5" spans="2:13" ht="15" thickBot="1" x14ac:dyDescent="0.35">
      <c r="B5" t="s">
        <v>115</v>
      </c>
      <c r="C5" s="111" t="s">
        <v>195</v>
      </c>
      <c r="D5" s="112"/>
      <c r="E5" s="112"/>
      <c r="F5" s="112"/>
      <c r="G5" s="113"/>
    </row>
    <row r="6" spans="2:13" ht="15" thickBot="1" x14ac:dyDescent="0.35">
      <c r="B6" t="s">
        <v>116</v>
      </c>
      <c r="C6" s="114" t="s">
        <v>196</v>
      </c>
      <c r="D6" s="115"/>
      <c r="E6" s="115"/>
      <c r="F6" s="115"/>
      <c r="G6" s="116"/>
    </row>
    <row r="8" spans="2:13" x14ac:dyDescent="0.3">
      <c r="B8" t="s">
        <v>117</v>
      </c>
      <c r="C8" s="38" t="str">
        <f>+IF(SUM(USUARIOS!I12:J17)=0,"Falta diligenciar","")</f>
        <v/>
      </c>
      <c r="E8" t="s">
        <v>118</v>
      </c>
      <c r="F8" s="38" t="str">
        <f>+IF(PREJUDICIALES!$D$10="","Falta  actualizar","")</f>
        <v/>
      </c>
    </row>
    <row r="9" spans="2:13" x14ac:dyDescent="0.3">
      <c r="B9" s="37" t="s">
        <v>119</v>
      </c>
      <c r="C9" s="73">
        <f>+SUM(USUARIOS!I12:I17)/(6-SUM(USUARIOS!H12:H17))</f>
        <v>1</v>
      </c>
      <c r="E9" s="37" t="s">
        <v>120</v>
      </c>
      <c r="F9" s="72">
        <f>+PREJUDICIALES!$D$11</f>
        <v>33</v>
      </c>
    </row>
    <row r="10" spans="2:13" x14ac:dyDescent="0.3">
      <c r="B10" s="37" t="s">
        <v>121</v>
      </c>
      <c r="C10" s="72">
        <f>+ABOGADOS!$D$12+SUM(USUARIOS!I12:I17)</f>
        <v>173</v>
      </c>
      <c r="E10" s="37" t="s">
        <v>122</v>
      </c>
      <c r="F10" s="73">
        <f>IFERROR(PREJUDICIALES!$D$11/PREJUDICIALES!$D$10,"")</f>
        <v>1</v>
      </c>
    </row>
    <row r="11" spans="2:13" x14ac:dyDescent="0.3">
      <c r="B11" s="37" t="s">
        <v>123</v>
      </c>
      <c r="C11" s="72" t="s">
        <v>124</v>
      </c>
      <c r="E11" s="37" t="s">
        <v>125</v>
      </c>
      <c r="F11" s="73">
        <f>IFERROR(PREJUDICIALES!$G$13/PREJUDICIALES!$V$3,"")</f>
        <v>1</v>
      </c>
    </row>
    <row r="12" spans="2:13" x14ac:dyDescent="0.3">
      <c r="B12" s="37" t="s">
        <v>126</v>
      </c>
      <c r="C12" s="73">
        <f>IFERROR((ABOGADOS!$G$17+ABOGADOS!$G$18+ABOGADOS!$G$19*0.5)/ABOGADOS!D12,"")</f>
        <v>0.84431137724550898</v>
      </c>
    </row>
    <row r="13" spans="2:13" x14ac:dyDescent="0.3">
      <c r="E13" t="s">
        <v>104</v>
      </c>
      <c r="F13" s="38" t="str">
        <f>+IF(ARBITRAMENTOS!T17=0,"Falta  actualizar","")</f>
        <v/>
      </c>
    </row>
    <row r="14" spans="2:13" x14ac:dyDescent="0.3">
      <c r="B14" t="s">
        <v>127</v>
      </c>
      <c r="C14" s="38" t="str">
        <f>+IF(JUDICIALES!$D$11="","Falta  actualizar","")</f>
        <v/>
      </c>
      <c r="E14" s="37" t="s">
        <v>128</v>
      </c>
      <c r="F14" s="72">
        <f>+ARBITRAMENTOS!D10</f>
        <v>2</v>
      </c>
    </row>
    <row r="15" spans="2:13" x14ac:dyDescent="0.3">
      <c r="B15" s="37" t="s">
        <v>129</v>
      </c>
      <c r="C15" s="72">
        <f>+JUDICIALES!$D$12</f>
        <v>3097</v>
      </c>
      <c r="E15" s="37" t="s">
        <v>122</v>
      </c>
      <c r="F15" s="73">
        <f>IFERROR(ARBITRAMENTOS!D10/ARBITRAMENTOS!D9,"")</f>
        <v>1</v>
      </c>
    </row>
    <row r="16" spans="2:13" x14ac:dyDescent="0.3">
      <c r="B16" s="37" t="s">
        <v>122</v>
      </c>
      <c r="C16" s="73">
        <f>IFERROR(JUDICIALES!$D$12/JUDICIALES!$D$11,"")</f>
        <v>1</v>
      </c>
    </row>
    <row r="17" spans="2:6" x14ac:dyDescent="0.3">
      <c r="B17" s="37" t="s">
        <v>130</v>
      </c>
      <c r="C17" s="73">
        <f>IFERROR(JUDICIALES!$G$11/JUDICIALES!$G$10,"")</f>
        <v>1</v>
      </c>
      <c r="E17" t="s">
        <v>131</v>
      </c>
      <c r="F17" s="38" t="str">
        <f>+IF(PAGOS!D9="","Falta  actualizar","")</f>
        <v/>
      </c>
    </row>
    <row r="18" spans="2:6" x14ac:dyDescent="0.3">
      <c r="B18" s="37" t="s">
        <v>132</v>
      </c>
      <c r="C18" s="72">
        <f>IFERROR(C15/ABOGADOS!$D$12,"")</f>
        <v>18.54491017964072</v>
      </c>
      <c r="E18" s="37" t="s">
        <v>133</v>
      </c>
      <c r="F18" s="72" t="str">
        <f>+IF(PAGOS!D10="No","No","Si")</f>
        <v>Si</v>
      </c>
    </row>
    <row r="19" spans="2:6" x14ac:dyDescent="0.3">
      <c r="B19" s="37" t="s">
        <v>134</v>
      </c>
      <c r="C19" s="73">
        <f>IFERROR(1-(JUDICIALES!$H$22+JUDICIALES!$H$23+JUDICIALES!$H$24)/(JUDICIALES!$G$22+JUDICIALES!$G$23+JUDICIALES!$G$24),"")</f>
        <v>0</v>
      </c>
      <c r="E19" s="37" t="s">
        <v>135</v>
      </c>
      <c r="F19" s="72" t="str">
        <f>+IF(PAGOS!D9="No","No aplica","Si")</f>
        <v>Si</v>
      </c>
    </row>
    <row r="21" spans="2:6" ht="15" thickBot="1" x14ac:dyDescent="0.35"/>
    <row r="22" spans="2:6" x14ac:dyDescent="0.3">
      <c r="B22" s="2" t="s">
        <v>27</v>
      </c>
      <c r="C22" s="3"/>
      <c r="D22" s="3"/>
      <c r="E22" s="3"/>
      <c r="F22" s="4"/>
    </row>
    <row r="23" spans="2:6" x14ac:dyDescent="0.3">
      <c r="B23" s="94" t="s">
        <v>197</v>
      </c>
      <c r="C23" s="95"/>
      <c r="D23" s="95"/>
      <c r="E23" s="95"/>
      <c r="F23" s="96"/>
    </row>
    <row r="24" spans="2:6" x14ac:dyDescent="0.3">
      <c r="B24" s="97"/>
      <c r="C24" s="98"/>
      <c r="D24" s="98"/>
      <c r="E24" s="98"/>
      <c r="F24" s="99"/>
    </row>
    <row r="25" spans="2:6" x14ac:dyDescent="0.3">
      <c r="B25" s="97"/>
      <c r="C25" s="98"/>
      <c r="D25" s="98"/>
      <c r="E25" s="98"/>
      <c r="F25" s="99"/>
    </row>
    <row r="26" spans="2:6" x14ac:dyDescent="0.3">
      <c r="B26" s="100"/>
      <c r="C26" s="101"/>
      <c r="D26" s="101"/>
      <c r="E26" s="101"/>
      <c r="F26" s="102"/>
    </row>
    <row r="27" spans="2:6" x14ac:dyDescent="0.3">
      <c r="B27" t="s">
        <v>136</v>
      </c>
    </row>
    <row r="28" spans="2:6" x14ac:dyDescent="0.3">
      <c r="B28" t="s">
        <v>137</v>
      </c>
    </row>
  </sheetData>
  <sheetProtection algorithmName="SHA-512" hashValue="MI9IAg9m6njNGmuBCGKgMta3QjAcMvvvmQcsk91qXfKK89k6AsSUy+qvJRfgCqbJjnNMaffzwJpEaNlzAWfS9g==" saltValue="KYBE4UEMNlJg3uLSyGLznw=="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dataValidations count="2">
    <dataValidation allowBlank="1" showInputMessage="1" showErrorMessage="1" promptTitle="Nombres y Apellidos" prompt="Diligencie los nombres y apellidos del jefe de control interno que esta reportando" sqref="C6:G6" xr:uid="{00000000-0002-0000-0700-000000000000}"/>
    <dataValidation allowBlank="1" showInputMessage="1" showErrorMessage="1" promptTitle="Nombre entidad que reporta" prompt="Diligenciar Nombre de entidad" sqref="C5:G5" xr:uid="{00000000-0002-0000-0700-000001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topLeftCell="BI1" zoomScaleNormal="100" workbookViewId="0">
      <selection activeCell="BO3" sqref="BO3"/>
    </sheetView>
  </sheetViews>
  <sheetFormatPr baseColWidth="10" defaultColWidth="10.6640625" defaultRowHeight="14.4" x14ac:dyDescent="0.3"/>
  <cols>
    <col min="1" max="1" width="34.5546875" style="60" customWidth="1"/>
    <col min="2" max="2" width="29.5546875" style="60" customWidth="1"/>
    <col min="3" max="16384" width="10.6640625" style="60"/>
  </cols>
  <sheetData>
    <row r="2" spans="1:67" x14ac:dyDescent="0.3">
      <c r="A2" s="63" t="s">
        <v>138</v>
      </c>
      <c r="B2" s="63" t="s">
        <v>139</v>
      </c>
      <c r="C2" s="63" t="s">
        <v>140</v>
      </c>
      <c r="D2" s="63" t="s">
        <v>36</v>
      </c>
      <c r="E2" s="63" t="s">
        <v>38</v>
      </c>
      <c r="F2" s="63" t="s">
        <v>141</v>
      </c>
      <c r="G2" s="63" t="s">
        <v>142</v>
      </c>
      <c r="H2" s="63" t="s">
        <v>143</v>
      </c>
      <c r="I2" s="64" t="s">
        <v>144</v>
      </c>
      <c r="J2" s="64" t="s">
        <v>145</v>
      </c>
      <c r="K2" s="64" t="s">
        <v>146</v>
      </c>
      <c r="L2" s="64" t="s">
        <v>147</v>
      </c>
      <c r="M2" s="64" t="s">
        <v>148</v>
      </c>
      <c r="N2" s="64" t="s">
        <v>149</v>
      </c>
      <c r="O2" s="64" t="s">
        <v>150</v>
      </c>
      <c r="P2" s="63" t="s">
        <v>151</v>
      </c>
      <c r="Q2" s="63" t="s">
        <v>58</v>
      </c>
      <c r="R2" s="63" t="s">
        <v>152</v>
      </c>
      <c r="S2" s="63" t="s">
        <v>153</v>
      </c>
      <c r="T2" s="63" t="s">
        <v>154</v>
      </c>
      <c r="U2" s="63" t="s">
        <v>155</v>
      </c>
      <c r="V2" s="63" t="s">
        <v>156</v>
      </c>
      <c r="W2" s="63" t="s">
        <v>86</v>
      </c>
      <c r="X2" s="63" t="s">
        <v>87</v>
      </c>
      <c r="Y2" s="63" t="s">
        <v>88</v>
      </c>
      <c r="Z2" s="63" t="s">
        <v>89</v>
      </c>
      <c r="AA2" s="63" t="s">
        <v>90</v>
      </c>
      <c r="AB2" s="64" t="s">
        <v>157</v>
      </c>
      <c r="AC2" s="64" t="s">
        <v>158</v>
      </c>
      <c r="AD2" s="64" t="s">
        <v>159</v>
      </c>
      <c r="AE2" s="63" t="s">
        <v>160</v>
      </c>
      <c r="AF2" s="63" t="s">
        <v>161</v>
      </c>
      <c r="AG2" s="63" t="s">
        <v>162</v>
      </c>
      <c r="AH2" s="63" t="s">
        <v>163</v>
      </c>
      <c r="AI2" s="63" t="s">
        <v>164</v>
      </c>
      <c r="AJ2" s="63" t="s">
        <v>165</v>
      </c>
      <c r="AK2" s="63" t="s">
        <v>166</v>
      </c>
      <c r="AL2" s="63" t="s">
        <v>167</v>
      </c>
      <c r="AM2" s="63" t="s">
        <v>168</v>
      </c>
      <c r="AN2" s="63" t="s">
        <v>169</v>
      </c>
      <c r="AO2" s="63" t="s">
        <v>170</v>
      </c>
      <c r="AP2" s="63" t="s">
        <v>171</v>
      </c>
      <c r="AQ2" s="65" t="s">
        <v>172</v>
      </c>
      <c r="AR2" s="65" t="s">
        <v>94</v>
      </c>
      <c r="AS2" s="65" t="s">
        <v>173</v>
      </c>
      <c r="AT2" s="65" t="s">
        <v>174</v>
      </c>
      <c r="AU2" s="65" t="s">
        <v>175</v>
      </c>
      <c r="AV2" s="65" t="s">
        <v>176</v>
      </c>
      <c r="AW2" s="65" t="s">
        <v>177</v>
      </c>
      <c r="AX2" s="65" t="s">
        <v>97</v>
      </c>
      <c r="AY2" s="65" t="s">
        <v>178</v>
      </c>
      <c r="AZ2" s="65" t="s">
        <v>179</v>
      </c>
      <c r="BA2" s="65" t="s">
        <v>180</v>
      </c>
      <c r="BB2" s="66" t="s">
        <v>181</v>
      </c>
      <c r="BC2" s="66" t="s">
        <v>108</v>
      </c>
      <c r="BD2" s="67" t="s">
        <v>182</v>
      </c>
      <c r="BE2" s="67" t="s">
        <v>183</v>
      </c>
      <c r="BF2" s="67" t="s">
        <v>184</v>
      </c>
      <c r="BG2" s="67" t="s">
        <v>185</v>
      </c>
      <c r="BH2" s="67" t="s">
        <v>186</v>
      </c>
      <c r="BI2" s="67" t="s">
        <v>187</v>
      </c>
      <c r="BJ2" s="67" t="s">
        <v>188</v>
      </c>
      <c r="BK2" s="67" t="s">
        <v>189</v>
      </c>
      <c r="BL2" s="67" t="s">
        <v>190</v>
      </c>
      <c r="BM2" s="67" t="s">
        <v>191</v>
      </c>
      <c r="BN2" s="67" t="s">
        <v>192</v>
      </c>
      <c r="BO2" s="67" t="s">
        <v>193</v>
      </c>
    </row>
    <row r="3" spans="1:67" x14ac:dyDescent="0.3">
      <c r="A3" s="60" t="str">
        <f>'Resumen General'!C5</f>
        <v>Instituto Colombiano de Bienestar Familiar - ICBF</v>
      </c>
      <c r="B3" s="60" t="str">
        <f>'Resumen General'!C6</f>
        <v>Yanira Villamil</v>
      </c>
      <c r="C3" s="60">
        <f>+ABOGADOS!D11</f>
        <v>167</v>
      </c>
      <c r="D3" s="60">
        <f>+ABOGADOS!D12</f>
        <v>167</v>
      </c>
      <c r="E3" s="60">
        <f>+ABOGADOS!D13</f>
        <v>167</v>
      </c>
      <c r="F3" s="60">
        <f>+ABOGADOS!D14</f>
        <v>0</v>
      </c>
      <c r="G3" s="60">
        <f>+ABOGADOS!D17</f>
        <v>23</v>
      </c>
      <c r="H3" s="60">
        <f>+ABOGADOS!D18</f>
        <v>23</v>
      </c>
      <c r="I3" s="60">
        <f>+ABOGADOS!G10</f>
        <v>16</v>
      </c>
      <c r="J3" s="60">
        <f>+ABOGADOS!G11</f>
        <v>16</v>
      </c>
      <c r="K3" s="60">
        <f>+ABOGADOS!G12</f>
        <v>16</v>
      </c>
      <c r="L3" s="60">
        <f>+ABOGADOS!G17</f>
        <v>141</v>
      </c>
      <c r="M3" s="60">
        <f>+ABOGADOS!G18</f>
        <v>0</v>
      </c>
      <c r="N3" s="60">
        <f>+ABOGADOS!G19</f>
        <v>0</v>
      </c>
      <c r="O3" s="60">
        <f>+ABOGADOS!G21</f>
        <v>0</v>
      </c>
      <c r="P3" s="60">
        <f>+JUDICIALES!D11</f>
        <v>3097</v>
      </c>
      <c r="Q3" s="60">
        <f>+JUDICIALES!D12</f>
        <v>3097</v>
      </c>
      <c r="R3" s="60">
        <f>+JUDICIALES!D13</f>
        <v>1</v>
      </c>
      <c r="S3" s="60">
        <f>+JUDICIALES!D16</f>
        <v>196</v>
      </c>
      <c r="T3" s="60">
        <f>+JUDICIALES!D17</f>
        <v>196</v>
      </c>
      <c r="U3" s="60">
        <f>+JUDICIALES!D21</f>
        <v>4539</v>
      </c>
      <c r="V3" s="60">
        <f>+JUDICIALES!D22</f>
        <v>50</v>
      </c>
      <c r="W3" s="60">
        <f>JUDICIALES!D28</f>
        <v>19</v>
      </c>
      <c r="X3" s="60">
        <f>JUDICIALES!D29</f>
        <v>11</v>
      </c>
      <c r="Y3" s="60">
        <f>JUDICIALES!D30</f>
        <v>1</v>
      </c>
      <c r="Z3" s="60">
        <f>JUDICIALES!D31</f>
        <v>0</v>
      </c>
      <c r="AA3" s="60">
        <f>JUDICIALES!D32</f>
        <v>0</v>
      </c>
      <c r="AB3" s="60">
        <f>+JUDICIALES!G9</f>
        <v>2</v>
      </c>
      <c r="AC3" s="60">
        <f>+JUDICIALES!G10</f>
        <v>2</v>
      </c>
      <c r="AD3" s="60">
        <f>+JUDICIALES!G11</f>
        <v>2</v>
      </c>
      <c r="AE3" s="60">
        <f>+JUDICIALES!G15</f>
        <v>2510</v>
      </c>
      <c r="AF3" s="60">
        <f>+JUDICIALES!G16</f>
        <v>2508</v>
      </c>
      <c r="AG3" s="60">
        <f>+JUDICIALES!G17</f>
        <v>1</v>
      </c>
      <c r="AH3" s="60">
        <f>+JUDICIALES!G18</f>
        <v>1</v>
      </c>
      <c r="AI3" s="60">
        <f>+JUDICIALES!G21</f>
        <v>350</v>
      </c>
      <c r="AJ3" s="60">
        <f>+JUDICIALES!G22</f>
        <v>759</v>
      </c>
      <c r="AK3" s="60">
        <f>+JUDICIALES!G23</f>
        <v>418</v>
      </c>
      <c r="AL3" s="60">
        <f>+JUDICIALES!G24</f>
        <v>982</v>
      </c>
      <c r="AM3" s="60">
        <f>+JUDICIALES!H21</f>
        <v>0</v>
      </c>
      <c r="AN3" s="60">
        <f>+JUDICIALES!H22</f>
        <v>759</v>
      </c>
      <c r="AO3" s="60">
        <f>+JUDICIALES!H23</f>
        <v>418</v>
      </c>
      <c r="AP3" s="60">
        <f>+JUDICIALES!H24</f>
        <v>982</v>
      </c>
      <c r="AQ3" s="60">
        <f>+PREJUDICIALES!D10</f>
        <v>33</v>
      </c>
      <c r="AR3" s="60">
        <f>+PREJUDICIALES!D11</f>
        <v>33</v>
      </c>
      <c r="AS3" s="60">
        <f>+PREJUDICIALES!D12</f>
        <v>29</v>
      </c>
      <c r="AT3" s="60">
        <f>+PREJUDICIALES!D13</f>
        <v>3</v>
      </c>
      <c r="AU3" s="60">
        <f>+PREJUDICIALES!D14</f>
        <v>1</v>
      </c>
      <c r="AV3" s="60">
        <f>+PREJUDICIALES!D17</f>
        <v>57</v>
      </c>
      <c r="AW3" s="60">
        <f>+PREJUDICIALES!D18</f>
        <v>57</v>
      </c>
      <c r="AX3" s="60">
        <f>+PREJUDICIALES!G12</f>
        <v>0</v>
      </c>
      <c r="AY3" s="60">
        <f>+PREJUDICIALES!G13</f>
        <v>4</v>
      </c>
      <c r="AZ3" s="60">
        <f>+ARBITRAMENTOS!D9</f>
        <v>2</v>
      </c>
      <c r="BA3" s="60">
        <f>+ARBITRAMENTOS!D10</f>
        <v>2</v>
      </c>
      <c r="BB3" s="60">
        <f>ARBITRAMENTOS!G9</f>
        <v>0</v>
      </c>
      <c r="BC3" s="60">
        <f>ARBITRAMENTOS!G10</f>
        <v>7</v>
      </c>
      <c r="BD3" s="60" t="str">
        <f>+PAGOS!D9</f>
        <v>Si</v>
      </c>
      <c r="BE3" s="60" t="str">
        <f>+PAGOS!D10</f>
        <v>Si</v>
      </c>
      <c r="BF3" s="61">
        <f>USUARIOS!D9</f>
        <v>44783</v>
      </c>
      <c r="BG3" s="61">
        <f>ABOGADOS!D7</f>
        <v>44792</v>
      </c>
      <c r="BH3" s="61">
        <f>JUDICIALES!D8</f>
        <v>44795</v>
      </c>
      <c r="BI3" s="60" t="str">
        <f>+USUARIOS!C19</f>
        <v>OCI Nota No. 1. Desde la OCI mediante correo electrónico del 02/08/2022 se solicitó a la OAJ "Respecto a los siguientes Usuarios (principales) por favor confirmar y/o indicar los datos de “Fecha creación en eKOGUI” y “Fecha Última Capacitación” a 30/06/2022, adjuntando el soporte respectivo, emitido por la ANDJE" la OAJ respondió lo correspondiente con correo electrónico y memorando radicado No. 202210400000131323 del 09/08/2022. Los útimos dos roles creados en el sistema el 29/04/2022 
fueron el de Jefe Financiero (con última capacitación del 27/05/2022 y soporte emitido por la ANDJE el 05/08/2022) y el de Secretario Técnico (con última capacitación del 30/06/2022 y soporte emitido por la ANDJE del 30/06/2022).</v>
      </c>
      <c r="BJ3" s="60" t="str">
        <f>+ABOGADOS!C22</f>
        <v>OCI Nota No. 1. Desde la OCI mediante correo electrónico del 02/08/2022 se solicitó a la OAJ "indicar la cantidad de Abogados Litigando (activos) para el ICBF a 30/06/2022" la OAJ respondió con correo electrónico y memorando radicado No. 202210400000131323 del 09/08/2022 que "En relación con la cantidad de usuarios rol abogado litigando, se informa que, a corte a 30 de junio de 2022, en el Sistema de Gestión e Información Litigiosa del Estado - eKOGUI de la entidad, se encontraban 167 usuarios activos. Se precisa que, se han creado perfiles de apoderado a los coordinadores de los Grupos Jurídicos Regionales y/o a colaboradores de la Oficina Asesora Jurídica para que apoyen el seguimiento al cumplimiento de las actividades de los apoderados". 
OCI Nota No. 2. El reporte eKOGUI_Usuarios_Rol_Abogado refleja 168 usuarios activos, pero se descuenta 1 que corresponde al de Migración eKOGUI, por tanto, los usuarios con rol abogado activo son 167.
OCI Nota No. 3. Respecto al dato de "Abogados con correo actualizado" se encontraron en el reporte eKOGUI_Usuarios_Rol_Abogado 167 todos con correo electrónico registrado, de los cuales 36 son de dominio diferente al de icbf.gov.co, (es decir, corresponden a dominios como gmail, hotmail, yahoo, outlook, dejud).
OCI Nota No. 4. La OAJ respondió "Respecto al rol de Abogados, se informa que, durante el 1er semestre de 2022, se inactivaron un total de 23 usuarios...".
OCI Nota No. 5. El reporte eKOGUI_Usuarios_Rol_Abogado refleja en total 508 en estado inactivo, descontando 1 que correspondía al de Migración eKOGUI, siendo 23 los inactivados durante el 1er semestre de 2022.
OCI Nota No. 6. La OAJ respondió "Ahora bien, con respecto al numeral 4.4 en el cual se solicita información de los Abogados que a 30 de junio 2022, no tuvieran soporte de ninguna capacitación en eKOGUI, se informa que pese a las gestiones y convocatorias realizadas por parte de la administración eKOGUI, no ha sido posible lograr la participación de 35 usuarios perfil abogado, de los cuales 30 corresponden a los abogados de contratos de participación y 5 usuarios nuevos que ejercen representación judicial en los Grupos
Jurídicos Regionales y que están pendientes de programar fecha de capacitación. Es de precisar que, los apoderados de los denunciantes de Bienes Vacantes, Mostrencos o Vocaciones Hereditarias, se les ha creado usuario de eKOGUI, no obstante, no es factible exigirles tomar capacitaciones y por ello, se ha recomendado a los Grupos Jurídicos Regionales que actualicen el aplicativo a través de la supervisión de los contratos de participación".
 OCI Nota No. 7. Revisados los soportes y evidencias de capacitación desde la OCI mediante correo electrónico del 16/08/2022 se solicitó a la OAJ respecto a "41 registros indicar la justificación y remitir el soporte detallado de la gestión adelantada desde la OAJ con el fin de lograr la capacitación efectiva en eKOGUI" la OAJ respondió con correo electrónico del 19/08/2022 respecto a nueve (9) de estos Abogados "Frente a la capacitación realizada el día de hoy, se aportan los correos electrónicos por medio de los cuales se envió la invitación, la grabación y listado teams, en los cuales se evidencia la participación de los apoderados".</v>
      </c>
      <c r="BK3" s="60" t="str">
        <f>+JUDICIALES!F28</f>
        <v xml:space="preserve">OCI Nota No. 1. Según lo informado por la OAJ y verificado por la OCI en los respectivos reportes de procesos activos y terminados, la única fuente de información de la entidad es el sistema eKOGUI.
OCI Nota No. 2. Desde la OCI mediante correo electrónico del 02/08/2022 se solicitó a la OAJ "Respecto a los procesos judiciales, indicar la cantidad de procesos judiciales activos en la Entidad a 30/06/2022" la OAJ respondió con correo electrónico y memorando radicado No. 202210400000131323 del 09/08/2022 "Respecto a los procesos judiciales, con corte a 30 de junio de 2022, se encontraban activos un total de: 3097".
OCI Nota No. 3. El reporte eKOGUI_Activos previo filtro (Contador de Procesos por 1 dejando solo procesos únicos) genera un total de 3097 registros.
OCI Nota No. 4. Se identifió 1 proceso "Sin Abogado Asignado" correspondiente al No. 054498310500120210027400 dado que aun cuando tiene en "Fecha de registro del proceso" el 29/04/2022 en la "Fecha Asignación" el dato no está diligenciado.
OCI Nota No. 5. Desde la OCI mediante correo electrónico del 02/08/2022 se solicitó a la OAJ "En cuanto a los procesos judiciales, indicar la cantidad de procesos judiciales terminados en la Entidad a 30/06/2022" la OAJ respondió con correo electrónico y memorando radicado No. 202210400000131323 del 09/08/2022 "En cuanto a los procesos judiciales, con corte a 30 de junio de 2022, se encontraban terminados un total de: 4539".
OCI Nota No. 6. El reporte eKOGUI_Terminados previo filtro (Contador de Procesos por 1 dejando solo procesos únicos) genera un total de 4539 registros. </v>
      </c>
      <c r="BL3" s="60" t="str">
        <f>+PREJUDICIALES!F17</f>
        <v>OCI Nota No. 1. Según lo informado por la OAJ y verificado por la OCI en el respectivo reporte de Conciliaciones Extrajudiciales, la única fuente de información de la entidad es el sistema eKOGUI.
OCI Nota No. 2. Desde la OCI mediante correo electrónico del 02/08/2022 se solicitó a la OAJ "Frente a los procesos prejudiciales, indicar la cantidad de procesos prejudiciales activos en la Entidad a 30/06/2022" la OAJ respondió con correo electrónico y memorando radicado No. 202210400000131323 del 09/08/2022 "Frente a las conciliaciones prejudiciales, con corte a 30 de junio de 2022, se encontraban activas un total de: 33".
OCI Nota No. 3. Desde la OCI mediante correo electrónico del 02/08/2022 se solicitó a la OAJ "Sobre los procesos prejudiciales, indicar la cantidad de procesos prejudiciales terminados en la Entidad a 30/06/2022" la OAJ respondió con correo electrónico y memorando radicado No. 202210400000131323 del 09/08/2022 "Sobre las conciliaciones prejudiciales, con corte a 30 de junio de 2022, se encontraban terminadas un total de: 57".</v>
      </c>
      <c r="BM3" s="60" t="str">
        <f>+ARBITRAMENTOS!C13</f>
        <v>OCI Nota No. 1. Desde la OCI mediante correo electrónico del 02/08/2022 se solicitó a la OAJ "Revisar y confirmar respecto a los arbitramentos sí se tuvieron o no procesos de este tipo en la Entidad activos para el 30/06/2022" la OAJ respondió con correo electrónico y memorando radicado No. 202210400000131323 del 09/08/2022 "Respecto a los arbitramentos se informa que para el 1er semestre 2022, la entidad no registro este tipo de procesos en el sistema eKOGUI".</v>
      </c>
      <c r="BN3" s="60" t="str">
        <f>+PAGOS!F8</f>
        <v xml:space="preserve">OCI Nota No. 1. Desde la OCI mediante correo electrónico del 02/08/2022 se solicitó a la OAJ "Informar y remitir soportes con corte a 30/06/2022 sobre cuántos pagos respecto a (sentencias, conciliaciones y laudos arbitrales) se han efectuado en total (por el ICBF) a través de la plataforma SIIF Nación, cuántos pagos durante el 1er semestre de 2022, e indicar sí se ha presentado algún inconveniente en la plataforma del Ministerio de Hacienda (para pagar) o en el módulo de eKOGUI (para registrar) las respectivas transacciones" la OAJ respondió con correo electrónico y memorando radicado No. 202210400000131323 del 09/08/2022 "con respecto a la información de pagos de sentencias, conciliaciones y laudos arbitrales efectuados por el ICBF a través de la plataforma SIIF Nación durante el 1er semestre, aportamos cuadro Excel en el cual se encuentra la relación e información de todos los pagos realizados. Ahora bien, respecto a los inconvenientes presentados en la plataforma del Ministerio de Hacienda, solicitamos información a la Dirección Financiera y no hemos obtenido respuesta alguna. (anexamos correo de evidencia). En cuanto a los inconvenientes en el módulo de eKOGUI (para registrar) las respectivas transacciones, informamos que a la fecha no hemos presentado ningún error o problema con este".
OCI Nota No. 2. Revisado el mencionado "cuadro Excel en el cual se encuentra la relación e información de todos los pagos realizados" denominado "Pagos por sentencias SIIF Nación acumulado junio 2022", se evidenció que durante el 1er semestre de 2022 se efectuaron y registraron 72 pagos. </v>
      </c>
      <c r="BO3" s="60" t="str">
        <f>'Resumen General'!B23</f>
        <v>OCI Nota No. 1. En el ítem de Procesos por abogado, desde la OCI del ICBF debemos indicar que, por la estructura orgánica de la Entidad y por los múltiples temas legales que se atienden desde los grupos jurídicos de la regionales, NO se puede asumir que el reparto de los procesos judiciales es equitativo entre todos los abogados que ejercen la representación judicial del Instituto.</v>
      </c>
    </row>
    <row r="12" spans="1:67" x14ac:dyDescent="0.3">
      <c r="A12" s="60" t="s">
        <v>138</v>
      </c>
      <c r="B12" s="60" t="s">
        <v>10</v>
      </c>
      <c r="C12" s="63" t="s">
        <v>11</v>
      </c>
      <c r="D12" s="63" t="s">
        <v>12</v>
      </c>
      <c r="E12" s="63" t="s">
        <v>13</v>
      </c>
      <c r="F12" s="63" t="s">
        <v>14</v>
      </c>
      <c r="G12" s="63" t="s">
        <v>15</v>
      </c>
    </row>
    <row r="13" spans="1:67" x14ac:dyDescent="0.3">
      <c r="A13" s="60" t="str">
        <f t="shared" ref="A13:A18" si="0">$A$3</f>
        <v>Instituto Colombiano de Bienestar Familiar - ICBF</v>
      </c>
      <c r="B13" s="60" t="s">
        <v>16</v>
      </c>
      <c r="C13" s="60" t="str">
        <f>USUARIOS!C12</f>
        <v>Si</v>
      </c>
      <c r="D13" s="62">
        <f>USUARIOS!D12</f>
        <v>44680</v>
      </c>
      <c r="E13" s="60" t="str">
        <f>USUARIOS!E12</f>
        <v>CLAUDIA PATRICIA GARCÍA GUATAMA</v>
      </c>
      <c r="F13" s="62">
        <f>USUARIOS!F12</f>
        <v>44708</v>
      </c>
      <c r="G13" s="60" t="str">
        <f>USUARIOS!G12</f>
        <v/>
      </c>
    </row>
    <row r="14" spans="1:67" x14ac:dyDescent="0.3">
      <c r="A14" s="60" t="str">
        <f t="shared" si="0"/>
        <v>Instituto Colombiano de Bienestar Familiar - ICBF</v>
      </c>
      <c r="B14" s="60" t="s">
        <v>18</v>
      </c>
      <c r="C14" s="60" t="str">
        <f>USUARIOS!C13</f>
        <v>Si</v>
      </c>
      <c r="D14" s="62">
        <f>USUARIOS!D13</f>
        <v>43740</v>
      </c>
      <c r="E14" s="60" t="str">
        <f>USUARIOS!E13</f>
        <v>EDGAR LEONARDO BOJACÁ CASTRO</v>
      </c>
      <c r="F14" s="62">
        <f>USUARIOS!F13</f>
        <v>44460</v>
      </c>
      <c r="G14" s="60" t="str">
        <f>USUARIOS!G13</f>
        <v/>
      </c>
    </row>
    <row r="15" spans="1:67" x14ac:dyDescent="0.3">
      <c r="A15" s="60" t="str">
        <f t="shared" si="0"/>
        <v>Instituto Colombiano de Bienestar Familiar - ICBF</v>
      </c>
      <c r="B15" s="60" t="s">
        <v>20</v>
      </c>
      <c r="C15" s="60" t="str">
        <f>USUARIOS!C14</f>
        <v>Si</v>
      </c>
      <c r="D15" s="62">
        <f>USUARIOS!D14</f>
        <v>43630</v>
      </c>
      <c r="E15" s="60" t="str">
        <f>USUARIOS!E14</f>
        <v>QUINTERO PERILLA FABIO</v>
      </c>
      <c r="F15" s="62">
        <f>USUARIOS!F14</f>
        <v>44391</v>
      </c>
      <c r="G15" s="60" t="str">
        <f>USUARIOS!G14</f>
        <v/>
      </c>
    </row>
    <row r="16" spans="1:67" x14ac:dyDescent="0.3">
      <c r="A16" s="60" t="str">
        <f t="shared" si="0"/>
        <v>Instituto Colombiano de Bienestar Familiar - ICBF</v>
      </c>
      <c r="B16" s="60" t="s">
        <v>22</v>
      </c>
      <c r="C16" s="60" t="str">
        <f>USUARIOS!C15</f>
        <v>Si</v>
      </c>
      <c r="D16" s="62">
        <f>USUARIOS!D15</f>
        <v>42829</v>
      </c>
      <c r="E16" s="60" t="str">
        <f>USUARIOS!E15</f>
        <v>YANIRA VILLAMIL SUZUNAGA</v>
      </c>
      <c r="F16" s="62">
        <f>USUARIOS!F15</f>
        <v>44599</v>
      </c>
      <c r="G16" s="60" t="str">
        <f>USUARIOS!G15</f>
        <v/>
      </c>
    </row>
    <row r="17" spans="1:7" x14ac:dyDescent="0.3">
      <c r="A17" s="60" t="str">
        <f t="shared" si="0"/>
        <v>Instituto Colombiano de Bienestar Familiar - ICBF</v>
      </c>
      <c r="B17" s="60" t="s">
        <v>24</v>
      </c>
      <c r="C17" s="60" t="str">
        <f>USUARIOS!C16</f>
        <v>Si</v>
      </c>
      <c r="D17" s="62">
        <f>USUARIOS!D16</f>
        <v>44680</v>
      </c>
      <c r="E17" s="60" t="str">
        <f>USUARIOS!E16</f>
        <v>LUZ FRANCY BARRIO RAMÍREZ</v>
      </c>
      <c r="F17" s="62">
        <f>USUARIOS!F16</f>
        <v>44742</v>
      </c>
      <c r="G17" s="60" t="str">
        <f>USUARIOS!G16</f>
        <v/>
      </c>
    </row>
    <row r="18" spans="1:7" x14ac:dyDescent="0.3">
      <c r="A18" s="60" t="str">
        <f t="shared" si="0"/>
        <v>Instituto Colombiano de Bienestar Familiar - ICBF</v>
      </c>
      <c r="B18" s="60" t="s">
        <v>26</v>
      </c>
      <c r="C18" s="60" t="str">
        <f>USUARIOS!C17</f>
        <v>Si</v>
      </c>
      <c r="D18" s="62">
        <f>USUARIOS!D17</f>
        <v>44214</v>
      </c>
      <c r="E18" s="60" t="str">
        <f>USUARIOS!E17</f>
        <v>EDGAR LEONARDO BOJACÁ CASTRO</v>
      </c>
      <c r="F18" s="62">
        <f>USUARIOS!F17</f>
        <v>44411</v>
      </c>
      <c r="G18" s="60" t="str">
        <f>USUARIOS!G17</f>
        <v/>
      </c>
    </row>
  </sheetData>
  <sheetProtection algorithmName="SHA-512" hashValue="OkHp+4/XyQ417CCrePCpuKk2J4yoW2NaRqgvmIK3t20ri1bTnLcw34YVhufy/GP0yo2lXzq+J5H4Wh5cptbQxg==" saltValue="CCA9SvlNPlPw9E6zyIvQQw==" spinCount="100000" sheet="1" objects="1" scenarios="1"/>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7CDE570E-5C65-4253-B0A1-FAF59C438BC7}"/>
</file>

<file path=customXml/itemProps2.xml><?xml version="1.0" encoding="utf-8"?>
<ds:datastoreItem xmlns:ds="http://schemas.openxmlformats.org/officeDocument/2006/customXml" ds:itemID="{073B1BB9-F93E-4EF4-8D98-718A04CC6737}"/>
</file>

<file path=customXml/itemProps3.xml><?xml version="1.0" encoding="utf-8"?>
<ds:datastoreItem xmlns:ds="http://schemas.openxmlformats.org/officeDocument/2006/customXml" ds:itemID="{1BEDDEC2-1E71-4363-A747-7A284CE9B9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Principal</vt:lpstr>
      <vt:lpstr>USUARIOS</vt:lpstr>
      <vt:lpstr>ABOGADOS</vt:lpstr>
      <vt:lpstr>JUDICIALES</vt:lpstr>
      <vt:lpstr>PREJUDICIALES</vt:lpstr>
      <vt:lpstr>ARBITRAMENTOS</vt:lpstr>
      <vt:lpstr>PAGOS</vt:lpstr>
      <vt:lpstr>Resumen General</vt:lpstr>
      <vt:lpstr>Base a pegar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Clara Jeannethe Arenas Rivera</cp:lastModifiedBy>
  <cp:revision/>
  <dcterms:created xsi:type="dcterms:W3CDTF">2020-06-25T21:16:25Z</dcterms:created>
  <dcterms:modified xsi:type="dcterms:W3CDTF">2022-09-05T20:39:52Z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