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defaultThemeVersion="166925"/>
  <mc:AlternateContent xmlns:mc="http://schemas.openxmlformats.org/markup-compatibility/2006">
    <mc:Choice Requires="x15">
      <x15ac:absPath xmlns:x15ac="http://schemas.microsoft.com/office/spreadsheetml/2010/11/ac" url="E:\ArchivosICBF\2020OCI\eKOGUI_1erPeriodo2020\"/>
    </mc:Choice>
  </mc:AlternateContent>
  <xr:revisionPtr revIDLastSave="0" documentId="8_{8EEC703C-EA7F-485D-8302-D5EBF97769B7}" xr6:coauthVersionLast="47" xr6:coauthVersionMax="47" xr10:uidLastSave="{00000000-0000-0000-0000-000000000000}"/>
  <bookViews>
    <workbookView xWindow="0" yWindow="0" windowWidth="20490" windowHeight="6285" xr2:uid="{82CB4D4E-A42E-495E-9914-86978916F165}"/>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8" l="1"/>
  <c r="G24" i="8"/>
  <c r="H22" i="8"/>
  <c r="G22" i="8"/>
  <c r="G16" i="8"/>
  <c r="G15" i="8"/>
  <c r="D10" i="8"/>
  <c r="D9" i="8"/>
  <c r="F17" i="5" l="1"/>
  <c r="F15" i="5"/>
  <c r="F10" i="5"/>
  <c r="C20" i="5"/>
  <c r="C18" i="5"/>
  <c r="C17" i="5"/>
  <c r="T13" i="10"/>
  <c r="T12" i="10"/>
  <c r="C11" i="5"/>
  <c r="W3" i="8"/>
  <c r="C25" i="8" s="1"/>
  <c r="T14" i="10" l="1"/>
  <c r="F13" i="5" s="1"/>
  <c r="V2" i="9"/>
  <c r="V3" i="9" s="1"/>
  <c r="V3" i="7"/>
  <c r="G11" i="1"/>
  <c r="G12" i="1"/>
  <c r="G13" i="1"/>
  <c r="G14" i="1"/>
  <c r="G15" i="1"/>
  <c r="G10" i="1"/>
  <c r="F11" i="5" l="1"/>
  <c r="F9" i="9"/>
  <c r="C13" i="5"/>
  <c r="C12" i="5"/>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3" i="12"/>
  <c r="F19" i="5"/>
  <c r="F18" i="5"/>
  <c r="F14" i="5"/>
  <c r="F9" i="5"/>
  <c r="F8" i="5"/>
  <c r="C15" i="5"/>
  <c r="C16" i="5"/>
  <c r="C19" i="5" s="1"/>
  <c r="J11" i="1"/>
  <c r="J12" i="1"/>
  <c r="J13" i="1"/>
  <c r="J14" i="1"/>
  <c r="J15" i="1"/>
  <c r="J10" i="1"/>
  <c r="I10" i="1"/>
  <c r="I11" i="1"/>
  <c r="I12" i="1"/>
  <c r="I13" i="1"/>
  <c r="I14" i="1"/>
  <c r="I15" i="1"/>
  <c r="H11" i="1"/>
  <c r="H12" i="1"/>
  <c r="H13" i="1"/>
  <c r="H14" i="1"/>
  <c r="H15" i="1"/>
  <c r="H10" i="1"/>
  <c r="C10" i="5" l="1"/>
  <c r="C9" i="5"/>
  <c r="C8" i="5"/>
  <c r="V3" i="11" l="1"/>
  <c r="V3" i="10"/>
  <c r="F7" i="7" l="1"/>
</calcChain>
</file>

<file path=xl/sharedStrings.xml><?xml version="1.0" encoding="utf-8"?>
<sst xmlns="http://schemas.openxmlformats.org/spreadsheetml/2006/main" count="226" uniqueCount="158">
  <si>
    <t>Plantilla de certificado de Control Interno eKOGUI</t>
  </si>
  <si>
    <t>Agencia Nacional de Defensa Jurídica del Estado</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</si>
  <si>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</si>
  <si>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USUARIOS AL 30 DE JUNIO DE 2020</t>
  </si>
  <si>
    <t>Si</t>
  </si>
  <si>
    <t>No</t>
  </si>
  <si>
    <t>ROL</t>
  </si>
  <si>
    <t>TIENE EL ROL</t>
  </si>
  <si>
    <t>FECHA CREACIÓN  EN EKOGUI</t>
  </si>
  <si>
    <t>NOMBRE</t>
  </si>
  <si>
    <t>FECHA ÚLTIMA CAPACITACIÓN</t>
  </si>
  <si>
    <t>ACTUALIZADO</t>
  </si>
  <si>
    <t>N/A</t>
  </si>
  <si>
    <t>JEFE FINANCIERO</t>
  </si>
  <si>
    <t>JEFE JURÍDICO</t>
  </si>
  <si>
    <t>EDGAR LEONARDO BOJACÁ CASTRO</t>
  </si>
  <si>
    <t>ENLACE DE PAGOS</t>
  </si>
  <si>
    <t>FABIO QUINTERO PERILLA</t>
  </si>
  <si>
    <t>JEFE CONTROL INTERNO</t>
  </si>
  <si>
    <t>YANIRA VILLAMIL SUZUNAGA</t>
  </si>
  <si>
    <t>SECRETARIO TÉCNICO</t>
  </si>
  <si>
    <t>ANDRÉS MAURICIO GUERRERO VALDERRAMA</t>
  </si>
  <si>
    <t>ADMINISTRADOR DE LA ENTIDAD</t>
  </si>
  <si>
    <t>JAVIER GONZALEZ BUITRAGO</t>
  </si>
  <si>
    <t>Observaciones</t>
  </si>
  <si>
    <t>Observación No. 1: Respecto al rol de Jefe Financiera, la Oficina Asesora Jurídica remitió al Director Financiero del ICBF memorando con radicado interno No. 2020210430000093753 del 26/06/2020 con "Asunto: Actualización del procedimiento para consolidar la información contable de los procesos judiciales y del instructivo financiero de procesos jurídicos ICBF y designación del funcionario responsable de cumplir las funciones del artículo 2.2.3.4.1.12 del Decreto Único del Sector Justicia y del Derecho". A folio 10 se indicó "...se requiere unificar normatividad, conceptos, actualizar Manuales, Procedimientos, Instructivos y Guías y especialmente analizar la posibilidad de simplificarlos para facilitar las actividades de los apoderados y para establecer mecanismos articulados de seguimiento". A folio 17 se señaló "...En conclusión, se recomienda que las cuentas de orden correspondientes a litigios se realicen en forma centralizada y que quienes coordinen su actualización sea el Grupo de Representación Judicial y el Grupo de Contabilidad". 
"Atendiendo las anteriores consideraciones, a continuación se ratificará que el funcionario que debe ejercer el rol de administrador "Jefe Financiero o quien haga sus veces", es el Coordinador del Grupo de Contabilidad, con fundamento en las funciones establecidas en la Resolución 60 de 2013".
Observación No. 2: Frente al rol de Jefe Control Interno, se indica que a la Capacitación brindada el 29/08/2019 "Control Interno, módulos y funcionalidades" asistieron en representación de la OCI del ICBF las abogadas Cielo María Sabogal Diaz, Clara Jeannethe Arenas Rivera y Libia Cortés Cantor.</t>
  </si>
  <si>
    <t>Abogados al 30 de junio de 2020</t>
  </si>
  <si>
    <t>ABOGADOS ACTIVOS AL 30-06-2020</t>
  </si>
  <si>
    <t>CANTIDAD</t>
  </si>
  <si>
    <t>INFORMACIÓN (1)</t>
  </si>
  <si>
    <t>CANTIDAD DE ABOGADOS</t>
  </si>
  <si>
    <t>CANTIDAD DE ABOGADOS LITIGANDO</t>
  </si>
  <si>
    <t>Tiene información estudios</t>
  </si>
  <si>
    <t>ABOGADOS CREADOS EN EKOGUI ACTIVOS</t>
  </si>
  <si>
    <t>Tienen información experiencia</t>
  </si>
  <si>
    <t>ABOGADOS CON CORREO ACTUALIZADO</t>
  </si>
  <si>
    <t>Tienen Información laboral</t>
  </si>
  <si>
    <t>ABOGADOS CON PROCESOS ACTIVOS</t>
  </si>
  <si>
    <t>(1) Se visualiza en el detalle del abogado a la fecha de revisión</t>
  </si>
  <si>
    <t>Solamente se revisa que tenga registrada alguna información registrada</t>
  </si>
  <si>
    <t>ABOGADOS INACTIVOS</t>
  </si>
  <si>
    <t>RETIRADOS EN LA ENTIDAD PRIMER SEMESTRE 2020</t>
  </si>
  <si>
    <t>ÚLTIMA CAPACITACIÓN ABOGADOS ACTIVOS</t>
  </si>
  <si>
    <t>INACTIVADOS EN EKOGUI PRIMER SEMESTRE 2020</t>
  </si>
  <si>
    <t>Entre 01-01-2020 y 30-06-2020</t>
  </si>
  <si>
    <t>Entre 21-03-2019 y 31-12-2019</t>
  </si>
  <si>
    <t>Observaciones:</t>
  </si>
  <si>
    <t>Capacitaciones anteriores al 21-03-2019</t>
  </si>
  <si>
    <t>Observación No. 1: La OCI previa revisión del reporte eKOGUI y de la información remitida por la OAJ determinó en Abogados litigando, activos y con correo electrónico actualizado la cantidad de cien (100). No se incluyen los Apoderados que ejercen representación judicial de procesos civiles de vocación hereditaria (22), toda vez que aún cuando son usuarios activos en eKOGUI no tienen vinculación con el ICBF dado que representan a los Denunciantes en estos procesos. 
Observación No. 2: Solo se identificó a un Apoderado correspondiente a Charles Michele Chapman López, sin correo electrónico con dominio @icbf.gov.co</t>
  </si>
  <si>
    <t>Sin capacitación</t>
  </si>
  <si>
    <t>Procesos Judiciales</t>
  </si>
  <si>
    <t>PROCESOS ACTIVOS AL 30 DE JUNIO DE 2020</t>
  </si>
  <si>
    <t>MAYORES A 33.000 SMMLV(4) ACTIVOS</t>
  </si>
  <si>
    <t xml:space="preserve">CANTIDAD </t>
  </si>
  <si>
    <t>CANTIDAD DE PROCESOS ACTIVOS</t>
  </si>
  <si>
    <t>Cantidad de procesos de más de 33.000 SMMLV</t>
  </si>
  <si>
    <t>PROCESOS ACTIVOS REGISTRADOS EN EKOGUI</t>
  </si>
  <si>
    <t>Procesos de más de 33.000 SMMLV registrados en eKOGUI</t>
  </si>
  <si>
    <t>PROCESOS SIN ABOGADO ASIGNADO(1)</t>
  </si>
  <si>
    <t>Procesos de más de 33.000 SMMLV con la pieza demanda(5)</t>
  </si>
  <si>
    <t>(1)Anteriores a 15 de junio</t>
  </si>
  <si>
    <t>(4)Equivalente a un valor indexado de $28.967 millones</t>
  </si>
  <si>
    <t>(5) Puede ser remitida a la ANDJE o cargada en el sistema</t>
  </si>
  <si>
    <t>PROCESOS TERMINADOS PRIMER SEMESTRE 2020</t>
  </si>
  <si>
    <t>CALIFICACIÓN DE RIESGO</t>
  </si>
  <si>
    <t>PROCESOS TERMINADOS DURANTE PRIMER SEMESTRE 2020</t>
  </si>
  <si>
    <t>PROCESOS ACTIVOS EN CALIDAD DEMANDADO AL 30-06-2020</t>
  </si>
  <si>
    <t>TERMINADOS EN EKOGUI DURANTE PRIMER SEMESTRE 2020 (2)</t>
  </si>
  <si>
    <t>PROCESOS CON CALIFICACIÓN  PRIMER SEMESTRE 2020</t>
  </si>
  <si>
    <t>(2) Con fecha de actuación en 2020</t>
  </si>
  <si>
    <t>PROCESOS CON CALIFICACIÓN ANTERIOR A 2020</t>
  </si>
  <si>
    <t>PROCESOS SIN CALIFICACIÓN</t>
  </si>
  <si>
    <t>ACTUALIZACIÓN</t>
  </si>
  <si>
    <t xml:space="preserve">PROCESO TERMINADOS AL 30 DE JUNIO 2020 </t>
  </si>
  <si>
    <t>PROVISIÓN CONTABLE (6)</t>
  </si>
  <si>
    <t>PROCESOS</t>
  </si>
  <si>
    <t>CON PROVISIÓN IGUAL A CERO</t>
  </si>
  <si>
    <t>PROCESOS ACTIVOS CON ESTADO TERMINADO(3)</t>
  </si>
  <si>
    <t>PROBABILIDAD DE PERDER EL CASO ALTA</t>
  </si>
  <si>
    <r>
      <t>(3)En el reporte de activos al 30 de junio de 2020 verifique la columna</t>
    </r>
    <r>
      <rPr>
        <b/>
        <i/>
        <sz val="9"/>
        <color theme="1"/>
        <rFont val="Calibri"/>
        <family val="2"/>
        <scheme val="minor"/>
      </rPr>
      <t xml:space="preserve"> Estado General del proceso</t>
    </r>
  </si>
  <si>
    <t>PROBABILIDAD DE PERDER EL CASO MEDIA</t>
  </si>
  <si>
    <t>PROBABILIDAD DE PERDER EL CASO BAJA</t>
  </si>
  <si>
    <t>PROBABILIDAD DE PERDER EL CASO REMOTA</t>
  </si>
  <si>
    <t>(6) Solo se consideran los procesos activos - calidad demandado al 30 de junio de 2020 que tengan calificación de riesgo</t>
  </si>
  <si>
    <t>CONDENAS</t>
  </si>
  <si>
    <t>PROCESOS ANALIZADOS</t>
  </si>
  <si>
    <t>OBSERVACIONES</t>
  </si>
  <si>
    <t>PROCESOS TERMINADOS CON EJECUTORIA</t>
  </si>
  <si>
    <t>Observación No. 1: La OCI para los procesos judiciales activos del ICBF tuvo en cuenta todos los casos, tuviera la Entidad calidad tanto de demandante como de demandado. También, se sumaron los procesos del reporte activos (3.228) y los (4) de mayores a 33.000 SMMLV para un total de 3.232. 
Observación No. 2: La OCI para los procesos terminados del ICBF durante el primer semestre de 2020 también tuvo en cuenta todos los casos que tuviera la Entidad calidad tanto de demandante como de demandado. En calidad de demandado terminaron ochenta (80) procesos y como demandante (3) durante el primer semestre de 2020.</t>
  </si>
  <si>
    <t>PROCESOS DESFAVORABLES</t>
  </si>
  <si>
    <t>Observación No. 3: La OCI tomó como fuente de los procesos activos y terminados los respectivos reportes generados desde eKOGUI.</t>
  </si>
  <si>
    <t>PROCESOS QUE GENERAN EROGACIÓN ECONÓMICA</t>
  </si>
  <si>
    <t>Observación No. 4: Respecto a los cuatro (4) procesos judiciales mayores a 33.000 SMMLV, el ICBF tiene calidad de demandado o hace parte de los Demandados en tres (3) que corresponden a los de No. 68001233100020060344700; 25000233600020130136100; y 76001233300520170184500 de los cuales la OCI encontró cargadas en eKOGUI dos (2) de las demandas y el ICBF tiene calidad de demandante en un (1) proceso el No. 11001310303020090071300 del cual se evidenció cargada la respectiva demandada en el sistema.</t>
  </si>
  <si>
    <t>PROCESOS CON VALOR CONDENA MAYOR A CERO</t>
  </si>
  <si>
    <t>Observación No. 5: Con relación a los Procesos sin calificación del riesgo, se identificaron ocho (8) de los cuales uno (1) de ellos se asignó el 30/06/2020.</t>
  </si>
  <si>
    <t>Prejudiciales</t>
  </si>
  <si>
    <t>PREJUDICIALES ACTIVOS AL 30-06-2020</t>
  </si>
  <si>
    <t>TOTAL PREJUDICIALES ACTIVOS</t>
  </si>
  <si>
    <t>TOTAL PREJUDICIALES ACTIVOS EN EKOGUI</t>
  </si>
  <si>
    <t>CANTIDAD PREJUDICIALES</t>
  </si>
  <si>
    <t>REGISTRO DESDE ABRIL 1 2020</t>
  </si>
  <si>
    <t>Procesos que efectivamente se encuentran activos</t>
  </si>
  <si>
    <t>REGISTRO ENTRE 1 ENERO Y 31 MARZO 2020</t>
  </si>
  <si>
    <t>Proceso que se encuentran terminados</t>
  </si>
  <si>
    <t>REGISTRO EN 2019 Y ANTERIORES</t>
  </si>
  <si>
    <t>PREJUDICIALES TERMINADOS PRIMER SEMESTRE 2020</t>
  </si>
  <si>
    <t>TOTAL PREJUDICIALES TERMINADOS I SEM. 2020</t>
  </si>
  <si>
    <t>TERMINADOS ÚLTIMA ACTUACIÓN I SEM. 2020</t>
  </si>
  <si>
    <t>Observación No. 1: La OCI remitió a la OAJ correo electrónico solicitando respecto a la muestra de treinta (39) procesos se informará el estado de estos, frente a lo cual se reportó que treinta y cinco (35) estaban activos y cuatro (4) terminados. También se informó por la OAJ que "...de los procesos relacionados en el cuadro adjunto no se cuenta con el acta de la conciliación de la Procuraduría, es por ello por lo que se hará los respectivos requerimientos a las Regionales, con el fin de poder terminarlas en el sistema eKOGUI".</t>
  </si>
  <si>
    <t>ARBITRAMENTOS</t>
  </si>
  <si>
    <t>ARBITRAMENTOS ACTIVOS AL 30-06-2020</t>
  </si>
  <si>
    <t>TOTAL ARBITRAMENTOS TERMINADOS  AL 30-06-2020</t>
  </si>
  <si>
    <t>ARBITRAMENTOS REGISTRADOS EN EKOGUI</t>
  </si>
  <si>
    <t>ARBITRAMENTOS TERMINADOS EN EKOGUI</t>
  </si>
  <si>
    <t>Pagos</t>
  </si>
  <si>
    <t>PROCESOS ACTIVOS</t>
  </si>
  <si>
    <t>Gestiona pagos en SIIF de MinHacienda</t>
  </si>
  <si>
    <t>Observación No. 1: La OCI previa revisión del reporte eKOGUI y de la información remitida por la OAJ, determinó que fueron cien (100) los pagos efectuados durante el período comprendido entre el 01/01/2020 y el 30/06/2020.</t>
  </si>
  <si>
    <t>Pagos enlazados al 30-06-2020</t>
  </si>
  <si>
    <t>Plantilla de certificado de Control Interno</t>
  </si>
  <si>
    <t>ENTIDAD</t>
  </si>
  <si>
    <t>Instituto Colombiano de Bienestar Familiar - ICBF</t>
  </si>
  <si>
    <t>Yanira Villamil Suzunaga</t>
  </si>
  <si>
    <t>INFORMACIÓN USUARIOS</t>
  </si>
  <si>
    <t>PREJUDICIALES</t>
  </si>
  <si>
    <t>Completitud de roles</t>
  </si>
  <si>
    <t>Procesos prejudiciales</t>
  </si>
  <si>
    <t>Usuarios activos</t>
  </si>
  <si>
    <t>Porcentaje de registro</t>
  </si>
  <si>
    <t>Uso del sistema</t>
  </si>
  <si>
    <t>Actualización prejudiciales</t>
  </si>
  <si>
    <t>Nivel de capacitación</t>
  </si>
  <si>
    <t>Nivel de actualización</t>
  </si>
  <si>
    <t>Procesos arbitrales</t>
  </si>
  <si>
    <t>JUDICIALES</t>
  </si>
  <si>
    <t>Procesos activos</t>
  </si>
  <si>
    <t>PAGOS</t>
  </si>
  <si>
    <t>Actualización más de 33.000 SMMLV</t>
  </si>
  <si>
    <t>Pagos relacionados</t>
  </si>
  <si>
    <t>Procesos por abogado</t>
  </si>
  <si>
    <t>Uso del módulo pagos</t>
  </si>
  <si>
    <t>Provisión incorrecta</t>
  </si>
  <si>
    <t>Observación No. 1: En el ítem de Uso del sistema, al parecer se presenta un error en la fórmula, puesto que en la celda D14 de la hoja denominada ABOGADOS no se deben registrar datos.
Observación No. 2: En el ítem de Procesos por abogado, desde la OCI del ICBF debemos indicar que, por la estructura orgánica de la Entidad y por los múltiples temas legales que se atienden desde los grupos jurídicos de la regionales, no se puede asumir que el reparto de los procesos judiciales es equitativo entre todos los abogados que ejercen la representación judicial del Instituto, puesto que se presentan extremos como el de una abogada a la que se le han asignado 490 procesos y otros abogados que no tienen procesos a cargo.
Observación No. 3: La OCI - ICBF informa que en la hoja de arbitramentos no está habilitado el campo de observaciones, por lo cual se indica que la OCI remitió a la OAJ correo electrónico solicitando información y soportes al respecto, frente a lo cual se señaló por parte del Administrador de la Entidad que "Después de verificar la información registrada de los procesos arbitrales, en el sistema eKOGUI, pude constatar que se presentaba una inconsistencia en el sistema por cuanto: 1. Aparecían como activos 6 procesos arbitrales, los cuales fueron terminados en el año 2019 y que de un momento a otro en el año 2020 aparecen activos; 2. Verificando la información en cada proceso, aparecen todas las etapas procesales, incluyendo la etapa que termina el proceso como es la etapa procesal “Auto que aprueba o imprueba el acuerdo conciliatorio”; 3. Igualmente aparece registrada todos los documentos soporte; 4. Ante tal situación se procedió hacer una actualización de la etapa procesal correspondiente y terminando cada proceso, corrigiendo dicha inconsistencia".</t>
  </si>
  <si>
    <t>PROCESOS SIN ABOGADO ASIGNADO</t>
  </si>
  <si>
    <t>PROCESOS TERMINADOS EN 2020</t>
  </si>
  <si>
    <t>TERMINADOS EN EKOGUI</t>
  </si>
  <si>
    <t>PROCESO ENTIDAD TERMINADOS</t>
  </si>
  <si>
    <t>PROCESOS ACTIVOS CON ESTADO TERMINADO*</t>
  </si>
  <si>
    <t xml:space="preserve">Procesos de más de 33.000 SMMLV con la pieza demanda </t>
  </si>
  <si>
    <t>PROCESOS ACTIVOS EN CALIDAD DEMANDADO</t>
  </si>
  <si>
    <t>PROCESOS CON CALIFICACIÓN  EN 2020</t>
  </si>
  <si>
    <t>REGISTRO EN 2020</t>
  </si>
  <si>
    <t>REGISTRO EN 2019</t>
  </si>
  <si>
    <t>REGISTRO EN 2018 Y ANTERIORES</t>
  </si>
  <si>
    <t>TOTAL PROCESOS TERMINADOS</t>
  </si>
  <si>
    <t>TERMINADOS ÚLTIMA ACTUACIÓN EN 2020</t>
  </si>
  <si>
    <t>ARBITRAMENTOS ACTIVOS</t>
  </si>
  <si>
    <t>Pagos enlazados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</si>
</sst>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9" fontId="0" fillId="0" borderId="9" xfId="1" applyFont="1" applyBorder="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11" xfId="0" applyFill="1" applyBorder="1" applyProtection="1">
      <protection hidden="1"/>
    </xf>
    <xf numFmtId="0" fontId="0" fillId="2" borderId="9" xfId="0" applyFill="1" applyBorder="1" applyProtection="1">
      <protection locked="0"/>
    </xf>
    <xf numFmtId="0" fontId="0" fillId="2" borderId="12" xfId="0" applyFill="1" applyBorder="1" applyProtection="1">
      <protection locked="0"/>
    </xf>
    <xf numFmtId="14" fontId="0" fillId="2" borderId="12" xfId="0" applyNumberFormat="1" applyFill="1" applyBorder="1" applyProtection="1">
      <protection locked="0"/>
    </xf>
    <xf numFmtId="0" fontId="0" fillId="2" borderId="22" xfId="0" applyFill="1" applyBorder="1" applyAlignment="1">
      <alignment horizontal="center"/>
    </xf>
    <xf numFmtId="14" fontId="0" fillId="2" borderId="9" xfId="0" applyNumberFormat="1" applyFill="1" applyBorder="1" applyProtection="1">
      <protection locked="0"/>
    </xf>
    <xf numFmtId="0" fontId="0" fillId="2" borderId="21" xfId="0" applyFill="1" applyBorder="1" applyProtection="1">
      <protection locked="0"/>
    </xf>
    <xf numFmtId="0" fontId="0" fillId="2" borderId="0" xfId="0" applyFill="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9" xfId="0" applyBorder="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9" xfId="0" applyFill="1" applyBorder="1" applyAlignment="1" applyProtection="1">
      <alignment vertical="center"/>
      <protection locked="0"/>
    </xf>
    <xf numFmtId="0" fontId="0" fillId="2" borderId="0" xfId="0" applyFill="1" applyAlignment="1">
      <alignment wrapText="1"/>
    </xf>
    <xf numFmtId="0" fontId="0" fillId="2" borderId="32"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31" xfId="0" applyFill="1" applyBorder="1" applyAlignment="1" applyProtection="1">
      <alignment wrapText="1"/>
      <protection locked="0"/>
    </xf>
    <xf numFmtId="0" fontId="0" fillId="2" borderId="4" xfId="0" applyFill="1" applyBorder="1" applyAlignment="1" applyProtection="1">
      <alignment wrapText="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2" borderId="23" xfId="0" applyFill="1" applyBorder="1" applyAlignment="1" applyProtection="1">
      <alignment horizontal="center" wrapText="1"/>
      <protection locked="0"/>
    </xf>
    <xf numFmtId="0" fontId="0" fillId="2" borderId="23"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2" borderId="1" xfId="0" applyFill="1" applyBorder="1" applyAlignment="1" applyProtection="1">
      <alignment horizontal="center" wrapText="1"/>
      <protection locked="0"/>
    </xf>
    <xf numFmtId="0" fontId="0" fillId="2" borderId="3"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9" fillId="2" borderId="0" xfId="0" applyFont="1" applyFill="1" applyAlignment="1">
      <alignment horizontal="center" vertical="center"/>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10" fillId="2" borderId="21" xfId="0" applyFont="1" applyFill="1" applyBorder="1" applyAlignment="1">
      <alignment horizontal="left" wrapText="1"/>
    </xf>
    <xf numFmtId="0" fontId="10" fillId="2" borderId="0" xfId="0" applyFont="1" applyFill="1" applyAlignment="1">
      <alignment horizontal="left" wrapText="1"/>
    </xf>
    <xf numFmtId="0" fontId="0" fillId="2" borderId="13" xfId="0" applyFill="1" applyBorder="1" applyAlignment="1">
      <alignment horizontal="left" wrapText="1"/>
    </xf>
    <xf numFmtId="0" fontId="0" fillId="2" borderId="14" xfId="0" applyFill="1" applyBorder="1" applyAlignment="1">
      <alignment horizontal="left" wrapText="1"/>
    </xf>
    <xf numFmtId="0" fontId="0" fillId="2" borderId="17" xfId="0" applyFill="1" applyBorder="1" applyAlignment="1">
      <alignment horizontal="left" wrapText="1"/>
    </xf>
    <xf numFmtId="0" fontId="0" fillId="2" borderId="18" xfId="0" applyFill="1" applyBorder="1" applyAlignment="1">
      <alignment horizontal="left" wrapText="1"/>
    </xf>
    <xf numFmtId="0" fontId="0" fillId="2" borderId="21" xfId="0" applyFill="1" applyBorder="1" applyAlignment="1">
      <alignment horizontal="left" wrapText="1"/>
    </xf>
    <xf numFmtId="0" fontId="0" fillId="0" borderId="13" xfId="0" applyBorder="1" applyAlignment="1">
      <alignment horizontal="center"/>
    </xf>
    <xf numFmtId="0" fontId="0" fillId="0" borderId="14" xfId="0" applyBorder="1" applyAlignment="1">
      <alignment horizontal="center"/>
    </xf>
    <xf numFmtId="0" fontId="0" fillId="2" borderId="25" xfId="0" applyFill="1" applyBorder="1" applyAlignment="1">
      <alignment horizontal="center"/>
    </xf>
    <xf numFmtId="0" fontId="0" fillId="2" borderId="27" xfId="0" applyFill="1" applyBorder="1" applyAlignment="1">
      <alignment horizontal="center"/>
    </xf>
    <xf numFmtId="0" fontId="0" fillId="2" borderId="26" xfId="0" applyFill="1" applyBorder="1" applyAlignment="1">
      <alignment horizont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8" xfId="0" applyBorder="1" applyAlignment="1" applyProtection="1">
      <alignment horizontal="center"/>
      <protection locked="0"/>
    </xf>
    <xf numFmtId="0" fontId="0" fillId="0" borderId="20" xfId="0" applyBorder="1" applyAlignment="1" applyProtection="1">
      <alignment horizontal="center"/>
      <protection locked="0"/>
    </xf>
    <xf numFmtId="0" fontId="6" fillId="0" borderId="0" xfId="0" applyFont="1" applyAlignment="1">
      <alignment horizontal="center"/>
    </xf>
    <xf numFmtId="0" fontId="0" fillId="0" borderId="4" xfId="0" applyBorder="1" applyAlignment="1" applyProtection="1">
      <alignment horizontal="center" wrapText="1"/>
      <protection locked="0"/>
    </xf>
    <xf numFmtId="0" fontId="0" fillId="0" borderId="0" xfId="0" applyAlignment="1" applyProtection="1">
      <alignment horizontal="center"/>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0" fillId="0" borderId="7" xfId="0" applyBorder="1" applyAlignment="1" applyProtection="1">
      <alignment horizontal="center"/>
      <protection locked="0"/>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64186-77E3-45B0-8449-08E3DB3EF46E}">
  <dimension ref="B1:O18"/>
  <sheetViews>
    <sheetView showGridLines="0" tabSelected="1" topLeftCell="B2" zoomScale="120" zoomScaleNormal="120" workbookViewId="0">
      <selection activeCell="B3" sqref="B3:O3"/>
    </sheetView>
  </sheetViews>
  <sheetFormatPr defaultColWidth="11.42578125" defaultRowHeight="15"/>
  <sheetData>
    <row r="1" spans="2:15" ht="15.75" thickBot="1"/>
    <row r="2" spans="2:15">
      <c r="B2" s="2"/>
      <c r="C2" s="3"/>
      <c r="D2" s="3"/>
      <c r="E2" s="3"/>
      <c r="F2" s="3"/>
      <c r="G2" s="3"/>
      <c r="H2" s="3"/>
      <c r="I2" s="3"/>
      <c r="J2" s="3"/>
      <c r="K2" s="3"/>
      <c r="L2" s="3"/>
      <c r="M2" s="3"/>
      <c r="N2" s="3"/>
      <c r="O2" s="4"/>
    </row>
    <row r="3" spans="2:15" ht="23.25">
      <c r="B3" s="75" t="s">
        <v>0</v>
      </c>
      <c r="C3" s="76"/>
      <c r="D3" s="76"/>
      <c r="E3" s="76"/>
      <c r="F3" s="76"/>
      <c r="G3" s="76"/>
      <c r="H3" s="76"/>
      <c r="I3" s="76"/>
      <c r="J3" s="76"/>
      <c r="K3" s="76"/>
      <c r="L3" s="76"/>
      <c r="M3" s="76"/>
      <c r="N3" s="76"/>
      <c r="O3" s="77"/>
    </row>
    <row r="4" spans="2:15" ht="23.25">
      <c r="B4" s="75" t="s">
        <v>1</v>
      </c>
      <c r="C4" s="76"/>
      <c r="D4" s="76"/>
      <c r="E4" s="76"/>
      <c r="F4" s="76"/>
      <c r="G4" s="76"/>
      <c r="H4" s="76"/>
      <c r="I4" s="76"/>
      <c r="J4" s="76"/>
      <c r="K4" s="76"/>
      <c r="L4" s="76"/>
      <c r="M4" s="76"/>
      <c r="N4" s="76"/>
      <c r="O4" s="77"/>
    </row>
    <row r="5" spans="2:15">
      <c r="B5" s="5"/>
      <c r="O5" s="6"/>
    </row>
    <row r="6" spans="2:15">
      <c r="B6" s="5"/>
      <c r="C6" s="78" t="s">
        <v>2</v>
      </c>
      <c r="D6" s="78"/>
      <c r="E6" s="78"/>
      <c r="F6" s="78"/>
      <c r="G6" s="78"/>
      <c r="H6" s="78"/>
      <c r="I6" s="78"/>
      <c r="J6" s="78"/>
      <c r="K6" s="78"/>
      <c r="L6" s="78"/>
      <c r="M6" s="78"/>
      <c r="N6" s="78"/>
      <c r="O6" s="6"/>
    </row>
    <row r="7" spans="2:15">
      <c r="B7" s="5"/>
      <c r="C7" s="78"/>
      <c r="D7" s="78"/>
      <c r="E7" s="78"/>
      <c r="F7" s="78"/>
      <c r="G7" s="78"/>
      <c r="H7" s="78"/>
      <c r="I7" s="78"/>
      <c r="J7" s="78"/>
      <c r="K7" s="78"/>
      <c r="L7" s="78"/>
      <c r="M7" s="78"/>
      <c r="N7" s="78"/>
      <c r="O7" s="6"/>
    </row>
    <row r="8" spans="2:15">
      <c r="B8" s="5"/>
      <c r="O8" s="6"/>
    </row>
    <row r="9" spans="2:15">
      <c r="B9" s="5"/>
      <c r="O9" s="6"/>
    </row>
    <row r="10" spans="2:15">
      <c r="B10" s="5"/>
      <c r="O10" s="6"/>
    </row>
    <row r="11" spans="2:15">
      <c r="B11" s="5"/>
      <c r="O11" s="6"/>
    </row>
    <row r="12" spans="2:15">
      <c r="B12" s="5"/>
      <c r="O12" s="6"/>
    </row>
    <row r="13" spans="2:15">
      <c r="B13" s="5"/>
      <c r="O13" s="6"/>
    </row>
    <row r="14" spans="2:15">
      <c r="B14" s="5"/>
      <c r="O14" s="6"/>
    </row>
    <row r="15" spans="2:15">
      <c r="B15" s="5"/>
      <c r="O15" s="6"/>
    </row>
    <row r="16" spans="2:15">
      <c r="B16" s="5"/>
      <c r="O16" s="6"/>
    </row>
    <row r="17" spans="2:15">
      <c r="B17" s="5"/>
      <c r="O17" s="6"/>
    </row>
    <row r="18" spans="2:15" ht="15.75" thickBot="1">
      <c r="B18" s="7"/>
      <c r="C18" s="8"/>
      <c r="D18" s="8"/>
      <c r="E18" s="8"/>
      <c r="F18" s="8"/>
      <c r="G18" s="8"/>
      <c r="H18" s="8"/>
      <c r="I18" s="8"/>
      <c r="J18" s="8"/>
      <c r="K18" s="8"/>
      <c r="L18" s="8"/>
      <c r="M18" s="8"/>
      <c r="N18" s="8"/>
      <c r="O18" s="9"/>
    </row>
  </sheetData>
  <sheetProtection algorithmName="SHA-512" hashValue="v+OGTlq+q6Oae72VDN+sgjj2bIwwaNs7K3QlBBMEg8LflToLDQY2HVkS7v5GxJ3ePdMJEq1YOdX8GVr8ULdAAw==" saltValue="VUPC38ch+z74Wo07QKnkBQ=="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EB4C-BF31-445B-9BA4-A17C68E0AB29}">
  <dimension ref="B5:T17"/>
  <sheetViews>
    <sheetView workbookViewId="0">
      <selection activeCell="I18" sqref="I18"/>
    </sheetView>
  </sheetViews>
  <sheetFormatPr defaultColWidth="11.42578125" defaultRowHeight="15"/>
  <cols>
    <col min="1" max="1" width="6.42578125" style="1" customWidth="1"/>
    <col min="2" max="2" width="30.140625" style="1" bestFit="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row r="6" spans="2:20">
      <c r="B6" s="10"/>
      <c r="C6" s="11"/>
      <c r="D6" s="11"/>
      <c r="E6" s="11"/>
      <c r="F6" s="11"/>
      <c r="G6" s="12"/>
    </row>
    <row r="7" spans="2:20" ht="21">
      <c r="B7" s="79" t="s">
        <v>3</v>
      </c>
      <c r="C7" s="80"/>
      <c r="D7" s="80"/>
      <c r="E7" s="80"/>
      <c r="F7" s="80"/>
      <c r="G7" s="81"/>
      <c r="T7" s="1" t="s">
        <v>4</v>
      </c>
    </row>
    <row r="8" spans="2:20">
      <c r="B8" s="13"/>
      <c r="G8" s="14"/>
      <c r="T8" s="1" t="s">
        <v>5</v>
      </c>
    </row>
    <row r="9" spans="2:20">
      <c r="B9" s="20" t="s">
        <v>6</v>
      </c>
      <c r="C9" s="21" t="s">
        <v>7</v>
      </c>
      <c r="D9" s="22" t="s">
        <v>8</v>
      </c>
      <c r="E9" s="21" t="s">
        <v>9</v>
      </c>
      <c r="F9" s="21" t="s">
        <v>10</v>
      </c>
      <c r="G9" s="23" t="s">
        <v>11</v>
      </c>
      <c r="T9" s="1" t="s">
        <v>12</v>
      </c>
    </row>
    <row r="10" spans="2:20">
      <c r="B10" s="19" t="s">
        <v>13</v>
      </c>
      <c r="C10" s="49" t="s">
        <v>5</v>
      </c>
      <c r="D10" s="53"/>
      <c r="E10" s="50"/>
      <c r="F10" s="51"/>
      <c r="G10" s="48" t="str">
        <f t="shared" ref="G10:G15" si="0">IF(F10="","",IF(F10&lt;$T$12,"Desactualizado",""))</f>
        <v/>
      </c>
      <c r="H10" s="36">
        <f t="shared" ref="H10:H15" si="1">+IF(C10="N/A",1,0)</f>
        <v>0</v>
      </c>
      <c r="I10" s="36">
        <f t="shared" ref="I10:I15" si="2">+IF(C10="Si",1,0)</f>
        <v>0</v>
      </c>
      <c r="J10" s="36">
        <f t="shared" ref="J10:J15" si="3">+IF(C10="No",1,0)</f>
        <v>1</v>
      </c>
    </row>
    <row r="11" spans="2:20">
      <c r="B11" s="19" t="s">
        <v>14</v>
      </c>
      <c r="C11" s="49" t="s">
        <v>4</v>
      </c>
      <c r="D11" s="53">
        <v>43740</v>
      </c>
      <c r="E11" s="50" t="s">
        <v>15</v>
      </c>
      <c r="F11" s="51">
        <v>43966</v>
      </c>
      <c r="G11" s="48" t="str">
        <f t="shared" si="0"/>
        <v/>
      </c>
      <c r="H11" s="36">
        <f t="shared" si="1"/>
        <v>0</v>
      </c>
      <c r="I11" s="36">
        <f t="shared" si="2"/>
        <v>1</v>
      </c>
      <c r="J11" s="36">
        <f t="shared" si="3"/>
        <v>0</v>
      </c>
    </row>
    <row r="12" spans="2:20">
      <c r="B12" s="19" t="s">
        <v>16</v>
      </c>
      <c r="C12" s="49" t="s">
        <v>4</v>
      </c>
      <c r="D12" s="53">
        <v>43630</v>
      </c>
      <c r="E12" s="50" t="s">
        <v>17</v>
      </c>
      <c r="F12" s="51">
        <v>43947</v>
      </c>
      <c r="G12" s="48" t="str">
        <f t="shared" si="0"/>
        <v/>
      </c>
      <c r="H12" s="36">
        <f t="shared" si="1"/>
        <v>0</v>
      </c>
      <c r="I12" s="36">
        <f t="shared" si="2"/>
        <v>1</v>
      </c>
      <c r="J12" s="36">
        <f t="shared" si="3"/>
        <v>0</v>
      </c>
      <c r="T12" s="42">
        <v>43545</v>
      </c>
    </row>
    <row r="13" spans="2:20">
      <c r="B13" s="19" t="s">
        <v>18</v>
      </c>
      <c r="C13" s="49" t="s">
        <v>4</v>
      </c>
      <c r="D13" s="53">
        <v>42829</v>
      </c>
      <c r="E13" s="50" t="s">
        <v>19</v>
      </c>
      <c r="F13" s="51">
        <v>43706</v>
      </c>
      <c r="G13" s="48" t="str">
        <f t="shared" si="0"/>
        <v/>
      </c>
      <c r="H13" s="36">
        <f t="shared" si="1"/>
        <v>0</v>
      </c>
      <c r="I13" s="36">
        <f t="shared" si="2"/>
        <v>1</v>
      </c>
      <c r="J13" s="36">
        <f t="shared" si="3"/>
        <v>0</v>
      </c>
    </row>
    <row r="14" spans="2:20">
      <c r="B14" s="19" t="s">
        <v>20</v>
      </c>
      <c r="C14" s="49" t="s">
        <v>4</v>
      </c>
      <c r="D14" s="53">
        <v>43762</v>
      </c>
      <c r="E14" s="50" t="s">
        <v>21</v>
      </c>
      <c r="F14" s="51">
        <v>43985</v>
      </c>
      <c r="G14" s="48" t="str">
        <f t="shared" si="0"/>
        <v/>
      </c>
      <c r="H14" s="36">
        <f t="shared" si="1"/>
        <v>0</v>
      </c>
      <c r="I14" s="36">
        <f t="shared" si="2"/>
        <v>1</v>
      </c>
      <c r="J14" s="36">
        <f t="shared" si="3"/>
        <v>0</v>
      </c>
    </row>
    <row r="15" spans="2:20">
      <c r="B15" s="19" t="s">
        <v>22</v>
      </c>
      <c r="C15" s="49" t="s">
        <v>4</v>
      </c>
      <c r="D15" s="53">
        <v>41460</v>
      </c>
      <c r="E15" s="50" t="s">
        <v>23</v>
      </c>
      <c r="F15" s="51">
        <v>43998</v>
      </c>
      <c r="G15" s="48" t="str">
        <f t="shared" si="0"/>
        <v/>
      </c>
      <c r="H15" s="36">
        <f t="shared" si="1"/>
        <v>0</v>
      </c>
      <c r="I15" s="36">
        <f t="shared" si="2"/>
        <v>1</v>
      </c>
      <c r="J15" s="36">
        <f t="shared" si="3"/>
        <v>0</v>
      </c>
    </row>
    <row r="16" spans="2:20">
      <c r="B16" s="13"/>
      <c r="G16" s="14"/>
    </row>
    <row r="17" spans="2:7" ht="15.75" thickBot="1">
      <c r="B17" s="52" t="s">
        <v>24</v>
      </c>
      <c r="C17" s="82" t="s">
        <v>25</v>
      </c>
      <c r="D17" s="83"/>
      <c r="E17" s="83"/>
      <c r="F17" s="83"/>
      <c r="G17" s="84"/>
    </row>
  </sheetData>
  <sheetProtection algorithmName="SHA-512" hashValue="hgWre8Npt+9rMr2yR55DaGG93kcc22wf0CimJibuDwplzUNo8DxLQM5IwOLMzqvFD71bCNGYQVYtud/5eAA0lg==" saltValue="4B+vpOv07airp2JTa7FL5w==" spinCount="100000" sheet="1"/>
  <mergeCells count="2">
    <mergeCell ref="B7:G7"/>
    <mergeCell ref="C17:G17"/>
  </mergeCells>
  <dataValidations count="2">
    <dataValidation type="date" allowBlank="1" showInputMessage="1" showErrorMessage="1" sqref="F10:F15 D10:D15" xr:uid="{557098AF-D2C2-4EAF-94D0-D183170D681C}">
      <formula1>40544</formula1>
      <formula2>44012</formula2>
    </dataValidation>
    <dataValidation type="list" allowBlank="1" showInputMessage="1" showErrorMessage="1" sqref="C10:C15" xr:uid="{803C6B95-17AE-42DA-BBFA-011050317CCB}">
      <formula1>$T$7:$T$9</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B5E8-F134-4553-833A-7946B8442A10}">
  <dimension ref="B1:V22"/>
  <sheetViews>
    <sheetView showGridLines="0" workbookViewId="0">
      <selection activeCell="C20" sqref="C20:D21"/>
    </sheetView>
  </sheetViews>
  <sheetFormatPr defaultColWidth="11.42578125" defaultRowHeight="15"/>
  <cols>
    <col min="1" max="1" width="3.85546875" style="1" customWidth="1"/>
    <col min="2" max="2" width="11.42578125" style="1"/>
    <col min="3" max="3" width="48.140625" style="1" bestFit="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row r="2" spans="2:22">
      <c r="B2" s="10"/>
      <c r="C2" s="11"/>
      <c r="D2" s="11"/>
      <c r="E2" s="11"/>
      <c r="F2" s="11"/>
      <c r="G2" s="11"/>
      <c r="H2" s="12"/>
    </row>
    <row r="3" spans="2:22">
      <c r="B3" s="13"/>
      <c r="H3" s="14"/>
      <c r="V3" s="25">
        <f>+IF(D11&lt;=10,D11,IF(ROUNDDOWN(D11*10%,0)&lt;10,10,ROUNDDOWN(D11*10%,0)))</f>
        <v>10</v>
      </c>
    </row>
    <row r="4" spans="2:22">
      <c r="B4" s="13"/>
      <c r="H4" s="14"/>
    </row>
    <row r="5" spans="2:22">
      <c r="B5" s="13"/>
      <c r="H5" s="14"/>
    </row>
    <row r="6" spans="2:22" ht="15" customHeight="1">
      <c r="B6" s="13"/>
      <c r="G6" s="26"/>
      <c r="H6" s="27"/>
    </row>
    <row r="7" spans="2:22" ht="23.25" customHeight="1">
      <c r="B7" s="13"/>
      <c r="C7" s="28" t="s">
        <v>26</v>
      </c>
      <c r="D7" s="29"/>
      <c r="E7" s="24"/>
      <c r="F7" s="85" t="str">
        <f>"Seleccione una muestra de "&amp;V3&amp;" abogados activos y complete la siguiente tabla"</f>
        <v>Seleccione una muestra de 10 abogados activos y complete la siguiente tabla</v>
      </c>
      <c r="G7" s="86"/>
      <c r="H7" s="27"/>
    </row>
    <row r="8" spans="2:22">
      <c r="B8" s="13"/>
      <c r="F8" s="87"/>
      <c r="G8" s="88"/>
      <c r="H8" s="14"/>
      <c r="T8" s="1" t="s">
        <v>5</v>
      </c>
    </row>
    <row r="9" spans="2:22">
      <c r="B9" s="13"/>
      <c r="C9" s="21" t="s">
        <v>27</v>
      </c>
      <c r="D9" s="21" t="s">
        <v>28</v>
      </c>
      <c r="E9"/>
      <c r="F9" s="22" t="s">
        <v>29</v>
      </c>
      <c r="G9" s="22" t="s">
        <v>30</v>
      </c>
      <c r="H9" s="14"/>
      <c r="T9" s="1" t="s">
        <v>12</v>
      </c>
    </row>
    <row r="10" spans="2:22">
      <c r="B10" s="13"/>
      <c r="C10" s="18" t="s">
        <v>31</v>
      </c>
      <c r="D10" s="49">
        <v>100</v>
      </c>
      <c r="E10"/>
      <c r="F10" s="18" t="s">
        <v>32</v>
      </c>
      <c r="G10" s="49">
        <v>9</v>
      </c>
      <c r="H10" s="14"/>
    </row>
    <row r="11" spans="2:22">
      <c r="B11" s="13"/>
      <c r="C11" s="18" t="s">
        <v>33</v>
      </c>
      <c r="D11" s="49">
        <v>100</v>
      </c>
      <c r="E11"/>
      <c r="F11" s="18" t="s">
        <v>34</v>
      </c>
      <c r="G11" s="49">
        <v>10</v>
      </c>
      <c r="H11" s="14"/>
    </row>
    <row r="12" spans="2:22">
      <c r="B12" s="13"/>
      <c r="C12" s="18" t="s">
        <v>35</v>
      </c>
      <c r="D12" s="49">
        <v>100</v>
      </c>
      <c r="E12"/>
      <c r="F12" s="18" t="s">
        <v>36</v>
      </c>
      <c r="G12" s="49">
        <v>8</v>
      </c>
      <c r="H12" s="14"/>
    </row>
    <row r="13" spans="2:22">
      <c r="B13" s="13"/>
      <c r="C13" s="18" t="s">
        <v>37</v>
      </c>
      <c r="D13" s="49">
        <v>88</v>
      </c>
      <c r="E13"/>
      <c r="F13" s="45" t="s">
        <v>38</v>
      </c>
      <c r="G13" s="44"/>
      <c r="H13" s="14"/>
    </row>
    <row r="14" spans="2:22">
      <c r="B14" s="13"/>
      <c r="E14"/>
      <c r="F14" s="46" t="s">
        <v>39</v>
      </c>
      <c r="G14" s="47"/>
      <c r="H14" s="14"/>
    </row>
    <row r="15" spans="2:22">
      <c r="B15" s="13"/>
      <c r="C15" s="21" t="s">
        <v>40</v>
      </c>
      <c r="D15" s="21" t="s">
        <v>28</v>
      </c>
      <c r="E15"/>
      <c r="H15" s="14"/>
    </row>
    <row r="16" spans="2:22">
      <c r="B16" s="13"/>
      <c r="C16" s="18" t="s">
        <v>41</v>
      </c>
      <c r="D16" s="49">
        <v>43</v>
      </c>
      <c r="E16"/>
      <c r="F16" s="22" t="s">
        <v>42</v>
      </c>
      <c r="G16" s="22" t="s">
        <v>30</v>
      </c>
      <c r="H16" s="14"/>
    </row>
    <row r="17" spans="2:8">
      <c r="B17" s="13"/>
      <c r="C17" s="18" t="s">
        <v>43</v>
      </c>
      <c r="D17" s="49">
        <v>43</v>
      </c>
      <c r="E17"/>
      <c r="F17" s="18" t="s">
        <v>44</v>
      </c>
      <c r="G17" s="49">
        <v>72</v>
      </c>
      <c r="H17" s="14"/>
    </row>
    <row r="18" spans="2:8">
      <c r="B18" s="13"/>
      <c r="C18" s="32"/>
      <c r="E18"/>
      <c r="F18" s="37" t="s">
        <v>45</v>
      </c>
      <c r="G18" s="49">
        <v>3</v>
      </c>
      <c r="H18" s="14"/>
    </row>
    <row r="19" spans="2:8" ht="15.75" thickBot="1">
      <c r="B19" s="13"/>
      <c r="C19" s="62" t="s">
        <v>46</v>
      </c>
      <c r="E19"/>
      <c r="F19" s="18" t="s">
        <v>47</v>
      </c>
      <c r="G19" s="49">
        <v>7</v>
      </c>
      <c r="H19" s="14"/>
    </row>
    <row r="20" spans="2:8">
      <c r="B20" s="13"/>
      <c r="C20" s="89" t="s">
        <v>48</v>
      </c>
      <c r="D20" s="90"/>
      <c r="E20"/>
      <c r="F20" s="18" t="s">
        <v>49</v>
      </c>
      <c r="G20" s="49">
        <v>18</v>
      </c>
      <c r="H20" s="14"/>
    </row>
    <row r="21" spans="2:8" ht="15.75" thickBot="1">
      <c r="B21" s="13"/>
      <c r="C21" s="91"/>
      <c r="D21" s="92"/>
      <c r="E21"/>
      <c r="G21" s="55"/>
      <c r="H21" s="14"/>
    </row>
    <row r="22" spans="2:8" ht="15.75" thickBot="1">
      <c r="B22" s="15"/>
      <c r="C22" s="16"/>
      <c r="D22" s="16"/>
      <c r="E22" s="16"/>
      <c r="F22" s="16"/>
      <c r="G22" s="16"/>
      <c r="H22" s="17"/>
    </row>
  </sheetData>
  <sheetProtection algorithmName="SHA-512" hashValue="j38KBDZ94Bcr91IA+3P4d7BF8GTuiT4oSgTD7yjx87VBdvG50wGOGD54/l799eN5AtWF7iOAOECcgVvm7+iNwQ==" saltValue="rAVXJ4sCo9bqjbeaEx1WqQ==" spinCount="100000" sheet="1"/>
  <mergeCells count="2">
    <mergeCell ref="F7:G8"/>
    <mergeCell ref="C20:D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820D-2708-42C6-B139-54F103CBEEC5}">
  <dimension ref="B1:W34"/>
  <sheetViews>
    <sheetView showGridLines="0" topLeftCell="A17" zoomScale="90" zoomScaleNormal="90" workbookViewId="0">
      <selection activeCell="J29" sqref="J29"/>
    </sheetView>
  </sheetViews>
  <sheetFormatPr defaultColWidth="11.42578125" defaultRowHeight="15"/>
  <cols>
    <col min="1" max="1" width="3.85546875" style="1" customWidth="1"/>
    <col min="2" max="2" width="11.42578125" style="1"/>
    <col min="3" max="3" width="56.5703125" style="1" bestFit="1" customWidth="1"/>
    <col min="4" max="4" width="15.28515625" style="1" customWidth="1"/>
    <col min="5" max="5" width="6.28515625" style="1" customWidth="1"/>
    <col min="6" max="6" width="55.85546875" style="1" bestFit="1" customWidth="1"/>
    <col min="7" max="7" width="11.28515625" style="1" customWidth="1"/>
    <col min="8" max="8" width="15.28515625" style="1" customWidth="1"/>
    <col min="9" max="9" width="7.28515625" style="1" customWidth="1"/>
    <col min="10" max="16384" width="11.42578125" style="1"/>
  </cols>
  <sheetData>
    <row r="1" spans="2:23" ht="15.75" thickBot="1"/>
    <row r="2" spans="2:23" ht="9" customHeight="1">
      <c r="B2" s="10"/>
      <c r="C2" s="11"/>
      <c r="D2" s="11"/>
      <c r="E2" s="11"/>
      <c r="F2" s="11"/>
      <c r="G2" s="11"/>
      <c r="H2" s="11"/>
      <c r="I2" s="12"/>
    </row>
    <row r="3" spans="2:23">
      <c r="B3" s="13"/>
      <c r="I3" s="14"/>
      <c r="W3" s="25">
        <f>+IF(D16&lt;=10,D16,IF(ROUNDDOWN(D16*10%,0)&lt;10,10,ROUNDDOWN(D16*10%,0)))</f>
        <v>10</v>
      </c>
    </row>
    <row r="4" spans="2:23">
      <c r="B4" s="13"/>
      <c r="I4" s="14"/>
    </row>
    <row r="5" spans="2:23" ht="9" customHeight="1">
      <c r="B5" s="13"/>
      <c r="I5" s="14"/>
    </row>
    <row r="6" spans="2:23" ht="19.5" customHeight="1">
      <c r="B6" s="13"/>
      <c r="C6" s="93" t="s">
        <v>50</v>
      </c>
      <c r="D6" s="93"/>
      <c r="E6" s="93"/>
      <c r="F6" s="93"/>
      <c r="G6" s="93"/>
      <c r="H6" s="93"/>
      <c r="I6" s="27"/>
    </row>
    <row r="7" spans="2:23">
      <c r="B7" s="13"/>
      <c r="I7" s="14"/>
      <c r="U7" s="1" t="s">
        <v>5</v>
      </c>
    </row>
    <row r="8" spans="2:23">
      <c r="B8" s="13"/>
      <c r="C8" s="21" t="s">
        <v>51</v>
      </c>
      <c r="D8" s="21" t="s">
        <v>28</v>
      </c>
      <c r="E8"/>
      <c r="F8" s="31" t="s">
        <v>52</v>
      </c>
      <c r="G8" s="31" t="s">
        <v>53</v>
      </c>
      <c r="I8" s="14"/>
      <c r="U8" s="1" t="s">
        <v>12</v>
      </c>
    </row>
    <row r="9" spans="2:23">
      <c r="B9" s="13"/>
      <c r="C9" s="18" t="s">
        <v>54</v>
      </c>
      <c r="D9" s="49">
        <f>3228+4</f>
        <v>3232</v>
      </c>
      <c r="E9"/>
      <c r="F9" s="18" t="s">
        <v>55</v>
      </c>
      <c r="G9" s="49">
        <v>4</v>
      </c>
      <c r="I9" s="14"/>
    </row>
    <row r="10" spans="2:23">
      <c r="B10" s="13"/>
      <c r="C10" s="18" t="s">
        <v>56</v>
      </c>
      <c r="D10" s="49">
        <f>3228+4</f>
        <v>3232</v>
      </c>
      <c r="E10"/>
      <c r="F10" s="18" t="s">
        <v>57</v>
      </c>
      <c r="G10" s="49">
        <v>4</v>
      </c>
      <c r="I10" s="14"/>
    </row>
    <row r="11" spans="2:23">
      <c r="B11" s="13"/>
      <c r="C11" s="18" t="s">
        <v>58</v>
      </c>
      <c r="D11" s="49">
        <v>0</v>
      </c>
      <c r="E11"/>
      <c r="F11" s="18" t="s">
        <v>59</v>
      </c>
      <c r="G11" s="49">
        <v>3</v>
      </c>
      <c r="I11" s="14"/>
    </row>
    <row r="12" spans="2:23">
      <c r="B12" s="13"/>
      <c r="C12" s="32" t="s">
        <v>60</v>
      </c>
      <c r="E12"/>
      <c r="F12" s="32" t="s">
        <v>61</v>
      </c>
      <c r="I12" s="14"/>
    </row>
    <row r="13" spans="2:23">
      <c r="B13" s="13"/>
      <c r="E13"/>
      <c r="F13" s="32" t="s">
        <v>62</v>
      </c>
      <c r="I13" s="14"/>
    </row>
    <row r="14" spans="2:23">
      <c r="B14" s="13"/>
      <c r="C14" s="21" t="s">
        <v>63</v>
      </c>
      <c r="D14" s="21" t="s">
        <v>28</v>
      </c>
      <c r="E14"/>
      <c r="F14" s="22" t="s">
        <v>64</v>
      </c>
      <c r="G14" s="22" t="s">
        <v>28</v>
      </c>
      <c r="I14" s="14"/>
    </row>
    <row r="15" spans="2:23">
      <c r="B15" s="13"/>
      <c r="C15" s="18" t="s">
        <v>65</v>
      </c>
      <c r="D15" s="49">
        <v>83</v>
      </c>
      <c r="E15"/>
      <c r="F15" s="18" t="s">
        <v>66</v>
      </c>
      <c r="G15" s="49">
        <f>2610+3</f>
        <v>2613</v>
      </c>
      <c r="I15" s="14"/>
    </row>
    <row r="16" spans="2:23">
      <c r="B16" s="13"/>
      <c r="C16" s="18" t="s">
        <v>67</v>
      </c>
      <c r="D16" s="49">
        <v>83</v>
      </c>
      <c r="E16"/>
      <c r="F16" s="18" t="s">
        <v>68</v>
      </c>
      <c r="G16" s="49">
        <f>2584+3</f>
        <v>2587</v>
      </c>
      <c r="I16" s="14"/>
    </row>
    <row r="17" spans="2:9">
      <c r="B17" s="13"/>
      <c r="C17" s="32" t="s">
        <v>69</v>
      </c>
      <c r="E17"/>
      <c r="F17" s="18" t="s">
        <v>70</v>
      </c>
      <c r="G17" s="49">
        <v>18</v>
      </c>
      <c r="I17" s="14"/>
    </row>
    <row r="18" spans="2:9">
      <c r="B18" s="13"/>
      <c r="E18"/>
      <c r="F18" s="18" t="s">
        <v>71</v>
      </c>
      <c r="G18" s="49">
        <v>8</v>
      </c>
      <c r="I18" s="14"/>
    </row>
    <row r="19" spans="2:9">
      <c r="B19" s="13"/>
      <c r="C19" s="43" t="s">
        <v>72</v>
      </c>
      <c r="D19" s="43" t="s">
        <v>28</v>
      </c>
      <c r="E19"/>
      <c r="I19" s="14"/>
    </row>
    <row r="20" spans="2:9" ht="29.25" customHeight="1">
      <c r="B20" s="13"/>
      <c r="C20" s="64" t="s">
        <v>73</v>
      </c>
      <c r="D20" s="65">
        <v>3398</v>
      </c>
      <c r="E20"/>
      <c r="F20" s="33" t="s">
        <v>74</v>
      </c>
      <c r="G20" s="33" t="s">
        <v>75</v>
      </c>
      <c r="H20" s="34" t="s">
        <v>76</v>
      </c>
      <c r="I20" s="14"/>
    </row>
    <row r="21" spans="2:9">
      <c r="B21" s="13"/>
      <c r="C21" s="64" t="s">
        <v>77</v>
      </c>
      <c r="D21" s="65">
        <v>38</v>
      </c>
      <c r="E21"/>
      <c r="F21" s="18" t="s">
        <v>78</v>
      </c>
      <c r="G21" s="49">
        <v>507</v>
      </c>
      <c r="H21" s="49">
        <v>85</v>
      </c>
      <c r="I21" s="14"/>
    </row>
    <row r="22" spans="2:9">
      <c r="B22" s="13"/>
      <c r="C22" s="97" t="s">
        <v>79</v>
      </c>
      <c r="D22" s="97"/>
      <c r="E22"/>
      <c r="F22" s="18" t="s">
        <v>80</v>
      </c>
      <c r="G22" s="49">
        <f>1045+1</f>
        <v>1046</v>
      </c>
      <c r="H22" s="49">
        <f>1026+1</f>
        <v>1027</v>
      </c>
      <c r="I22" s="14"/>
    </row>
    <row r="23" spans="2:9">
      <c r="B23" s="13"/>
      <c r="C23" s="98"/>
      <c r="D23" s="98"/>
      <c r="E23"/>
      <c r="F23" s="18" t="s">
        <v>81</v>
      </c>
      <c r="G23" s="49">
        <v>151</v>
      </c>
      <c r="H23" s="49">
        <v>148</v>
      </c>
      <c r="I23" s="14"/>
    </row>
    <row r="24" spans="2:9">
      <c r="B24" s="13"/>
      <c r="E24"/>
      <c r="F24" s="18" t="s">
        <v>82</v>
      </c>
      <c r="G24" s="49">
        <f>899+2</f>
        <v>901</v>
      </c>
      <c r="H24" s="49">
        <f>889+2</f>
        <v>891</v>
      </c>
      <c r="I24" s="14"/>
    </row>
    <row r="25" spans="2:9" ht="30" customHeight="1">
      <c r="B25" s="13"/>
      <c r="C25" s="99" t="str">
        <f>"Seleccione "&amp;W3&amp;" procesos teminados en el primer semestre de 2020 y llene la siguiente tabla:"</f>
        <v>Seleccione 10 procesos teminados en el primer semestre de 2020 y llene la siguiente tabla:</v>
      </c>
      <c r="D25" s="100"/>
      <c r="E25"/>
      <c r="F25" s="103" t="s">
        <v>83</v>
      </c>
      <c r="G25" s="103"/>
      <c r="H25" s="103"/>
      <c r="I25" s="14"/>
    </row>
    <row r="26" spans="2:9">
      <c r="B26" s="13"/>
      <c r="C26" s="101"/>
      <c r="D26" s="102"/>
      <c r="E26"/>
      <c r="F26" s="66"/>
      <c r="I26" s="14"/>
    </row>
    <row r="27" spans="2:9" ht="15.75" thickBot="1">
      <c r="B27" s="13"/>
      <c r="C27" s="43" t="s">
        <v>84</v>
      </c>
      <c r="D27" s="43" t="s">
        <v>28</v>
      </c>
      <c r="E27"/>
      <c r="I27" s="14"/>
    </row>
    <row r="28" spans="2:9">
      <c r="B28" s="13"/>
      <c r="C28" s="18" t="s">
        <v>85</v>
      </c>
      <c r="D28" s="49">
        <v>10</v>
      </c>
      <c r="E28"/>
      <c r="F28" s="94" t="s">
        <v>86</v>
      </c>
      <c r="G28" s="95"/>
      <c r="H28" s="96"/>
      <c r="I28" s="14"/>
    </row>
    <row r="29" spans="2:9" ht="165">
      <c r="B29" s="13"/>
      <c r="C29" s="18" t="s">
        <v>87</v>
      </c>
      <c r="D29" s="49">
        <v>10</v>
      </c>
      <c r="E29"/>
      <c r="F29" s="73" t="s">
        <v>88</v>
      </c>
      <c r="G29" s="54"/>
      <c r="H29" s="67"/>
      <c r="I29" s="14"/>
    </row>
    <row r="30" spans="2:9" ht="45">
      <c r="B30" s="13"/>
      <c r="C30" s="18" t="s">
        <v>89</v>
      </c>
      <c r="D30" s="49">
        <v>2</v>
      </c>
      <c r="E30"/>
      <c r="F30" s="74" t="s">
        <v>90</v>
      </c>
      <c r="G30" s="55"/>
      <c r="H30" s="69"/>
      <c r="I30" s="14"/>
    </row>
    <row r="31" spans="2:9">
      <c r="B31" s="13"/>
      <c r="C31" s="18" t="s">
        <v>91</v>
      </c>
      <c r="D31" s="49">
        <v>2</v>
      </c>
      <c r="E31"/>
      <c r="F31" s="68" t="s">
        <v>92</v>
      </c>
      <c r="G31" s="55"/>
      <c r="H31" s="69"/>
      <c r="I31" s="14"/>
    </row>
    <row r="32" spans="2:9" ht="15.75" thickBot="1">
      <c r="B32" s="13"/>
      <c r="C32" s="18" t="s">
        <v>93</v>
      </c>
      <c r="D32" s="49">
        <v>2</v>
      </c>
      <c r="E32"/>
      <c r="F32" s="70" t="s">
        <v>94</v>
      </c>
      <c r="G32" s="71"/>
      <c r="H32" s="72"/>
      <c r="I32" s="14"/>
    </row>
    <row r="33" spans="2:9">
      <c r="B33" s="13"/>
      <c r="E33"/>
      <c r="I33" s="14"/>
    </row>
    <row r="34" spans="2:9" ht="15.75" thickBot="1">
      <c r="B34" s="15"/>
      <c r="C34" s="16"/>
      <c r="D34" s="16"/>
      <c r="E34" s="16"/>
      <c r="F34" s="16"/>
      <c r="G34" s="16"/>
      <c r="H34" s="16"/>
      <c r="I34" s="17"/>
    </row>
  </sheetData>
  <sheetProtection algorithmName="SHA-512" hashValue="D0S0Yb7d0YH8276XBpAk/CVnvb/Qhk+x8dkFHH7EuDW70ca5Y4h7DVjydUOPI+CqX5DdW5VYmGi8puA3C7Sm3w==" saltValue="rDBe8652VLJmHrX0lmnpSQ==" spinCount="100000" sheet="1"/>
  <mergeCells count="5">
    <mergeCell ref="C6:H6"/>
    <mergeCell ref="F28:H28"/>
    <mergeCell ref="C22:D23"/>
    <mergeCell ref="C25:D26"/>
    <mergeCell ref="F25:H2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FC5B-4A94-48EB-8C86-7D20D1A6D852}">
  <dimension ref="B1:V23"/>
  <sheetViews>
    <sheetView showGridLines="0" workbookViewId="0">
      <selection activeCell="F25" sqref="F25"/>
    </sheetView>
  </sheetViews>
  <sheetFormatPr defaultColWidth="11.42578125" defaultRowHeight="15"/>
  <cols>
    <col min="1" max="1" width="3.85546875" style="1" customWidth="1"/>
    <col min="2" max="2" width="11.42578125" style="1"/>
    <col min="3" max="3" width="48.7109375" style="1" bestFit="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row r="2" spans="2:22">
      <c r="B2" s="10"/>
      <c r="C2" s="11"/>
      <c r="D2" s="11"/>
      <c r="E2" s="11"/>
      <c r="F2" s="11"/>
      <c r="G2" s="11"/>
      <c r="H2" s="12"/>
      <c r="V2" s="1">
        <f>+D13+D14</f>
        <v>390</v>
      </c>
    </row>
    <row r="3" spans="2:22">
      <c r="B3" s="13"/>
      <c r="H3" s="14"/>
      <c r="V3" s="25">
        <f>+IF(V2&lt;=20,V2,IF(ROUNDDOWN(V2*10%,0)&lt;20,20,ROUNDDOWN(V2*10%,0)))</f>
        <v>39</v>
      </c>
    </row>
    <row r="4" spans="2:22">
      <c r="B4" s="13"/>
      <c r="H4" s="14"/>
    </row>
    <row r="5" spans="2:22">
      <c r="B5" s="13"/>
      <c r="H5" s="14"/>
    </row>
    <row r="6" spans="2:22" ht="15" customHeight="1">
      <c r="B6" s="13"/>
      <c r="G6" s="26"/>
      <c r="H6" s="27"/>
    </row>
    <row r="7" spans="2:22" ht="23.25">
      <c r="B7" s="13"/>
      <c r="C7" s="93" t="s">
        <v>95</v>
      </c>
      <c r="D7" s="93"/>
      <c r="E7" s="93"/>
      <c r="F7" s="93"/>
      <c r="G7" s="93"/>
      <c r="H7" s="27"/>
    </row>
    <row r="8" spans="2:22">
      <c r="B8" s="13"/>
      <c r="H8" s="14"/>
      <c r="T8" s="1" t="s">
        <v>5</v>
      </c>
    </row>
    <row r="9" spans="2:22" ht="15" customHeight="1">
      <c r="B9" s="13"/>
      <c r="C9" s="21" t="s">
        <v>96</v>
      </c>
      <c r="D9" s="21" t="s">
        <v>28</v>
      </c>
      <c r="E9"/>
      <c r="F9" s="85" t="str">
        <f>"Seleccione una muestra de "&amp;V3&amp;" prejudiciales activos registrados antes de 31 de marzo de 2020 y complete la siguiente tabla"</f>
        <v>Seleccione una muestra de 39 prejudiciales activos registrados antes de 31 de marzo de 2020 y complete la siguiente tabla</v>
      </c>
      <c r="G9" s="86"/>
      <c r="H9" s="14"/>
      <c r="T9" s="1" t="s">
        <v>12</v>
      </c>
    </row>
    <row r="10" spans="2:22">
      <c r="B10" s="13"/>
      <c r="C10" s="18" t="s">
        <v>97</v>
      </c>
      <c r="D10" s="49">
        <v>415</v>
      </c>
      <c r="E10"/>
      <c r="F10" s="87"/>
      <c r="G10" s="88"/>
      <c r="H10" s="14"/>
    </row>
    <row r="11" spans="2:22">
      <c r="B11" s="13"/>
      <c r="C11" s="18" t="s">
        <v>98</v>
      </c>
      <c r="D11" s="49">
        <v>415</v>
      </c>
      <c r="E11"/>
      <c r="F11" s="22" t="s">
        <v>72</v>
      </c>
      <c r="G11" s="22" t="s">
        <v>99</v>
      </c>
      <c r="H11" s="14"/>
    </row>
    <row r="12" spans="2:22">
      <c r="B12" s="13"/>
      <c r="C12" s="18" t="s">
        <v>100</v>
      </c>
      <c r="D12" s="49">
        <v>25</v>
      </c>
      <c r="E12"/>
      <c r="F12" s="30" t="s">
        <v>101</v>
      </c>
      <c r="G12" s="49">
        <v>35</v>
      </c>
      <c r="H12" s="14"/>
    </row>
    <row r="13" spans="2:22">
      <c r="B13" s="13"/>
      <c r="C13" s="18" t="s">
        <v>102</v>
      </c>
      <c r="D13" s="49">
        <v>6</v>
      </c>
      <c r="E13"/>
      <c r="F13" s="18" t="s">
        <v>103</v>
      </c>
      <c r="G13" s="49">
        <v>4</v>
      </c>
      <c r="H13" s="14"/>
    </row>
    <row r="14" spans="2:22">
      <c r="B14" s="13"/>
      <c r="C14" s="18" t="s">
        <v>104</v>
      </c>
      <c r="D14" s="49">
        <v>384</v>
      </c>
      <c r="E14"/>
      <c r="F14"/>
      <c r="G14"/>
      <c r="H14" s="14"/>
    </row>
    <row r="15" spans="2:22">
      <c r="B15" s="13"/>
      <c r="E15"/>
      <c r="F15"/>
      <c r="G15"/>
      <c r="H15" s="14"/>
    </row>
    <row r="16" spans="2:22">
      <c r="B16" s="13"/>
      <c r="C16" s="21" t="s">
        <v>105</v>
      </c>
      <c r="D16" s="21" t="s">
        <v>28</v>
      </c>
      <c r="E16"/>
      <c r="F16" s="104" t="s">
        <v>86</v>
      </c>
      <c r="G16" s="105"/>
      <c r="H16" s="14"/>
    </row>
    <row r="17" spans="2:8">
      <c r="B17" s="13"/>
      <c r="C17" s="18" t="s">
        <v>106</v>
      </c>
      <c r="D17" s="49">
        <v>328</v>
      </c>
      <c r="E17"/>
      <c r="F17" s="56"/>
      <c r="G17" s="57"/>
      <c r="H17" s="14"/>
    </row>
    <row r="18" spans="2:8">
      <c r="B18" s="13"/>
      <c r="C18" s="18" t="s">
        <v>107</v>
      </c>
      <c r="D18" s="49">
        <v>68</v>
      </c>
      <c r="E18"/>
      <c r="F18" s="56"/>
      <c r="G18" s="57"/>
      <c r="H18" s="14"/>
    </row>
    <row r="19" spans="2:8">
      <c r="B19" s="13"/>
      <c r="C19"/>
      <c r="D19"/>
      <c r="E19"/>
      <c r="F19" s="58" t="s">
        <v>108</v>
      </c>
      <c r="G19" s="59"/>
      <c r="H19" s="14"/>
    </row>
    <row r="20" spans="2:8">
      <c r="B20" s="13"/>
      <c r="C20"/>
      <c r="D20"/>
      <c r="E20"/>
      <c r="F20"/>
      <c r="G20"/>
      <c r="H20" s="14"/>
    </row>
    <row r="21" spans="2:8">
      <c r="B21" s="13"/>
      <c r="E21"/>
      <c r="H21" s="14"/>
    </row>
    <row r="22" spans="2:8">
      <c r="B22" s="13"/>
      <c r="E22"/>
      <c r="H22" s="14"/>
    </row>
    <row r="23" spans="2:8" ht="15.75" thickBot="1">
      <c r="B23" s="15"/>
      <c r="C23" s="16"/>
      <c r="D23" s="16"/>
      <c r="E23" s="16"/>
      <c r="F23" s="16"/>
      <c r="G23" s="16"/>
      <c r="H23" s="17"/>
    </row>
  </sheetData>
  <sheetProtection algorithmName="SHA-512" hashValue="8ykWQT6GgtN6LrOuCfIPGbiaFyB85pDHBwFo7c1ocVojcihxqsEHpvgQY5NgZP5RZFDeVCrYpwThc+r5/hMh+Q==" saltValue="YvhYZQt+FydjltxHZKY6Vw==" spinCount="100000" sheet="1"/>
  <mergeCells count="3">
    <mergeCell ref="F9:G10"/>
    <mergeCell ref="C7:G7"/>
    <mergeCell ref="F16:G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F4D8-8E0E-4532-890E-2F29FCBB3654}">
  <dimension ref="B1:V14"/>
  <sheetViews>
    <sheetView showGridLines="0" topLeftCell="B1" workbookViewId="0">
      <selection activeCell="F19" sqref="F19"/>
    </sheetView>
  </sheetViews>
  <sheetFormatPr defaultColWidth="11.42578125" defaultRowHeight="15"/>
  <cols>
    <col min="1" max="1" width="3.85546875" style="1" customWidth="1"/>
    <col min="2" max="2" width="11.42578125" style="1"/>
    <col min="3" max="3" width="38.7109375" style="1" bestFit="1" customWidth="1"/>
    <col min="4" max="4" width="20.85546875" style="1" customWidth="1"/>
    <col min="5" max="5" width="6.28515625" style="1" customWidth="1"/>
    <col min="6" max="6" width="48.28515625" style="1" bestFit="1" customWidth="1"/>
    <col min="7" max="7" width="21.7109375" style="1" customWidth="1"/>
    <col min="8" max="8" width="7.28515625" style="1" customWidth="1"/>
    <col min="9" max="16384" width="11.42578125" style="1"/>
  </cols>
  <sheetData>
    <row r="1" spans="2:22" ht="15.75" thickBot="1"/>
    <row r="2" spans="2:22">
      <c r="B2" s="10"/>
      <c r="C2" s="11"/>
      <c r="D2" s="11"/>
      <c r="E2" s="11"/>
      <c r="F2" s="11"/>
      <c r="G2" s="11"/>
      <c r="H2" s="12"/>
    </row>
    <row r="3" spans="2:22">
      <c r="B3" s="13"/>
      <c r="H3" s="14"/>
      <c r="V3" s="25">
        <f>+IF(D10&lt;=10,D10,IF(ROUNDDOWN(D10*10%,0)&gt;10,10,ROUNDDOWN(D10*10%,0)))</f>
        <v>6</v>
      </c>
    </row>
    <row r="4" spans="2:22">
      <c r="B4" s="13"/>
      <c r="H4" s="14"/>
    </row>
    <row r="5" spans="2:22">
      <c r="B5" s="13"/>
      <c r="H5" s="14"/>
    </row>
    <row r="6" spans="2:22" ht="36.75" customHeight="1">
      <c r="B6" s="13"/>
      <c r="C6" s="28" t="s">
        <v>109</v>
      </c>
      <c r="D6" s="29"/>
      <c r="E6" s="24"/>
      <c r="F6"/>
      <c r="G6"/>
      <c r="H6" s="27"/>
    </row>
    <row r="7" spans="2:22">
      <c r="B7" s="13"/>
      <c r="F7"/>
      <c r="G7"/>
      <c r="H7" s="14"/>
      <c r="T7" s="1" t="s">
        <v>5</v>
      </c>
    </row>
    <row r="8" spans="2:22">
      <c r="B8" s="13"/>
      <c r="C8" s="21" t="s">
        <v>109</v>
      </c>
      <c r="D8" s="21" t="s">
        <v>28</v>
      </c>
      <c r="E8"/>
      <c r="F8" s="21" t="s">
        <v>109</v>
      </c>
      <c r="G8" s="21" t="s">
        <v>28</v>
      </c>
      <c r="H8" s="14"/>
      <c r="T8" s="1" t="s">
        <v>12</v>
      </c>
    </row>
    <row r="9" spans="2:22">
      <c r="B9" s="13"/>
      <c r="C9" s="18" t="s">
        <v>110</v>
      </c>
      <c r="D9" s="49">
        <v>0</v>
      </c>
      <c r="E9"/>
      <c r="F9" s="18" t="s">
        <v>111</v>
      </c>
      <c r="G9" s="60">
        <v>6</v>
      </c>
      <c r="H9" s="14"/>
    </row>
    <row r="10" spans="2:22">
      <c r="B10" s="13"/>
      <c r="C10" s="18" t="s">
        <v>112</v>
      </c>
      <c r="D10" s="49">
        <v>6</v>
      </c>
      <c r="E10"/>
      <c r="F10" s="18" t="s">
        <v>113</v>
      </c>
      <c r="G10" s="60">
        <v>6</v>
      </c>
      <c r="H10" s="14"/>
    </row>
    <row r="11" spans="2:22">
      <c r="B11" s="13"/>
      <c r="D11" s="55"/>
      <c r="E11"/>
      <c r="G11" s="61"/>
      <c r="H11" s="14"/>
    </row>
    <row r="12" spans="2:22" ht="15.75" thickBot="1">
      <c r="B12" s="13"/>
      <c r="C12" s="62" t="s">
        <v>24</v>
      </c>
      <c r="D12" s="55"/>
      <c r="E12"/>
      <c r="G12" s="61"/>
      <c r="H12" s="14"/>
      <c r="T12" s="1">
        <f>IF(D9="",0,1)</f>
        <v>1</v>
      </c>
    </row>
    <row r="13" spans="2:22" ht="15.75" thickBot="1">
      <c r="B13" s="13"/>
      <c r="C13" s="106"/>
      <c r="D13" s="107"/>
      <c r="E13" s="107"/>
      <c r="F13" s="107"/>
      <c r="G13" s="108"/>
      <c r="H13" s="14"/>
      <c r="T13" s="1">
        <f>IF(G9="",0,1)</f>
        <v>1</v>
      </c>
    </row>
    <row r="14" spans="2:22" ht="15.75" thickBot="1">
      <c r="B14" s="15"/>
      <c r="C14" s="16"/>
      <c r="D14" s="16"/>
      <c r="E14" s="16"/>
      <c r="F14" s="16"/>
      <c r="G14" s="16"/>
      <c r="H14" s="17"/>
      <c r="T14" s="1">
        <f>+T12+T13</f>
        <v>2</v>
      </c>
    </row>
  </sheetData>
  <sheetProtection algorithmName="SHA-512" hashValue="ZwaxxXrOqahjfFCwdtxLXFuLLEVXkvakCAeF3hG1lUFAQE+t7buu28pLs+dkJKxZ+xEY/eF2Ah4zGFcsewkHrA==" saltValue="sutVe+sC8yJicGrcOluNbQ==" spinCount="100000" sheet="1"/>
  <mergeCells count="1">
    <mergeCell ref="C13:G1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69B4-A192-44A1-AC1E-C12705B3B7EC}">
  <dimension ref="B1:V11"/>
  <sheetViews>
    <sheetView showGridLines="0" workbookViewId="0">
      <selection activeCell="G20" sqref="G20"/>
    </sheetView>
  </sheetViews>
  <sheetFormatPr defaultColWidth="11.42578125" defaultRowHeight="15"/>
  <cols>
    <col min="1" max="1" width="3.85546875" style="1" customWidth="1"/>
    <col min="2" max="2" width="11.42578125" style="1"/>
    <col min="3" max="3" width="38.7109375" style="1" bestFit="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row r="2" spans="2:22">
      <c r="B2" s="10"/>
      <c r="C2" s="11"/>
      <c r="D2" s="11"/>
      <c r="E2" s="11"/>
      <c r="F2" s="11"/>
      <c r="G2" s="11"/>
      <c r="H2" s="12"/>
    </row>
    <row r="3" spans="2:22">
      <c r="B3" s="13"/>
      <c r="H3" s="14"/>
      <c r="V3" s="25">
        <f>+IF(D10&lt;=10,D10,IF(ROUNDDOWN(D10*10%,0)&gt;10,10,ROUNDDOWN(D10*10%,0)))</f>
        <v>10</v>
      </c>
    </row>
    <row r="4" spans="2:22">
      <c r="B4" s="13"/>
      <c r="H4" s="14"/>
    </row>
    <row r="5" spans="2:22">
      <c r="B5" s="13"/>
      <c r="H5" s="14"/>
    </row>
    <row r="6" spans="2:22" ht="21.75" customHeight="1">
      <c r="B6" s="13"/>
      <c r="C6" s="93" t="s">
        <v>114</v>
      </c>
      <c r="D6" s="93"/>
      <c r="E6" s="24"/>
      <c r="F6"/>
      <c r="G6"/>
      <c r="H6" s="27"/>
      <c r="T6" s="1" t="s">
        <v>4</v>
      </c>
    </row>
    <row r="7" spans="2:22">
      <c r="B7" s="13"/>
      <c r="F7"/>
      <c r="G7"/>
      <c r="H7" s="14"/>
      <c r="T7" s="1" t="s">
        <v>5</v>
      </c>
    </row>
    <row r="8" spans="2:22" ht="15.75" thickBot="1">
      <c r="B8" s="13"/>
      <c r="C8" s="21" t="s">
        <v>115</v>
      </c>
      <c r="D8" s="21" t="s">
        <v>28</v>
      </c>
      <c r="E8"/>
      <c r="F8" s="63" t="s">
        <v>24</v>
      </c>
      <c r="G8"/>
      <c r="H8" s="14"/>
      <c r="T8" s="1" t="s">
        <v>12</v>
      </c>
    </row>
    <row r="9" spans="2:22">
      <c r="B9" s="13"/>
      <c r="C9" s="18" t="s">
        <v>116</v>
      </c>
      <c r="D9" s="49" t="s">
        <v>4</v>
      </c>
      <c r="E9"/>
      <c r="F9" s="109" t="s">
        <v>117</v>
      </c>
      <c r="G9" s="110"/>
      <c r="H9" s="14"/>
    </row>
    <row r="10" spans="2:22" ht="15.75" thickBot="1">
      <c r="B10" s="13"/>
      <c r="C10" s="18" t="s">
        <v>118</v>
      </c>
      <c r="D10" s="49">
        <v>100</v>
      </c>
      <c r="E10"/>
      <c r="F10" s="111"/>
      <c r="G10" s="112"/>
      <c r="H10" s="14"/>
    </row>
    <row r="11" spans="2:22" ht="15.75" thickBot="1">
      <c r="B11" s="15"/>
      <c r="C11" s="16"/>
      <c r="D11" s="16"/>
      <c r="E11" s="16"/>
      <c r="F11" s="16"/>
      <c r="G11" s="16"/>
      <c r="H11" s="17"/>
    </row>
  </sheetData>
  <sheetProtection algorithmName="SHA-512" hashValue="WZqnLMDgxzmOM9ij2NvbGA6wSqk/4ePq2HDe8icCH7WbM3NnarN5nJ/bFcm/7e+xgjYMiz2rRbZ8qiYmwDE9Cw==" saltValue="Z0KR4nL+bEKQKOkYjJ+IFg==" spinCount="100000" sheet="1"/>
  <mergeCells count="2">
    <mergeCell ref="C6:D6"/>
    <mergeCell ref="F9:G10"/>
  </mergeCells>
  <dataValidations count="1">
    <dataValidation type="list" allowBlank="1" showInputMessage="1" showErrorMessage="1" sqref="D9" xr:uid="{BAE67412-584B-4DE4-AA5C-35AE0D2BD371}">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F2B1-919C-4269-A92D-A455391B7464}">
  <dimension ref="B2:M26"/>
  <sheetViews>
    <sheetView showGridLines="0" workbookViewId="0">
      <selection activeCell="I13" sqref="I13"/>
    </sheetView>
  </sheetViews>
  <sheetFormatPr defaultColWidth="11.42578125" defaultRowHeight="15"/>
  <cols>
    <col min="2" max="2" width="33" bestFit="1" customWidth="1"/>
    <col min="3" max="3" width="14.5703125" bestFit="1" customWidth="1"/>
    <col min="5" max="5" width="33" bestFit="1" customWidth="1"/>
    <col min="6" max="6" width="14.5703125" bestFit="1" customWidth="1"/>
  </cols>
  <sheetData>
    <row r="2" spans="2:13" ht="18.75">
      <c r="B2" s="114" t="s">
        <v>119</v>
      </c>
      <c r="C2" s="114"/>
      <c r="D2" s="114"/>
      <c r="E2" s="114"/>
      <c r="F2" s="114"/>
      <c r="G2" s="114"/>
      <c r="H2" s="40"/>
      <c r="I2" s="40"/>
      <c r="J2" s="40"/>
      <c r="K2" s="40"/>
      <c r="L2" s="40"/>
      <c r="M2" s="41"/>
    </row>
    <row r="3" spans="2:13" ht="18.75">
      <c r="B3" s="114" t="s">
        <v>1</v>
      </c>
      <c r="C3" s="114"/>
      <c r="D3" s="114"/>
      <c r="E3" s="114"/>
      <c r="F3" s="114"/>
      <c r="G3" s="114"/>
      <c r="H3" s="40"/>
      <c r="I3" s="40"/>
      <c r="J3" s="40"/>
      <c r="K3" s="40"/>
      <c r="L3" s="40"/>
      <c r="M3" s="41"/>
    </row>
    <row r="4" spans="2:13" ht="23.25">
      <c r="B4" s="35"/>
      <c r="C4" s="35"/>
      <c r="D4" s="35"/>
      <c r="E4" s="35"/>
      <c r="F4" s="35"/>
      <c r="G4" s="35"/>
      <c r="H4" s="35"/>
      <c r="I4" s="35"/>
      <c r="J4" s="35"/>
      <c r="K4" s="35"/>
      <c r="L4" s="35"/>
      <c r="M4" s="35"/>
    </row>
    <row r="5" spans="2:13">
      <c r="B5" t="s">
        <v>120</v>
      </c>
      <c r="C5" s="113" t="s">
        <v>121</v>
      </c>
      <c r="D5" s="113"/>
      <c r="E5" s="113"/>
      <c r="F5" s="113"/>
      <c r="G5" s="113"/>
    </row>
    <row r="6" spans="2:13">
      <c r="B6" t="s">
        <v>18</v>
      </c>
      <c r="C6" s="113" t="s">
        <v>122</v>
      </c>
      <c r="D6" s="113"/>
      <c r="E6" s="113"/>
      <c r="F6" s="113"/>
      <c r="G6" s="113"/>
    </row>
    <row r="8" spans="2:13">
      <c r="B8" t="s">
        <v>123</v>
      </c>
      <c r="C8" s="38" t="str">
        <f>+IF(SUM(USUARIOS!I10:J15)=0,"Falta diligenciar","")</f>
        <v/>
      </c>
      <c r="E8" t="s">
        <v>124</v>
      </c>
      <c r="F8" s="38" t="str">
        <f>+IF(PREJUDICIALES!$D$10="","Falta  actualizar","")</f>
        <v/>
      </c>
    </row>
    <row r="9" spans="2:13">
      <c r="B9" s="37" t="s">
        <v>125</v>
      </c>
      <c r="C9" s="39">
        <f>+SUM(USUARIOS!I10:I15)/(6-SUM(USUARIOS!H10:H15))</f>
        <v>0.83333333333333337</v>
      </c>
      <c r="E9" s="37" t="s">
        <v>126</v>
      </c>
      <c r="F9" s="37">
        <f>+PREJUDICIALES!$D$11</f>
        <v>415</v>
      </c>
    </row>
    <row r="10" spans="2:13">
      <c r="B10" s="37" t="s">
        <v>127</v>
      </c>
      <c r="C10" s="37">
        <f>+ABOGADOS!$D$11+SUM(USUARIOS!I10:I15)</f>
        <v>105</v>
      </c>
      <c r="E10" s="37" t="s">
        <v>128</v>
      </c>
      <c r="F10" s="37">
        <f>IFERROR(PREJUDICIALES!$D$11/PREJUDICIALES!$D$10,"")</f>
        <v>1</v>
      </c>
    </row>
    <row r="11" spans="2:13">
      <c r="B11" s="37" t="s">
        <v>129</v>
      </c>
      <c r="C11" s="37">
        <f>IFERROR(ABOGADOS!$D$14/ABOGADOS!$D$11,"")</f>
        <v>0</v>
      </c>
      <c r="E11" s="37" t="s">
        <v>130</v>
      </c>
      <c r="F11" s="37">
        <f>IFERROR(PREJUDICIALES!$G$13/PREJUDICIALES!$V$3,"")</f>
        <v>0.10256410256410256</v>
      </c>
    </row>
    <row r="12" spans="2:13">
      <c r="B12" s="37" t="s">
        <v>131</v>
      </c>
      <c r="C12" s="37">
        <f>IFERROR((ABOGADOS!$G$17+ABOGADOS!$G$18+ABOGADOS!$G$19*0.5)/ABOGADOS!$V$3,"")</f>
        <v>7.85</v>
      </c>
    </row>
    <row r="13" spans="2:13">
      <c r="B13" s="37" t="s">
        <v>132</v>
      </c>
      <c r="C13" s="37">
        <f>IFERROR((ABOGADOS!$G$10+ABOGADOS!$G$11+ABOGADOS!$G$12)/(ABOGADOS!$V$3*3),"")</f>
        <v>0.9</v>
      </c>
      <c r="E13" t="s">
        <v>109</v>
      </c>
      <c r="F13" s="38" t="str">
        <f>+IF(ARBITRAMENTOS!T14=0,"Falta  actualizar","")</f>
        <v/>
      </c>
    </row>
    <row r="14" spans="2:13">
      <c r="E14" s="37" t="s">
        <v>133</v>
      </c>
      <c r="F14" s="37">
        <f>+ARBITRAMENTOS!D10</f>
        <v>6</v>
      </c>
    </row>
    <row r="15" spans="2:13">
      <c r="B15" t="s">
        <v>134</v>
      </c>
      <c r="C15" s="38" t="str">
        <f>+IF(JUDICIALES!$D$9="","Falta  actualizar","")</f>
        <v/>
      </c>
      <c r="E15" s="37" t="s">
        <v>128</v>
      </c>
      <c r="F15" s="37" t="str">
        <f>IFERROR(ARBITRAMENTOS!D10/ARBITRAMENTOS!D9,"")</f>
        <v/>
      </c>
    </row>
    <row r="16" spans="2:13">
      <c r="B16" s="37" t="s">
        <v>135</v>
      </c>
      <c r="C16" s="37">
        <f>+JUDICIALES!$D$10</f>
        <v>3232</v>
      </c>
    </row>
    <row r="17" spans="2:6">
      <c r="B17" s="37" t="s">
        <v>128</v>
      </c>
      <c r="C17" s="37">
        <f>IFERROR(JUDICIALES!$D$10/JUDICIALES!$D$9,"")</f>
        <v>1</v>
      </c>
      <c r="E17" t="s">
        <v>136</v>
      </c>
      <c r="F17" s="38" t="str">
        <f>+IF(PAGOS!D9="","Falta  actualizar","")</f>
        <v/>
      </c>
    </row>
    <row r="18" spans="2:6">
      <c r="B18" s="37" t="s">
        <v>137</v>
      </c>
      <c r="C18" s="37">
        <f>IFERROR(JUDICIALES!$G$11/JUDICIALES!$G$10,"")</f>
        <v>0.75</v>
      </c>
      <c r="E18" s="37" t="s">
        <v>138</v>
      </c>
      <c r="F18" s="37">
        <f>+PAGOS!D10</f>
        <v>100</v>
      </c>
    </row>
    <row r="19" spans="2:6">
      <c r="B19" s="37" t="s">
        <v>139</v>
      </c>
      <c r="C19" s="37">
        <f>IFERROR(C16/ABOGADOS!$D$11,"")</f>
        <v>32.32</v>
      </c>
      <c r="E19" s="37" t="s">
        <v>140</v>
      </c>
      <c r="F19" s="37" t="str">
        <f>+IF(PAGOS!D9="No","No aplica","si")</f>
        <v>si</v>
      </c>
    </row>
    <row r="20" spans="2:6">
      <c r="B20" s="37" t="s">
        <v>141</v>
      </c>
      <c r="C20" s="37">
        <f>IFERROR(1-(JUDICIALES!$H$22+JUDICIALES!$H$23+JUDICIALES!$H$24)/(JUDICIALES!$G$22+JUDICIALES!$G$23+JUDICIALES!$G$24),"")</f>
        <v>1.5252621544327938E-2</v>
      </c>
    </row>
    <row r="21" spans="2:6" ht="15.75" thickBot="1"/>
    <row r="22" spans="2:6">
      <c r="B22" s="2" t="s">
        <v>24</v>
      </c>
      <c r="C22" s="3"/>
      <c r="D22" s="3"/>
      <c r="E22" s="3"/>
      <c r="F22" s="4"/>
    </row>
    <row r="23" spans="2:6">
      <c r="B23" s="115" t="s">
        <v>142</v>
      </c>
      <c r="C23" s="116"/>
      <c r="D23" s="116"/>
      <c r="E23" s="116"/>
      <c r="F23" s="117"/>
    </row>
    <row r="24" spans="2:6">
      <c r="B24" s="118"/>
      <c r="C24" s="116"/>
      <c r="D24" s="116"/>
      <c r="E24" s="116"/>
      <c r="F24" s="117"/>
    </row>
    <row r="25" spans="2:6">
      <c r="B25" s="118"/>
      <c r="C25" s="116"/>
      <c r="D25" s="116"/>
      <c r="E25" s="116"/>
      <c r="F25" s="117"/>
    </row>
    <row r="26" spans="2:6" ht="15.75" thickBot="1">
      <c r="B26" s="111"/>
      <c r="C26" s="119"/>
      <c r="D26" s="119"/>
      <c r="E26" s="119"/>
      <c r="F26" s="112"/>
    </row>
  </sheetData>
  <sheetProtection algorithmName="SHA-512" hashValue="OfJ9h/hTz1PX77rc++cIfH7DPuUaINpi+thk3Odo3SVTDlH4IBkeFMV/LvEGVD+oeG27PNpyLYACBKY9NTnzPA==" saltValue="ZtwGISHfKwKW2/GEFsjaJQ==" spinCount="100000" sheet="1" objects="1" scenarios="1"/>
  <mergeCells count="5">
    <mergeCell ref="C5:G5"/>
    <mergeCell ref="C6:G6"/>
    <mergeCell ref="B2:G2"/>
    <mergeCell ref="B3:G3"/>
    <mergeCell ref="B23:F2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03C2F-3C45-4C74-9A68-80D688B33CFB}">
  <dimension ref="A2:AO3"/>
  <sheetViews>
    <sheetView workbookViewId="0">
      <selection activeCell="B3" sqref="B3"/>
    </sheetView>
  </sheetViews>
  <sheetFormatPr defaultColWidth="11.42578125" defaultRowHeight="15"/>
  <sheetData>
    <row r="2" spans="1:41">
      <c r="A2" t="s">
        <v>13</v>
      </c>
      <c r="B2" t="s">
        <v>14</v>
      </c>
      <c r="C2" t="s">
        <v>16</v>
      </c>
      <c r="D2" t="s">
        <v>18</v>
      </c>
      <c r="E2" t="s">
        <v>20</v>
      </c>
      <c r="F2" t="s">
        <v>22</v>
      </c>
      <c r="G2" t="s">
        <v>54</v>
      </c>
      <c r="H2" t="s">
        <v>56</v>
      </c>
      <c r="I2" t="s">
        <v>143</v>
      </c>
      <c r="J2" t="s">
        <v>144</v>
      </c>
      <c r="K2" t="s">
        <v>145</v>
      </c>
      <c r="L2" t="s">
        <v>146</v>
      </c>
      <c r="M2" t="s">
        <v>147</v>
      </c>
      <c r="N2" t="s">
        <v>55</v>
      </c>
      <c r="O2" t="s">
        <v>57</v>
      </c>
      <c r="P2" t="s">
        <v>148</v>
      </c>
      <c r="Q2" t="s">
        <v>149</v>
      </c>
      <c r="R2" t="s">
        <v>150</v>
      </c>
      <c r="S2" t="s">
        <v>70</v>
      </c>
      <c r="T2" t="s">
        <v>71</v>
      </c>
      <c r="U2" t="s">
        <v>78</v>
      </c>
      <c r="V2" t="s">
        <v>80</v>
      </c>
      <c r="W2" t="s">
        <v>81</v>
      </c>
      <c r="X2" t="s">
        <v>82</v>
      </c>
      <c r="Y2" t="s">
        <v>78</v>
      </c>
      <c r="Z2" t="s">
        <v>80</v>
      </c>
      <c r="AA2" t="s">
        <v>81</v>
      </c>
      <c r="AB2" t="s">
        <v>82</v>
      </c>
      <c r="AC2" t="s">
        <v>97</v>
      </c>
      <c r="AD2" t="s">
        <v>98</v>
      </c>
      <c r="AE2" t="s">
        <v>151</v>
      </c>
      <c r="AF2" t="s">
        <v>152</v>
      </c>
      <c r="AG2" t="s">
        <v>153</v>
      </c>
      <c r="AH2" t="s">
        <v>154</v>
      </c>
      <c r="AI2" t="s">
        <v>155</v>
      </c>
      <c r="AJ2" t="s">
        <v>101</v>
      </c>
      <c r="AK2" t="s">
        <v>103</v>
      </c>
      <c r="AL2" t="s">
        <v>156</v>
      </c>
      <c r="AM2" t="s">
        <v>112</v>
      </c>
      <c r="AN2" s="1" t="s">
        <v>116</v>
      </c>
      <c r="AO2" s="1" t="s">
        <v>157</v>
      </c>
    </row>
    <row r="3" spans="1:41">
      <c r="A3" t="str">
        <f>+USUARIOS!C10</f>
        <v>No</v>
      </c>
      <c r="B3" t="str">
        <f>+USUARIOS!C11</f>
        <v>Si</v>
      </c>
      <c r="C3" t="str">
        <f>+USUARIOS!C12</f>
        <v>Si</v>
      </c>
      <c r="D3" t="str">
        <f>+USUARIOS!C13</f>
        <v>Si</v>
      </c>
      <c r="E3" t="str">
        <f>+USUARIOS!C14</f>
        <v>Si</v>
      </c>
      <c r="F3" t="str">
        <f>+USUARIOS!C15</f>
        <v>Si</v>
      </c>
      <c r="G3">
        <f>+JUDICIALES!D9</f>
        <v>3232</v>
      </c>
      <c r="H3">
        <f>+JUDICIALES!D10</f>
        <v>3232</v>
      </c>
      <c r="I3">
        <f>+JUDICIALES!D11</f>
        <v>0</v>
      </c>
      <c r="J3">
        <f>+JUDICIALES!D15</f>
        <v>83</v>
      </c>
      <c r="K3">
        <f>+JUDICIALES!D16</f>
        <v>83</v>
      </c>
      <c r="L3">
        <f>+JUDICIALES!D20</f>
        <v>3398</v>
      </c>
      <c r="M3">
        <f>+JUDICIALES!D21</f>
        <v>38</v>
      </c>
      <c r="N3">
        <f>+JUDICIALES!G9</f>
        <v>4</v>
      </c>
      <c r="O3">
        <f>+JUDICIALES!G10</f>
        <v>4</v>
      </c>
      <c r="P3">
        <f>+JUDICIALES!G11</f>
        <v>3</v>
      </c>
      <c r="Q3">
        <f>+JUDICIALES!G15</f>
        <v>2613</v>
      </c>
      <c r="R3">
        <f>+JUDICIALES!G16</f>
        <v>2587</v>
      </c>
      <c r="S3">
        <f>+JUDICIALES!G17</f>
        <v>18</v>
      </c>
      <c r="T3">
        <f>+JUDICIALES!G18</f>
        <v>8</v>
      </c>
      <c r="U3">
        <f>+JUDICIALES!G21</f>
        <v>507</v>
      </c>
      <c r="V3">
        <f>+JUDICIALES!G22</f>
        <v>1046</v>
      </c>
      <c r="W3">
        <f>+JUDICIALES!G23</f>
        <v>151</v>
      </c>
      <c r="X3">
        <f>+JUDICIALES!G24</f>
        <v>901</v>
      </c>
      <c r="Y3">
        <f>+JUDICIALES!H21</f>
        <v>85</v>
      </c>
      <c r="Z3">
        <f>+JUDICIALES!H22</f>
        <v>1027</v>
      </c>
      <c r="AA3">
        <f>+JUDICIALES!H23</f>
        <v>148</v>
      </c>
      <c r="AB3">
        <f>+JUDICIALES!H24</f>
        <v>891</v>
      </c>
      <c r="AC3">
        <f>+PREJUDICIALES!D10</f>
        <v>415</v>
      </c>
      <c r="AD3">
        <f>+PREJUDICIALES!D11</f>
        <v>415</v>
      </c>
      <c r="AE3">
        <f>+PREJUDICIALES!D12</f>
        <v>25</v>
      </c>
      <c r="AF3">
        <f>+PREJUDICIALES!D13</f>
        <v>6</v>
      </c>
      <c r="AG3">
        <f>+PREJUDICIALES!D14</f>
        <v>384</v>
      </c>
      <c r="AH3">
        <f>+PREJUDICIALES!D17</f>
        <v>328</v>
      </c>
      <c r="AI3">
        <f>+PREJUDICIALES!D18</f>
        <v>68</v>
      </c>
      <c r="AJ3">
        <f>+PREJUDICIALES!G12</f>
        <v>35</v>
      </c>
      <c r="AK3">
        <f>+PREJUDICIALES!G13</f>
        <v>4</v>
      </c>
      <c r="AL3">
        <f>+ARBITRAMENTOS!D9</f>
        <v>0</v>
      </c>
      <c r="AM3">
        <f>+ARBITRAMENTOS!D10</f>
        <v>6</v>
      </c>
      <c r="AN3" t="str">
        <f>+PAGOS!D9</f>
        <v>Si</v>
      </c>
      <c r="AO3">
        <f>+PAGOS!D10</f>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9" ma:contentTypeDescription="Crear nuevo documento." ma:contentTypeScope="" ma:versionID="bcb6aa30c9ccf677db049cbbe5d6076e">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2d76a825e4c8cef7df41d19dc42b0a0b"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5c9437d-ba4f-48b0-a945-b6c70a81cec4}"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35CC8-BBBD-4048-85DC-1EE9A9FC75F2}"/>
</file>

<file path=customXml/itemProps2.xml><?xml version="1.0" encoding="utf-8"?>
<ds:datastoreItem xmlns:ds="http://schemas.openxmlformats.org/officeDocument/2006/customXml" ds:itemID="{CA7281B1-2FAE-46CB-825B-9BED6CEDC27F}"/>
</file>

<file path=customXml/itemProps3.xml><?xml version="1.0" encoding="utf-8"?>
<ds:datastoreItem xmlns:ds="http://schemas.openxmlformats.org/officeDocument/2006/customXml" ds:itemID="{F56FFFAF-A35A-40B2-A5D7-44BB29991F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Garzón Peraza</dc:creator>
  <cp:keywords/>
  <dc:description/>
  <cp:lastModifiedBy>Maria Lucerito Achury Carrion</cp:lastModifiedBy>
  <cp:revision/>
  <dcterms:created xsi:type="dcterms:W3CDTF">2020-06-25T21:16:25Z</dcterms:created>
  <dcterms:modified xsi:type="dcterms:W3CDTF">2026-07-16T15:16:58Z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