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Empresa CastelSua\Documents\ICBF\MANIFESTACIONES 2021\"/>
    </mc:Choice>
  </mc:AlternateContent>
  <xr:revisionPtr revIDLastSave="0" documentId="8_{ACD8CF62-E9E7-469F-999B-B48FAFB3698D}"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<sst xmlns="http://schemas.openxmlformats.org/spreadsheetml/2006/main" count="3134" uniqueCount="2704">
  <si>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</si>
  <si>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</si>
  <si>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</si>
  <si>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</si>
  <si>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</si>
  <si>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</si>
  <si>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</si>
  <si>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</si>
  <si>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</si>
  <si>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</si>
  <si>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</si>
  <si>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</si>
  <si>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</si>
  <si>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</si>
  <si>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</si>
  <si>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</si>
  <si>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</si>
  <si>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</si>
  <si>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</si>
  <si>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</si>
  <si>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</si>
  <si>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</si>
  <si>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</si>
  <si>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</si>
  <si>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</si>
  <si>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</si>
  <si>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</si>
  <si>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</si>
  <si>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</si>
  <si>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</si>
  <si>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</si>
  <si>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</si>
  <si>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</si>
  <si>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</si>
  <si>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</si>
  <si>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</si>
  <si>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</si>
  <si>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</si>
  <si>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</si>
  <si>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</si>
  <si>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</si>
  <si>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</si>
  <si>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</si>
  <si>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</si>
  <si>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</si>
  <si>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</si>
  <si>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</si>
  <si>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</si>
  <si>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</si>
  <si>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</si>
  <si>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</si>
  <si>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</si>
  <si>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</si>
  <si>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</si>
  <si>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</si>
  <si>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</si>
  <si>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</si>
  <si>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</si>
  <si>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</si>
  <si>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</si>
  <si>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</si>
  <si>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</si>
  <si>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</si>
  <si>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</si>
  <si>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</si>
  <si>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</si>
  <si>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</si>
  <si>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</si>
  <si>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</si>
  <si>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</si>
  <si>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</si>
  <si>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</si>
  <si>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</si>
  <si>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</si>
  <si>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</si>
  <si>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</si>
  <si>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</si>
  <si>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</si>
  <si>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</si>
  <si>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</si>
  <si>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</si>
  <si>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</si>
  <si>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</si>
  <si>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</si>
  <si>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</si>
  <si>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</si>
  <si>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</si>
  <si>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</si>
  <si>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</si>
  <si>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</si>
  <si>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</si>
  <si>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</si>
  <si>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</si>
  <si>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</si>
  <si>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</si>
  <si>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</si>
  <si>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</si>
  <si>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</si>
  <si>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</si>
  <si>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</si>
  <si>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</si>
  <si>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</si>
  <si>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</si>
  <si>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</si>
  <si>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</si>
  <si>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</si>
  <si>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</si>
  <si>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</si>
  <si>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</si>
  <si>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</si>
  <si>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</si>
  <si>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</si>
  <si>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</si>
  <si>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</si>
  <si>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</si>
  <si>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</si>
  <si>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</si>
  <si>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</si>
  <si>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</si>
  <si>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</si>
  <si>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</si>
  <si>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</si>
  <si>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</si>
  <si>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</si>
  <si>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</si>
  <si>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</si>
  <si>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</si>
  <si>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</si>
  <si>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</si>
  <si>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</si>
  <si>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</si>
  <si>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</si>
  <si>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</si>
  <si>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</si>
  <si>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</si>
  <si>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</si>
  <si>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</si>
  <si>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</si>
  <si>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</si>
  <si>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</si>
  <si>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</si>
  <si>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</si>
  <si>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</si>
  <si>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</si>
  <si>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</si>
  <si>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</si>
  <si>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</si>
  <si>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</si>
  <si>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</si>
  <si>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</si>
  <si>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</si>
  <si>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</si>
  <si>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</si>
  <si>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</si>
  <si>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</si>
  <si>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</si>
  <si>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</si>
  <si>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</si>
  <si>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</si>
  <si>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</si>
  <si>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</si>
  <si>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</si>
  <si>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</si>
  <si>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</si>
  <si>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</si>
  <si>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</si>
  <si>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</si>
  <si>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</si>
  <si>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</si>
  <si>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</si>
  <si>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</si>
  <si>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</si>
  <si>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</si>
  <si>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</si>
  <si>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</si>
  <si>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</si>
  <si>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</si>
  <si>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</si>
  <si>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</si>
  <si>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</si>
  <si>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</si>
  <si>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</si>
  <si>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</si>
  <si>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</si>
  <si>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</si>
  <si>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</si>
  <si>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</si>
  <si>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</si>
  <si>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</si>
  <si>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</si>
  <si>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</si>
  <si>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</si>
  <si>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</si>
  <si>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</si>
  <si>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</si>
  <si>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</si>
  <si>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</si>
  <si>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</si>
  <si>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</si>
  <si>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</si>
  <si>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</si>
  <si>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</si>
  <si>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</si>
  <si>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</si>
  <si>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</si>
  <si>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</si>
  <si>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</si>
  <si>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</si>
  <si>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</si>
  <si>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</si>
  <si>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</si>
  <si>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</si>
  <si>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</si>
  <si>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</si>
  <si>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</si>
  <si>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</si>
  <si>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</si>
  <si>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</si>
  <si>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</si>
  <si>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</si>
  <si>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</si>
  <si>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</si>
  <si>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</si>
  <si>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</si>
  <si>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</si>
  <si>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</si>
  <si>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</si>
  <si>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</si>
  <si>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</si>
  <si>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</si>
  <si>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</si>
  <si>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</si>
  <si>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</si>
  <si>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</si>
  <si>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</si>
  <si>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</si>
  <si>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</si>
  <si>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</si>
  <si>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</si>
  <si>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</si>
  <si>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</si>
  <si>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</si>
  <si>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</si>
  <si>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</si>
  <si>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</si>
  <si>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</si>
  <si>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</si>
  <si>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</si>
  <si>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</si>
  <si>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</si>
  <si>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</si>
  <si>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</si>
  <si>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</si>
  <si>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</si>
  <si>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</si>
  <si>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</si>
  <si>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</si>
  <si>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</si>
  <si>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</si>
  <si>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</si>
  <si>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</si>
  <si>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</si>
  <si>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</si>
  <si>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</si>
  <si>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</si>
  <si>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</si>
  <si>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</si>
  <si>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</si>
  <si>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</si>
  <si>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</si>
  <si>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</si>
  <si>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</si>
  <si>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</si>
  <si>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</si>
  <si>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</si>
  <si>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</si>
  <si>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</si>
  <si>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</si>
  <si>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</si>
  <si>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</si>
  <si>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</si>
  <si>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</si>
  <si>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</si>
  <si>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</si>
  <si>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</si>
  <si>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</si>
  <si>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</si>
  <si>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</si>
  <si>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</si>
  <si>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</si>
  <si>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</si>
  <si>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</si>
  <si>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</si>
  <si>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</si>
  <si>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</si>
  <si>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</si>
  <si>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</si>
  <si>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</si>
  <si>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</si>
  <si>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</si>
  <si>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</si>
  <si>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</si>
  <si>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</si>
  <si>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</si>
  <si>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</si>
  <si>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</si>
  <si>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</si>
  <si>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</si>
  <si>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</si>
  <si>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</si>
  <si>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</si>
  <si>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</si>
  <si>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</si>
  <si>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</si>
  <si>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</si>
  <si>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</si>
  <si>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</si>
  <si>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</si>
  <si>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</si>
  <si>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</si>
  <si>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</si>
  <si>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</si>
  <si>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</si>
  <si>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</si>
  <si>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</si>
  <si>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</si>
  <si>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</si>
  <si>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</si>
  <si>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</si>
  <si>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</si>
  <si>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</si>
  <si>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</si>
  <si>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</si>
  <si>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</si>
  <si>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</si>
  <si>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</si>
  <si>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</si>
  <si>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</si>
  <si>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</si>
  <si>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</si>
  <si>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</si>
  <si>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</si>
  <si>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</si>
  <si>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</si>
  <si>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</si>
  <si>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</si>
  <si>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</si>
  <si>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</si>
  <si>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</si>
  <si>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</si>
  <si>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</si>
  <si>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</si>
  <si>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</si>
  <si>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</si>
  <si>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</si>
  <si>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</si>
  <si>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</si>
  <si>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</si>
  <si>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</si>
  <si>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</si>
  <si>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</si>
  <si>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</si>
  <si>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</si>
  <si>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</si>
  <si>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</si>
  <si>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</si>
  <si>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</si>
  <si>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</si>
  <si>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</si>
  <si>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</si>
  <si>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</si>
  <si>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</si>
  <si>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</si>
  <si>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</si>
  <si>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</si>
  <si>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</si>
  <si>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</si>
  <si>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</si>
  <si>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</si>
  <si>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</si>
  <si>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</si>
  <si>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</si>
  <si>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</si>
  <si>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</si>
  <si>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</si>
  <si>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</si>
  <si>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</si>
  <si>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</si>
  <si>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</si>
  <si>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</si>
  <si>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</si>
  <si>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</si>
  <si>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</si>
  <si>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</si>
  <si>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</si>
  <si>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</si>
  <si>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</si>
  <si>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</si>
  <si>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</si>
  <si>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</si>
  <si>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</si>
  <si>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</si>
  <si>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</si>
  <si>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</si>
  <si>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</si>
  <si>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</si>
  <si>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</si>
  <si>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</si>
  <si>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</si>
  <si>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</si>
  <si>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</si>
  <si>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</si>
  <si>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</si>
  <si>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</si>
  <si>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</si>
  <si>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</si>
  <si>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</si>
  <si>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</si>
  <si>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</si>
  <si>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</si>
  <si>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</si>
  <si>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</si>
  <si>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</si>
  <si>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</si>
  <si>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</si>
  <si>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</si>
  <si>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</si>
  <si>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</si>
  <si>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</si>
  <si>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</si>
  <si>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</si>
  <si>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</si>
  <si>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</si>
  <si>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</si>
  <si>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</si>
  <si>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</si>
  <si>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</si>
  <si>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</si>
  <si>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</si>
  <si>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</si>
  <si>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</si>
  <si>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</si>
  <si>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</si>
  <si>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</si>
  <si>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</si>
  <si>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</si>
  <si>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</si>
  <si>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</si>
  <si>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</si>
  <si>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</si>
  <si>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</si>
  <si>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</si>
  <si>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</si>
  <si>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</si>
  <si>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</si>
  <si>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</si>
  <si>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</si>
  <si>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</si>
  <si>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</si>
  <si>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</si>
  <si>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</si>
  <si>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</si>
  <si>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</si>
  <si>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</si>
  <si>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</si>
  <si>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</si>
  <si>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</si>
  <si>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</si>
  <si>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</si>
  <si>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</si>
  <si>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</si>
  <si>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</si>
  <si>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</si>
  <si>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</si>
  <si>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</si>
  <si>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</si>
  <si>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</si>
  <si>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</si>
  <si>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</si>
  <si>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</si>
  <si>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</si>
  <si>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</si>
  <si>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</si>
  <si>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</si>
  <si>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</si>
  <si>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</si>
  <si>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</si>
  <si>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</si>
  <si>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</si>
  <si>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</si>
  <si>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</si>
  <si>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</si>
  <si>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</si>
  <si>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</si>
  <si>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</si>
  <si>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</si>
  <si>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</si>
  <si>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</si>
  <si>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</si>
  <si>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</si>
  <si>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</si>
  <si>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</si>
  <si>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</si>
  <si>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</si>
  <si>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</si>
  <si>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</si>
  <si>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</si>
  <si>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</si>
  <si>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</si>
  <si>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</si>
  <si>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</si>
  <si>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</si>
  <si>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</si>
  <si>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</si>
  <si>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</si>
  <si>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</si>
  <si>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</si>
  <si>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</si>
  <si>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</si>
  <si>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</si>
  <si>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</si>
  <si>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</si>
  <si>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</si>
  <si>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</si>
  <si>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</si>
  <si>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</si>
  <si>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</si>
  <si>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</si>
  <si>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</si>
  <si>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</si>
  <si>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</si>
  <si>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</si>
  <si>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</si>
  <si>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</si>
  <si>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</si>
  <si>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</si>
  <si>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</si>
  <si>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</si>
  <si>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</si>
  <si>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</si>
  <si>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</si>
  <si>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</si>
  <si>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</si>
  <si>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</si>
  <si>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</si>
  <si>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</si>
  <si>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</si>
  <si>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</si>
  <si>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</si>
  <si>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</si>
  <si>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</si>
  <si>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</si>
  <si>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</si>
  <si>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</si>
  <si>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</si>
  <si>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</si>
  <si>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</si>
  <si>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</si>
  <si>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</si>
  <si>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</si>
  <si>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</si>
  <si>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</si>
  <si>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</si>
  <si>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</si>
  <si>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</si>
  <si>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</si>
  <si>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</si>
  <si>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</si>
  <si>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</si>
  <si>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</si>
  <si>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</si>
  <si>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</si>
  <si>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</si>
  <si>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</si>
  <si>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</si>
  <si>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</si>
  <si>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</si>
  <si>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</si>
  <si>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</si>
  <si>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</si>
  <si>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</si>
  <si>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</si>
  <si>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</si>
  <si>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</si>
  <si>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</si>
  <si>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</si>
  <si>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</si>
  <si>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</si>
  <si>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</si>
  <si>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</si>
  <si>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</si>
  <si>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</si>
  <si>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</si>
  <si>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</si>
  <si>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</si>
  <si>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</si>
  <si>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</si>
  <si>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</si>
  <si>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</si>
  <si>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</si>
  <si>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</si>
  <si>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</si>
  <si>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</si>
  <si>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</si>
  <si>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</si>
  <si>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</si>
  <si>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</si>
  <si>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</si>
  <si>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</si>
  <si>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</si>
  <si>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</si>
  <si>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</si>
  <si>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</si>
  <si>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</si>
  <si>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</si>
  <si>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</si>
  <si>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</si>
  <si>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</si>
  <si>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</si>
  <si>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</si>
  <si>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</si>
  <si>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</si>
  <si>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</si>
  <si>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</si>
  <si>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</si>
  <si>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</si>
  <si>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</si>
  <si>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</si>
  <si>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</si>
  <si>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</si>
  <si>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</si>
  <si>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</si>
  <si>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</si>
  <si>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</si>
  <si>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</si>
  <si>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</si>
  <si>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</si>
  <si>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</si>
  <si>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</si>
  <si>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</si>
  <si>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</si>
  <si>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</si>
  <si>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</si>
  <si>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</si>
  <si>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</si>
  <si>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</si>
  <si>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</si>
  <si>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</si>
  <si>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</si>
  <si>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</si>
  <si>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</si>
  <si>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</si>
  <si>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</si>
  <si>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</si>
  <si>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</si>
  <si>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</si>
  <si>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</si>
  <si>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</si>
  <si>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</si>
  <si>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</si>
  <si>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</si>
  <si>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</si>
  <si>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</si>
  <si>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</si>
  <si>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</si>
  <si>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</si>
  <si>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</si>
  <si>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</si>
  <si>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</si>
  <si>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</si>
  <si>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</si>
  <si>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</si>
  <si>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</si>
  <si>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</si>
  <si>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</si>
  <si>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</si>
  <si>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</si>
  <si>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</si>
  <si>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</si>
  <si>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</si>
  <si>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</si>
  <si>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</si>
  <si>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</si>
  <si>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</si>
  <si>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</si>
  <si>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</si>
  <si>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</si>
  <si>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</si>
  <si>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</si>
  <si>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</si>
  <si>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</si>
  <si>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</si>
  <si>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</si>
  <si>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</si>
  <si>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</si>
  <si>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</si>
  <si>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</si>
  <si>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</si>
  <si>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</si>
  <si>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</si>
  <si>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</si>
  <si>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</si>
  <si>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</si>
  <si>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</si>
  <si>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</si>
  <si>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</si>
  <si>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</si>
  <si>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</si>
  <si>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</si>
  <si>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</si>
  <si>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</si>
  <si>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</si>
  <si>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</si>
  <si>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</si>
  <si>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</si>
  <si>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</si>
  <si>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</si>
  <si>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</si>
  <si>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</si>
  <si>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</si>
  <si>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</si>
  <si>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</si>
  <si>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</si>
  <si>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</si>
  <si>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</si>
  <si>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</si>
  <si>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</si>
  <si>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</si>
  <si>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</si>
  <si>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</si>
  <si>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</si>
  <si>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</si>
  <si>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</si>
  <si>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</si>
  <si>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</si>
  <si>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</si>
  <si>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</si>
  <si>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</si>
  <si>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</si>
  <si>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</si>
  <si>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</si>
  <si>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</si>
  <si>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</si>
  <si>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</si>
  <si>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</si>
  <si>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</si>
  <si>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</si>
  <si>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</si>
  <si>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</si>
  <si>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</si>
  <si>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</si>
  <si>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</si>
  <si>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</si>
  <si>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</si>
  <si>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</si>
  <si>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</si>
  <si>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</si>
  <si>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</si>
  <si>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</si>
  <si>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</si>
  <si>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</si>
  <si>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</si>
  <si>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</si>
  <si>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</si>
  <si>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</si>
  <si>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</si>
  <si>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</si>
  <si>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</si>
  <si>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</si>
  <si>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</si>
  <si>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</si>
  <si>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</si>
  <si>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</si>
  <si>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</si>
  <si>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</si>
  <si>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</si>
  <si>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</si>
  <si>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</si>
  <si>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</si>
  <si>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</si>
  <si>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</si>
  <si>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</si>
  <si>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</si>
  <si>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</si>
  <si>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</si>
  <si>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</si>
  <si>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</si>
  <si>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</si>
  <si>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</si>
  <si>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</si>
  <si>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</si>
  <si>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</si>
  <si>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</si>
  <si>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</si>
  <si>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</si>
  <si>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</si>
  <si>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</si>
  <si>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</si>
  <si>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</si>
  <si>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</si>
  <si>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</si>
  <si>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</si>
  <si>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</si>
  <si>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</si>
  <si>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</si>
  <si>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</si>
  <si>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</si>
  <si>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</si>
  <si>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</si>
  <si>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</si>
  <si>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</si>
  <si>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</si>
  <si>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</si>
  <si>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</si>
  <si>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</si>
  <si>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</si>
  <si>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</si>
  <si>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</si>
  <si>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</si>
  <si>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</si>
  <si>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</si>
  <si>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</si>
  <si>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</si>
  <si>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</si>
  <si>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</si>
  <si>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</si>
  <si>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</si>
  <si>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</si>
  <si>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</si>
  <si>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</si>
  <si>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</si>
  <si>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</si>
  <si>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</si>
  <si>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</si>
  <si>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</si>
  <si>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</si>
  <si>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</si>
  <si>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</si>
  <si>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</si>
  <si>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</si>
  <si>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</si>
  <si>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</si>
  <si>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</si>
  <si>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</si>
  <si>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</si>
  <si>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</si>
  <si>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</si>
  <si>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</si>
  <si>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</si>
  <si>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</si>
  <si>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</si>
  <si>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</si>
  <si>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</si>
  <si>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</si>
  <si>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</si>
  <si>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</si>
  <si>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</si>
  <si>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</si>
  <si>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</si>
  <si>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</si>
  <si>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</si>
  <si>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</si>
  <si>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</si>
  <si>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</si>
  <si>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</si>
  <si>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</si>
  <si>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</si>
  <si>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</si>
  <si>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</si>
  <si>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</si>
  <si>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</si>
  <si>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</si>
  <si>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</si>
  <si>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</si>
  <si>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</si>
  <si>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</si>
  <si>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</si>
  <si>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</si>
  <si>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</si>
  <si>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</si>
  <si>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</si>
  <si>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</si>
  <si>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</si>
  <si>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</si>
  <si>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</si>
  <si>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</si>
  <si>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</si>
  <si>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</si>
  <si>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</si>
  <si>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</si>
  <si>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</si>
  <si>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</si>
  <si>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</si>
  <si>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</si>
  <si>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</si>
  <si>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</si>
  <si>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</si>
  <si>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</si>
  <si>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</si>
  <si>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</si>
  <si>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</si>
  <si>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</si>
  <si>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</si>
  <si>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</si>
  <si>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</si>
  <si>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</si>
  <si>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</si>
  <si>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</si>
  <si>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</si>
  <si>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</si>
  <si>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</si>
  <si>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</si>
  <si>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</si>
  <si>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</si>
  <si>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</si>
  <si>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</si>
  <si>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</si>
  <si>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</si>
  <si>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</si>
  <si>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</si>
  <si>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</si>
  <si>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</si>
  <si>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</si>
  <si>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</si>
  <si>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</si>
  <si>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</si>
  <si>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</si>
  <si>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</si>
  <si>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</si>
  <si>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</si>
  <si>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</si>
  <si>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</si>
  <si>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</si>
  <si>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</si>
  <si>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</si>
  <si>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</si>
  <si>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</si>
  <si>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</si>
  <si>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</si>
  <si>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</si>
  <si>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</si>
  <si>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</si>
  <si>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</si>
  <si>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</si>
  <si>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</si>
  <si>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</si>
  <si>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</si>
  <si>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</si>
  <si>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</si>
  <si>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</si>
  <si>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</si>
  <si>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</si>
  <si>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</si>
  <si>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</si>
  <si>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</si>
  <si>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</si>
  <si>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</si>
  <si>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</si>
  <si>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</si>
  <si>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</si>
  <si>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</si>
  <si>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</si>
  <si>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</si>
  <si>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</si>
  <si>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</si>
  <si>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</si>
  <si>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</si>
  <si>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</si>
  <si>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</si>
  <si>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</si>
  <si>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</si>
  <si>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</si>
  <si>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</si>
  <si>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</si>
  <si>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</si>
  <si>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</si>
  <si>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</si>
  <si>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</si>
  <si>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</si>
  <si>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</si>
  <si>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</si>
  <si>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</si>
  <si>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</si>
  <si>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</si>
  <si>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</si>
  <si>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</si>
  <si>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</si>
  <si>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</si>
  <si>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</si>
  <si>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</si>
  <si>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</si>
  <si>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</si>
  <si>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</si>
  <si>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</si>
  <si>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</si>
  <si>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</si>
  <si>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</si>
  <si>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</si>
  <si>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</si>
  <si>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</si>
  <si>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</si>
  <si>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</si>
  <si>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</si>
  <si>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</si>
  <si>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</si>
  <si>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</si>
  <si>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</si>
  <si>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</si>
  <si>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</si>
  <si>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</si>
  <si>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</si>
  <si>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</si>
  <si>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</si>
  <si>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</si>
  <si>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</si>
  <si>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</si>
  <si>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</si>
  <si>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</si>
  <si>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</si>
  <si>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</si>
  <si>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</si>
  <si>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</si>
  <si>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</si>
  <si>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</si>
  <si>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</si>
  <si>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</si>
  <si>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</si>
  <si>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</si>
  <si>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</si>
  <si>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</si>
  <si>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</si>
  <si>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</si>
  <si>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</si>
  <si>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</si>
  <si>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</si>
  <si>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</si>
  <si>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</si>
  <si>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</si>
  <si>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</si>
  <si>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</si>
  <si>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</si>
  <si>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</si>
  <si>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</si>
  <si>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</si>
  <si>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</si>
  <si>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</si>
  <si>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</si>
  <si>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</si>
  <si>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</si>
  <si>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</si>
  <si>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</si>
  <si>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</si>
  <si>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</si>
  <si>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</si>
  <si>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</si>
  <si>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</si>
  <si>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</si>
  <si>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</si>
  <si>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</si>
  <si>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</si>
  <si>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</si>
  <si>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</si>
  <si>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</si>
  <si>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</si>
  <si>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</si>
  <si>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</si>
  <si>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</si>
  <si>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</si>
  <si>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</si>
  <si>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</si>
  <si>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</si>
  <si>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</si>
  <si>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</si>
  <si>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</si>
  <si>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</si>
  <si>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</si>
  <si>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</si>
  <si>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</si>
  <si>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</si>
  <si>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</si>
  <si>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</si>
  <si>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</si>
  <si>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</si>
  <si>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</si>
  <si>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</si>
  <si>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</si>
  <si>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</si>
  <si>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</si>
  <si>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</si>
  <si>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</si>
  <si>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</si>
  <si>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</si>
  <si>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</si>
  <si>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</si>
  <si>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</si>
  <si>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</si>
  <si>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</si>
  <si>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</si>
  <si>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</si>
  <si>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</si>
  <si>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</si>
  <si>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</si>
  <si>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</si>
  <si>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</si>
  <si>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</si>
  <si>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</si>
  <si>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</si>
  <si>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</si>
  <si>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</si>
  <si>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</si>
  <si>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</si>
  <si>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</si>
  <si>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</si>
  <si>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</si>
  <si>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</si>
  <si>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</si>
  <si>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</si>
  <si>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</si>
  <si>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</si>
  <si>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</si>
  <si>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</si>
  <si>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</si>
  <si>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</si>
  <si>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</si>
  <si>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</si>
  <si>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</si>
  <si>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</si>
  <si>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</si>
  <si>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</si>
  <si>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</si>
  <si>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</si>
  <si>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</si>
  <si>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</si>
  <si>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</si>
  <si>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</si>
  <si>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</si>
  <si>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</si>
  <si>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</si>
  <si>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</si>
  <si>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</si>
  <si>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</si>
  <si>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</si>
  <si>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</si>
  <si>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</si>
  <si>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</si>
  <si>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</si>
  <si>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</si>
  <si>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</si>
  <si>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</si>
  <si>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</si>
  <si>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</si>
  <si>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</si>
  <si>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</si>
  <si>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</si>
  <si>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</si>
  <si>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</si>
  <si>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</si>
  <si>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</si>
  <si>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</si>
  <si>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</si>
  <si>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</si>
  <si>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</si>
  <si>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</si>
  <si>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</si>
  <si>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</si>
  <si>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</si>
  <si>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</si>
  <si>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</si>
  <si>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</si>
  <si>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</si>
  <si>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</si>
  <si>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</si>
  <si>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</si>
  <si>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</si>
  <si>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</si>
  <si>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</si>
  <si>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</si>
  <si>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</si>
  <si>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</si>
  <si>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</si>
  <si>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</si>
  <si>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</si>
  <si>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</si>
  <si>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</si>
  <si>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</si>
  <si>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</si>
  <si>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</si>
  <si>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</si>
  <si>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</si>
  <si>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</si>
  <si>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</si>
  <si>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</si>
  <si>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</si>
  <si>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</si>
  <si>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</si>
  <si>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</si>
  <si>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</si>
  <si>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</si>
  <si>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</si>
  <si>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</si>
  <si>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</si>
  <si>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</si>
  <si>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</si>
  <si>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</si>
  <si>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</si>
  <si>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</si>
  <si>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</si>
  <si>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</si>
  <si>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</si>
  <si>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</si>
  <si>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</si>
  <si>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</si>
  <si>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</si>
  <si>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</si>
  <si>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</si>
  <si>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</si>
  <si>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</si>
  <si>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</si>
  <si>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</si>
  <si>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</si>
  <si>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</si>
  <si>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</si>
  <si>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</si>
  <si>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</si>
  <si>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</si>
  <si>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</si>
  <si>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</si>
  <si>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</si>
  <si>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</si>
  <si>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</si>
  <si>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</si>
  <si>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</si>
  <si>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</si>
  <si>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</si>
  <si>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</si>
  <si>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</si>
  <si>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</si>
  <si>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</si>
  <si>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</si>
  <si>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</si>
  <si>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</si>
  <si>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</si>
  <si>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</si>
  <si>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</si>
  <si>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</si>
  <si>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</si>
  <si>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</si>
  <si>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</si>
  <si>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</si>
  <si>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</si>
  <si>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</si>
  <si>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</si>
  <si>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</si>
  <si>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</si>
  <si>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</si>
  <si>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</si>
  <si>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</si>
  <si>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</si>
  <si>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</si>
  <si>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</si>
  <si>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</si>
  <si>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</si>
  <si>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</si>
  <si>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</si>
  <si>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</si>
  <si>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</si>
  <si>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</si>
  <si>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</si>
  <si>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</si>
  <si>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</si>
  <si>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</si>
  <si>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</si>
  <si>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</si>
  <si>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</si>
  <si>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</si>
  <si>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</si>
  <si>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</si>
  <si>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</si>
  <si>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</si>
  <si>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</si>
  <si>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</si>
  <si>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</si>
  <si>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</si>
  <si>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</si>
  <si>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</si>
  <si>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</si>
  <si>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</si>
  <si>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</si>
  <si>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</si>
  <si>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</si>
  <si>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</si>
  <si>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</si>
  <si>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</si>
  <si>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</si>
  <si>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</si>
  <si>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</si>
  <si>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</si>
  <si>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</si>
  <si>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</si>
  <si>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</si>
  <si>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</si>
  <si>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</si>
  <si>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</si>
  <si>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</si>
  <si>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</si>
  <si>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</si>
  <si>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</si>
  <si>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</si>
  <si>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</si>
  <si>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</si>
  <si>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</si>
  <si>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</si>
  <si>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</si>
  <si>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</si>
  <si>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</si>
  <si>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</si>
  <si>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</si>
  <si>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</si>
  <si>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</si>
  <si>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</si>
  <si>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</si>
  <si>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</si>
  <si>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</si>
  <si>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</si>
  <si>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</si>
  <si>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</si>
  <si>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</si>
  <si>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</si>
  <si>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</si>
  <si>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</si>
  <si>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</si>
  <si>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</si>
  <si>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</si>
  <si>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</si>
  <si>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</si>
  <si>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</si>
  <si>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</si>
  <si>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</si>
  <si>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</si>
  <si>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</si>
  <si>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</si>
  <si>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</si>
  <si>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</si>
  <si>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</si>
  <si>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</si>
  <si>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</si>
  <si>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</si>
  <si>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</si>
  <si>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</si>
  <si>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</si>
  <si>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</si>
  <si>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</si>
  <si>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</si>
  <si>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</si>
  <si>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</si>
  <si>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</si>
  <si>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</si>
  <si>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</si>
  <si>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</si>
  <si>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</si>
  <si>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</si>
  <si>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</si>
  <si>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</si>
  <si>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</si>
  <si>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</si>
  <si>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</si>
  <si>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</si>
  <si>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</si>
  <si>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</si>
  <si>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</si>
  <si>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</si>
  <si>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</si>
  <si>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</si>
  <si>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</si>
  <si>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</si>
  <si>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</si>
  <si>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</si>
  <si>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</si>
  <si>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</si>
  <si>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</si>
  <si>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</si>
  <si>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</si>
  <si>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</si>
  <si>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</si>
  <si>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</si>
  <si>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</si>
  <si>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</si>
  <si>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</si>
  <si>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</si>
  <si>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</si>
  <si>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</si>
  <si>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</si>
  <si>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</si>
  <si>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</si>
  <si>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</si>
  <si>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</si>
  <si>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</si>
  <si>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</si>
  <si>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</si>
  <si>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</si>
  <si>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</si>
  <si>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</si>
  <si>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</si>
  <si>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</si>
  <si>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</si>
  <si>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</si>
  <si>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</si>
  <si>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</si>
  <si>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</si>
  <si>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</si>
  <si>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</si>
  <si>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</si>
  <si>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</si>
  <si>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</si>
  <si>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</si>
  <si>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</si>
  <si>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</si>
  <si>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</si>
  <si>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</si>
  <si>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</si>
  <si>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</si>
  <si>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</si>
  <si>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</si>
  <si>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</si>
  <si>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</si>
  <si>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</si>
  <si>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</si>
  <si>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</si>
  <si>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</si>
  <si>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</si>
  <si>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</si>
  <si>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</si>
  <si>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</si>
  <si>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</si>
  <si>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</si>
  <si>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</si>
  <si>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</si>
  <si>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</si>
  <si>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</si>
  <si>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</si>
  <si>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</si>
  <si>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</si>
  <si>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</si>
  <si>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</si>
  <si>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</si>
  <si>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</si>
  <si>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</si>
  <si>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</si>
  <si>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</si>
  <si>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</si>
  <si>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</si>
  <si>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</si>
  <si>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</si>
  <si>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</si>
  <si>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</si>
  <si>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</si>
  <si>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</si>
  <si>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</si>
  <si>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</si>
  <si>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</si>
  <si>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</si>
  <si>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</si>
  <si>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</si>
  <si>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</si>
  <si>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</si>
  <si>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</si>
  <si>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</si>
  <si>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</si>
  <si>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</si>
  <si>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</si>
  <si>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</si>
  <si>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</si>
  <si>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</si>
  <si>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</si>
  <si>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</si>
  <si>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</si>
  <si>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</si>
  <si>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</si>
  <si>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</si>
  <si>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</si>
  <si>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</si>
  <si>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</si>
  <si>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</si>
  <si>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</si>
  <si>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</si>
  <si>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</si>
  <si>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</si>
  <si>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</si>
  <si>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</si>
  <si>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</si>
  <si>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</si>
  <si>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</si>
  <si>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</si>
  <si>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</si>
  <si>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</si>
  <si>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</si>
  <si>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</si>
  <si>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</si>
  <si>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</si>
  <si>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</si>
  <si>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</si>
  <si>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</si>
  <si>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</si>
  <si>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</si>
  <si>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</si>
  <si>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</si>
  <si>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</si>
  <si>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</si>
  <si>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</si>
  <si>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</si>
  <si>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</si>
  <si>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</si>
  <si>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</si>
  <si>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</si>
  <si>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</si>
  <si>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</si>
  <si>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</si>
  <si>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</si>
  <si>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</si>
  <si>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</si>
  <si>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</si>
  <si>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</si>
  <si>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</si>
  <si>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</si>
  <si>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</si>
  <si>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</si>
  <si>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</si>
  <si>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</si>
  <si>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</si>
  <si>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</si>
  <si>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</si>
  <si>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</si>
  <si>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</si>
  <si>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</si>
  <si>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</si>
  <si>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</si>
  <si>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</si>
  <si>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</si>
  <si>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</si>
  <si>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</si>
  <si>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</si>
  <si>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</si>
  <si>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</si>
  <si>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</si>
  <si>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</si>
  <si>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</si>
  <si>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</si>
  <si>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</si>
  <si>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</si>
  <si>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</si>
  <si>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</si>
  <si>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</si>
  <si>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</si>
  <si>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</si>
  <si>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</si>
  <si>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</si>
  <si>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</si>
  <si>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</si>
  <si>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</si>
  <si>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</si>
  <si>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</si>
  <si>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</si>
  <si>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</si>
  <si>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</si>
  <si>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</si>
  <si>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</si>
  <si>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</si>
  <si>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</si>
  <si>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</si>
  <si>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</si>
  <si>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</si>
  <si>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</si>
  <si>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</si>
  <si>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</si>
  <si>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</si>
  <si>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</si>
  <si>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</si>
  <si>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</si>
  <si>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</si>
  <si>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</si>
  <si>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</si>
  <si>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</si>
  <si>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</si>
  <si>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</si>
  <si>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</si>
  <si>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</si>
  <si>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</si>
  <si>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</si>
  <si>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</si>
  <si>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</si>
  <si>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</si>
  <si>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</si>
  <si>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</si>
  <si>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</si>
  <si>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</si>
  <si>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</si>
  <si>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</si>
  <si>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</si>
  <si>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</si>
  <si>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</si>
  <si>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</si>
  <si>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</si>
  <si>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</si>
  <si>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</si>
  <si>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</si>
  <si>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</si>
  <si>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</si>
  <si>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</si>
  <si>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</si>
  <si>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</si>
  <si>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</si>
  <si>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</si>
  <si>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</si>
  <si>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</si>
  <si>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</si>
  <si>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</si>
  <si>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</si>
  <si>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</si>
  <si>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</si>
  <si>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</si>
  <si>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</si>
  <si>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</si>
  <si>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</si>
  <si>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</si>
  <si>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</si>
  <si>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</si>
  <si>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</si>
  <si>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</si>
  <si>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</si>
  <si>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</si>
  <si>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</si>
  <si>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</si>
  <si>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</si>
  <si>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</si>
  <si>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</si>
  <si>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</si>
  <si>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</si>
  <si>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</si>
  <si>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</si>
  <si>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</si>
  <si>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</si>
  <si>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</si>
  <si>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</si>
  <si>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</si>
  <si>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</si>
  <si>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</si>
  <si>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</si>
  <si>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</si>
  <si>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</si>
  <si>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</si>
  <si>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</si>
  <si>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</si>
  <si>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</si>
  <si>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</si>
  <si>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</si>
  <si>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</si>
  <si>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</si>
  <si>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</si>
  <si>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</si>
  <si>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</si>
  <si>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</si>
  <si>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</si>
  <si>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</si>
  <si>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</si>
  <si>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</si>
  <si>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</si>
  <si>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</si>
  <si>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</si>
  <si>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</si>
  <si>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</si>
  <si>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</si>
  <si>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</si>
  <si>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</si>
  <si>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</si>
  <si>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</si>
  <si>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</si>
  <si>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</si>
  <si>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</si>
  <si>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</si>
  <si>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</si>
  <si>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</si>
  <si>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</si>
  <si>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</si>
  <si>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</si>
  <si>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</si>
  <si>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</si>
  <si>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</si>
  <si>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</si>
  <si>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</si>
  <si>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</si>
  <si>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</si>
  <si>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</si>
  <si>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</si>
  <si>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</si>
  <si>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</si>
  <si>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</si>
  <si>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</si>
  <si>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</si>
  <si>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</si>
  <si>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</si>
  <si>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</si>
  <si>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</si>
  <si>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</si>
  <si>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</si>
  <si>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</si>
  <si>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</si>
  <si>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</si>
  <si>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</si>
  <si>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</si>
  <si>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</si>
  <si>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</si>
  <si>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</si>
  <si>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</si>
  <si>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</si>
  <si>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</si>
  <si>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</si>
  <si>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</si>
  <si>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</si>
  <si>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</si>
  <si>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</si>
  <si>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</si>
  <si>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</si>
  <si>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</si>
  <si>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</si>
  <si>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</si>
  <si>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</si>
  <si>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</si>
  <si>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</si>
  <si>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</si>
  <si>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</si>
  <si>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</si>
  <si>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</si>
  <si>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</si>
  <si>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</si>
  <si>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</si>
  <si>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</si>
  <si>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</si>
  <si>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</si>
  <si>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</si>
  <si>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</si>
  <si>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</si>
  <si>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</si>
  <si>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</si>
  <si>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</si>
  <si>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</si>
  <si>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</si>
  <si>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</si>
  <si>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</si>
  <si>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</si>
  <si>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</si>
  <si>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</si>
  <si>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</si>
  <si>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</si>
  <si>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</si>
  <si>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</si>
  <si>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</si>
  <si>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</si>
  <si>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</si>
  <si>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</si>
  <si>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</si>
  <si>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</si>
  <si>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</si>
  <si>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</si>
  <si>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</si>
  <si>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</si>
  <si>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</si>
  <si>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</si>
  <si>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</si>
  <si>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</si>
  <si>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</si>
  <si>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</si>
  <si>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</si>
  <si>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</si>
  <si>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</si>
  <si>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</si>
  <si>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</si>
  <si>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</si>
  <si>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</si>
  <si>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</si>
  <si>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</si>
  <si>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</si>
  <si>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</si>
  <si>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</si>
  <si>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</si>
  <si>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</si>
  <si>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</si>
  <si>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</si>
  <si>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</si>
  <si>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</si>
  <si>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</si>
  <si>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</si>
  <si>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</si>
  <si>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</si>
  <si>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</si>
  <si>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</si>
  <si>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</si>
  <si>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</si>
  <si>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</si>
  <si>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</si>
  <si>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</si>
  <si>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</si>
  <si>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</si>
  <si>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</si>
  <si>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</si>
  <si>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</si>
  <si>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</si>
  <si>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</si>
  <si>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</si>
  <si>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</si>
  <si>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</si>
  <si>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</si>
  <si>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</si>
  <si>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</si>
  <si>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</si>
  <si>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</si>
  <si>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</si>
  <si>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</si>
  <si>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</si>
  <si>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</si>
  <si>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</si>
  <si>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</si>
  <si>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</si>
  <si>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</si>
  <si>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</si>
  <si>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</si>
  <si>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</si>
  <si>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</si>
  <si>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</si>
  <si>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</si>
  <si>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</si>
  <si>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</si>
  <si>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</si>
  <si>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</si>
  <si>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</si>
  <si>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</si>
  <si>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</si>
  <si>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</si>
  <si>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</si>
  <si>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</si>
  <si>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</si>
  <si>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</si>
  <si>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</si>
  <si>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</si>
  <si>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</si>
  <si>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</si>
  <si>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</si>
  <si>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</si>
  <si>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</si>
  <si>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</si>
  <si>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</si>
  <si>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</si>
  <si>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</si>
  <si>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</si>
  <si>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</si>
  <si>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</si>
  <si>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</si>
  <si>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</si>
  <si>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</si>
  <si>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</si>
  <si>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</si>
  <si>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</si>
  <si>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</si>
  <si>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</si>
  <si>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</si>
  <si>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</si>
  <si>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</si>
  <si>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</si>
  <si>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</si>
  <si>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</si>
  <si>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</si>
  <si>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</si>
  <si>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</si>
  <si>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</si>
  <si>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</si>
  <si>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</si>
  <si>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</si>
  <si>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</si>
  <si>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</si>
  <si>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</si>
  <si>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</si>
  <si>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</si>
  <si>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</si>
  <si>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</si>
  <si>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</si>
  <si>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</si>
  <si>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</si>
  <si>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</si>
  <si>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</si>
  <si>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</si>
  <si>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</si>
  <si>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</si>
  <si>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</si>
  <si>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</si>
  <si>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</si>
  <si>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</si>
  <si>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</si>
  <si>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</si>
  <si>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</si>
  <si>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</si>
  <si>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</si>
  <si>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</si>
  <si>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</si>
  <si>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</si>
  <si>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</si>
  <si>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</si>
  <si>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</si>
  <si>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</si>
  <si>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</si>
  <si>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</si>
  <si>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</si>
  <si>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</si>
  <si>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</si>
  <si>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</si>
  <si>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</si>
  <si>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</si>
  <si>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</si>
  <si>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</si>
  <si>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</si>
  <si>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</si>
  <si>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</si>
  <si>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</si>
  <si>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</si>
  <si>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</si>
  <si>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</si>
  <si>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</si>
  <si>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</si>
  <si>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</si>
  <si>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</si>
  <si>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</si>
  <si>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</si>
  <si>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</si>
  <si>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</si>
  <si>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</si>
  <si>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</si>
  <si>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</si>
  <si>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</si>
  <si>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</si>
  <si>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</si>
  <si>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</si>
  <si>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</si>
  <si>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</si>
  <si>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</si>
  <si>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</si>
  <si>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</si>
  <si>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</si>
  <si>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</si>
  <si>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</si>
  <si>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</si>
  <si>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</si>
  <si>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</si>
  <si>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</si>
  <si>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</si>
  <si>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</si>
  <si>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</si>
  <si>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</si>
  <si>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</si>
  <si>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</si>
  <si>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</si>
  <si>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</si>
  <si>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</si>
  <si>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</si>
  <si>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</si>
  <si>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</si>
  <si>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</si>
  <si>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</si>
  <si>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</si>
  <si>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</si>
  <si>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</si>
  <si>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</si>
  <si>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</si>
  <si>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</si>
  <si>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</si>
  <si>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</si>
  <si>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</si>
  <si>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</si>
  <si>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</si>
  <si>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</si>
  <si>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</si>
  <si>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</si>
  <si>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</si>
  <si>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</si>
  <si>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</si>
  <si>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</si>
  <si>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</si>
  <si>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</si>
  <si>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</si>
  <si>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</si>
  <si>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</si>
  <si>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</si>
  <si>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</si>
  <si>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</si>
  <si>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</si>
  <si>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</si>
  <si>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</si>
  <si>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</si>
  <si>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</si>
  <si>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</si>
  <si>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</si>
  <si>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</si>
  <si>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</si>
  <si>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</si>
  <si>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</si>
  <si>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</si>
  <si>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</si>
  <si>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</si>
  <si>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</si>
  <si>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</si>
  <si>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</si>
  <si>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</si>
  <si>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</si>
  <si>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</si>
  <si>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</si>
  <si>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</si>
  <si>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</si>
  <si>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</si>
  <si>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</si>
  <si>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</si>
  <si>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</si>
  <si>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</si>
  <si>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</si>
  <si>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</si>
  <si>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</si>
  <si>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</si>
  <si>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</si>
  <si>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</si>
  <si>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</si>
  <si>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</si>
  <si>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</si>
  <si>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</si>
  <si>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</si>
  <si>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</si>
  <si>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</si>
  <si>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</si>
  <si>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</si>
  <si>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</si>
  <si>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</si>
  <si>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</si>
  <si>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</si>
  <si>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</si>
  <si>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</si>
  <si>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</si>
  <si>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</si>
  <si>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</si>
  <si>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</si>
  <si>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</si>
  <si>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</si>
  <si>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</si>
  <si>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</si>
  <si>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</si>
  <si>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</si>
  <si>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</si>
  <si>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</si>
  <si>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</si>
  <si>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</si>
  <si>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</si>
  <si>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</si>
  <si>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</si>
  <si>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</si>
  <si>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</si>
  <si>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</si>
  <si>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</si>
  <si>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</si>
  <si>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</si>
  <si>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</si>
  <si>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</si>
  <si>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</si>
  <si>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</si>
  <si>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</si>
  <si>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</si>
  <si>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</si>
  <si>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</si>
  <si>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</si>
  <si>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</si>
  <si>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</si>
  <si>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</si>
  <si>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</si>
  <si>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</si>
  <si>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</si>
  <si>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</si>
  <si>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</si>
  <si>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</si>
  <si>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</si>
  <si>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</si>
  <si>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</si>
  <si>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</si>
  <si>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</si>
  <si>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</si>
  <si>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</si>
  <si>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</si>
  <si>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</si>
  <si>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</si>
  <si>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</si>
  <si>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</si>
  <si>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</si>
  <si>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</si>
  <si>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</si>
  <si>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</si>
  <si>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</si>
  <si>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</si>
  <si>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</si>
  <si>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</si>
  <si>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</si>
  <si>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</si>
  <si>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</si>
  <si>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</si>
  <si>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</si>
  <si>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</si>
  <si>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</si>
  <si>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</si>
  <si>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</si>
  <si>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</si>
  <si>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</si>
  <si>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</si>
  <si>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</si>
  <si>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</si>
  <si>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</si>
  <si>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</si>
  <si>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</si>
  <si>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</si>
  <si>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</si>
  <si>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</si>
  <si>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</si>
  <si>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</si>
  <si>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</si>
  <si>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</si>
  <si>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</si>
  <si>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</si>
  <si>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</si>
  <si>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</si>
  <si>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</si>
  <si>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</si>
  <si>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</si>
  <si>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</si>
  <si>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</si>
  <si>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</si>
  <si>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</si>
  <si>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</si>
  <si>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</si>
  <si>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</si>
  <si>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</si>
  <si>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</si>
  <si>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</si>
  <si>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</si>
  <si>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</si>
  <si>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</si>
  <si>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</si>
  <si>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</si>
  <si>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</si>
  <si>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</si>
  <si>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</si>
  <si>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</si>
  <si>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</si>
  <si>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</si>
  <si>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</si>
  <si>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</si>
  <si>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</si>
  <si>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</si>
  <si>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</si>
  <si>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</si>
  <si>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</si>
  <si>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</si>
  <si>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</si>
  <si>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</si>
  <si>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</si>
  <si>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</si>
  <si>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</si>
  <si>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</si>
  <si>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</si>
  <si>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</si>
  <si>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</si>
  <si>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</si>
  <si>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</si>
  <si>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</si>
  <si>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</si>
  <si>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</si>
  <si>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</si>
  <si>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</si>
  <si>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</si>
  <si>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</si>
  <si>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</si>
  <si>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</si>
  <si>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</si>
  <si>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</si>
  <si>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</si>
  <si>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</si>
  <si>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</si>
  <si>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</si>
  <si>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</si>
  <si>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</si>
  <si>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</si>
  <si>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</si>
  <si>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</si>
  <si>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</si>
  <si>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</si>
  <si>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</si>
  <si>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</si>
  <si>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</si>
  <si>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</si>
  <si>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</si>
  <si>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</si>
  <si>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</si>
  <si>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</si>
  <si>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</si>
  <si>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</si>
  <si>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</si>
  <si>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</si>
  <si>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</si>
  <si>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</si>
  <si>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</si>
  <si>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</si>
  <si>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</si>
  <si>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</si>
  <si>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</si>
  <si>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</si>
  <si>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</si>
  <si>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</si>
  <si>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</si>
  <si>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</si>
  <si>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</si>
  <si>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</si>
  <si>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</si>
  <si>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</si>
  <si>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</si>
  <si>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</si>
  <si>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</si>
  <si>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</si>
  <si>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</si>
  <si>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</si>
  <si>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</si>
  <si>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</si>
  <si>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</si>
  <si>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</si>
  <si>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</si>
  <si>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</si>
  <si>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</si>
  <si>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</si>
  <si>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</si>
  <si>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</si>
  <si>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</si>
  <si>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</si>
  <si>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</si>
  <si>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</si>
  <si>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</si>
  <si>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</si>
  <si>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</si>
  <si>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</si>
  <si>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</si>
  <si>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</si>
  <si>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</si>
  <si>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</si>
  <si>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</si>
  <si>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</si>
  <si>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</si>
  <si>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</si>
  <si>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</si>
  <si>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</si>
  <si>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</si>
  <si>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</si>
  <si>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</si>
  <si>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</si>
  <si>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</si>
  <si>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</si>
  <si>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</si>
  <si>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</si>
  <si>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</si>
  <si>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</si>
  <si>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</si>
  <si>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</si>
  <si>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</si>
  <si>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</si>
  <si>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</si>
  <si>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</si>
  <si>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</si>
  <si>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</si>
  <si>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</si>
  <si>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</si>
  <si>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</si>
  <si>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</si>
  <si>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</si>
  <si>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</si>
  <si>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</si>
  <si>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</si>
  <si>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</si>
  <si>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</si>
  <si>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</si>
  <si>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</si>
  <si>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</si>
  <si>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</si>
  <si>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</si>
  <si>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</si>
  <si>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</si>
  <si>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</si>
  <si>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</si>
  <si>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</si>
  <si>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</si>
  <si>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</si>
  <si>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</si>
  <si>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</si>
  <si>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</si>
  <si>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</si>
  <si>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</si>
  <si>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</si>
  <si>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</si>
  <si>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</si>
  <si>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</si>
  <si>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</si>
  <si>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</si>
  <si>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</si>
  <si>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</si>
  <si>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</si>
  <si>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</si>
  <si>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</si>
  <si>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</si>
  <si>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</si>
  <si>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</si>
  <si>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</si>
  <si>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</si>
  <si>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</si>
  <si>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</si>
  <si>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</si>
  <si>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</si>
  <si>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</si>
  <si>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</si>
  <si>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</si>
  <si>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</si>
  <si>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</si>
  <si>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</si>
  <si>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</si>
  <si>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</si>
  <si>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</si>
  <si>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</si>
  <si>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</si>
  <si>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</si>
  <si>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</si>
  <si>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</si>
  <si>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</si>
  <si>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</si>
  <si>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</si>
  <si>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</si>
  <si>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</si>
  <si>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</si>
  <si>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</si>
  <si>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</si>
  <si>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</si>
  <si>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</si>
  <si>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</si>
  <si>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</si>
  <si>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</si>
  <si>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</si>
  <si>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</si>
  <si>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</si>
  <si>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</si>
  <si>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</si>
  <si>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</si>
  <si>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</si>
  <si>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</si>
  <si>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</si>
  <si>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</si>
  <si>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</si>
  <si>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</si>
  <si>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</si>
  <si>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</si>
  <si>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</si>
  <si>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</si>
  <si>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</si>
  <si>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</si>
  <si>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</si>
  <si>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</si>
  <si>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</si>
  <si>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</si>
  <si>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</si>
  <si>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</si>
  <si>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</si>
  <si>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</si>
  <si>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</si>
  <si>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</si>
  <si>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</si>
  <si>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</si>
  <si>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</si>
  <si>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</si>
  <si>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</si>
  <si>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</si>
  <si>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</si>
  <si>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</si>
  <si>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</si>
  <si>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</si>
  <si>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</si>
  <si>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</si>
  <si>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</si>
  <si>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</si>
  <si>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</si>
  <si>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</si>
  <si>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</si>
  <si>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</si>
  <si>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</si>
  <si>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</si>
  <si>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</si>
  <si>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</si>
  <si>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</si>
  <si>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</si>
  <si>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</si>
  <si>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</si>
  <si>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</si>
  <si>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</si>
  <si>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</si>
  <si>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</si>
  <si>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</si>
  <si>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</si>
  <si>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</si>
  <si>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</si>
  <si>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</si>
  <si>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</si>
  <si>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</si>
  <si>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</si>
  <si>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</si>
  <si>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</si>
  <si>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</si>
  <si>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</si>
  <si>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</si>
  <si>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</si>
  <si>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</si>
  <si>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</si>
  <si>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</si>
  <si>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</si>
  <si>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</si>
  <si>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</si>
  <si>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</si>
  <si>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</si>
  <si>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</si>
  <si>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</si>
  <si>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</si>
  <si>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</si>
  <si>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</si>
  <si>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</si>
  <si>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</si>
  <si>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</si>
  <si>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</si>
  <si>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</si>
  <si>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</si>
  <si>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</si>
  <si>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</si>
  <si>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</si>
  <si>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</si>
  <si>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</si>
  <si>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</si>
  <si>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</si>
  <si>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</si>
  <si>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</si>
  <si>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</si>
  <si>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</si>
  <si>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</si>
  <si>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</si>
  <si>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</si>
  <si>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</si>
  <si>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</si>
  <si>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</si>
  <si>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</si>
  <si>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</si>
  <si>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</si>
  <si>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</si>
  <si>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</si>
  <si>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</si>
  <si>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</si>
  <si>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</si>
  <si>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</si>
  <si>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</si>
  <si>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</si>
  <si>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</si>
  <si>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</si>
  <si>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</si>
  <si>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</si>
  <si>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</si>
  <si>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</si>
  <si>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</si>
  <si>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</si>
  <si>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</si>
  <si>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</si>
  <si>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</si>
  <si>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</si>
  <si>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</si>
  <si>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</si>
  <si>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</si>
  <si>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</si>
  <si>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</si>
  <si>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</si>
  <si>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</si>
  <si>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</si>
  <si>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</si>
  <si>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</si>
  <si>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</si>
  <si>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</si>
  <si>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</si>
  <si>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</si>
  <si>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</si>
  <si>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</si>
  <si>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</si>
  <si>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</si>
  <si>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</si>
  <si>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</si>
  <si>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</si>
  <si>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</si>
  <si>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</si>
  <si>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</si>
  <si>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</si>
  <si>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</si>
  <si>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</si>
  <si>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</si>
  <si>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</si>
  <si>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</si>
  <si>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</si>
  <si>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</si>
  <si>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</si>
  <si>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</si>
  <si>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</si>
  <si>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</si>
  <si>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</si>
  <si>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</si>
  <si>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</si>
  <si>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</si>
  <si>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</si>
  <si>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</si>
  <si>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</si>
  <si>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</si>
  <si>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</si>
  <si>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</si>
  <si>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</si>
  <si>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</si>
  <si>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</si>
  <si>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</si>
  <si>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</si>
  <si>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</si>
  <si>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</si>
  <si>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</si>
  <si>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</si>
  <si>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</si>
  <si>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</si>
  <si>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</si>
  <si>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</si>
  <si>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</si>
  <si>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</si>
  <si>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</si>
  <si>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</si>
  <si>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</si>
  <si>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</si>
  <si>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</si>
  <si>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</si>
  <si>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</si>
  <si>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</si>
  <si>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</si>
  <si>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</si>
  <si>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</si>
  <si>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</si>
  <si>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</si>
  <si>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</si>
  <si>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</si>
  <si>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</si>
  <si>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</si>
  <si>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</si>
  <si>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</si>
  <si>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</si>
  <si>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</si>
  <si>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</si>
  <si>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</si>
  <si>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</si>
  <si>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</si>
  <si>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</si>
  <si>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</si>
  <si>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</si>
  <si>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</si>
  <si>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</si>
  <si>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</si>
  <si>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</si>
  <si>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</si>
  <si>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</si>
  <si>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</si>
  <si>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</si>
  <si>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</si>
  <si>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</si>
  <si>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</si>
  <si>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</si>
  <si>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</si>
  <si>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</si>
  <si>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</si>
  <si>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</si>
  <si>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</si>
  <si>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</si>
  <si>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</si>
  <si>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</si>
  <si>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</si>
  <si>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</si>
  <si>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</si>
  <si>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</si>
  <si>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</si>
  <si>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</si>
  <si>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</si>
  <si>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</si>
  <si>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</si>
  <si>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</si>
  <si>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</si>
  <si>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</si>
  <si>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</si>
  <si>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</si>
  <si>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</si>
  <si>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</si>
  <si>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</si>
  <si>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</si>
  <si>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</si>
  <si>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</si>
  <si>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</si>
  <si>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</si>
  <si>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</si>
  <si>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</si>
  <si>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</si>
  <si>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</si>
  <si>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</si>
  <si>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</si>
  <si>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</si>
  <si>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</si>
  <si>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</si>
  <si>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</si>
  <si>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</si>
  <si>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</si>
  <si>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</si>
  <si>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</si>
  <si>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</si>
  <si>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</si>
  <si>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</si>
  <si>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</si>
  <si>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</si>
  <si>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</si>
  <si>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</si>
  <si>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</si>
  <si>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</si>
  <si>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</si>
  <si>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</si>
  <si>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</si>
  <si>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</si>
  <si>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</si>
  <si>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</si>
  <si>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</si>
  <si>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</si>
  <si>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</si>
  <si>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</si>
  <si>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</si>
  <si>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</si>
  <si>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</si>
  <si>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</si>
  <si>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</si>
  <si>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</si>
  <si>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</si>
  <si>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</si>
  <si>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</si>
  <si>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</si>
  <si>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</si>
  <si>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</si>
  <si>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</si>
  <si>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</si>
  <si>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</si>
  <si>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</si>
  <si>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</si>
  <si>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</si>
  <si>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</si>
  <si>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</si>
  <si>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</si>
  <si>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</si>
  <si>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</si>
  <si>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</si>
  <si>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</si>
  <si>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</si>
  <si>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</si>
  <si>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</si>
  <si>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</si>
  <si>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</si>
  <si>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</si>
  <si>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</si>
  <si>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</si>
  <si>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2021-11-10000189</t>
  </si>
  <si>
    <t>0324-2020</t>
  </si>
  <si>
    <t>0290-2020</t>
  </si>
  <si>
    <t>Prestación del Servicio Educativo en el establecimiento educativo no oficial COLEGIO MILITAR ALMIRANTE COLÓN, hasta por el numero de 1.675 estudiantes, de conformidad con la capacidad máxima de las sedes Vista Hermosa, Los Alpes, Simón Bolívar, Olaya Herrera y San José de los Campanos debidamente aprobada por la secretaria de educación Distrital.</t>
  </si>
  <si>
    <t>Prestación del Servicio Educativo en el establecimiento educativo no oficial COLEGIO MILITAR ALMIRANTE COLÓN, hasta por el numero de 1.784 estudiantes, de conformidad con la capacidad máxima de la sede principal y sus sedes debidamente aprobada por la secretaria de educación Distrital.</t>
  </si>
  <si>
    <t>Prestación del Servicio Educativo en el establecimiento educativo no oficial COLEGIO MILITAR ALMIRANTE COLÓN hasta por el numero de 1.572 estudiantes, de conformidad con la capacidad máxima de la sede principal y sus sedes debidamente aprobada por la secretaria de educación Distrital.</t>
  </si>
  <si>
    <t>Prestación del Servicio Educativo en el establecimiento educativo no oficial COLEGIO MILITAR ALMIRANTE COLÓN, hasta por el numero de 1.937 estudiantes, de conformidad con la capacidad máxima de la sede principal y sus sedes debidamente aprobada por la secretaria de educación Distrital.</t>
  </si>
  <si>
    <t>Prestación del Servicio Educativo en el establecimiento educativo no oficial COLEGIO MILITAR ALMIRANTE COLÓN durante el año lectivo a Niños, Niñas y Jóvenes beneficiarios del proyecto de ampliación de cobertura educativa primero la Gente en el distrito de Cartagena hasta por el numero de 2.205 estudiantes.</t>
  </si>
  <si>
    <t>Prestación del Servicio Educativo en el establecimiento educativo no oficial COLEGIO MILITAR ALMIRANTE COLÓN durante el año lectivo a Niños, Niñas de jardín y pre jardín y sus familias en distrito de Cartagena-</t>
  </si>
  <si>
    <t>SECRETARIA DE EDUCACIÓN DE DISTRITO DE CARTAGENA DE INDIAS</t>
  </si>
  <si>
    <t>7-278-070-2014</t>
  </si>
  <si>
    <t>7-316-107-2015</t>
  </si>
  <si>
    <t>7-044-099-2016</t>
  </si>
  <si>
    <t>7-207-17-2017</t>
  </si>
  <si>
    <t>7-05-09-2018</t>
  </si>
  <si>
    <t>7-05-09-2019</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</si>
  <si>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</si>
  <si>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Y HOGARES COMUNITARIOS DE BIENESTAR AGRUPADOS, EN CONFORMIDAD CON EL MANUAL OPERATIVO DE LA MODALIDAD COMUNITARIA Y EN EL SERVICIO HCB FAMILIA MUJER E INFANCIA – FAMI, EN CONFORMIDAD CON EL MANUAL OPERATIVO DE LA MODALIDAD FAMILIAR, EL LINEAMIENTO TÉCNICO PARA LA ATENCIÓN A LA PRIMERA INFANCIA Y LAS DIRECTRICES ESTABLECIDAS POR EL ICBF</t>
  </si>
  <si>
    <t>ICBF-CA-81278-201-2020-TOL</t>
  </si>
  <si>
    <t>PRESTAR LOS SERVICIOS PARA LA ATENCIÓN A LA PRIMERA INFANCIA EN LOS HOGARES COMUNITARIOS DE BIENESTAR HCB Y HOGARES COMUNITARIOS DE BIENESTAR AGRUPADOS, DE CONFORMIDAD CON EL MANUAL OPERATIVO DE LA MODALIDAD COMUNITARIA, EL LINEAMIENTO TÉCNICO PARA LA ATENCIÓN A LA PRIMERA INFANCIA Y LAS DIRECTRICES ESTABLECIDAS POR EL ICBF, EN ARMONIA CON LA POLITICA DE ESTADO PARA EL DESARROLLO INTEGRAL DE LA PRIMERA INFANCIA DE CERO A SIEMPRE</t>
  </si>
  <si>
    <t>25-18-267-2020</t>
  </si>
  <si>
    <t>25-18-265-2021</t>
  </si>
  <si>
    <t>25-18-266-2022</t>
  </si>
  <si>
    <t>MARIA EMPERATRIZ URZOLA GERMAN</t>
  </si>
  <si>
    <t>Urbanización Almirante Colón Mz Y lote 1 Etapa 2</t>
  </si>
  <si>
    <t>6570210 – 6573378 - 3002222267- 3132246604</t>
  </si>
  <si>
    <t>asociacionalmirantecolon@gmail.com</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</si>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</sst>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D7" zoomScale="70" zoomScaleNormal="70" zoomScaleSheetLayoutView="40" zoomScalePageLayoutView="40" workbookViewId="0">
      <selection activeCell="K26" sqref="K2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39" t="str">
        <f>HYPERLINK("#MI_Oferente_Singular!A114","CAPACIDAD RESIDUAL")</f>
        <v>CAPACIDAD RESIDUAL</v>
      </c>
      <c r="F8" s="240"/>
      <c r="G8" s="241"/>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39" t="str">
        <f>HYPERLINK("#MI_Oferente_Singular!A162","TALENTO HUMANO")</f>
        <v>TALENTO HUMANO</v>
      </c>
      <c r="F9" s="240"/>
      <c r="G9" s="241"/>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39" t="str">
        <f>HYPERLINK("#MI_Oferente_Singular!F162","INFRAESTRUCTURA")</f>
        <v>INFRAESTRUCTURA</v>
      </c>
      <c r="F10" s="240"/>
      <c r="G10" s="241"/>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2676</v>
      </c>
      <c r="D15" s="35"/>
      <c r="E15" s="35"/>
      <c r="F15" s="5"/>
      <c r="G15" s="32" t="s">
        <v>1168</v>
      </c>
      <c r="H15" s="103" t="s">
        <v>163</v>
      </c>
      <c r="I15" s="32" t="s">
        <v>2624</v>
      </c>
      <c r="J15" s="108" t="s">
        <v>2626</v>
      </c>
      <c r="L15" s="223" t="s">
        <v>8</v>
      </c>
      <c r="M15" s="223"/>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9" t="s">
        <v>11</v>
      </c>
      <c r="J19" s="140" t="s">
        <v>10</v>
      </c>
      <c r="K19" s="140" t="s">
        <v>2609</v>
      </c>
      <c r="L19" s="140" t="s">
        <v>1161</v>
      </c>
      <c r="M19" s="140" t="s">
        <v>1162</v>
      </c>
      <c r="N19" s="141" t="s">
        <v>2610</v>
      </c>
      <c r="O19" s="136"/>
      <c r="Q19" s="51"/>
      <c r="R19" s="51"/>
    </row>
    <row r="20" spans="1:23" ht="30" customHeight="1" x14ac:dyDescent="0.25">
      <c r="A20" s="9"/>
      <c r="B20" s="109">
        <v>806007709</v>
      </c>
      <c r="C20" s="5"/>
      <c r="D20" s="73"/>
      <c r="E20" s="5"/>
      <c r="F20" s="5"/>
      <c r="G20" s="5"/>
      <c r="H20" s="242"/>
      <c r="I20" s="148" t="s">
        <v>163</v>
      </c>
      <c r="J20" s="149" t="s">
        <v>165</v>
      </c>
      <c r="K20" s="150">
        <v>2183386960</v>
      </c>
      <c r="L20" s="151">
        <v>44197</v>
      </c>
      <c r="M20" s="151">
        <v>44551</v>
      </c>
      <c r="N20" s="134">
        <f>+(M20-L20)/30</f>
        <v>11.8</v>
      </c>
      <c r="O20" s="137"/>
      <c r="U20" s="133"/>
      <c r="V20" s="105">
        <f ca="1">NOW()</f>
        <v>44194.669773611109</v>
      </c>
      <c r="W20" s="105">
        <f ca="1">NOW()</f>
        <v>44194.669773611109</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8"/>
      <c r="I37" s="129"/>
      <c r="J37" s="129"/>
      <c r="K37" s="129"/>
      <c r="L37" s="129"/>
      <c r="M37" s="129"/>
      <c r="N37" s="129"/>
      <c r="O37" s="130"/>
    </row>
    <row r="38" spans="1:16" ht="21" customHeight="1" x14ac:dyDescent="0.25">
      <c r="A38" s="9"/>
      <c r="B38" s="237" t="str">
        <f>VLOOKUP(B20,EAS!A2:B1439,2,0)</f>
        <v>ASOCIACIÓN COLEGIO MILITAR ALMIRANTE COLÓN</v>
      </c>
      <c r="C38" s="237"/>
      <c r="D38" s="237"/>
      <c r="E38" s="237"/>
      <c r="F38" s="237"/>
      <c r="G38" s="5"/>
      <c r="H38" s="131"/>
      <c r="I38" s="246" t="s">
        <v>7</v>
      </c>
      <c r="J38" s="246"/>
      <c r="K38" s="246"/>
      <c r="L38" s="246"/>
      <c r="M38" s="246"/>
      <c r="N38" s="246"/>
      <c r="O38" s="132"/>
    </row>
    <row r="39" spans="1:16" ht="42.95" customHeight="1" thickBot="1" x14ac:dyDescent="0.3">
      <c r="A39" s="10"/>
      <c r="B39" s="11"/>
      <c r="C39" s="11"/>
      <c r="D39" s="11"/>
      <c r="E39" s="11"/>
      <c r="F39" s="11"/>
      <c r="G39" s="11"/>
      <c r="H39" s="10"/>
      <c r="I39" s="232" t="s">
        <v>2703</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2665</v>
      </c>
      <c r="C48" s="112" t="s">
        <v>31</v>
      </c>
      <c r="D48" s="120" t="s">
        <v>2677</v>
      </c>
      <c r="E48" s="144">
        <v>43922</v>
      </c>
      <c r="F48" s="144">
        <v>44165</v>
      </c>
      <c r="G48" s="159">
        <f>IF(AND(E48&lt;&gt;"",F48&lt;&gt;""),((F48-E48)/30),"")</f>
        <v>8.1</v>
      </c>
      <c r="H48" s="114" t="s">
        <v>2693</v>
      </c>
      <c r="I48" s="113" t="s">
        <v>208</v>
      </c>
      <c r="J48" s="113" t="s">
        <v>210</v>
      </c>
      <c r="K48" s="116">
        <v>786176379</v>
      </c>
      <c r="L48" s="115" t="s">
        <v>1148</v>
      </c>
      <c r="M48" s="117"/>
      <c r="N48" s="115" t="s">
        <v>2634</v>
      </c>
      <c r="O48" s="115" t="s">
        <v>1148</v>
      </c>
      <c r="P48" s="78"/>
    </row>
    <row r="49" spans="1:16" s="6" customFormat="1" ht="24.75" customHeight="1" x14ac:dyDescent="0.25">
      <c r="A49" s="142">
        <v>2</v>
      </c>
      <c r="B49" s="111" t="s">
        <v>2665</v>
      </c>
      <c r="C49" s="112" t="s">
        <v>31</v>
      </c>
      <c r="D49" s="110" t="s">
        <v>2678</v>
      </c>
      <c r="E49" s="144">
        <v>43922</v>
      </c>
      <c r="F49" s="144">
        <v>44165</v>
      </c>
      <c r="G49" s="159">
        <f t="shared" ref="G49:G50" si="2">IF(AND(E49&lt;&gt;"",F49&lt;&gt;""),((F49-E49)/30),"")</f>
        <v>8.1</v>
      </c>
      <c r="H49" s="114" t="s">
        <v>2693</v>
      </c>
      <c r="I49" s="113" t="s">
        <v>208</v>
      </c>
      <c r="J49" s="113" t="s">
        <v>210</v>
      </c>
      <c r="K49" s="116">
        <v>363159590</v>
      </c>
      <c r="L49" s="115" t="s">
        <v>1148</v>
      </c>
      <c r="M49" s="117"/>
      <c r="N49" s="115" t="s">
        <v>2634</v>
      </c>
      <c r="O49" s="115" t="s">
        <v>1148</v>
      </c>
      <c r="P49" s="78"/>
    </row>
    <row r="50" spans="1:16" s="6" customFormat="1" ht="24.75" customHeight="1" x14ac:dyDescent="0.25">
      <c r="A50" s="142">
        <v>3</v>
      </c>
      <c r="B50" s="111" t="s">
        <v>2685</v>
      </c>
      <c r="C50" s="112" t="s">
        <v>31</v>
      </c>
      <c r="D50" s="110" t="s">
        <v>2686</v>
      </c>
      <c r="E50" s="144">
        <v>42174</v>
      </c>
      <c r="F50" s="144">
        <v>42369</v>
      </c>
      <c r="G50" s="159">
        <f t="shared" si="2"/>
        <v>6.5</v>
      </c>
      <c r="H50" s="119" t="s">
        <v>2679</v>
      </c>
      <c r="I50" s="113" t="s">
        <v>208</v>
      </c>
      <c r="J50" s="113" t="s">
        <v>210</v>
      </c>
      <c r="K50" s="116">
        <v>1688072954</v>
      </c>
      <c r="L50" s="115" t="s">
        <v>1148</v>
      </c>
      <c r="M50" s="117"/>
      <c r="N50" s="115" t="s">
        <v>27</v>
      </c>
      <c r="O50" s="115" t="s">
        <v>26</v>
      </c>
      <c r="P50" s="78"/>
    </row>
    <row r="51" spans="1:16" s="6" customFormat="1" ht="24.75" customHeight="1" outlineLevel="1" x14ac:dyDescent="0.25">
      <c r="A51" s="142">
        <v>4</v>
      </c>
      <c r="B51" s="121" t="s">
        <v>2685</v>
      </c>
      <c r="C51" s="112" t="s">
        <v>31</v>
      </c>
      <c r="D51" s="110" t="s">
        <v>2687</v>
      </c>
      <c r="E51" s="144">
        <v>42174</v>
      </c>
      <c r="F51" s="144">
        <v>42369</v>
      </c>
      <c r="G51" s="159">
        <f t="shared" ref="G51:G107" si="3">IF(AND(E51&lt;&gt;"",F51&lt;&gt;""),((F51-E51)/30),"")</f>
        <v>6.5</v>
      </c>
      <c r="H51" s="114" t="s">
        <v>2680</v>
      </c>
      <c r="I51" s="113" t="s">
        <v>208</v>
      </c>
      <c r="J51" s="113" t="s">
        <v>210</v>
      </c>
      <c r="K51" s="116">
        <v>1907688010</v>
      </c>
      <c r="L51" s="115" t="s">
        <v>1148</v>
      </c>
      <c r="M51" s="117"/>
      <c r="N51" s="115" t="s">
        <v>27</v>
      </c>
      <c r="O51" s="115" t="s">
        <v>26</v>
      </c>
      <c r="P51" s="78"/>
    </row>
    <row r="52" spans="1:16" s="7" customFormat="1" ht="24.75" customHeight="1" outlineLevel="1" x14ac:dyDescent="0.25">
      <c r="A52" s="143">
        <v>5</v>
      </c>
      <c r="B52" s="121" t="s">
        <v>2685</v>
      </c>
      <c r="C52" s="112" t="s">
        <v>31</v>
      </c>
      <c r="D52" s="110" t="s">
        <v>2688</v>
      </c>
      <c r="E52" s="144">
        <v>42451</v>
      </c>
      <c r="F52" s="144">
        <v>42735</v>
      </c>
      <c r="G52" s="159">
        <f t="shared" si="3"/>
        <v>9.4666666666666668</v>
      </c>
      <c r="H52" s="119" t="s">
        <v>2681</v>
      </c>
      <c r="I52" s="113" t="s">
        <v>208</v>
      </c>
      <c r="J52" s="113" t="s">
        <v>210</v>
      </c>
      <c r="K52" s="116">
        <v>1774453164</v>
      </c>
      <c r="L52" s="115" t="s">
        <v>1148</v>
      </c>
      <c r="M52" s="117"/>
      <c r="N52" s="115" t="s">
        <v>27</v>
      </c>
      <c r="O52" s="115" t="s">
        <v>26</v>
      </c>
      <c r="P52" s="79"/>
    </row>
    <row r="53" spans="1:16" s="7" customFormat="1" ht="24.75" customHeight="1" outlineLevel="1" x14ac:dyDescent="0.25">
      <c r="A53" s="143">
        <v>6</v>
      </c>
      <c r="B53" s="121" t="s">
        <v>2685</v>
      </c>
      <c r="C53" s="112" t="s">
        <v>31</v>
      </c>
      <c r="D53" s="110" t="s">
        <v>2689</v>
      </c>
      <c r="E53" s="144">
        <v>42831</v>
      </c>
      <c r="F53" s="144">
        <v>43100</v>
      </c>
      <c r="G53" s="159">
        <f t="shared" si="3"/>
        <v>8.9666666666666668</v>
      </c>
      <c r="H53" s="119" t="s">
        <v>2682</v>
      </c>
      <c r="I53" s="113" t="s">
        <v>208</v>
      </c>
      <c r="J53" s="113" t="s">
        <v>210</v>
      </c>
      <c r="K53" s="116">
        <v>2273917906</v>
      </c>
      <c r="L53" s="115" t="s">
        <v>1148</v>
      </c>
      <c r="M53" s="117"/>
      <c r="N53" s="115" t="s">
        <v>27</v>
      </c>
      <c r="O53" s="115" t="s">
        <v>26</v>
      </c>
      <c r="P53" s="79"/>
    </row>
    <row r="54" spans="1:16" s="7" customFormat="1" ht="24.75" customHeight="1" outlineLevel="1" x14ac:dyDescent="0.25">
      <c r="A54" s="143">
        <v>7</v>
      </c>
      <c r="B54" s="121" t="s">
        <v>2685</v>
      </c>
      <c r="C54" s="112" t="s">
        <v>31</v>
      </c>
      <c r="D54" s="110" t="s">
        <v>2690</v>
      </c>
      <c r="E54" s="144">
        <v>43463</v>
      </c>
      <c r="F54" s="144">
        <v>43781</v>
      </c>
      <c r="G54" s="159">
        <f t="shared" si="3"/>
        <v>10.6</v>
      </c>
      <c r="H54" s="114" t="s">
        <v>2683</v>
      </c>
      <c r="I54" s="113" t="s">
        <v>208</v>
      </c>
      <c r="J54" s="113" t="s">
        <v>210</v>
      </c>
      <c r="K54" s="118">
        <v>2692075680</v>
      </c>
      <c r="L54" s="115" t="s">
        <v>1148</v>
      </c>
      <c r="M54" s="117"/>
      <c r="N54" s="115" t="s">
        <v>27</v>
      </c>
      <c r="O54" s="115" t="s">
        <v>26</v>
      </c>
      <c r="P54" s="79"/>
    </row>
    <row r="55" spans="1:16" s="7" customFormat="1" ht="24.75" customHeight="1" outlineLevel="1" x14ac:dyDescent="0.25">
      <c r="A55" s="143">
        <v>8</v>
      </c>
      <c r="B55" s="121" t="s">
        <v>2685</v>
      </c>
      <c r="C55" s="112" t="s">
        <v>31</v>
      </c>
      <c r="D55" s="110" t="s">
        <v>2691</v>
      </c>
      <c r="E55" s="144">
        <v>43498</v>
      </c>
      <c r="F55" s="144">
        <v>43830</v>
      </c>
      <c r="G55" s="159">
        <f t="shared" si="3"/>
        <v>11.066666666666666</v>
      </c>
      <c r="H55" s="114" t="s">
        <v>2684</v>
      </c>
      <c r="I55" s="113" t="s">
        <v>208</v>
      </c>
      <c r="J55" s="113" t="s">
        <v>210</v>
      </c>
      <c r="K55" s="118">
        <v>600000000</v>
      </c>
      <c r="L55" s="115" t="s">
        <v>1148</v>
      </c>
      <c r="M55" s="117"/>
      <c r="N55" s="115" t="s">
        <v>1151</v>
      </c>
      <c r="O55" s="115" t="s">
        <v>26</v>
      </c>
      <c r="P55" s="79"/>
    </row>
    <row r="56" spans="1:16" s="7" customFormat="1" ht="24.75" customHeight="1" outlineLevel="1" x14ac:dyDescent="0.25">
      <c r="A56" s="143">
        <v>9</v>
      </c>
      <c r="B56" s="121" t="s">
        <v>2665</v>
      </c>
      <c r="C56" s="112" t="s">
        <v>31</v>
      </c>
      <c r="D56" s="110" t="s">
        <v>2694</v>
      </c>
      <c r="E56" s="144">
        <v>43887</v>
      </c>
      <c r="F56" s="144">
        <v>44196</v>
      </c>
      <c r="G56" s="159">
        <f t="shared" si="3"/>
        <v>10.3</v>
      </c>
      <c r="H56" s="114" t="s">
        <v>2692</v>
      </c>
      <c r="I56" s="113" t="s">
        <v>986</v>
      </c>
      <c r="J56" s="113" t="s">
        <v>988</v>
      </c>
      <c r="K56" s="118">
        <v>303250971</v>
      </c>
      <c r="L56" s="115" t="s">
        <v>1148</v>
      </c>
      <c r="M56" s="117"/>
      <c r="N56" s="115" t="s">
        <v>1151</v>
      </c>
      <c r="O56" s="115" t="s">
        <v>1148</v>
      </c>
      <c r="P56" s="79"/>
    </row>
    <row r="57" spans="1:16" s="7" customFormat="1" ht="24.75" customHeight="1" outlineLevel="1" x14ac:dyDescent="0.25">
      <c r="A57" s="143">
        <v>10</v>
      </c>
      <c r="B57" s="121" t="s">
        <v>2665</v>
      </c>
      <c r="C57" s="65" t="s">
        <v>31</v>
      </c>
      <c r="D57" s="63" t="s">
        <v>2696</v>
      </c>
      <c r="E57" s="144">
        <v>43902</v>
      </c>
      <c r="F57" s="144">
        <v>44165</v>
      </c>
      <c r="G57" s="159">
        <f t="shared" si="3"/>
        <v>8.7666666666666675</v>
      </c>
      <c r="H57" s="64" t="s">
        <v>2695</v>
      </c>
      <c r="I57" s="63" t="s">
        <v>516</v>
      </c>
      <c r="J57" s="63" t="s">
        <v>542</v>
      </c>
      <c r="K57" s="66">
        <v>641391117</v>
      </c>
      <c r="L57" s="65" t="s">
        <v>1148</v>
      </c>
      <c r="M57" s="67"/>
      <c r="N57" s="65" t="s">
        <v>2634</v>
      </c>
      <c r="O57" s="65" t="s">
        <v>1148</v>
      </c>
      <c r="P57" s="79"/>
    </row>
    <row r="58" spans="1:16" s="7" customFormat="1" ht="24.75" customHeight="1" outlineLevel="1" x14ac:dyDescent="0.25">
      <c r="A58" s="143">
        <v>11</v>
      </c>
      <c r="B58" s="121" t="s">
        <v>2665</v>
      </c>
      <c r="C58" s="65" t="s">
        <v>31</v>
      </c>
      <c r="D58" s="120" t="s">
        <v>2697</v>
      </c>
      <c r="E58" s="144">
        <v>43902</v>
      </c>
      <c r="F58" s="144">
        <v>44165</v>
      </c>
      <c r="G58" s="159">
        <f t="shared" si="3"/>
        <v>8.7666666666666675</v>
      </c>
      <c r="H58" s="64" t="s">
        <v>2695</v>
      </c>
      <c r="I58" s="63" t="s">
        <v>516</v>
      </c>
      <c r="J58" s="63" t="s">
        <v>553</v>
      </c>
      <c r="K58" s="66">
        <v>113824468</v>
      </c>
      <c r="L58" s="65" t="s">
        <v>1148</v>
      </c>
      <c r="M58" s="67"/>
      <c r="N58" s="65" t="s">
        <v>2634</v>
      </c>
      <c r="O58" s="65" t="s">
        <v>1148</v>
      </c>
      <c r="P58" s="79"/>
    </row>
    <row r="59" spans="1:16" s="7" customFormat="1" ht="24.75" customHeight="1" outlineLevel="1" x14ac:dyDescent="0.25">
      <c r="A59" s="143">
        <v>12</v>
      </c>
      <c r="B59" s="121" t="s">
        <v>2665</v>
      </c>
      <c r="C59" s="65" t="s">
        <v>31</v>
      </c>
      <c r="D59" s="120" t="s">
        <v>2698</v>
      </c>
      <c r="E59" s="144">
        <v>43902</v>
      </c>
      <c r="F59" s="144">
        <v>44165</v>
      </c>
      <c r="G59" s="159">
        <f t="shared" si="3"/>
        <v>8.7666666666666675</v>
      </c>
      <c r="H59" s="64" t="s">
        <v>2695</v>
      </c>
      <c r="I59" s="63" t="s">
        <v>516</v>
      </c>
      <c r="J59" s="63" t="s">
        <v>616</v>
      </c>
      <c r="K59" s="118">
        <v>406983631</v>
      </c>
      <c r="L59" s="65" t="s">
        <v>1148</v>
      </c>
      <c r="M59" s="67"/>
      <c r="N59" s="65" t="s">
        <v>2634</v>
      </c>
      <c r="O59" s="65" t="s">
        <v>1148</v>
      </c>
      <c r="P59" s="79"/>
    </row>
    <row r="60" spans="1:16" s="7" customFormat="1" ht="24.75" customHeight="1" outlineLevel="1" x14ac:dyDescent="0.25">
      <c r="A60" s="143">
        <v>13</v>
      </c>
      <c r="B60" s="64"/>
      <c r="C60" s="65"/>
      <c r="D60" s="63"/>
      <c r="E60" s="144"/>
      <c r="F60" s="144"/>
      <c r="G60" s="159" t="str">
        <f t="shared" si="3"/>
        <v/>
      </c>
      <c r="H60" s="121"/>
      <c r="I60" s="63"/>
      <c r="J60" s="63"/>
      <c r="K60" s="122"/>
      <c r="L60" s="65"/>
      <c r="M60" s="67"/>
      <c r="N60" s="65"/>
      <c r="O60" s="65"/>
      <c r="P60" s="79"/>
    </row>
    <row r="61" spans="1:16" s="7" customFormat="1" ht="24.75" customHeight="1" outlineLevel="1" x14ac:dyDescent="0.25">
      <c r="A61" s="143">
        <v>14</v>
      </c>
      <c r="B61" s="64"/>
      <c r="C61" s="65"/>
      <c r="D61" s="63"/>
      <c r="E61" s="144"/>
      <c r="F61" s="144"/>
      <c r="G61" s="159" t="str">
        <f t="shared" si="3"/>
        <v/>
      </c>
      <c r="H61" s="64"/>
      <c r="I61" s="63"/>
      <c r="J61" s="63"/>
      <c r="K61" s="66"/>
      <c r="L61" s="65"/>
      <c r="M61" s="67"/>
      <c r="N61" s="65"/>
      <c r="O61" s="65"/>
      <c r="P61" s="79"/>
    </row>
    <row r="62" spans="1:16" s="7" customFormat="1" ht="24.75" customHeight="1" outlineLevel="1" x14ac:dyDescent="0.25">
      <c r="A62" s="143">
        <v>15</v>
      </c>
      <c r="B62" s="64"/>
      <c r="C62" s="65"/>
      <c r="D62" s="63"/>
      <c r="E62" s="144"/>
      <c r="F62" s="144"/>
      <c r="G62" s="159" t="str">
        <f t="shared" si="3"/>
        <v/>
      </c>
      <c r="H62" s="64"/>
      <c r="I62" s="63"/>
      <c r="J62" s="63"/>
      <c r="K62" s="66"/>
      <c r="L62" s="65"/>
      <c r="M62" s="67"/>
      <c r="N62" s="65"/>
      <c r="O62" s="65"/>
      <c r="P62" s="79"/>
    </row>
    <row r="63" spans="1:16" s="7" customFormat="1" ht="24.75" customHeight="1" outlineLevel="1" x14ac:dyDescent="0.25">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7"/>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7"/>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7"/>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7"/>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7"/>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7"/>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7"/>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7"/>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7"/>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7"/>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7"/>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7"/>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7"/>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7"/>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7"/>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20" t="s">
        <v>2694</v>
      </c>
      <c r="E114" s="144">
        <v>43887</v>
      </c>
      <c r="F114" s="144">
        <v>44196</v>
      </c>
      <c r="G114" s="159">
        <f>IF(AND(E114&lt;&gt;"",F114&lt;&gt;""),((F114-E114)/30),"")</f>
        <v>10.3</v>
      </c>
      <c r="H114" s="121" t="s">
        <v>2692</v>
      </c>
      <c r="I114" s="120" t="s">
        <v>986</v>
      </c>
      <c r="J114" s="120" t="s">
        <v>988</v>
      </c>
      <c r="K114" s="118">
        <v>303250911</v>
      </c>
      <c r="L114" s="100" t="e">
        <f>+IF(AND(K114&gt;0,O114="Ejecución"),(K114/877802)*Tabla28[[#This Row],[% participación]],IF(AND(K114&gt;0,O114&lt;&gt;"Ejecución"),"-",""))</f>
        <v>#VALUE!</v>
      </c>
      <c r="M114" s="123" t="s">
        <v>1148</v>
      </c>
      <c r="N114" s="172" t="str">
        <f>+IF(M118="No",1,IF(M118="Si","Ingrese %",""))</f>
        <v/>
      </c>
      <c r="O114" s="161" t="s">
        <v>1150</v>
      </c>
      <c r="P114" s="78"/>
    </row>
    <row r="115" spans="1:16" s="6" customFormat="1" ht="24.75" customHeight="1" x14ac:dyDescent="0.25">
      <c r="A115" s="142">
        <v>2</v>
      </c>
      <c r="B115" s="160" t="s">
        <v>2665</v>
      </c>
      <c r="C115" s="162" t="s">
        <v>31</v>
      </c>
      <c r="D115" s="63"/>
      <c r="E115" s="144"/>
      <c r="F115" s="144"/>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2">
        <v>3</v>
      </c>
      <c r="B116" s="160" t="s">
        <v>2665</v>
      </c>
      <c r="C116" s="162" t="s">
        <v>31</v>
      </c>
      <c r="D116" s="63"/>
      <c r="E116" s="144"/>
      <c r="F116" s="144"/>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2">
        <v>4</v>
      </c>
      <c r="B117" s="160" t="s">
        <v>2665</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2665</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26</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2651</v>
      </c>
      <c r="I167" s="214" t="s">
        <v>2643</v>
      </c>
      <c r="J167" s="215"/>
      <c r="K167" s="215"/>
      <c r="L167" s="215"/>
      <c r="M167" s="215"/>
      <c r="N167" s="215"/>
      <c r="O167" s="216"/>
      <c r="U167" s="51"/>
    </row>
    <row r="168" spans="1:28" x14ac:dyDescent="0.25">
      <c r="A168" s="9"/>
      <c r="B168" s="233" t="s">
        <v>2658</v>
      </c>
      <c r="C168" s="233"/>
      <c r="D168" s="233"/>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6"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3"/>
      <c r="Z178" s="164" t="str">
        <f>IF(Y178&gt;0,SUM(E180+Y178),"")</f>
        <v/>
      </c>
      <c r="AA178" s="19"/>
      <c r="AB178" s="19"/>
    </row>
    <row r="179" spans="1:28" ht="23.25" x14ac:dyDescent="0.25">
      <c r="A179" s="9"/>
      <c r="B179" s="190" t="s">
        <v>2669</v>
      </c>
      <c r="C179" s="190"/>
      <c r="D179" s="190"/>
      <c r="E179" s="170">
        <v>0.02</v>
      </c>
      <c r="F179" s="169">
        <v>0</v>
      </c>
      <c r="G179" s="164" t="str">
        <f>IF(F179&gt;0,SUM(E179+F179),"")</f>
        <v/>
      </c>
      <c r="H179" s="5"/>
      <c r="I179" s="190" t="s">
        <v>2671</v>
      </c>
      <c r="J179" s="190"/>
      <c r="K179" s="190"/>
      <c r="L179" s="190"/>
      <c r="M179" s="171">
        <v>0.02</v>
      </c>
      <c r="O179" s="8"/>
      <c r="Q179" s="19"/>
      <c r="R179" s="158">
        <f>IF(M179&gt;0,SUM(L179+M179),"")</f>
        <v>0.02</v>
      </c>
      <c r="T179" s="19"/>
      <c r="U179" s="236" t="s">
        <v>1166</v>
      </c>
      <c r="V179" s="236"/>
      <c r="W179" s="236"/>
      <c r="X179" s="24">
        <v>0.02</v>
      </c>
      <c r="Y179" s="163"/>
      <c r="Z179" s="164" t="str">
        <f>IF(Y179&gt;0,SUM(E181+Y179),"")</f>
        <v/>
      </c>
      <c r="AA179" s="19"/>
      <c r="AB179" s="19"/>
    </row>
    <row r="180" spans="1:28" ht="23.25" hidden="1" x14ac:dyDescent="0.25">
      <c r="A180" s="9"/>
      <c r="B180" s="176"/>
      <c r="C180" s="176"/>
      <c r="D180" s="176"/>
      <c r="E180" s="168"/>
      <c r="H180" s="5"/>
      <c r="I180" s="176"/>
      <c r="J180" s="176"/>
      <c r="K180" s="176"/>
      <c r="L180" s="176"/>
      <c r="M180" s="5"/>
      <c r="O180" s="8"/>
      <c r="Q180" s="19"/>
      <c r="R180" s="158" t="str">
        <f>IF(S180&gt;0,SUM(L180+S180),"")</f>
        <v/>
      </c>
      <c r="S180" s="163"/>
      <c r="T180" s="19"/>
      <c r="U180" s="236" t="s">
        <v>1167</v>
      </c>
      <c r="V180" s="236"/>
      <c r="W180" s="236"/>
      <c r="X180" s="24">
        <v>0.03</v>
      </c>
      <c r="Y180" s="163"/>
      <c r="Z180" s="164" t="str">
        <f>IF(Y180&gt;0,SUM(E182+Y180),"")</f>
        <v/>
      </c>
      <c r="AA180" s="19"/>
      <c r="AB180" s="19"/>
    </row>
    <row r="181" spans="1:28" ht="23.25" hidden="1" x14ac:dyDescent="0.25">
      <c r="A181" s="9"/>
      <c r="B181" s="176"/>
      <c r="C181" s="176"/>
      <c r="D181" s="176"/>
      <c r="E181" s="168"/>
      <c r="H181" s="5"/>
      <c r="I181" s="176"/>
      <c r="J181" s="176"/>
      <c r="K181" s="176"/>
      <c r="L181" s="176"/>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6"/>
      <c r="C182" s="176"/>
      <c r="D182" s="176"/>
      <c r="E182" s="168"/>
      <c r="H182" s="5"/>
      <c r="I182" s="176"/>
      <c r="J182" s="176"/>
      <c r="K182" s="176"/>
      <c r="L182" s="176"/>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v>
      </c>
      <c r="D185" s="91" t="s">
        <v>2628</v>
      </c>
      <c r="E185" s="94">
        <f>+(C185*SUM(K20:K35))</f>
        <v>0</v>
      </c>
      <c r="F185" s="92"/>
      <c r="G185" s="93"/>
      <c r="H185" s="88"/>
      <c r="I185" s="90" t="s">
        <v>2627</v>
      </c>
      <c r="J185" s="165">
        <f>+SUM(M179:M183)</f>
        <v>0.02</v>
      </c>
      <c r="K185" s="235" t="s">
        <v>2628</v>
      </c>
      <c r="L185" s="235"/>
      <c r="M185" s="94">
        <f>+J185*(SUM(K20:K35))</f>
        <v>43667739.200000003</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4" t="s">
        <v>2636</v>
      </c>
      <c r="C192" s="194"/>
      <c r="E192" s="5" t="s">
        <v>20</v>
      </c>
      <c r="H192" s="26" t="s">
        <v>24</v>
      </c>
      <c r="J192" s="5" t="s">
        <v>2637</v>
      </c>
      <c r="K192" s="5"/>
      <c r="M192" s="5"/>
      <c r="N192" s="5"/>
      <c r="O192" s="8"/>
      <c r="Q192" s="153"/>
      <c r="R192" s="154"/>
      <c r="S192" s="154"/>
      <c r="T192" s="153"/>
    </row>
    <row r="193" spans="1:18" x14ac:dyDescent="0.25">
      <c r="A193" s="9"/>
      <c r="C193" s="124">
        <v>35018</v>
      </c>
      <c r="D193" s="5"/>
      <c r="E193" s="125">
        <v>1911</v>
      </c>
      <c r="F193" s="5"/>
      <c r="G193" s="5"/>
      <c r="H193" s="146" t="s">
        <v>2699</v>
      </c>
      <c r="J193" s="5"/>
      <c r="K193" s="126">
        <v>43887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2700</v>
      </c>
      <c r="J211" s="27" t="s">
        <v>2622</v>
      </c>
      <c r="K211" s="147" t="s">
        <v>2700</v>
      </c>
      <c r="L211" s="21"/>
      <c r="M211" s="21"/>
      <c r="N211" s="21"/>
      <c r="O211" s="8"/>
    </row>
    <row r="212" spans="1:15" x14ac:dyDescent="0.25">
      <c r="A212" s="9"/>
      <c r="B212" s="27" t="s">
        <v>2619</v>
      </c>
      <c r="C212" s="146" t="s">
        <v>2699</v>
      </c>
      <c r="D212" s="21"/>
      <c r="G212" s="27" t="s">
        <v>2621</v>
      </c>
      <c r="H212" s="147" t="s">
        <v>2701</v>
      </c>
      <c r="J212" s="27" t="s">
        <v>2623</v>
      </c>
      <c r="K212" s="146" t="s">
        <v>2702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 type="whole" allowBlank="1" showInputMessage="1" showErrorMessage="1" sqref="K61:K107 K48:K59" xr:uid="{00000000-0002-0000-0000-000012000000}">
      <formula1>0</formula1>
      <formula2>99999999999999900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Empresa CastelSua</cp:lastModifiedBy>
  <cp:lastPrinted>2020-11-20T15:12:35Z</cp:lastPrinted>
  <dcterms:created xsi:type="dcterms:W3CDTF">2020-10-14T21:57:42Z</dcterms:created>
  <dcterms:modified xsi:type="dcterms:W3CDTF">2020-12-29T21:04:56Z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