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RY REALPE\Music\Nueva carpeta\"/>
    </mc:Choice>
  </mc:AlternateContent>
  <xr:revisionPtr revIDLastSave="0" documentId="13_ncr:1_{EAFC8F1B-1141-4EFF-B9DE-B50B9DF02285}"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<sst xmlns="http://schemas.openxmlformats.org/spreadsheetml/2006/main" count="4642" uniqueCount="2770">
  <si>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</si>
  <si>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</si>
  <si>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</si>
  <si>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</si>
  <si>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</si>
  <si>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</si>
  <si>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</si>
  <si>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</si>
  <si>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</si>
  <si>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</si>
  <si>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</si>
  <si>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</si>
  <si>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</si>
  <si>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</si>
  <si>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</si>
  <si>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</si>
  <si>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</si>
  <si>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</si>
  <si>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</si>
  <si>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</si>
  <si>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</si>
  <si>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</si>
  <si>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</si>
  <si>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</si>
  <si>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</si>
  <si>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</si>
  <si>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</si>
  <si>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</si>
  <si>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</si>
  <si>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</si>
  <si>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</si>
  <si>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</si>
  <si>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</si>
  <si>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</si>
  <si>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</si>
  <si>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</si>
  <si>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</si>
  <si>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</si>
  <si>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</si>
  <si>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</si>
  <si>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</si>
  <si>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</si>
  <si>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</si>
  <si>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</si>
  <si>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</si>
  <si>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</si>
  <si>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</si>
  <si>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</si>
  <si>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</si>
  <si>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</si>
  <si>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</si>
  <si>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</si>
  <si>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</si>
  <si>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</si>
  <si>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</si>
  <si>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</si>
  <si>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</si>
  <si>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</si>
  <si>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</si>
  <si>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</si>
  <si>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</si>
  <si>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</si>
  <si>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</si>
  <si>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</si>
  <si>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</si>
  <si>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</si>
  <si>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</si>
  <si>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</si>
  <si>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</si>
  <si>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</si>
  <si>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</si>
  <si>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</si>
  <si>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</si>
  <si>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</si>
  <si>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</si>
  <si>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</si>
  <si>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</si>
  <si>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</si>
  <si>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</si>
  <si>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</si>
  <si>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</si>
  <si>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</si>
  <si>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</si>
  <si>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</si>
  <si>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</si>
  <si>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</si>
  <si>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</si>
  <si>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</si>
  <si>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</si>
  <si>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</si>
  <si>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</si>
  <si>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</si>
  <si>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</si>
  <si>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</si>
  <si>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</si>
  <si>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</si>
  <si>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</si>
  <si>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</si>
  <si>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</si>
  <si>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</si>
  <si>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</si>
  <si>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</si>
  <si>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</si>
  <si>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</si>
  <si>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</si>
  <si>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</si>
  <si>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</si>
  <si>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</si>
  <si>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</si>
  <si>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</si>
  <si>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</si>
  <si>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</si>
  <si>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</si>
  <si>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</si>
  <si>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</si>
  <si>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</si>
  <si>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</si>
  <si>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</si>
  <si>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</si>
  <si>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</si>
  <si>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</si>
  <si>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</si>
  <si>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</si>
  <si>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</si>
  <si>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</si>
  <si>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</si>
  <si>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</si>
  <si>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</si>
  <si>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</si>
  <si>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</si>
  <si>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</si>
  <si>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</si>
  <si>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</si>
  <si>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</si>
  <si>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</si>
  <si>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</si>
  <si>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</si>
  <si>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</si>
  <si>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</si>
  <si>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</si>
  <si>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</si>
  <si>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</si>
  <si>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</si>
  <si>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</si>
  <si>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</si>
  <si>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</si>
  <si>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</si>
  <si>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</si>
  <si>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</si>
  <si>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</si>
  <si>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</si>
  <si>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</si>
  <si>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</si>
  <si>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</si>
  <si>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</si>
  <si>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</si>
  <si>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</si>
  <si>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</si>
  <si>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</si>
  <si>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</si>
  <si>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</si>
  <si>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</si>
  <si>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</si>
  <si>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</si>
  <si>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</si>
  <si>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</si>
  <si>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</si>
  <si>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</si>
  <si>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</si>
  <si>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</si>
  <si>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</si>
  <si>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</si>
  <si>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</si>
  <si>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</si>
  <si>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</si>
  <si>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</si>
  <si>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</si>
  <si>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</si>
  <si>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</si>
  <si>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</si>
  <si>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</si>
  <si>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</si>
  <si>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</si>
  <si>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</si>
  <si>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</si>
  <si>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</si>
  <si>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</si>
  <si>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</si>
  <si>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</si>
  <si>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</si>
  <si>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</si>
  <si>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</si>
  <si>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</si>
  <si>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</si>
  <si>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</si>
  <si>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</si>
  <si>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</si>
  <si>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</si>
  <si>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</si>
  <si>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</si>
  <si>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</si>
  <si>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</si>
  <si>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</si>
  <si>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</si>
  <si>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</si>
  <si>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</si>
  <si>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</si>
  <si>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</si>
  <si>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</si>
  <si>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</si>
  <si>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</si>
  <si>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</si>
  <si>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</si>
  <si>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</si>
  <si>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</si>
  <si>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</si>
  <si>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</si>
  <si>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</si>
  <si>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</si>
  <si>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</si>
  <si>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</si>
  <si>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</si>
  <si>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</si>
  <si>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</si>
  <si>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</si>
  <si>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</si>
  <si>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</si>
  <si>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</si>
  <si>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</si>
  <si>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</si>
  <si>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</si>
  <si>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</si>
  <si>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</si>
  <si>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</si>
  <si>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</si>
  <si>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</si>
  <si>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</si>
  <si>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</si>
  <si>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</si>
  <si>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</si>
  <si>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</si>
  <si>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</si>
  <si>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</si>
  <si>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</si>
  <si>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</si>
  <si>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</si>
  <si>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</si>
  <si>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</si>
  <si>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</si>
  <si>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</si>
  <si>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</si>
  <si>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</si>
  <si>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</si>
  <si>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</si>
  <si>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</si>
  <si>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</si>
  <si>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</si>
  <si>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</si>
  <si>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</si>
  <si>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</si>
  <si>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</si>
  <si>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</si>
  <si>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</si>
  <si>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</si>
  <si>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</si>
  <si>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</si>
  <si>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</si>
  <si>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</si>
  <si>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</si>
  <si>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</si>
  <si>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</si>
  <si>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</si>
  <si>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</si>
  <si>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</si>
  <si>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</si>
  <si>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</si>
  <si>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</si>
  <si>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</si>
  <si>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</si>
  <si>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</si>
  <si>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</si>
  <si>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</si>
  <si>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</si>
  <si>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</si>
  <si>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</si>
  <si>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</si>
  <si>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</si>
  <si>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</si>
  <si>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</si>
  <si>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</si>
  <si>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</si>
  <si>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</si>
  <si>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</si>
  <si>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</si>
  <si>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</si>
  <si>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</si>
  <si>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</si>
  <si>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</si>
  <si>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</si>
  <si>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</si>
  <si>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</si>
  <si>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</si>
  <si>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</si>
  <si>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</si>
  <si>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</si>
  <si>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</si>
  <si>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</si>
  <si>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</si>
  <si>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</si>
  <si>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</si>
  <si>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</si>
  <si>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</si>
  <si>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</si>
  <si>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</si>
  <si>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</si>
  <si>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</si>
  <si>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</si>
  <si>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</si>
  <si>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</si>
  <si>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</si>
  <si>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</si>
  <si>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</si>
  <si>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</si>
  <si>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</si>
  <si>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</si>
  <si>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</si>
  <si>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</si>
  <si>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</si>
  <si>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</si>
  <si>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</si>
  <si>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</si>
  <si>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</si>
  <si>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</si>
  <si>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</si>
  <si>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</si>
  <si>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</si>
  <si>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</si>
  <si>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</si>
  <si>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</si>
  <si>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</si>
  <si>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</si>
  <si>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</si>
  <si>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</si>
  <si>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</si>
  <si>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</si>
  <si>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</si>
  <si>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</si>
  <si>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</si>
  <si>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</si>
  <si>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</si>
  <si>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</si>
  <si>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</si>
  <si>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</si>
  <si>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</si>
  <si>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</si>
  <si>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</si>
  <si>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</si>
  <si>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</si>
  <si>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</si>
  <si>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</si>
  <si>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</si>
  <si>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</si>
  <si>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</si>
  <si>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</si>
  <si>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</si>
  <si>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</si>
  <si>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</si>
  <si>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</si>
  <si>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</si>
  <si>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</si>
  <si>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</si>
  <si>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</si>
  <si>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</si>
  <si>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</si>
  <si>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</si>
  <si>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</si>
  <si>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</si>
  <si>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</si>
  <si>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</si>
  <si>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</si>
  <si>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</si>
  <si>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</si>
  <si>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</si>
  <si>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</si>
  <si>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</si>
  <si>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</si>
  <si>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</si>
  <si>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</si>
  <si>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</si>
  <si>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</si>
  <si>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</si>
  <si>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</si>
  <si>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</si>
  <si>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</si>
  <si>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</si>
  <si>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</si>
  <si>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</si>
  <si>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</si>
  <si>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</si>
  <si>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</si>
  <si>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</si>
  <si>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</si>
  <si>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</si>
  <si>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</si>
  <si>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</si>
  <si>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</si>
  <si>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</si>
  <si>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</si>
  <si>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</si>
  <si>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</si>
  <si>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</si>
  <si>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</si>
  <si>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</si>
  <si>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</si>
  <si>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</si>
  <si>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</si>
  <si>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</si>
  <si>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</si>
  <si>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</si>
  <si>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</si>
  <si>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</si>
  <si>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</si>
  <si>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</si>
  <si>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</si>
  <si>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</si>
  <si>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</si>
  <si>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</si>
  <si>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</si>
  <si>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</si>
  <si>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</si>
  <si>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</si>
  <si>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</si>
  <si>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</si>
  <si>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</si>
  <si>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</si>
  <si>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</si>
  <si>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</si>
  <si>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</si>
  <si>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</si>
  <si>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</si>
  <si>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</si>
  <si>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</si>
  <si>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</si>
  <si>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</si>
  <si>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</si>
  <si>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</si>
  <si>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</si>
  <si>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</si>
  <si>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</si>
  <si>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</si>
  <si>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</si>
  <si>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</si>
  <si>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</si>
  <si>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</si>
  <si>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</si>
  <si>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</si>
  <si>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</si>
  <si>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</si>
  <si>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</si>
  <si>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</si>
  <si>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</si>
  <si>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</si>
  <si>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</si>
  <si>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</si>
  <si>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</si>
  <si>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</si>
  <si>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</si>
  <si>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</si>
  <si>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</si>
  <si>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</si>
  <si>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</si>
  <si>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</si>
  <si>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</si>
  <si>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</si>
  <si>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</si>
  <si>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</si>
  <si>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</si>
  <si>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</si>
  <si>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</si>
  <si>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</si>
  <si>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</si>
  <si>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</si>
  <si>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</si>
  <si>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</si>
  <si>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</si>
  <si>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</si>
  <si>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</si>
  <si>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</si>
  <si>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</si>
  <si>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</si>
  <si>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</si>
  <si>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</si>
  <si>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</si>
  <si>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</si>
  <si>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</si>
  <si>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</si>
  <si>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</si>
  <si>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</si>
  <si>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</si>
  <si>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</si>
  <si>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</si>
  <si>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</si>
  <si>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</si>
  <si>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</si>
  <si>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</si>
  <si>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</si>
  <si>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</si>
  <si>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</si>
  <si>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</si>
  <si>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</si>
  <si>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</si>
  <si>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</si>
  <si>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</si>
  <si>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</si>
  <si>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</si>
  <si>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</si>
  <si>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</si>
  <si>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</si>
  <si>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</si>
  <si>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</si>
  <si>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</si>
  <si>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</si>
  <si>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</si>
  <si>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</si>
  <si>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</si>
  <si>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</si>
  <si>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</si>
  <si>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</si>
  <si>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</si>
  <si>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</si>
  <si>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</si>
  <si>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</si>
  <si>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</si>
  <si>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</si>
  <si>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</si>
  <si>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</si>
  <si>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</si>
  <si>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</si>
  <si>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</si>
  <si>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</si>
  <si>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</si>
  <si>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</si>
  <si>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</si>
  <si>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</si>
  <si>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</si>
  <si>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</si>
  <si>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</si>
  <si>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</si>
  <si>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</si>
  <si>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</si>
  <si>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</si>
  <si>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</si>
  <si>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</si>
  <si>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</si>
  <si>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</si>
  <si>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</si>
  <si>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</si>
  <si>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</si>
  <si>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</si>
  <si>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</si>
  <si>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</si>
  <si>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</si>
  <si>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</si>
  <si>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</si>
  <si>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</si>
  <si>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</si>
  <si>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</si>
  <si>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</si>
  <si>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</si>
  <si>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</si>
  <si>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</si>
  <si>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</si>
  <si>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</si>
  <si>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</si>
  <si>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</si>
  <si>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</si>
  <si>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</si>
  <si>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</si>
  <si>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</si>
  <si>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</si>
  <si>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</si>
  <si>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</si>
  <si>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</si>
  <si>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</si>
  <si>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</si>
  <si>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</si>
  <si>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</si>
  <si>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</si>
  <si>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</si>
  <si>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</si>
  <si>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</si>
  <si>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</si>
  <si>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</si>
  <si>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</si>
  <si>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</si>
  <si>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</si>
  <si>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</si>
  <si>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</si>
  <si>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</si>
  <si>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</si>
  <si>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</si>
  <si>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</si>
  <si>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</si>
  <si>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</si>
  <si>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</si>
  <si>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</si>
  <si>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</si>
  <si>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</si>
  <si>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</si>
  <si>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</si>
  <si>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</si>
  <si>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</si>
  <si>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</si>
  <si>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</si>
  <si>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</si>
  <si>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</si>
  <si>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</si>
  <si>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</si>
  <si>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</si>
  <si>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</si>
  <si>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</si>
  <si>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</si>
  <si>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</si>
  <si>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</si>
  <si>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</si>
  <si>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</si>
  <si>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</si>
  <si>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</si>
  <si>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</si>
  <si>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</si>
  <si>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</si>
  <si>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</si>
  <si>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</si>
  <si>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</si>
  <si>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</si>
  <si>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</si>
  <si>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</si>
  <si>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</si>
  <si>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</si>
  <si>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</si>
  <si>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</si>
  <si>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</si>
  <si>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</si>
  <si>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</si>
  <si>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</si>
  <si>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</si>
  <si>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</si>
  <si>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</si>
  <si>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</si>
  <si>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</si>
  <si>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</si>
  <si>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</si>
  <si>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</si>
  <si>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</si>
  <si>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</si>
  <si>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</si>
  <si>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</si>
  <si>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</si>
  <si>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</si>
  <si>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</si>
  <si>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</si>
  <si>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</si>
  <si>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</si>
  <si>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</si>
  <si>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</si>
  <si>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</si>
  <si>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</si>
  <si>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</si>
  <si>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</si>
  <si>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</si>
  <si>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</si>
  <si>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</si>
  <si>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</si>
  <si>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</si>
  <si>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</si>
  <si>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</si>
  <si>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</si>
  <si>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</si>
  <si>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</si>
  <si>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</si>
  <si>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</si>
  <si>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</si>
  <si>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</si>
  <si>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</si>
  <si>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</si>
  <si>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</si>
  <si>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</si>
  <si>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</si>
  <si>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</si>
  <si>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</si>
  <si>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</si>
  <si>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</si>
  <si>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</si>
  <si>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</si>
  <si>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</si>
  <si>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</si>
  <si>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</si>
  <si>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</si>
  <si>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</si>
  <si>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</si>
  <si>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</si>
  <si>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</si>
  <si>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</si>
  <si>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</si>
  <si>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</si>
  <si>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</si>
  <si>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</si>
  <si>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</si>
  <si>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</si>
  <si>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</si>
  <si>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</si>
  <si>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</si>
  <si>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</si>
  <si>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</si>
  <si>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</si>
  <si>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</si>
  <si>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</si>
  <si>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</si>
  <si>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</si>
  <si>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</si>
  <si>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</si>
  <si>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</si>
  <si>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</si>
  <si>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</si>
  <si>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</si>
  <si>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</si>
  <si>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</si>
  <si>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</si>
  <si>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</si>
  <si>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</si>
  <si>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</si>
  <si>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</si>
  <si>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</si>
  <si>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</si>
  <si>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</si>
  <si>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</si>
  <si>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</si>
  <si>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</si>
  <si>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</si>
  <si>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</si>
  <si>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</si>
  <si>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</si>
  <si>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</si>
  <si>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</si>
  <si>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</si>
  <si>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</si>
  <si>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</si>
  <si>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</si>
  <si>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</si>
  <si>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</si>
  <si>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</si>
  <si>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</si>
  <si>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</si>
  <si>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</si>
  <si>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</si>
  <si>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</si>
  <si>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</si>
  <si>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</si>
  <si>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</si>
  <si>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</si>
  <si>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</si>
  <si>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</si>
  <si>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</si>
  <si>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</si>
  <si>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</si>
  <si>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</si>
  <si>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</si>
  <si>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</si>
  <si>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</si>
  <si>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</si>
  <si>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</si>
  <si>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</si>
  <si>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</si>
  <si>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</si>
  <si>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</si>
  <si>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</si>
  <si>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</si>
  <si>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</si>
  <si>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</si>
  <si>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</si>
  <si>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</si>
  <si>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</si>
  <si>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</si>
  <si>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</si>
  <si>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</si>
  <si>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</si>
  <si>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</si>
  <si>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</si>
  <si>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</si>
  <si>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</si>
  <si>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</si>
  <si>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</si>
  <si>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</si>
  <si>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</si>
  <si>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</si>
  <si>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</si>
  <si>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</si>
  <si>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</si>
  <si>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</si>
  <si>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</si>
  <si>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</si>
  <si>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</si>
  <si>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</si>
  <si>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</si>
  <si>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</si>
  <si>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</si>
  <si>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</si>
  <si>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</si>
  <si>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</si>
  <si>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</si>
  <si>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</si>
  <si>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</si>
  <si>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</si>
  <si>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</si>
  <si>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</si>
  <si>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</si>
  <si>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</si>
  <si>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</si>
  <si>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</si>
  <si>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</si>
  <si>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</si>
  <si>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</si>
  <si>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</si>
  <si>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</si>
  <si>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</si>
  <si>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</si>
  <si>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</si>
  <si>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</si>
  <si>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</si>
  <si>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</si>
  <si>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</si>
  <si>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</si>
  <si>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</si>
  <si>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</si>
  <si>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</si>
  <si>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</si>
  <si>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</si>
  <si>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</si>
  <si>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</si>
  <si>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</si>
  <si>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</si>
  <si>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</si>
  <si>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</si>
  <si>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</si>
  <si>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</si>
  <si>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</si>
  <si>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</si>
  <si>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</si>
  <si>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</si>
  <si>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</si>
  <si>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</si>
  <si>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</si>
  <si>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</si>
  <si>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</si>
  <si>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</si>
  <si>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</si>
  <si>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</si>
  <si>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</si>
  <si>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</si>
  <si>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</si>
  <si>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</si>
  <si>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</si>
  <si>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</si>
  <si>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</si>
  <si>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</si>
  <si>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</si>
  <si>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</si>
  <si>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</si>
  <si>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</si>
  <si>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</si>
  <si>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</si>
  <si>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</si>
  <si>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</si>
  <si>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</si>
  <si>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</si>
  <si>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</si>
  <si>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</si>
  <si>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</si>
  <si>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</si>
  <si>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</si>
  <si>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</si>
  <si>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</si>
  <si>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</si>
  <si>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</si>
  <si>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</si>
  <si>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</si>
  <si>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</si>
  <si>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</si>
  <si>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</si>
  <si>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</si>
  <si>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</si>
  <si>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</si>
  <si>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</si>
  <si>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</si>
  <si>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</si>
  <si>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</si>
  <si>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</si>
  <si>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</si>
  <si>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</si>
  <si>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</si>
  <si>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</si>
  <si>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</si>
  <si>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</si>
  <si>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</si>
  <si>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</si>
  <si>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</si>
  <si>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</si>
  <si>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</si>
  <si>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</si>
  <si>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</si>
  <si>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</si>
  <si>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</si>
  <si>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</si>
  <si>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</si>
  <si>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</si>
  <si>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</si>
  <si>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</si>
  <si>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</si>
  <si>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</si>
  <si>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</si>
  <si>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</si>
  <si>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</si>
  <si>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</si>
  <si>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</si>
  <si>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</si>
  <si>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</si>
  <si>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</si>
  <si>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</si>
  <si>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</si>
  <si>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</si>
  <si>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</si>
  <si>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</si>
  <si>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</si>
  <si>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</si>
  <si>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</si>
  <si>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</si>
  <si>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</si>
  <si>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</si>
  <si>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</si>
  <si>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</si>
  <si>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</si>
  <si>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</si>
  <si>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</si>
  <si>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</si>
  <si>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</si>
  <si>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</si>
  <si>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</si>
  <si>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</si>
  <si>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</si>
  <si>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</si>
  <si>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</si>
  <si>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</si>
  <si>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</si>
  <si>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</si>
  <si>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</si>
  <si>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</si>
  <si>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</si>
  <si>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</si>
  <si>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</si>
  <si>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</si>
  <si>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</si>
  <si>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</si>
  <si>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</si>
  <si>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</si>
  <si>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</si>
  <si>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</si>
  <si>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</si>
  <si>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</si>
  <si>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</si>
  <si>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</si>
  <si>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</si>
  <si>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</si>
  <si>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</si>
  <si>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</si>
  <si>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</si>
  <si>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</si>
  <si>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</si>
  <si>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</si>
  <si>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</si>
  <si>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</si>
  <si>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</si>
  <si>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</si>
  <si>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</si>
  <si>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</si>
  <si>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</si>
  <si>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</si>
  <si>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</si>
  <si>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</si>
  <si>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</si>
  <si>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</si>
  <si>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</si>
  <si>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</si>
  <si>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</si>
  <si>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</si>
  <si>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</si>
  <si>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</si>
  <si>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</si>
  <si>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</si>
  <si>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</si>
  <si>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</si>
  <si>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</si>
  <si>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</si>
  <si>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</si>
  <si>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</si>
  <si>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</si>
  <si>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</si>
  <si>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</si>
  <si>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</si>
  <si>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</si>
  <si>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</si>
  <si>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</si>
  <si>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</si>
  <si>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</si>
  <si>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</si>
  <si>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</si>
  <si>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</si>
  <si>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</si>
  <si>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</si>
  <si>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</si>
  <si>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</si>
  <si>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</si>
  <si>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</si>
  <si>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</si>
  <si>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</si>
  <si>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</si>
  <si>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</si>
  <si>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</si>
  <si>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</si>
  <si>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</si>
  <si>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</si>
  <si>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</si>
  <si>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</si>
  <si>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</si>
  <si>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</si>
  <si>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</si>
  <si>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</si>
  <si>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</si>
  <si>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</si>
  <si>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</si>
  <si>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</si>
  <si>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</si>
  <si>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</si>
  <si>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</si>
  <si>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</si>
  <si>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</si>
  <si>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</si>
  <si>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</si>
  <si>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</si>
  <si>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</si>
  <si>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</si>
  <si>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</si>
  <si>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</si>
  <si>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</si>
  <si>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</si>
  <si>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</si>
  <si>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</si>
  <si>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</si>
  <si>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</si>
  <si>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</si>
  <si>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</si>
  <si>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</si>
  <si>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</si>
  <si>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</si>
  <si>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</si>
  <si>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</si>
  <si>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</si>
  <si>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</si>
  <si>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</si>
  <si>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</si>
  <si>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</si>
  <si>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</si>
  <si>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</si>
  <si>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</si>
  <si>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</si>
  <si>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</si>
  <si>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</si>
  <si>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</si>
  <si>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</si>
  <si>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</si>
  <si>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</si>
  <si>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</si>
  <si>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</si>
  <si>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</si>
  <si>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</si>
  <si>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</si>
  <si>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</si>
  <si>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</si>
  <si>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</si>
  <si>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</si>
  <si>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</si>
  <si>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</si>
  <si>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</si>
  <si>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</si>
  <si>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</si>
  <si>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</si>
  <si>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</si>
  <si>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</si>
  <si>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</si>
  <si>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</si>
  <si>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</si>
  <si>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</si>
  <si>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</si>
  <si>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</si>
  <si>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</si>
  <si>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</si>
  <si>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</si>
  <si>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</si>
  <si>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</si>
  <si>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</si>
  <si>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</si>
  <si>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</si>
  <si>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</si>
  <si>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</si>
  <si>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</si>
  <si>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</si>
  <si>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</si>
  <si>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</si>
  <si>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</si>
  <si>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</si>
  <si>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</si>
  <si>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</si>
  <si>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</si>
  <si>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</si>
  <si>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</si>
  <si>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</si>
  <si>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</si>
  <si>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</si>
  <si>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</si>
  <si>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</si>
  <si>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</si>
  <si>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</si>
  <si>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</si>
  <si>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</si>
  <si>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</si>
  <si>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</si>
  <si>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</si>
  <si>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</si>
  <si>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</si>
  <si>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</si>
  <si>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</si>
  <si>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</si>
  <si>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</si>
  <si>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</si>
  <si>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</si>
  <si>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</si>
  <si>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</si>
  <si>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</si>
  <si>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</si>
  <si>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</si>
  <si>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</si>
  <si>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</si>
  <si>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</si>
  <si>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</si>
  <si>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</si>
  <si>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</si>
  <si>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</si>
  <si>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</si>
  <si>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</si>
  <si>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</si>
  <si>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</si>
  <si>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</si>
  <si>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</si>
  <si>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</si>
  <si>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</si>
  <si>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</si>
  <si>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</si>
  <si>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</si>
  <si>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</si>
  <si>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</si>
  <si>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</si>
  <si>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</si>
  <si>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</si>
  <si>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</si>
  <si>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</si>
  <si>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</si>
  <si>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</si>
  <si>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</si>
  <si>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</si>
  <si>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</si>
  <si>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</si>
  <si>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</si>
  <si>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</si>
  <si>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</si>
  <si>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</si>
  <si>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</si>
  <si>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</si>
  <si>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</si>
  <si>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</si>
  <si>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</si>
  <si>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</si>
  <si>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</si>
  <si>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</si>
  <si>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</si>
  <si>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</si>
  <si>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</si>
  <si>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</si>
  <si>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</si>
  <si>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</si>
  <si>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</si>
  <si>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</si>
  <si>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</si>
  <si>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</si>
  <si>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</si>
  <si>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</si>
  <si>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</si>
  <si>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</si>
  <si>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</si>
  <si>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</si>
  <si>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</si>
  <si>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</si>
  <si>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</si>
  <si>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</si>
  <si>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</si>
  <si>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</si>
  <si>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</si>
  <si>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</si>
  <si>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</si>
  <si>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</si>
  <si>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</si>
  <si>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</si>
  <si>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</si>
  <si>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</si>
  <si>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</si>
  <si>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</si>
  <si>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</si>
  <si>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</si>
  <si>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</si>
  <si>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</si>
  <si>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</si>
  <si>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</si>
  <si>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</si>
  <si>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</si>
  <si>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</si>
  <si>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</si>
  <si>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</si>
  <si>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</si>
  <si>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</si>
  <si>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</si>
  <si>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</si>
  <si>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</si>
  <si>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</si>
  <si>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</si>
  <si>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</si>
  <si>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</si>
  <si>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</si>
  <si>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</si>
  <si>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</si>
  <si>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</si>
  <si>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</si>
  <si>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</si>
  <si>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</si>
  <si>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</si>
  <si>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</si>
  <si>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</si>
  <si>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</si>
  <si>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</si>
  <si>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</si>
  <si>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</si>
  <si>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</si>
  <si>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</si>
  <si>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</si>
  <si>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</si>
  <si>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</si>
  <si>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</si>
  <si>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</si>
  <si>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</si>
  <si>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</si>
  <si>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</si>
  <si>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</si>
  <si>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</si>
  <si>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</si>
  <si>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</si>
  <si>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</si>
  <si>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</si>
  <si>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</si>
  <si>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</si>
  <si>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</si>
  <si>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</si>
  <si>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</si>
  <si>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</si>
  <si>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</si>
  <si>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</si>
  <si>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</si>
  <si>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</si>
  <si>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</si>
  <si>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</si>
  <si>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</si>
  <si>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</si>
  <si>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</si>
  <si>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</si>
  <si>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</si>
  <si>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</si>
  <si>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</si>
  <si>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</si>
  <si>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</si>
  <si>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</si>
  <si>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</si>
  <si>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</si>
  <si>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</si>
  <si>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</si>
  <si>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</si>
  <si>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</si>
  <si>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</si>
  <si>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</si>
  <si>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</si>
  <si>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</si>
  <si>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</si>
  <si>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</si>
  <si>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</si>
  <si>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</si>
  <si>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</si>
  <si>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</si>
  <si>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</si>
  <si>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</si>
  <si>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</si>
  <si>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</si>
  <si>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</si>
  <si>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</si>
  <si>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</si>
  <si>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</si>
  <si>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</si>
  <si>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</si>
  <si>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</si>
  <si>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</si>
  <si>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</si>
  <si>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</si>
  <si>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</si>
  <si>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</si>
  <si>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</si>
  <si>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</si>
  <si>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</si>
  <si>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</si>
  <si>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</si>
  <si>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</si>
  <si>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</si>
  <si>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</si>
  <si>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</si>
  <si>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</si>
  <si>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</si>
  <si>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</si>
  <si>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</si>
  <si>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</si>
  <si>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</si>
  <si>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</si>
  <si>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</si>
  <si>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</si>
  <si>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</si>
  <si>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</si>
  <si>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</si>
  <si>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</si>
  <si>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</si>
  <si>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</si>
  <si>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</si>
  <si>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</si>
  <si>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</si>
  <si>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</si>
  <si>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</si>
  <si>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</si>
  <si>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</si>
  <si>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</si>
  <si>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</si>
  <si>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</si>
  <si>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</si>
  <si>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</si>
  <si>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</si>
  <si>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</si>
  <si>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</si>
  <si>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</si>
  <si>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</si>
  <si>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</si>
  <si>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</si>
  <si>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</si>
  <si>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</si>
  <si>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</si>
  <si>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</si>
  <si>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</si>
  <si>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</si>
  <si>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</si>
  <si>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</si>
  <si>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</si>
  <si>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</si>
  <si>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</si>
  <si>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</si>
  <si>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</si>
  <si>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</si>
  <si>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</si>
  <si>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</si>
  <si>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</si>
  <si>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</si>
  <si>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</si>
  <si>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</si>
  <si>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</si>
  <si>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</si>
  <si>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</si>
  <si>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</si>
  <si>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</si>
  <si>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</si>
  <si>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</si>
  <si>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</si>
  <si>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</si>
  <si>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</si>
  <si>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</si>
  <si>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</si>
  <si>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</si>
  <si>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</si>
  <si>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</si>
  <si>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</si>
  <si>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</si>
  <si>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</si>
  <si>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</si>
  <si>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</si>
  <si>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</si>
  <si>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</si>
  <si>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</si>
  <si>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</si>
  <si>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</si>
  <si>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</si>
  <si>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</si>
  <si>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</si>
  <si>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</si>
  <si>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</si>
  <si>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</si>
  <si>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</si>
  <si>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</si>
  <si>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</si>
  <si>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</si>
  <si>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</si>
  <si>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</si>
  <si>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</si>
  <si>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</si>
  <si>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</si>
  <si>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</si>
  <si>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</si>
  <si>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</si>
  <si>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</si>
  <si>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</si>
  <si>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</si>
  <si>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</si>
  <si>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</si>
  <si>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</si>
  <si>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</si>
  <si>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</si>
  <si>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</si>
  <si>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</si>
  <si>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</si>
  <si>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</si>
  <si>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</si>
  <si>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</si>
  <si>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</si>
  <si>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</si>
  <si>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</si>
  <si>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</si>
  <si>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</si>
  <si>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</si>
  <si>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</si>
  <si>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</si>
  <si>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</si>
  <si>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</si>
  <si>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</si>
  <si>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</si>
  <si>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</si>
  <si>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</si>
  <si>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</si>
  <si>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</si>
  <si>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</si>
  <si>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</si>
  <si>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</si>
  <si>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</si>
  <si>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</si>
  <si>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</si>
  <si>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</si>
  <si>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</si>
  <si>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</si>
  <si>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</si>
  <si>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</si>
  <si>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</si>
  <si>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</si>
  <si>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</si>
  <si>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</si>
  <si>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</si>
  <si>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</si>
  <si>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</si>
  <si>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</si>
  <si>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</si>
  <si>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</si>
  <si>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</si>
  <si>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</si>
  <si>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</si>
  <si>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</si>
  <si>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</si>
  <si>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</si>
  <si>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</si>
  <si>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</si>
  <si>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</si>
  <si>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</si>
  <si>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</si>
  <si>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</si>
  <si>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</si>
  <si>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</si>
  <si>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</si>
  <si>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</si>
  <si>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</si>
  <si>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</si>
  <si>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</si>
  <si>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</si>
  <si>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</si>
  <si>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</si>
  <si>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</si>
  <si>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</si>
  <si>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</si>
  <si>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</si>
  <si>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</si>
  <si>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</si>
  <si>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</si>
  <si>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</si>
  <si>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</si>
  <si>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</si>
  <si>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</si>
  <si>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</si>
  <si>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</si>
  <si>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</si>
  <si>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</si>
  <si>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</si>
  <si>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</si>
  <si>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</si>
  <si>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</si>
  <si>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</si>
  <si>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</si>
  <si>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</si>
  <si>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</si>
  <si>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</si>
  <si>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</si>
  <si>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</si>
  <si>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</si>
  <si>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</si>
  <si>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</si>
  <si>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</si>
  <si>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</si>
  <si>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</si>
  <si>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</si>
  <si>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</si>
  <si>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</si>
  <si>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</si>
  <si>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</si>
  <si>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</si>
  <si>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</si>
  <si>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</si>
  <si>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</si>
  <si>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</si>
  <si>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</si>
  <si>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</si>
  <si>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</si>
  <si>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</si>
  <si>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</si>
  <si>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</si>
  <si>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</si>
  <si>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</si>
  <si>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</si>
  <si>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</si>
  <si>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</si>
  <si>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</si>
  <si>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</si>
  <si>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</si>
  <si>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</si>
  <si>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</si>
  <si>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</si>
  <si>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</si>
  <si>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</si>
  <si>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</si>
  <si>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</si>
  <si>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</si>
  <si>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</si>
  <si>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</si>
  <si>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</si>
  <si>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</si>
  <si>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</si>
  <si>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</si>
  <si>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</si>
  <si>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</si>
  <si>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</si>
  <si>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</si>
  <si>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</si>
  <si>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</si>
  <si>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</si>
  <si>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</si>
  <si>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</si>
  <si>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</si>
  <si>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</si>
  <si>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</si>
  <si>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</si>
  <si>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</si>
  <si>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</si>
  <si>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</si>
  <si>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</si>
  <si>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</si>
  <si>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</si>
  <si>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</si>
  <si>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</si>
  <si>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</si>
  <si>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</si>
  <si>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</si>
  <si>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</si>
  <si>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</si>
  <si>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</si>
  <si>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</si>
  <si>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</si>
  <si>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</si>
  <si>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</si>
  <si>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</si>
  <si>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</si>
  <si>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</si>
  <si>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</si>
  <si>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</si>
  <si>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</si>
  <si>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</si>
  <si>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</si>
  <si>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</si>
  <si>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</si>
  <si>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</si>
  <si>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</si>
  <si>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</si>
  <si>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</si>
  <si>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</si>
  <si>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</si>
  <si>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</si>
  <si>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</si>
  <si>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</si>
  <si>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</si>
  <si>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</si>
  <si>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</si>
  <si>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</si>
  <si>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</si>
  <si>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</si>
  <si>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</si>
  <si>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</si>
  <si>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</si>
  <si>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</si>
  <si>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</si>
  <si>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</si>
  <si>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</si>
  <si>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</si>
  <si>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</si>
  <si>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</si>
  <si>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</si>
  <si>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</si>
  <si>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</si>
  <si>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</si>
  <si>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</si>
  <si>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</si>
  <si>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</si>
  <si>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</si>
  <si>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</si>
  <si>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</si>
  <si>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</si>
  <si>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</si>
  <si>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</si>
  <si>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</si>
  <si>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</si>
  <si>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</si>
  <si>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</si>
  <si>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</si>
  <si>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</si>
  <si>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</si>
  <si>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</si>
  <si>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</si>
  <si>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</si>
  <si>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</si>
  <si>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</si>
  <si>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</si>
  <si>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</si>
  <si>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</si>
  <si>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</si>
  <si>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</si>
  <si>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</si>
  <si>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</si>
  <si>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</si>
  <si>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</si>
  <si>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</si>
  <si>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</si>
  <si>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</si>
  <si>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</si>
  <si>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</si>
  <si>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</si>
  <si>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</si>
  <si>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</si>
  <si>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</si>
  <si>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</si>
  <si>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</si>
  <si>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</si>
  <si>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</si>
  <si>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</si>
  <si>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</si>
  <si>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</si>
  <si>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</si>
  <si>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</si>
  <si>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</si>
  <si>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</si>
  <si>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</si>
  <si>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</si>
  <si>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</si>
  <si>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</si>
  <si>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</si>
  <si>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</si>
  <si>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</si>
  <si>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</si>
  <si>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</si>
  <si>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</si>
  <si>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</si>
  <si>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</si>
  <si>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</si>
  <si>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</si>
  <si>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</si>
  <si>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</si>
  <si>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</si>
  <si>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</si>
  <si>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</si>
  <si>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</si>
  <si>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</si>
  <si>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</si>
  <si>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</si>
  <si>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</si>
  <si>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</si>
  <si>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</si>
  <si>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</si>
  <si>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</si>
  <si>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</si>
  <si>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</si>
  <si>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</si>
  <si>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</si>
  <si>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</si>
  <si>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</si>
  <si>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</si>
  <si>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</si>
  <si>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</si>
  <si>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</si>
  <si>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</si>
  <si>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</si>
  <si>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</si>
  <si>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</si>
  <si>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</si>
  <si>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</si>
  <si>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</si>
  <si>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</si>
  <si>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</si>
  <si>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</si>
  <si>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</si>
  <si>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</si>
  <si>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</si>
  <si>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</si>
  <si>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</si>
  <si>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</si>
  <si>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</si>
  <si>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</si>
  <si>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</si>
  <si>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</si>
  <si>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</si>
  <si>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</si>
  <si>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</si>
  <si>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</si>
  <si>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</si>
  <si>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</si>
  <si>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</si>
  <si>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</si>
  <si>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</si>
  <si>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</si>
  <si>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</si>
  <si>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</si>
  <si>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</si>
  <si>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</si>
  <si>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</si>
  <si>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</si>
  <si>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</si>
  <si>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</si>
  <si>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</si>
  <si>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</si>
  <si>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</si>
  <si>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</si>
  <si>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</si>
  <si>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</si>
  <si>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</si>
  <si>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</si>
  <si>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</si>
  <si>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</si>
  <si>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</si>
  <si>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</si>
  <si>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</si>
  <si>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</si>
  <si>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</si>
  <si>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</si>
  <si>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</si>
  <si>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</si>
  <si>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</si>
  <si>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</si>
  <si>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</si>
  <si>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</si>
  <si>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</si>
  <si>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</si>
  <si>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</si>
  <si>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</si>
  <si>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</si>
  <si>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</si>
  <si>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</si>
  <si>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</si>
  <si>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</si>
  <si>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</si>
  <si>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</si>
  <si>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</si>
  <si>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</si>
  <si>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</si>
  <si>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</si>
  <si>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</si>
  <si>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</si>
  <si>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</si>
  <si>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</si>
  <si>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</si>
  <si>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</si>
  <si>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</si>
  <si>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</si>
  <si>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</si>
  <si>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</si>
  <si>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</si>
  <si>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</si>
  <si>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</si>
  <si>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</si>
  <si>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</si>
  <si>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</si>
  <si>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</si>
  <si>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</si>
  <si>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</si>
  <si>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</si>
  <si>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</si>
  <si>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</si>
  <si>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</si>
  <si>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</si>
  <si>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</si>
  <si>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</si>
  <si>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</si>
  <si>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</si>
  <si>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</si>
  <si>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</si>
  <si>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</si>
  <si>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</si>
  <si>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</si>
  <si>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</si>
  <si>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</si>
  <si>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</si>
  <si>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</si>
  <si>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</si>
  <si>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</si>
  <si>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</si>
  <si>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</si>
  <si>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</si>
  <si>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</si>
  <si>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</si>
  <si>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</si>
  <si>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</si>
  <si>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</si>
  <si>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</si>
  <si>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</si>
  <si>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</si>
  <si>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</si>
  <si>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</si>
  <si>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</si>
  <si>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</si>
  <si>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</si>
  <si>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</si>
  <si>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</si>
  <si>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</si>
  <si>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</si>
  <si>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</si>
  <si>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</si>
  <si>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</si>
  <si>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</si>
  <si>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</si>
  <si>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</si>
  <si>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</si>
  <si>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</si>
  <si>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</si>
  <si>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</si>
  <si>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</si>
  <si>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</si>
  <si>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</si>
  <si>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</si>
  <si>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</si>
  <si>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</si>
  <si>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</si>
  <si>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</si>
  <si>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</si>
  <si>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</si>
  <si>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</si>
  <si>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</si>
  <si>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</si>
  <si>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</si>
  <si>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</si>
  <si>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</si>
  <si>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</si>
  <si>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</si>
  <si>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</si>
  <si>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</si>
  <si>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</si>
  <si>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</si>
  <si>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</si>
  <si>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</si>
  <si>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</si>
  <si>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</si>
  <si>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</si>
  <si>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</si>
  <si>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</si>
  <si>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</si>
  <si>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</si>
  <si>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</si>
  <si>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</si>
  <si>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</si>
  <si>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</si>
  <si>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</si>
  <si>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</si>
  <si>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</si>
  <si>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</si>
  <si>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</si>
  <si>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</si>
  <si>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</si>
  <si>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</si>
  <si>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</si>
  <si>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</si>
  <si>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</si>
  <si>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</si>
  <si>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</si>
  <si>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</si>
  <si>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</si>
  <si>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</si>
  <si>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</si>
  <si>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</si>
  <si>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</si>
  <si>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</si>
  <si>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</si>
  <si>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</si>
  <si>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</si>
  <si>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</si>
  <si>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</si>
  <si>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</si>
  <si>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</si>
  <si>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</si>
  <si>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</si>
  <si>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</si>
  <si>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</si>
  <si>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</si>
  <si>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</si>
  <si>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</si>
  <si>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</si>
  <si>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</si>
  <si>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</si>
  <si>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</si>
  <si>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</si>
  <si>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</si>
  <si>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</si>
  <si>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</si>
  <si>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</si>
  <si>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</si>
  <si>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</si>
  <si>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</si>
  <si>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</si>
  <si>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</si>
  <si>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</si>
  <si>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</si>
  <si>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</si>
  <si>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</si>
  <si>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</si>
  <si>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</si>
  <si>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</si>
  <si>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</si>
  <si>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</si>
  <si>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</si>
  <si>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</si>
  <si>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</si>
  <si>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</si>
  <si>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</si>
  <si>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</si>
  <si>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</si>
  <si>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</si>
  <si>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</si>
  <si>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</si>
  <si>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</si>
  <si>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</si>
  <si>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</si>
  <si>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</si>
  <si>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</si>
  <si>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</si>
  <si>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</si>
  <si>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</si>
  <si>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</si>
  <si>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</si>
  <si>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</si>
  <si>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</si>
  <si>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</si>
  <si>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</si>
  <si>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</si>
  <si>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</si>
  <si>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</si>
  <si>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</si>
  <si>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</si>
  <si>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</si>
  <si>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</si>
  <si>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</si>
  <si>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</si>
  <si>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</si>
  <si>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</si>
  <si>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</si>
  <si>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</si>
  <si>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</si>
  <si>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</si>
  <si>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</si>
  <si>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</si>
  <si>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</si>
  <si>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</si>
  <si>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</si>
  <si>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</si>
  <si>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</si>
  <si>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</si>
  <si>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</si>
  <si>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</si>
  <si>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</si>
  <si>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</si>
  <si>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</si>
  <si>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</si>
  <si>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</si>
  <si>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</si>
  <si>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</si>
  <si>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</si>
  <si>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</si>
  <si>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</si>
  <si>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</si>
  <si>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</si>
  <si>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</si>
  <si>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</si>
  <si>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</si>
  <si>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</si>
  <si>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</si>
  <si>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</si>
  <si>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</si>
  <si>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</si>
  <si>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</si>
  <si>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</si>
  <si>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</si>
  <si>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</si>
  <si>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</si>
  <si>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</si>
  <si>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</si>
  <si>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</si>
  <si>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</si>
  <si>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</si>
  <si>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</si>
  <si>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</si>
  <si>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</si>
  <si>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</si>
  <si>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</si>
  <si>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</si>
  <si>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</si>
  <si>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</si>
  <si>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</si>
  <si>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</si>
  <si>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</si>
  <si>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</si>
  <si>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</si>
  <si>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</si>
  <si>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</si>
  <si>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</si>
  <si>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</si>
  <si>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</si>
  <si>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</si>
  <si>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</si>
  <si>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</si>
  <si>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</si>
  <si>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</si>
  <si>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</si>
  <si>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</si>
  <si>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</si>
  <si>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</si>
  <si>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</si>
  <si>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</si>
  <si>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</si>
  <si>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</si>
  <si>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</si>
  <si>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</si>
  <si>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</si>
  <si>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</si>
  <si>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</si>
  <si>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</si>
  <si>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</si>
  <si>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</si>
  <si>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</si>
  <si>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</si>
  <si>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</si>
  <si>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</si>
  <si>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</si>
  <si>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</si>
  <si>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</si>
  <si>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</si>
  <si>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</si>
  <si>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</si>
  <si>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</si>
  <si>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</si>
  <si>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</si>
  <si>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</si>
  <si>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</si>
  <si>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</si>
  <si>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</si>
  <si>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</si>
  <si>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</si>
  <si>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</si>
  <si>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</si>
  <si>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</si>
  <si>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</si>
  <si>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</si>
  <si>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</si>
  <si>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</si>
  <si>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</si>
  <si>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</si>
  <si>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</si>
  <si>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</si>
  <si>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</si>
  <si>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</si>
  <si>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</si>
  <si>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</si>
  <si>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</si>
  <si>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</si>
  <si>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</si>
  <si>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</si>
  <si>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</si>
  <si>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</si>
  <si>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</si>
  <si>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</si>
  <si>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</si>
  <si>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</si>
  <si>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</si>
  <si>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</si>
  <si>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</si>
  <si>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</si>
  <si>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</si>
  <si>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</si>
  <si>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</si>
  <si>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</si>
  <si>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</si>
  <si>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</si>
  <si>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</si>
  <si>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</si>
  <si>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</si>
  <si>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</si>
  <si>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</si>
  <si>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</si>
  <si>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</si>
  <si>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</si>
  <si>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</si>
  <si>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</si>
  <si>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</si>
  <si>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</si>
  <si>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</si>
  <si>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</si>
  <si>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</si>
  <si>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</si>
  <si>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</si>
  <si>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</si>
  <si>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</si>
  <si>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</si>
  <si>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</si>
  <si>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</si>
  <si>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</si>
  <si>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</si>
  <si>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</si>
  <si>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</si>
  <si>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</si>
  <si>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</si>
  <si>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</si>
  <si>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</si>
  <si>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</si>
  <si>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</si>
  <si>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</si>
  <si>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</si>
  <si>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</si>
  <si>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</si>
  <si>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</si>
  <si>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</si>
  <si>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</si>
  <si>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</si>
  <si>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</si>
  <si>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</si>
  <si>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</si>
  <si>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</si>
  <si>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</si>
  <si>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</si>
  <si>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</si>
  <si>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</si>
  <si>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</si>
  <si>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</si>
  <si>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</si>
  <si>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</si>
  <si>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</si>
  <si>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</si>
  <si>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</si>
  <si>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</si>
  <si>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</si>
  <si>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</si>
  <si>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</si>
  <si>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</si>
  <si>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</si>
  <si>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</si>
  <si>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</si>
  <si>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</si>
  <si>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</si>
  <si>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</si>
  <si>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</si>
  <si>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</si>
  <si>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</si>
  <si>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</si>
  <si>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</si>
  <si>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</si>
  <si>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</si>
  <si>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</si>
  <si>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</si>
  <si>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</si>
  <si>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</si>
  <si>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</si>
  <si>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</si>
  <si>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</si>
  <si>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</si>
  <si>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</si>
  <si>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</si>
  <si>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</si>
  <si>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</si>
  <si>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</si>
  <si>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</si>
  <si>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</si>
  <si>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</si>
  <si>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</si>
  <si>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</si>
  <si>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</si>
  <si>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</si>
  <si>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</si>
  <si>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</si>
  <si>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</si>
  <si>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</si>
  <si>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</si>
  <si>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</si>
  <si>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</si>
  <si>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</si>
  <si>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</si>
  <si>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</si>
  <si>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</si>
  <si>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</si>
  <si>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</si>
  <si>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</si>
  <si>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</si>
  <si>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</si>
  <si>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</si>
  <si>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</si>
  <si>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</si>
  <si>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</si>
  <si>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</si>
  <si>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</si>
  <si>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</si>
  <si>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</si>
  <si>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</si>
  <si>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</si>
  <si>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</si>
  <si>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</si>
  <si>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</si>
  <si>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</si>
  <si>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</si>
  <si>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</si>
  <si>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</si>
  <si>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</si>
  <si>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</si>
  <si>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</si>
  <si>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</si>
  <si>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</si>
  <si>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</si>
  <si>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</si>
  <si>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</si>
  <si>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</si>
  <si>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</si>
  <si>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</si>
  <si>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</si>
  <si>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</si>
  <si>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</si>
  <si>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</si>
  <si>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</si>
  <si>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</si>
  <si>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</si>
  <si>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</si>
  <si>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</si>
  <si>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</si>
  <si>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</si>
  <si>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</si>
  <si>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</si>
  <si>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</si>
  <si>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</si>
  <si>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</si>
  <si>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</si>
  <si>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</si>
  <si>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</si>
  <si>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</si>
  <si>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</si>
  <si>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</si>
  <si>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</si>
  <si>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</si>
  <si>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</si>
  <si>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</si>
  <si>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</si>
  <si>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</si>
  <si>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</si>
  <si>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</si>
  <si>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</si>
  <si>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</si>
  <si>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</si>
  <si>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</si>
  <si>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</si>
  <si>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</si>
  <si>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</si>
  <si>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</si>
  <si>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</si>
  <si>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</si>
  <si>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</si>
  <si>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</si>
  <si>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</si>
  <si>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</si>
  <si>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</si>
  <si>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</si>
  <si>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</si>
  <si>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</si>
  <si>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</si>
  <si>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</si>
  <si>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</si>
  <si>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</si>
  <si>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</si>
  <si>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</si>
  <si>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</si>
  <si>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</si>
  <si>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</si>
  <si>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</si>
  <si>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</si>
  <si>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</si>
  <si>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</si>
  <si>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</si>
  <si>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</si>
  <si>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</si>
  <si>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</si>
  <si>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</si>
  <si>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</si>
  <si>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</si>
  <si>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</si>
  <si>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</si>
  <si>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</si>
  <si>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</si>
  <si>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</si>
  <si>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</si>
  <si>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</si>
  <si>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</si>
  <si>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</si>
  <si>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</si>
  <si>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</si>
  <si>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</si>
  <si>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</si>
  <si>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</si>
  <si>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</si>
  <si>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</si>
  <si>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</si>
  <si>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</si>
  <si>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</si>
  <si>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</si>
  <si>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</si>
  <si>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</si>
  <si>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</si>
  <si>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</si>
  <si>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</si>
  <si>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</si>
  <si>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</si>
  <si>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</si>
  <si>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</si>
  <si>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</si>
  <si>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</si>
  <si>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</si>
  <si>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</si>
  <si>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</si>
  <si>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</si>
  <si>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</si>
  <si>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</si>
  <si>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</si>
  <si>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</si>
  <si>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</si>
  <si>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</si>
  <si>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</si>
  <si>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</si>
  <si>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</si>
  <si>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</si>
  <si>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</si>
  <si>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</si>
  <si>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</si>
  <si>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</si>
  <si>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</si>
  <si>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</si>
  <si>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</si>
  <si>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</si>
  <si>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</si>
  <si>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</si>
  <si>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</si>
  <si>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</si>
  <si>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</si>
  <si>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</si>
  <si>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</si>
  <si>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</si>
  <si>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</si>
  <si>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</si>
  <si>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</si>
  <si>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</si>
  <si>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</si>
  <si>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</si>
  <si>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</si>
  <si>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</si>
  <si>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</si>
  <si>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</si>
  <si>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</si>
  <si>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</si>
  <si>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</si>
  <si>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</si>
  <si>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</si>
  <si>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</si>
  <si>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</si>
  <si>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</si>
  <si>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</si>
  <si>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</si>
  <si>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</si>
  <si>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</si>
  <si>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</si>
  <si>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</si>
  <si>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</si>
  <si>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</si>
  <si>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</si>
  <si>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</si>
  <si>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</si>
  <si>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</si>
  <si>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</si>
  <si>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</si>
  <si>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</si>
  <si>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</si>
  <si>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</si>
  <si>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</si>
  <si>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</si>
  <si>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</si>
  <si>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</si>
  <si>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</si>
  <si>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</si>
  <si>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</si>
  <si>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</si>
  <si>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</si>
  <si>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</si>
  <si>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</si>
  <si>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</si>
  <si>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</si>
  <si>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</si>
  <si>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</si>
  <si>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</si>
  <si>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</si>
  <si>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</si>
  <si>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</si>
  <si>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</si>
  <si>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</si>
  <si>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</si>
  <si>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</si>
  <si>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</si>
  <si>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</si>
  <si>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</si>
  <si>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</si>
  <si>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</si>
  <si>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</si>
  <si>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</si>
  <si>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</si>
  <si>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</si>
  <si>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</si>
  <si>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</si>
  <si>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</si>
  <si>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</si>
  <si>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</si>
  <si>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</si>
  <si>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</si>
  <si>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</si>
  <si>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</si>
  <si>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</si>
  <si>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</si>
  <si>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</si>
  <si>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</si>
  <si>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</si>
  <si>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</si>
  <si>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</si>
  <si>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</si>
  <si>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</si>
  <si>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</si>
  <si>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</si>
  <si>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</si>
  <si>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</si>
  <si>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</si>
  <si>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</si>
  <si>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</si>
  <si>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</si>
  <si>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</si>
  <si>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</si>
  <si>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</si>
  <si>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</si>
  <si>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</si>
  <si>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</si>
  <si>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</si>
  <si>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</si>
  <si>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</si>
  <si>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</si>
  <si>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</si>
  <si>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</si>
  <si>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</si>
  <si>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</si>
  <si>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</si>
  <si>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</si>
  <si>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</si>
  <si>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</si>
  <si>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</si>
  <si>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</si>
  <si>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</si>
  <si>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</si>
  <si>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</si>
  <si>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</si>
  <si>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</si>
  <si>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</si>
  <si>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</si>
  <si>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</si>
  <si>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</si>
  <si>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</si>
  <si>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</si>
  <si>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</si>
  <si>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</si>
  <si>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</si>
  <si>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</si>
  <si>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</si>
  <si>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</si>
  <si>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</si>
  <si>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</si>
  <si>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</si>
  <si>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</si>
  <si>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</si>
  <si>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</si>
  <si>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</si>
  <si>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</si>
  <si>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</si>
  <si>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</si>
  <si>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</si>
  <si>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</si>
  <si>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</si>
  <si>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</si>
  <si>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</si>
  <si>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</si>
  <si>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</si>
  <si>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</si>
  <si>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</si>
  <si>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</si>
  <si>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</si>
  <si>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</si>
  <si>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</si>
  <si>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</si>
  <si>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</si>
  <si>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</si>
  <si>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</si>
  <si>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</si>
  <si>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</si>
  <si>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</si>
  <si>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</si>
  <si>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</si>
  <si>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</si>
  <si>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</si>
  <si>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</si>
  <si>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</si>
  <si>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</si>
  <si>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</si>
  <si>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</si>
  <si>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</si>
  <si>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</si>
  <si>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</si>
  <si>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</si>
  <si>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</si>
  <si>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</si>
  <si>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</si>
  <si>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</si>
  <si>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</si>
  <si>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</si>
  <si>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</si>
  <si>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</si>
  <si>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</si>
  <si>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</si>
  <si>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</si>
  <si>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</si>
  <si>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</si>
  <si>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</si>
  <si>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</si>
  <si>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</si>
  <si>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</si>
  <si>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</si>
  <si>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</si>
  <si>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</si>
  <si>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</si>
  <si>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</si>
  <si>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</si>
  <si>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</si>
  <si>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</si>
  <si>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</si>
  <si>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</si>
  <si>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</si>
  <si>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</si>
  <si>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</si>
  <si>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</si>
  <si>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</si>
  <si>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</si>
  <si>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</si>
  <si>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</si>
  <si>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</si>
  <si>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</si>
  <si>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</si>
  <si>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</si>
  <si>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</si>
  <si>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</si>
  <si>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</si>
  <si>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</si>
  <si>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</si>
  <si>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</si>
  <si>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</si>
  <si>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</si>
  <si>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</si>
  <si>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</si>
  <si>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</si>
  <si>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</si>
  <si>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</si>
  <si>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</si>
  <si>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</si>
  <si>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</si>
  <si>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</si>
  <si>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</si>
  <si>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</si>
  <si>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</si>
  <si>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</si>
  <si>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</si>
  <si>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</si>
  <si>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</si>
  <si>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</si>
  <si>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</si>
  <si>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</si>
  <si>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</si>
  <si>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</si>
  <si>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</si>
  <si>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</si>
  <si>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</si>
  <si>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</si>
  <si>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</si>
  <si>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</si>
  <si>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</si>
  <si>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</si>
  <si>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</si>
  <si>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</si>
  <si>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</si>
  <si>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</si>
  <si>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</si>
  <si>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</si>
  <si>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</si>
  <si>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</si>
  <si>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</si>
  <si>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</si>
  <si>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</si>
  <si>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</si>
  <si>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</si>
  <si>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</si>
  <si>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</si>
  <si>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</si>
  <si>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</si>
  <si>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</si>
  <si>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</si>
  <si>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</si>
  <si>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</si>
  <si>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</si>
  <si>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</si>
  <si>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</si>
  <si>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</si>
  <si>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</si>
  <si>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</si>
  <si>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</si>
  <si>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</si>
  <si>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</si>
  <si>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</si>
  <si>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</si>
  <si>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</si>
  <si>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</si>
  <si>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</si>
  <si>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</si>
  <si>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</si>
  <si>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</si>
  <si>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</si>
  <si>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</si>
  <si>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</si>
  <si>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</si>
  <si>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</si>
  <si>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</si>
  <si>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</si>
  <si>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</si>
  <si>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</si>
  <si>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</si>
  <si>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</si>
  <si>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</si>
  <si>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</si>
  <si>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</si>
  <si>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</si>
  <si>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</si>
  <si>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</si>
  <si>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</si>
  <si>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</si>
  <si>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</si>
  <si>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</si>
  <si>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</si>
  <si>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</si>
  <si>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</si>
  <si>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</si>
  <si>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</si>
  <si>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</si>
  <si>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</si>
  <si>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</si>
  <si>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</si>
  <si>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</si>
  <si>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</si>
  <si>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</si>
  <si>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</si>
  <si>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</si>
  <si>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</si>
  <si>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</si>
  <si>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</si>
  <si>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</si>
  <si>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</si>
  <si>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4812-2010</t>
  </si>
  <si>
    <t>CUALIFICACION PARA LA ATENCION EDUCATIVA DE LA POBLACION CON DISCAPACIDAD EN EL DESARROLLO DE UN PROYECTO LUDICO PEDAGOGICO A NIÑOS, NIÑAS D ELA ZONA DE URABA.</t>
  </si>
  <si>
    <t>LUZ ADRIANA MILLAN GUTIERREZ</t>
  </si>
  <si>
    <t>3226517934</t>
  </si>
  <si>
    <t>CARRERA 67 No  32B- 36 Medellin - Antioquia</t>
  </si>
  <si>
    <t>forjadoresdeamor@hotmail.com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</si>
  <si>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</si>
  <si>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762620376</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</si>
  <si>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</si>
  <si>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</si>
  <si>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</si>
  <si>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</si>
  <si>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4813-2011</t>
  </si>
  <si>
    <t>4814_2012</t>
  </si>
  <si>
    <t>4815-2013</t>
  </si>
  <si>
    <t>CARRERA 67 No  32B- 36 Medellin Antioquia</t>
  </si>
  <si>
    <t>UNION TEMPORAL FORJANDO TALENTOS</t>
  </si>
  <si>
    <t>TERESA DE JESUS HERNANDEZ SALGADO</t>
  </si>
  <si>
    <t>CL. 5 C. No. 42-23 CALI - VALLE</t>
  </si>
  <si>
    <t>3173790887</t>
  </si>
  <si>
    <t>CL. 5 C No. 42-23 CALI - VALLE</t>
  </si>
  <si>
    <t>f.fundacoba@hotmail.com</t>
  </si>
  <si>
    <t>AMUNAFRO</t>
  </si>
  <si>
    <t>2021-5-10000086</t>
  </si>
  <si>
    <t>C2005-015 DE 2005</t>
  </si>
  <si>
    <t>IMPLEMENTACION DE LA ATENCION INTEGRAL A LA PRIMERA INFANCIA DE LA POBLACION AFRODESCENDIENTE DE LOS MUNICIPIOS DE BELLO, RIONEGRO, ENVIGADO, LA UNION, GUARNE Y MARINILLA.</t>
  </si>
  <si>
    <t>C2006-0030 DE 2006</t>
  </si>
  <si>
    <t>C2008-0020 DE 2008</t>
  </si>
  <si>
    <t>C2009-0029  DE 2009</t>
  </si>
  <si>
    <t>C2011-045  DE 2011</t>
  </si>
  <si>
    <t>C2012-031  DE 2012</t>
  </si>
  <si>
    <t>APOYO PSICOSOCIAL PARA NIÑOS, NIÑAS Y ADOLESCENTES CON DISCAPACIDAD COGNITIVA</t>
  </si>
  <si>
    <t>DISEÑO DE ACTIVIDADES PSICOSOCIALES ENCAMINADAS AL TRABAJO CON FAMILIAS DE NIÑOS, NIÑAS Y ADOLESCENTES DE LA ZONA DE URABA</t>
  </si>
  <si>
    <t>EJECUCION DE UN PLAN DE ACOMPAÑAMIENTO PSICOSOCIAL PARA NIÑOS, NIÑAS EN SITUACION DE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</si>
</sst>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9" zoomScale="85" zoomScaleNormal="85" zoomScaleSheetLayoutView="40" zoomScalePageLayoutView="40" workbookViewId="0">
      <selection activeCell="B27" sqref="B2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44194.720185995371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7" t="str">
        <f>HYPERLINK("#Integrante_1!A109","CAPACIDAD RESIDUAL")</f>
        <v>CAPACIDAD RESIDUAL</v>
      </c>
      <c r="F8" s="208"/>
      <c r="G8" s="209"/>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7" t="str">
        <f>HYPERLINK("#Integrante_1!A162","TALENTO HUMANO")</f>
        <v>TALENTO HUMANO</v>
      </c>
      <c r="F9" s="208"/>
      <c r="G9" s="209"/>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7" t="str">
        <f>HYPERLINK("#Integrante_1!F162","INFRAESTRUCTURA")</f>
        <v>INFRAESTRUCTURA</v>
      </c>
      <c r="F10" s="208"/>
      <c r="G10" s="209"/>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2759</v>
      </c>
      <c r="D15" s="35"/>
      <c r="E15" s="35"/>
      <c r="F15" s="5"/>
      <c r="G15" s="32" t="s">
        <v>1168</v>
      </c>
      <c r="H15" s="103" t="s">
        <v>36</v>
      </c>
      <c r="I15" s="32" t="s">
        <v>2629</v>
      </c>
      <c r="J15" s="108" t="s">
        <v>2637</v>
      </c>
      <c r="L15" s="200" t="s">
        <v>8</v>
      </c>
      <c r="M15" s="200"/>
      <c r="N15" s="176">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v>805023177</v>
      </c>
      <c r="C20" s="5"/>
      <c r="D20" s="73"/>
      <c r="E20" s="153" t="s">
        <v>2670</v>
      </c>
      <c r="F20" s="187" t="s">
        <v>2752</v>
      </c>
      <c r="G20" s="5"/>
      <c r="H20" s="210"/>
      <c r="I20" s="142" t="s">
        <v>36</v>
      </c>
      <c r="J20" s="143" t="s">
        <v>122</v>
      </c>
      <c r="K20" s="144">
        <v>1330397628</v>
      </c>
      <c r="L20" s="145">
        <v>44194</v>
      </c>
      <c r="M20" s="145">
        <v>44561</v>
      </c>
      <c r="N20" s="128">
        <f>+(M20-L20)/30</f>
        <v>12.233333333333333</v>
      </c>
      <c r="O20" s="131"/>
      <c r="U20" s="127"/>
      <c r="V20" s="105">
        <f ca="1">NOW()</f>
        <v>44194.720185995371</v>
      </c>
      <c r="W20" s="105">
        <f ca="1">NOW()</f>
        <v>44194.720185995371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str">
        <f>VLOOKUP(B20,EAS!A2:B1439,2,0)</f>
        <v>FUNDACIÓN FUNDACOBA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t="s">
        <v>2742</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2758</v>
      </c>
      <c r="C48" s="110" t="s">
        <v>32</v>
      </c>
      <c r="D48" s="116" t="s">
        <v>2760</v>
      </c>
      <c r="E48" s="188">
        <v>38363</v>
      </c>
      <c r="F48" s="188">
        <v>38909</v>
      </c>
      <c r="G48" s="165">
        <f>IF(AND(E48&lt;&gt;"",F48&lt;&gt;""),((F48-E48)/30),"")</f>
        <v>18.2</v>
      </c>
      <c r="H48" s="117" t="s">
        <v>2761</v>
      </c>
      <c r="I48" s="111" t="s">
        <v>36</v>
      </c>
      <c r="J48" s="116" t="s">
        <v>122</v>
      </c>
      <c r="K48" s="118">
        <v>30905835</v>
      </c>
      <c r="L48" s="112" t="s">
        <v>1148</v>
      </c>
      <c r="M48" s="113">
        <v>1</v>
      </c>
      <c r="N48" s="112" t="s">
        <v>27</v>
      </c>
      <c r="O48" s="112" t="s">
        <v>1148</v>
      </c>
      <c r="P48" s="79"/>
    </row>
    <row r="49" spans="1:16" s="6" customFormat="1" ht="24.75" customHeight="1" x14ac:dyDescent="0.25">
      <c r="A49" s="136">
        <v>2</v>
      </c>
      <c r="B49" s="117" t="s">
        <v>2758</v>
      </c>
      <c r="C49" s="119" t="s">
        <v>32</v>
      </c>
      <c r="D49" s="116" t="s">
        <v>2762</v>
      </c>
      <c r="E49" s="188">
        <v>38930</v>
      </c>
      <c r="F49" s="188">
        <v>39479</v>
      </c>
      <c r="G49" s="165">
        <f t="shared" ref="G49:G107" si="2">IF(AND(E49&lt;&gt;"",F49&lt;&gt;""),((F49-E49)/30),"")</f>
        <v>18.3</v>
      </c>
      <c r="H49" s="117" t="s">
        <v>2761</v>
      </c>
      <c r="I49" s="116" t="s">
        <v>36</v>
      </c>
      <c r="J49" s="116" t="s">
        <v>122</v>
      </c>
      <c r="K49" s="118">
        <v>32695001</v>
      </c>
      <c r="L49" s="119" t="s">
        <v>1148</v>
      </c>
      <c r="M49" s="113">
        <v>1</v>
      </c>
      <c r="N49" s="119" t="s">
        <v>27</v>
      </c>
      <c r="O49" s="119" t="s">
        <v>1148</v>
      </c>
      <c r="P49" s="79"/>
    </row>
    <row r="50" spans="1:16" s="6" customFormat="1" ht="24.75" customHeight="1" x14ac:dyDescent="0.25">
      <c r="A50" s="136">
        <v>3</v>
      </c>
      <c r="B50" s="117" t="s">
        <v>2758</v>
      </c>
      <c r="C50" s="119" t="s">
        <v>32</v>
      </c>
      <c r="D50" s="116" t="s">
        <v>2763</v>
      </c>
      <c r="E50" s="188">
        <v>39498</v>
      </c>
      <c r="F50" s="188">
        <v>40045</v>
      </c>
      <c r="G50" s="165">
        <f t="shared" si="2"/>
        <v>18.233333333333334</v>
      </c>
      <c r="H50" s="117" t="s">
        <v>2761</v>
      </c>
      <c r="I50" s="116" t="s">
        <v>36</v>
      </c>
      <c r="J50" s="116" t="s">
        <v>122</v>
      </c>
      <c r="K50" s="114">
        <v>34626666</v>
      </c>
      <c r="L50" s="119" t="s">
        <v>1148</v>
      </c>
      <c r="M50" s="113">
        <v>1</v>
      </c>
      <c r="N50" s="119" t="s">
        <v>27</v>
      </c>
      <c r="O50" s="119" t="s">
        <v>1148</v>
      </c>
      <c r="P50" s="79"/>
    </row>
    <row r="51" spans="1:16" s="6" customFormat="1" ht="24.75" customHeight="1" outlineLevel="1" x14ac:dyDescent="0.25">
      <c r="A51" s="136">
        <v>4</v>
      </c>
      <c r="B51" s="117" t="s">
        <v>2758</v>
      </c>
      <c r="C51" s="119" t="s">
        <v>32</v>
      </c>
      <c r="D51" s="116" t="s">
        <v>2764</v>
      </c>
      <c r="E51" s="188">
        <v>40057</v>
      </c>
      <c r="F51" s="188">
        <v>40603</v>
      </c>
      <c r="G51" s="165">
        <f t="shared" si="2"/>
        <v>18.2</v>
      </c>
      <c r="H51" s="117" t="s">
        <v>2761</v>
      </c>
      <c r="I51" s="116" t="s">
        <v>36</v>
      </c>
      <c r="J51" s="116" t="s">
        <v>122</v>
      </c>
      <c r="K51" s="114">
        <v>37205100</v>
      </c>
      <c r="L51" s="119" t="s">
        <v>1148</v>
      </c>
      <c r="M51" s="113">
        <v>1</v>
      </c>
      <c r="N51" s="119" t="s">
        <v>27</v>
      </c>
      <c r="O51" s="119" t="s">
        <v>1148</v>
      </c>
      <c r="P51" s="79"/>
    </row>
    <row r="52" spans="1:16" s="7" customFormat="1" ht="24.75" customHeight="1" outlineLevel="1" x14ac:dyDescent="0.25">
      <c r="A52" s="137">
        <v>5</v>
      </c>
      <c r="B52" s="117" t="s">
        <v>2758</v>
      </c>
      <c r="C52" s="119" t="s">
        <v>32</v>
      </c>
      <c r="D52" s="116" t="s">
        <v>2765</v>
      </c>
      <c r="E52" s="188">
        <v>40616</v>
      </c>
      <c r="F52" s="188">
        <v>41166</v>
      </c>
      <c r="G52" s="165">
        <f t="shared" si="2"/>
        <v>18.333333333333332</v>
      </c>
      <c r="H52" s="117" t="s">
        <v>2761</v>
      </c>
      <c r="I52" s="116" t="s">
        <v>36</v>
      </c>
      <c r="J52" s="116" t="s">
        <v>122</v>
      </c>
      <c r="K52" s="118">
        <v>39383204</v>
      </c>
      <c r="L52" s="119" t="s">
        <v>1148</v>
      </c>
      <c r="M52" s="113">
        <v>1</v>
      </c>
      <c r="N52" s="119" t="s">
        <v>27</v>
      </c>
      <c r="O52" s="119" t="s">
        <v>1148</v>
      </c>
      <c r="P52" s="80"/>
    </row>
    <row r="53" spans="1:16" s="7" customFormat="1" ht="24.75" customHeight="1" outlineLevel="1" x14ac:dyDescent="0.25">
      <c r="A53" s="137">
        <v>6</v>
      </c>
      <c r="B53" s="117" t="s">
        <v>2758</v>
      </c>
      <c r="C53" s="119" t="s">
        <v>32</v>
      </c>
      <c r="D53" s="116" t="s">
        <v>2766</v>
      </c>
      <c r="E53" s="188">
        <v>41177</v>
      </c>
      <c r="F53" s="188">
        <v>41722</v>
      </c>
      <c r="G53" s="165">
        <f t="shared" si="2"/>
        <v>18.166666666666668</v>
      </c>
      <c r="H53" s="117" t="s">
        <v>2761</v>
      </c>
      <c r="I53" s="116" t="s">
        <v>36</v>
      </c>
      <c r="J53" s="116" t="s">
        <v>122</v>
      </c>
      <c r="K53" s="118">
        <v>41611494</v>
      </c>
      <c r="L53" s="119" t="s">
        <v>1148</v>
      </c>
      <c r="M53" s="113">
        <v>1</v>
      </c>
      <c r="N53" s="119" t="s">
        <v>27</v>
      </c>
      <c r="O53" s="119" t="s">
        <v>1148</v>
      </c>
      <c r="P53" s="80"/>
    </row>
    <row r="54" spans="1:16" s="7" customFormat="1" ht="24.75" customHeight="1" outlineLevel="1" x14ac:dyDescent="0.25">
      <c r="A54" s="137">
        <v>7</v>
      </c>
      <c r="B54" s="117"/>
      <c r="C54" s="119"/>
      <c r="D54" s="116"/>
      <c r="E54" s="188"/>
      <c r="F54" s="188"/>
      <c r="G54" s="165" t="str">
        <f t="shared" si="2"/>
        <v/>
      </c>
      <c r="H54" s="117"/>
      <c r="I54" s="111"/>
      <c r="J54" s="116"/>
      <c r="K54" s="118"/>
      <c r="L54" s="119"/>
      <c r="M54" s="113"/>
      <c r="N54" s="119"/>
      <c r="O54" s="119"/>
      <c r="P54" s="80"/>
    </row>
    <row r="55" spans="1:16" s="7" customFormat="1" ht="24.75" customHeight="1" outlineLevel="1" x14ac:dyDescent="0.25">
      <c r="A55" s="137">
        <v>8</v>
      </c>
      <c r="B55" s="117"/>
      <c r="C55" s="119"/>
      <c r="D55" s="116"/>
      <c r="E55" s="188"/>
      <c r="F55" s="188"/>
      <c r="G55" s="165" t="str">
        <f t="shared" si="2"/>
        <v/>
      </c>
      <c r="H55" s="117"/>
      <c r="I55" s="116"/>
      <c r="J55" s="116"/>
      <c r="K55" s="118"/>
      <c r="L55" s="112"/>
      <c r="M55" s="113"/>
      <c r="N55" s="112"/>
      <c r="O55" s="112"/>
      <c r="P55" s="80"/>
    </row>
    <row r="56" spans="1:16" s="7" customFormat="1" ht="24.75" customHeight="1" outlineLevel="1" x14ac:dyDescent="0.25">
      <c r="A56" s="137">
        <v>9</v>
      </c>
      <c r="B56" s="117"/>
      <c r="C56" s="119"/>
      <c r="D56" s="116"/>
      <c r="E56" s="188"/>
      <c r="F56" s="188"/>
      <c r="G56" s="165" t="str">
        <f t="shared" si="2"/>
        <v/>
      </c>
      <c r="H56" s="117"/>
      <c r="I56" s="116"/>
      <c r="J56" s="116"/>
      <c r="K56" s="118"/>
      <c r="L56" s="119"/>
      <c r="M56" s="113"/>
      <c r="N56" s="119"/>
      <c r="O56" s="119"/>
      <c r="P56" s="80"/>
    </row>
    <row r="57" spans="1:16" s="7" customFormat="1" ht="24.75" customHeight="1" outlineLevel="1" x14ac:dyDescent="0.25">
      <c r="A57" s="137">
        <v>10</v>
      </c>
      <c r="B57" s="117"/>
      <c r="C57" s="119"/>
      <c r="D57" s="116"/>
      <c r="E57" s="188"/>
      <c r="F57" s="188"/>
      <c r="G57" s="165" t="str">
        <f t="shared" si="2"/>
        <v/>
      </c>
      <c r="H57" s="117"/>
      <c r="I57" s="116"/>
      <c r="J57" s="116"/>
      <c r="K57" s="118"/>
      <c r="L57" s="119"/>
      <c r="M57" s="113"/>
      <c r="N57" s="119"/>
      <c r="O57" s="119"/>
      <c r="P57" s="80"/>
    </row>
    <row r="58" spans="1:16" s="7" customFormat="1" ht="24.75" customHeight="1" outlineLevel="1" x14ac:dyDescent="0.25">
      <c r="A58" s="137">
        <v>11</v>
      </c>
      <c r="B58" s="117"/>
      <c r="C58" s="119"/>
      <c r="D58" s="116"/>
      <c r="E58" s="188"/>
      <c r="F58" s="188"/>
      <c r="G58" s="165" t="str">
        <f t="shared" si="2"/>
        <v/>
      </c>
      <c r="H58" s="117"/>
      <c r="I58" s="116"/>
      <c r="J58" s="116"/>
      <c r="K58" s="118"/>
      <c r="L58" s="119"/>
      <c r="M58" s="113"/>
      <c r="N58" s="119"/>
      <c r="O58" s="119"/>
      <c r="P58" s="80"/>
    </row>
    <row r="59" spans="1:16" s="7" customFormat="1" ht="24.75" customHeight="1" outlineLevel="1" x14ac:dyDescent="0.25">
      <c r="A59" s="137">
        <v>12</v>
      </c>
      <c r="B59" s="117"/>
      <c r="C59" s="119"/>
      <c r="D59" s="116"/>
      <c r="E59" s="188"/>
      <c r="F59" s="188"/>
      <c r="G59" s="165" t="str">
        <f t="shared" si="2"/>
        <v/>
      </c>
      <c r="H59" s="117"/>
      <c r="I59" s="116"/>
      <c r="J59" s="116"/>
      <c r="K59" s="118"/>
      <c r="L59" s="119"/>
      <c r="M59" s="113"/>
      <c r="N59" s="119"/>
      <c r="O59" s="119"/>
      <c r="P59" s="80"/>
    </row>
    <row r="60" spans="1:16" s="7" customFormat="1" ht="24.75" customHeight="1" outlineLevel="1" x14ac:dyDescent="0.25">
      <c r="A60" s="137">
        <v>13</v>
      </c>
      <c r="B60" s="117"/>
      <c r="C60" s="119"/>
      <c r="D60" s="116"/>
      <c r="E60" s="188"/>
      <c r="F60" s="188"/>
      <c r="G60" s="165" t="str">
        <f t="shared" si="2"/>
        <v/>
      </c>
      <c r="H60" s="117"/>
      <c r="I60" s="116"/>
      <c r="J60" s="116"/>
      <c r="K60" s="114"/>
      <c r="L60" s="119"/>
      <c r="M60" s="67"/>
      <c r="N60" s="119"/>
      <c r="O60" s="119"/>
      <c r="P60" s="80"/>
    </row>
    <row r="61" spans="1:16" s="7" customFormat="1" ht="24.75" customHeight="1" outlineLevel="1" x14ac:dyDescent="0.25">
      <c r="A61" s="137">
        <v>14</v>
      </c>
      <c r="B61" s="117"/>
      <c r="C61" s="119"/>
      <c r="D61" s="116"/>
      <c r="E61" s="188"/>
      <c r="F61" s="188"/>
      <c r="G61" s="165" t="str">
        <f t="shared" si="2"/>
        <v/>
      </c>
      <c r="H61" s="117"/>
      <c r="I61" s="116"/>
      <c r="J61" s="116"/>
      <c r="K61" s="114"/>
      <c r="L61" s="119"/>
      <c r="M61" s="67"/>
      <c r="N61" s="119"/>
      <c r="O61" s="119"/>
      <c r="P61" s="80"/>
    </row>
    <row r="62" spans="1:16" s="7" customFormat="1" ht="24.75" customHeight="1" outlineLevel="1" x14ac:dyDescent="0.25">
      <c r="A62" s="137">
        <v>15</v>
      </c>
      <c r="B62" s="117"/>
      <c r="C62" s="119"/>
      <c r="D62" s="116"/>
      <c r="E62" s="188"/>
      <c r="F62" s="188"/>
      <c r="G62" s="165" t="str">
        <f t="shared" si="2"/>
        <v/>
      </c>
      <c r="H62" s="117"/>
      <c r="I62" s="116"/>
      <c r="J62" s="116"/>
      <c r="K62" s="66"/>
      <c r="L62" s="119"/>
      <c r="M62" s="67"/>
      <c r="N62" s="119"/>
      <c r="O62" s="119"/>
      <c r="P62" s="80"/>
    </row>
    <row r="63" spans="1:16" s="7" customFormat="1" ht="24.75" customHeight="1" outlineLevel="1" x14ac:dyDescent="0.25">
      <c r="A63" s="137">
        <v>16</v>
      </c>
      <c r="B63" s="117"/>
      <c r="C63" s="119"/>
      <c r="D63" s="116"/>
      <c r="E63" s="188"/>
      <c r="F63" s="188"/>
      <c r="G63" s="165" t="str">
        <f t="shared" si="2"/>
        <v/>
      </c>
      <c r="H63" s="117"/>
      <c r="I63" s="116"/>
      <c r="J63" s="116"/>
      <c r="K63" s="118"/>
      <c r="L63" s="119"/>
      <c r="M63" s="67"/>
      <c r="N63" s="119"/>
      <c r="O63" s="119"/>
      <c r="P63" s="80"/>
    </row>
    <row r="64" spans="1:16" s="7" customFormat="1" ht="24.75" customHeight="1" outlineLevel="1" x14ac:dyDescent="0.25">
      <c r="A64" s="137">
        <v>17</v>
      </c>
      <c r="B64" s="117"/>
      <c r="C64" s="119"/>
      <c r="D64" s="116"/>
      <c r="E64" s="188"/>
      <c r="F64" s="188"/>
      <c r="G64" s="165" t="str">
        <f t="shared" si="2"/>
        <v/>
      </c>
      <c r="H64" s="117"/>
      <c r="I64" s="116"/>
      <c r="J64" s="116"/>
      <c r="K64" s="118"/>
      <c r="L64" s="119"/>
      <c r="M64" s="67"/>
      <c r="N64" s="119"/>
      <c r="O64" s="119"/>
      <c r="P64" s="80"/>
    </row>
    <row r="65" spans="1:16" s="7" customFormat="1" ht="24.75" customHeight="1" outlineLevel="1" x14ac:dyDescent="0.25">
      <c r="A65" s="137">
        <v>18</v>
      </c>
      <c r="B65" s="117"/>
      <c r="C65" s="119"/>
      <c r="D65" s="116"/>
      <c r="E65" s="188"/>
      <c r="F65" s="188"/>
      <c r="G65" s="165" t="str">
        <f t="shared" si="2"/>
        <v/>
      </c>
      <c r="H65" s="117"/>
      <c r="I65" s="116"/>
      <c r="J65" s="116"/>
      <c r="K65" s="118"/>
      <c r="L65" s="119"/>
      <c r="M65" s="67"/>
      <c r="N65" s="119"/>
      <c r="O65" s="119"/>
      <c r="P65" s="80"/>
    </row>
    <row r="66" spans="1:16" s="7" customFormat="1" ht="24.75" customHeight="1" outlineLevel="1" x14ac:dyDescent="0.25">
      <c r="A66" s="137">
        <v>19</v>
      </c>
      <c r="B66" s="117"/>
      <c r="C66" s="119"/>
      <c r="D66" s="116"/>
      <c r="E66" s="188"/>
      <c r="F66" s="188"/>
      <c r="G66" s="165" t="str">
        <f t="shared" si="2"/>
        <v/>
      </c>
      <c r="H66" s="117"/>
      <c r="I66" s="116"/>
      <c r="J66" s="116"/>
      <c r="K66" s="118"/>
      <c r="L66" s="119"/>
      <c r="M66" s="67"/>
      <c r="N66" s="119"/>
      <c r="O66" s="119"/>
      <c r="P66" s="80"/>
    </row>
    <row r="67" spans="1:16" s="7" customFormat="1" ht="24.75" customHeight="1" outlineLevel="1" x14ac:dyDescent="0.25">
      <c r="A67" s="137">
        <v>20</v>
      </c>
      <c r="B67" s="117"/>
      <c r="C67" s="119"/>
      <c r="D67" s="116"/>
      <c r="E67" s="188"/>
      <c r="F67" s="188"/>
      <c r="G67" s="165" t="str">
        <f t="shared" si="2"/>
        <v/>
      </c>
      <c r="H67" s="117"/>
      <c r="I67" s="116"/>
      <c r="J67" s="116"/>
      <c r="K67" s="118"/>
      <c r="L67" s="119"/>
      <c r="M67" s="67"/>
      <c r="N67" s="119"/>
      <c r="O67" s="119"/>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2683</v>
      </c>
      <c r="E114" s="188" t="s">
        <v>2684</v>
      </c>
      <c r="F114" s="138">
        <v>44196</v>
      </c>
      <c r="G114" s="165">
        <f>IF(AND(E114&lt;&gt;"",F114&lt;&gt;""),((F114-E114)/30),"")</f>
        <v>10.633333333333333</v>
      </c>
      <c r="H114" s="117" t="s">
        <v>2716</v>
      </c>
      <c r="I114" s="116" t="s">
        <v>36</v>
      </c>
      <c r="J114" s="116" t="s">
        <v>52</v>
      </c>
      <c r="K114" s="68">
        <v>1396485179</v>
      </c>
      <c r="L114" s="101">
        <f>+IF(AND(K114&gt;0,O114="Ejecución"),(K114/877802)*Tabla28[[#This Row],[% participación]],IF(AND(K114&gt;0,O114&lt;&gt;"Ejecución"),"-",""))</f>
        <v>1590.8885819353338</v>
      </c>
      <c r="M114" s="119" t="s">
        <v>1148</v>
      </c>
      <c r="N114" s="174">
        <f>+IF(M116="No",1,IF(M116="Si","Ingrese %",""))</f>
        <v>1</v>
      </c>
      <c r="O114" s="170" t="s">
        <v>1150</v>
      </c>
      <c r="P114" s="79"/>
    </row>
    <row r="115" spans="1:16" s="6" customFormat="1" ht="24.75" customHeight="1" x14ac:dyDescent="0.25">
      <c r="A115" s="136">
        <v>2</v>
      </c>
      <c r="B115" s="168" t="s">
        <v>2672</v>
      </c>
      <c r="C115" s="169" t="s">
        <v>31</v>
      </c>
      <c r="D115" s="116" t="s">
        <v>2685</v>
      </c>
      <c r="E115" s="188" t="s">
        <v>2686</v>
      </c>
      <c r="F115" s="138">
        <v>44196</v>
      </c>
      <c r="G115" s="165">
        <f t="shared" ref="G115:G116" si="3">IF(AND(E115&lt;&gt;"",F115&lt;&gt;""),((F115-E115)/30),"")</f>
        <v>10.666666666666666</v>
      </c>
      <c r="H115" s="117" t="s">
        <v>2717</v>
      </c>
      <c r="I115" s="116" t="s">
        <v>36</v>
      </c>
      <c r="J115" s="116" t="s">
        <v>103</v>
      </c>
      <c r="K115" s="68">
        <v>2407111857</v>
      </c>
      <c r="L115" s="101">
        <f>+IF(AND(K115&gt;0,O115="Ejecución"),(K115/877802)*Tabla28[[#This Row],[% participación]],IF(AND(K115&gt;0,O115&lt;&gt;"Ejecución"),"-",""))</f>
        <v>2742.2036598230579</v>
      </c>
      <c r="M115" s="119" t="s">
        <v>1148</v>
      </c>
      <c r="N115" s="174">
        <f>+IF(M116="No",1,IF(M116="Si","Ingrese %",""))</f>
        <v>1</v>
      </c>
      <c r="O115" s="170" t="s">
        <v>1150</v>
      </c>
      <c r="P115" s="79"/>
    </row>
    <row r="116" spans="1:16" s="6" customFormat="1" ht="24.75" customHeight="1" x14ac:dyDescent="0.25">
      <c r="A116" s="136">
        <v>3</v>
      </c>
      <c r="B116" s="168" t="s">
        <v>2672</v>
      </c>
      <c r="C116" s="169" t="s">
        <v>31</v>
      </c>
      <c r="D116" s="116" t="s">
        <v>2687</v>
      </c>
      <c r="E116" s="188" t="s">
        <v>2686</v>
      </c>
      <c r="F116" s="138">
        <v>44196</v>
      </c>
      <c r="G116" s="165">
        <f t="shared" si="3"/>
        <v>10.666666666666666</v>
      </c>
      <c r="H116" s="117" t="s">
        <v>2718</v>
      </c>
      <c r="I116" s="116" t="s">
        <v>36</v>
      </c>
      <c r="J116" s="116" t="s">
        <v>122</v>
      </c>
      <c r="K116" s="68">
        <v>807730046</v>
      </c>
      <c r="L116" s="101">
        <f>+IF(AND(K116&gt;0,O116="Ejecución"),(K116/877802)*Tabla28[[#This Row],[% participación]],IF(AND(K116&gt;0,O116&lt;&gt;"Ejecución"),"-",""))</f>
        <v>920.17339445569735</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2688</v>
      </c>
      <c r="E117" s="188" t="s">
        <v>2689</v>
      </c>
      <c r="F117" s="138">
        <v>44196</v>
      </c>
      <c r="G117" s="165">
        <f t="shared" ref="G117:G159" si="5">IF(AND(E117&lt;&gt;"",F117&lt;&gt;""),((F117-E117)/30),"")</f>
        <v>10.6</v>
      </c>
      <c r="H117" s="117" t="s">
        <v>2719</v>
      </c>
      <c r="I117" s="116" t="s">
        <v>64</v>
      </c>
      <c r="J117" s="116" t="s">
        <v>377</v>
      </c>
      <c r="K117" s="68">
        <v>1496168470</v>
      </c>
      <c r="L117" s="101">
        <f>+IF(AND(K117&gt;0,O117="Ejecución"),(K117/877802)*Tabla28[[#This Row],[% participación]],IF(AND(K117&gt;0,O117&lt;&gt;"Ejecución"),"-",""))</f>
        <v>1704.4486911626996</v>
      </c>
      <c r="M117" s="119" t="s">
        <v>1148</v>
      </c>
      <c r="N117" s="174">
        <f t="shared" si="4"/>
        <v>1</v>
      </c>
      <c r="O117" s="170" t="s">
        <v>1150</v>
      </c>
      <c r="P117" s="79"/>
    </row>
    <row r="118" spans="1:16" s="7" customFormat="1" ht="24.75" customHeight="1" outlineLevel="1" x14ac:dyDescent="0.25">
      <c r="A118" s="137">
        <v>5</v>
      </c>
      <c r="B118" s="168" t="s">
        <v>2672</v>
      </c>
      <c r="C118" s="169" t="s">
        <v>31</v>
      </c>
      <c r="D118" s="116" t="s">
        <v>2690</v>
      </c>
      <c r="E118" s="116" t="s">
        <v>2689</v>
      </c>
      <c r="F118" s="138">
        <v>44196</v>
      </c>
      <c r="G118" s="165">
        <f t="shared" si="5"/>
        <v>10.6</v>
      </c>
      <c r="H118" s="117" t="s">
        <v>2720</v>
      </c>
      <c r="I118" s="116" t="s">
        <v>64</v>
      </c>
      <c r="J118" s="116" t="s">
        <v>377</v>
      </c>
      <c r="K118" s="68">
        <v>2513477978</v>
      </c>
      <c r="L118" s="101">
        <f>+IF(AND(K118&gt;0,O118="Ejecución"),(K118/877802)*Tabla28[[#This Row],[% participación]],IF(AND(K118&gt;0,O118&lt;&gt;"Ejecución"),"-",""))</f>
        <v>2863.3769095992034</v>
      </c>
      <c r="M118" s="119" t="s">
        <v>1148</v>
      </c>
      <c r="N118" s="174">
        <f t="shared" si="4"/>
        <v>1</v>
      </c>
      <c r="O118" s="170" t="s">
        <v>1150</v>
      </c>
      <c r="P118" s="80"/>
    </row>
    <row r="119" spans="1:16" s="7" customFormat="1" ht="24.75" customHeight="1" outlineLevel="1" x14ac:dyDescent="0.25">
      <c r="A119" s="137">
        <v>6</v>
      </c>
      <c r="B119" s="168" t="s">
        <v>2672</v>
      </c>
      <c r="C119" s="169" t="s">
        <v>31</v>
      </c>
      <c r="D119" s="116" t="s">
        <v>2691</v>
      </c>
      <c r="E119" s="116" t="s">
        <v>2692</v>
      </c>
      <c r="F119" s="138">
        <v>44196</v>
      </c>
      <c r="G119" s="165">
        <f t="shared" si="5"/>
        <v>10.333333333333334</v>
      </c>
      <c r="H119" s="117" t="s">
        <v>2721</v>
      </c>
      <c r="I119" s="116" t="s">
        <v>110</v>
      </c>
      <c r="J119" s="116" t="s">
        <v>782</v>
      </c>
      <c r="K119" s="68">
        <v>1015160423</v>
      </c>
      <c r="L119" s="101">
        <f>+IF(AND(K119&gt;0,O119="Ejecución"),(K119/877802)*Tabla28[[#This Row],[% participación]],IF(AND(K119&gt;0,O119&lt;&gt;"Ejecución"),"-",""))</f>
        <v>1156.4799613124601</v>
      </c>
      <c r="M119" s="119" t="s">
        <v>1148</v>
      </c>
      <c r="N119" s="174">
        <f t="shared" si="4"/>
        <v>1</v>
      </c>
      <c r="O119" s="170" t="s">
        <v>1150</v>
      </c>
      <c r="P119" s="80"/>
    </row>
    <row r="120" spans="1:16" s="7" customFormat="1" ht="24.75" customHeight="1" outlineLevel="1" x14ac:dyDescent="0.25">
      <c r="A120" s="137">
        <v>7</v>
      </c>
      <c r="B120" s="168" t="s">
        <v>2672</v>
      </c>
      <c r="C120" s="169" t="s">
        <v>31</v>
      </c>
      <c r="D120" s="116" t="s">
        <v>2693</v>
      </c>
      <c r="E120" s="116" t="s">
        <v>2692</v>
      </c>
      <c r="F120" s="138">
        <v>44196</v>
      </c>
      <c r="G120" s="165">
        <f t="shared" si="5"/>
        <v>10.333333333333334</v>
      </c>
      <c r="H120" s="117" t="s">
        <v>2722</v>
      </c>
      <c r="I120" s="116" t="s">
        <v>110</v>
      </c>
      <c r="J120" s="116" t="s">
        <v>802</v>
      </c>
      <c r="K120" s="68">
        <v>3957540452</v>
      </c>
      <c r="L120" s="101">
        <f>+IF(AND(K120&gt;0,O120="Ejecución"),(K120/877802)*Tabla28[[#This Row],[% participación]],IF(AND(K120&gt;0,O120&lt;&gt;"Ejecución"),"-",""))</f>
        <v>4508.4659775211267</v>
      </c>
      <c r="M120" s="119" t="s">
        <v>1148</v>
      </c>
      <c r="N120" s="174">
        <f t="shared" si="4"/>
        <v>1</v>
      </c>
      <c r="O120" s="170" t="s">
        <v>1150</v>
      </c>
      <c r="P120" s="80"/>
    </row>
    <row r="121" spans="1:16" s="7" customFormat="1" ht="24.75" customHeight="1" outlineLevel="1" x14ac:dyDescent="0.25">
      <c r="A121" s="137">
        <v>8</v>
      </c>
      <c r="B121" s="168" t="s">
        <v>2672</v>
      </c>
      <c r="C121" s="169" t="s">
        <v>31</v>
      </c>
      <c r="D121" s="116" t="s">
        <v>2694</v>
      </c>
      <c r="E121" s="116" t="s">
        <v>2695</v>
      </c>
      <c r="F121" s="138">
        <v>44196</v>
      </c>
      <c r="G121" s="165">
        <f t="shared" si="5"/>
        <v>10.533333333333333</v>
      </c>
      <c r="H121" s="117" t="s">
        <v>2723</v>
      </c>
      <c r="I121" s="116" t="s">
        <v>396</v>
      </c>
      <c r="J121" s="116" t="s">
        <v>885</v>
      </c>
      <c r="K121" s="68">
        <v>3212593335</v>
      </c>
      <c r="L121" s="101">
        <f>+IF(AND(K121&gt;0,O121="Ejecución"),(K121/877802)*Tabla28[[#This Row],[% participación]],IF(AND(K121&gt;0,O121&lt;&gt;"Ejecución"),"-",""))</f>
        <v>3659.8154652188077</v>
      </c>
      <c r="M121" s="119" t="s">
        <v>1148</v>
      </c>
      <c r="N121" s="174">
        <f t="shared" si="4"/>
        <v>1</v>
      </c>
      <c r="O121" s="170" t="s">
        <v>1150</v>
      </c>
      <c r="P121" s="80"/>
    </row>
    <row r="122" spans="1:16" s="7" customFormat="1" ht="24.75" customHeight="1" outlineLevel="1" x14ac:dyDescent="0.25">
      <c r="A122" s="137">
        <v>9</v>
      </c>
      <c r="B122" s="168" t="s">
        <v>2672</v>
      </c>
      <c r="C122" s="169" t="s">
        <v>31</v>
      </c>
      <c r="D122" s="116" t="s">
        <v>2696</v>
      </c>
      <c r="E122" s="116" t="s">
        <v>2695</v>
      </c>
      <c r="F122" s="138">
        <v>44196</v>
      </c>
      <c r="G122" s="165">
        <f t="shared" si="5"/>
        <v>10.533333333333333</v>
      </c>
      <c r="H122" s="117" t="s">
        <v>2724</v>
      </c>
      <c r="I122" s="116" t="s">
        <v>396</v>
      </c>
      <c r="J122" s="116" t="s">
        <v>874</v>
      </c>
      <c r="K122" s="68">
        <v>4320079754</v>
      </c>
      <c r="L122" s="101">
        <f>+IF(AND(K122&gt;0,O122="Ejecución"),(K122/877802)*Tabla28[[#This Row],[% participación]],IF(AND(K122&gt;0,O122&lt;&gt;"Ejecución"),"-",""))</f>
        <v>4921.4740385645055</v>
      </c>
      <c r="M122" s="119" t="s">
        <v>1148</v>
      </c>
      <c r="N122" s="174">
        <f t="shared" si="4"/>
        <v>1</v>
      </c>
      <c r="O122" s="170" t="s">
        <v>1150</v>
      </c>
      <c r="P122" s="80"/>
    </row>
    <row r="123" spans="1:16" s="7" customFormat="1" ht="24.75" customHeight="1" outlineLevel="1" x14ac:dyDescent="0.25">
      <c r="A123" s="137">
        <v>10</v>
      </c>
      <c r="B123" s="168" t="s">
        <v>2672</v>
      </c>
      <c r="C123" s="169" t="s">
        <v>31</v>
      </c>
      <c r="D123" s="116" t="s">
        <v>2697</v>
      </c>
      <c r="E123" s="116" t="s">
        <v>2698</v>
      </c>
      <c r="F123" s="138">
        <v>44196</v>
      </c>
      <c r="G123" s="165">
        <f t="shared" si="5"/>
        <v>10.3</v>
      </c>
      <c r="H123" s="117" t="s">
        <v>2725</v>
      </c>
      <c r="I123" s="116" t="s">
        <v>396</v>
      </c>
      <c r="J123" s="116" t="s">
        <v>874</v>
      </c>
      <c r="K123" s="68">
        <v>6757476073</v>
      </c>
      <c r="L123" s="101">
        <f>+IF(AND(K123&gt;0,O123="Ejecución"),(K123/877802)*Tabla28[[#This Row],[% participación]],IF(AND(K123&gt;0,O123&lt;&gt;"Ejecución"),"-",""))</f>
        <v>7698.1780321758206</v>
      </c>
      <c r="M123" s="119" t="s">
        <v>1148</v>
      </c>
      <c r="N123" s="174">
        <f t="shared" si="4"/>
        <v>1</v>
      </c>
      <c r="O123" s="170" t="s">
        <v>1150</v>
      </c>
      <c r="P123" s="80"/>
    </row>
    <row r="124" spans="1:16" s="7" customFormat="1" ht="24.75" customHeight="1" outlineLevel="1" x14ac:dyDescent="0.25">
      <c r="A124" s="137">
        <v>11</v>
      </c>
      <c r="B124" s="168" t="s">
        <v>2672</v>
      </c>
      <c r="C124" s="169" t="s">
        <v>31</v>
      </c>
      <c r="D124" s="116" t="s">
        <v>2699</v>
      </c>
      <c r="E124" s="116" t="s">
        <v>2700</v>
      </c>
      <c r="F124" s="138">
        <v>44196</v>
      </c>
      <c r="G124" s="165">
        <f t="shared" si="5"/>
        <v>10.466666666666667</v>
      </c>
      <c r="H124" s="117" t="s">
        <v>2726</v>
      </c>
      <c r="I124" s="116" t="s">
        <v>1155</v>
      </c>
      <c r="J124" s="116" t="s">
        <v>1035</v>
      </c>
      <c r="K124" s="68">
        <v>722562407</v>
      </c>
      <c r="L124" s="101">
        <f>+IF(AND(K124&gt;0,O124="Ejecución"),(K124/877802)*Tabla28[[#This Row],[% participación]],IF(AND(K124&gt;0,O124&lt;&gt;"Ejecución"),"-",""))</f>
        <v>823.1496476426347</v>
      </c>
      <c r="M124" s="119" t="s">
        <v>1148</v>
      </c>
      <c r="N124" s="174">
        <f t="shared" si="4"/>
        <v>1</v>
      </c>
      <c r="O124" s="170" t="s">
        <v>1150</v>
      </c>
      <c r="P124" s="80"/>
    </row>
    <row r="125" spans="1:16" s="7" customFormat="1" ht="24.75" customHeight="1" outlineLevel="1" x14ac:dyDescent="0.25">
      <c r="A125" s="137">
        <v>12</v>
      </c>
      <c r="B125" s="168" t="s">
        <v>2672</v>
      </c>
      <c r="C125" s="169" t="s">
        <v>31</v>
      </c>
      <c r="D125" s="116" t="s">
        <v>2701</v>
      </c>
      <c r="E125" s="116" t="s">
        <v>2702</v>
      </c>
      <c r="F125" s="138">
        <v>44196</v>
      </c>
      <c r="G125" s="165">
        <f t="shared" si="5"/>
        <v>10.5</v>
      </c>
      <c r="H125" s="117" t="s">
        <v>2727</v>
      </c>
      <c r="I125" s="116" t="s">
        <v>1155</v>
      </c>
      <c r="J125" s="116" t="s">
        <v>1044</v>
      </c>
      <c r="K125" s="68">
        <v>3213854315</v>
      </c>
      <c r="L125" s="101">
        <f>+IF(AND(K125&gt;0,O125="Ejecución"),(K125/877802)*Tabla28[[#This Row],[% participación]],IF(AND(K125&gt;0,O125&lt;&gt;"Ejecución"),"-",""))</f>
        <v>3661.2519850718045</v>
      </c>
      <c r="M125" s="119" t="s">
        <v>1148</v>
      </c>
      <c r="N125" s="174">
        <f t="shared" si="4"/>
        <v>1</v>
      </c>
      <c r="O125" s="170" t="s">
        <v>1150</v>
      </c>
      <c r="P125" s="80"/>
    </row>
    <row r="126" spans="1:16" s="7" customFormat="1" ht="24.75" customHeight="1" outlineLevel="1" x14ac:dyDescent="0.25">
      <c r="A126" s="137">
        <v>13</v>
      </c>
      <c r="B126" s="168" t="s">
        <v>2672</v>
      </c>
      <c r="C126" s="169" t="s">
        <v>31</v>
      </c>
      <c r="D126" s="116" t="s">
        <v>2703</v>
      </c>
      <c r="E126" s="116" t="s">
        <v>2702</v>
      </c>
      <c r="F126" s="138">
        <v>44196</v>
      </c>
      <c r="G126" s="165">
        <f t="shared" si="5"/>
        <v>10.5</v>
      </c>
      <c r="H126" s="117" t="s">
        <v>2728</v>
      </c>
      <c r="I126" s="116" t="s">
        <v>1155</v>
      </c>
      <c r="J126" s="116" t="s">
        <v>1062</v>
      </c>
      <c r="K126" s="68">
        <v>1839770630</v>
      </c>
      <c r="L126" s="101">
        <f>+IF(AND(K126&gt;0,O126="Ejecución"),(K126/877802)*Tabla28[[#This Row],[% participación]],IF(AND(K126&gt;0,O126&lt;&gt;"Ejecución"),"-",""))</f>
        <v>2095.8833882811841</v>
      </c>
      <c r="M126" s="119" t="s">
        <v>1148</v>
      </c>
      <c r="N126" s="174">
        <f t="shared" si="4"/>
        <v>1</v>
      </c>
      <c r="O126" s="170" t="s">
        <v>1150</v>
      </c>
      <c r="P126" s="80"/>
    </row>
    <row r="127" spans="1:16" s="7" customFormat="1" ht="24.75" customHeight="1" outlineLevel="1" x14ac:dyDescent="0.25">
      <c r="A127" s="137">
        <v>14</v>
      </c>
      <c r="B127" s="168" t="s">
        <v>2672</v>
      </c>
      <c r="C127" s="169" t="s">
        <v>31</v>
      </c>
      <c r="D127" s="116" t="s">
        <v>2704</v>
      </c>
      <c r="E127" s="116" t="s">
        <v>2700</v>
      </c>
      <c r="F127" s="138">
        <v>44196</v>
      </c>
      <c r="G127" s="165">
        <f t="shared" si="5"/>
        <v>10.466666666666667</v>
      </c>
      <c r="H127" s="117" t="s">
        <v>2729</v>
      </c>
      <c r="I127" s="116" t="s">
        <v>1155</v>
      </c>
      <c r="J127" s="116" t="s">
        <v>1063</v>
      </c>
      <c r="K127" s="68">
        <v>2848448534</v>
      </c>
      <c r="L127" s="101">
        <f>+IF(AND(K127&gt;0,O127="Ejecución"),(K127/877802)*Tabla28[[#This Row],[% participación]],IF(AND(K127&gt;0,O127&lt;&gt;"Ejecución"),"-",""))</f>
        <v>3244.9784051528704</v>
      </c>
      <c r="M127" s="119" t="s">
        <v>1148</v>
      </c>
      <c r="N127" s="174">
        <f t="shared" si="4"/>
        <v>1</v>
      </c>
      <c r="O127" s="170" t="s">
        <v>1150</v>
      </c>
      <c r="P127" s="80"/>
    </row>
    <row r="128" spans="1:16" s="7" customFormat="1" ht="24.75" customHeight="1" outlineLevel="1" x14ac:dyDescent="0.25">
      <c r="A128" s="137">
        <v>15</v>
      </c>
      <c r="B128" s="168" t="s">
        <v>2672</v>
      </c>
      <c r="C128" s="169" t="s">
        <v>31</v>
      </c>
      <c r="D128" s="116" t="s">
        <v>2705</v>
      </c>
      <c r="E128" s="116" t="s">
        <v>2702</v>
      </c>
      <c r="F128" s="138">
        <v>44196</v>
      </c>
      <c r="G128" s="165">
        <f t="shared" si="5"/>
        <v>10.5</v>
      </c>
      <c r="H128" s="117" t="s">
        <v>2730</v>
      </c>
      <c r="I128" s="116" t="s">
        <v>1155</v>
      </c>
      <c r="J128" s="116" t="s">
        <v>1063</v>
      </c>
      <c r="K128" s="68">
        <v>2877902051</v>
      </c>
      <c r="L128" s="101">
        <f>+IF(AND(K128&gt;0,O128="Ejecución"),(K128/877802)*Tabla28[[#This Row],[% participación]],IF(AND(K128&gt;0,O128&lt;&gt;"Ejecución"),"-",""))</f>
        <v>3278.5321188605176</v>
      </c>
      <c r="M128" s="119" t="s">
        <v>1148</v>
      </c>
      <c r="N128" s="174">
        <f t="shared" si="4"/>
        <v>1</v>
      </c>
      <c r="O128" s="170" t="s">
        <v>1150</v>
      </c>
      <c r="P128" s="80"/>
    </row>
    <row r="129" spans="1:16" s="7" customFormat="1" ht="24.75" customHeight="1" outlineLevel="1" x14ac:dyDescent="0.25">
      <c r="A129" s="137">
        <v>16</v>
      </c>
      <c r="B129" s="168" t="s">
        <v>2672</v>
      </c>
      <c r="C129" s="169" t="s">
        <v>31</v>
      </c>
      <c r="D129" s="116" t="s">
        <v>2706</v>
      </c>
      <c r="E129" s="116" t="s">
        <v>2702</v>
      </c>
      <c r="F129" s="138">
        <v>44196</v>
      </c>
      <c r="G129" s="165">
        <f t="shared" si="5"/>
        <v>10.5</v>
      </c>
      <c r="H129" s="117" t="s">
        <v>2730</v>
      </c>
      <c r="I129" s="116" t="s">
        <v>1155</v>
      </c>
      <c r="J129" s="116" t="s">
        <v>1063</v>
      </c>
      <c r="K129" s="68">
        <v>1168845167</v>
      </c>
      <c r="L129" s="101">
        <f>+IF(AND(K129&gt;0,O129="Ejecución"),(K129/877802)*Tabla28[[#This Row],[% participación]],IF(AND(K129&gt;0,O129&lt;&gt;"Ejecución"),"-",""))</f>
        <v>1331.5590155866585</v>
      </c>
      <c r="M129" s="119" t="s">
        <v>1148</v>
      </c>
      <c r="N129" s="174">
        <f t="shared" si="4"/>
        <v>1</v>
      </c>
      <c r="O129" s="170" t="s">
        <v>1150</v>
      </c>
      <c r="P129" s="80"/>
    </row>
    <row r="130" spans="1:16" s="7" customFormat="1" ht="24.75" customHeight="1" outlineLevel="1" x14ac:dyDescent="0.25">
      <c r="A130" s="137">
        <v>17</v>
      </c>
      <c r="B130" s="168" t="s">
        <v>2672</v>
      </c>
      <c r="C130" s="169" t="s">
        <v>31</v>
      </c>
      <c r="D130" s="116" t="s">
        <v>2707</v>
      </c>
      <c r="E130" s="116" t="s">
        <v>2702</v>
      </c>
      <c r="F130" s="138">
        <v>44196</v>
      </c>
      <c r="G130" s="165">
        <f t="shared" si="5"/>
        <v>10.5</v>
      </c>
      <c r="H130" s="117" t="s">
        <v>2731</v>
      </c>
      <c r="I130" s="116" t="s">
        <v>1155</v>
      </c>
      <c r="J130" s="116" t="s">
        <v>1040</v>
      </c>
      <c r="K130" s="68">
        <v>1538052776</v>
      </c>
      <c r="L130" s="101">
        <f>+IF(AND(K130&gt;0,O130="Ejecución"),(K130/877802)*Tabla28[[#This Row],[% participación]],IF(AND(K130&gt;0,O130&lt;&gt;"Ejecución"),"-",""))</f>
        <v>1752.1636724454945</v>
      </c>
      <c r="M130" s="119" t="s">
        <v>1148</v>
      </c>
      <c r="N130" s="174">
        <f t="shared" si="4"/>
        <v>1</v>
      </c>
      <c r="O130" s="170" t="s">
        <v>1150</v>
      </c>
      <c r="P130" s="80"/>
    </row>
    <row r="131" spans="1:16" s="7" customFormat="1" ht="24.75" customHeight="1" outlineLevel="1" x14ac:dyDescent="0.25">
      <c r="A131" s="137">
        <v>18</v>
      </c>
      <c r="B131" s="168" t="s">
        <v>2672</v>
      </c>
      <c r="C131" s="169" t="s">
        <v>31</v>
      </c>
      <c r="D131" s="116" t="s">
        <v>2708</v>
      </c>
      <c r="E131" s="116" t="s">
        <v>2702</v>
      </c>
      <c r="F131" s="138">
        <v>44196</v>
      </c>
      <c r="G131" s="165">
        <f t="shared" si="5"/>
        <v>10.5</v>
      </c>
      <c r="H131" s="117" t="s">
        <v>2732</v>
      </c>
      <c r="I131" s="116" t="s">
        <v>1155</v>
      </c>
      <c r="J131" s="116" t="s">
        <v>1044</v>
      </c>
      <c r="K131" s="68">
        <v>2634098595</v>
      </c>
      <c r="L131" s="101">
        <f>+IF(AND(K131&gt;0,O131="Ejecución"),(K131/877802)*Tabla28[[#This Row],[% participación]],IF(AND(K131&gt;0,O131&lt;&gt;"Ejecución"),"-",""))</f>
        <v>3000.7890105057859</v>
      </c>
      <c r="M131" s="119" t="s">
        <v>1148</v>
      </c>
      <c r="N131" s="174">
        <f t="shared" si="4"/>
        <v>1</v>
      </c>
      <c r="O131" s="170" t="s">
        <v>1150</v>
      </c>
      <c r="P131" s="80"/>
    </row>
    <row r="132" spans="1:16" s="7" customFormat="1" ht="24.75" customHeight="1" outlineLevel="1" x14ac:dyDescent="0.25">
      <c r="A132" s="137">
        <v>19</v>
      </c>
      <c r="B132" s="168" t="s">
        <v>2672</v>
      </c>
      <c r="C132" s="169" t="s">
        <v>31</v>
      </c>
      <c r="D132" s="116" t="s">
        <v>2709</v>
      </c>
      <c r="E132" s="116" t="s">
        <v>2700</v>
      </c>
      <c r="F132" s="138">
        <v>44196</v>
      </c>
      <c r="G132" s="165">
        <f t="shared" si="5"/>
        <v>10.466666666666667</v>
      </c>
      <c r="H132" s="117" t="s">
        <v>2733</v>
      </c>
      <c r="I132" s="116" t="s">
        <v>1155</v>
      </c>
      <c r="J132" s="116" t="s">
        <v>168</v>
      </c>
      <c r="K132" s="68">
        <v>992591874</v>
      </c>
      <c r="L132" s="101">
        <f>+IF(AND(K132&gt;0,O132="Ejecución"),(K132/877802)*Tabla28[[#This Row],[% participación]],IF(AND(K132&gt;0,O132&lt;&gt;"Ejecución"),"-",""))</f>
        <v>1130.7696655965697</v>
      </c>
      <c r="M132" s="119" t="s">
        <v>1148</v>
      </c>
      <c r="N132" s="174">
        <f t="shared" si="4"/>
        <v>1</v>
      </c>
      <c r="O132" s="170" t="s">
        <v>1150</v>
      </c>
      <c r="P132" s="80"/>
    </row>
    <row r="133" spans="1:16" s="7" customFormat="1" ht="24.75" customHeight="1" outlineLevel="1" x14ac:dyDescent="0.25">
      <c r="A133" s="137">
        <v>20</v>
      </c>
      <c r="B133" s="168" t="s">
        <v>2672</v>
      </c>
      <c r="C133" s="169" t="s">
        <v>31</v>
      </c>
      <c r="D133" s="116" t="s">
        <v>2710</v>
      </c>
      <c r="E133" s="116" t="s">
        <v>2700</v>
      </c>
      <c r="F133" s="138">
        <v>44196</v>
      </c>
      <c r="G133" s="165">
        <f t="shared" si="5"/>
        <v>10.466666666666667</v>
      </c>
      <c r="H133" s="117" t="s">
        <v>2733</v>
      </c>
      <c r="I133" s="116" t="s">
        <v>1155</v>
      </c>
      <c r="J133" s="116" t="s">
        <v>1050</v>
      </c>
      <c r="K133" s="68">
        <v>541001343</v>
      </c>
      <c r="L133" s="101">
        <f>+IF(AND(K133&gt;0,O133="Ejecución"),(K133/877802)*Tabla28[[#This Row],[% participación]],IF(AND(K133&gt;0,O133&lt;&gt;"Ejecución"),"-",""))</f>
        <v>616.31363678825062</v>
      </c>
      <c r="M133" s="119" t="s">
        <v>1148</v>
      </c>
      <c r="N133" s="174">
        <f t="shared" si="4"/>
        <v>1</v>
      </c>
      <c r="O133" s="170" t="s">
        <v>1150</v>
      </c>
      <c r="P133" s="80"/>
    </row>
    <row r="134" spans="1:16" s="7" customFormat="1" ht="24.75" customHeight="1" outlineLevel="1" x14ac:dyDescent="0.25">
      <c r="A134" s="137">
        <v>21</v>
      </c>
      <c r="B134" s="168" t="s">
        <v>2672</v>
      </c>
      <c r="C134" s="169" t="s">
        <v>31</v>
      </c>
      <c r="D134" s="116" t="s">
        <v>2711</v>
      </c>
      <c r="E134" s="116" t="s">
        <v>2702</v>
      </c>
      <c r="F134" s="138">
        <v>44196</v>
      </c>
      <c r="G134" s="165">
        <f t="shared" si="5"/>
        <v>10.5</v>
      </c>
      <c r="H134" s="117" t="s">
        <v>2730</v>
      </c>
      <c r="I134" s="116" t="s">
        <v>1155</v>
      </c>
      <c r="J134" s="116" t="s">
        <v>168</v>
      </c>
      <c r="K134" s="68">
        <v>2405418374</v>
      </c>
      <c r="L134" s="101">
        <f>+IF(AND(K134&gt;0,O134="Ejecución"),(K134/877802)*Tabla28[[#This Row],[% participación]],IF(AND(K134&gt;0,O134&lt;&gt;"Ejecución"),"-",""))</f>
        <v>2740.2744286296911</v>
      </c>
      <c r="M134" s="119" t="s">
        <v>1148</v>
      </c>
      <c r="N134" s="174">
        <f t="shared" si="4"/>
        <v>1</v>
      </c>
      <c r="O134" s="170" t="s">
        <v>1150</v>
      </c>
      <c r="P134" s="80"/>
    </row>
    <row r="135" spans="1:16" s="7" customFormat="1" ht="24.75" customHeight="1" outlineLevel="1" x14ac:dyDescent="0.25">
      <c r="A135" s="137">
        <v>22</v>
      </c>
      <c r="B135" s="168" t="s">
        <v>2672</v>
      </c>
      <c r="C135" s="169" t="s">
        <v>31</v>
      </c>
      <c r="D135" s="116" t="s">
        <v>2712</v>
      </c>
      <c r="E135" s="116" t="s">
        <v>2700</v>
      </c>
      <c r="F135" s="138">
        <v>44196</v>
      </c>
      <c r="G135" s="165">
        <f t="shared" si="5"/>
        <v>10.466666666666667</v>
      </c>
      <c r="H135" s="117" t="s">
        <v>2734</v>
      </c>
      <c r="I135" s="116" t="s">
        <v>1155</v>
      </c>
      <c r="J135" s="116" t="s">
        <v>1035</v>
      </c>
      <c r="K135" s="68">
        <v>855949179</v>
      </c>
      <c r="L135" s="101">
        <f>+IF(AND(K135&gt;0,O135="Ejecución"),(K135/877802)*Tabla28[[#This Row],[% participación]],IF(AND(K135&gt;0,O135&lt;&gt;"Ejecución"),"-",""))</f>
        <v>975.10506811331027</v>
      </c>
      <c r="M135" s="119" t="s">
        <v>1148</v>
      </c>
      <c r="N135" s="174">
        <f t="shared" si="4"/>
        <v>1</v>
      </c>
      <c r="O135" s="170" t="s">
        <v>1150</v>
      </c>
      <c r="P135" s="80"/>
    </row>
    <row r="136" spans="1:16" s="7" customFormat="1" ht="24.75" customHeight="1" outlineLevel="1" x14ac:dyDescent="0.25">
      <c r="A136" s="137">
        <v>23</v>
      </c>
      <c r="B136" s="168" t="s">
        <v>2672</v>
      </c>
      <c r="C136" s="169" t="s">
        <v>31</v>
      </c>
      <c r="D136" s="116" t="s">
        <v>2713</v>
      </c>
      <c r="E136" s="116" t="s">
        <v>2700</v>
      </c>
      <c r="F136" s="138">
        <v>44196</v>
      </c>
      <c r="G136" s="165">
        <f t="shared" si="5"/>
        <v>10.466666666666667</v>
      </c>
      <c r="H136" s="117" t="s">
        <v>2734</v>
      </c>
      <c r="I136" s="116" t="s">
        <v>1155</v>
      </c>
      <c r="J136" s="116" t="s">
        <v>1035</v>
      </c>
      <c r="K136" s="68">
        <v>1596916690</v>
      </c>
      <c r="L136" s="101">
        <f>+IF(AND(K136&gt;0,O136="Ejecución"),(K136/877802)*Tabla28[[#This Row],[% participación]],IF(AND(K136&gt;0,O136&lt;&gt;"Ejecución"),"-",""))</f>
        <v>1819.2219771656935</v>
      </c>
      <c r="M136" s="119" t="s">
        <v>1148</v>
      </c>
      <c r="N136" s="174">
        <f t="shared" si="4"/>
        <v>1</v>
      </c>
      <c r="O136" s="170" t="s">
        <v>1150</v>
      </c>
      <c r="P136" s="80"/>
    </row>
    <row r="137" spans="1:16" s="7" customFormat="1" ht="24.75" customHeight="1" outlineLevel="1" x14ac:dyDescent="0.25">
      <c r="A137" s="137">
        <v>24</v>
      </c>
      <c r="B137" s="168" t="s">
        <v>2672</v>
      </c>
      <c r="C137" s="169" t="s">
        <v>31</v>
      </c>
      <c r="D137" s="116" t="s">
        <v>2714</v>
      </c>
      <c r="E137" s="116" t="s">
        <v>2702</v>
      </c>
      <c r="F137" s="138">
        <v>44196</v>
      </c>
      <c r="G137" s="165">
        <f t="shared" si="5"/>
        <v>10.5</v>
      </c>
      <c r="H137" s="117" t="s">
        <v>2735</v>
      </c>
      <c r="I137" s="116" t="s">
        <v>1155</v>
      </c>
      <c r="J137" s="116" t="s">
        <v>1035</v>
      </c>
      <c r="K137" s="68">
        <v>568406001</v>
      </c>
      <c r="L137" s="101">
        <f>+IF(AND(K137&gt;0,O137="Ejecución"),(K137/877802)*Tabla28[[#This Row],[% participación]],IF(AND(K137&gt;0,O137&lt;&gt;"Ejecución"),"-",""))</f>
        <v>647.53327174009632</v>
      </c>
      <c r="M137" s="119" t="s">
        <v>1148</v>
      </c>
      <c r="N137" s="174">
        <f t="shared" si="4"/>
        <v>1</v>
      </c>
      <c r="O137" s="170" t="s">
        <v>1150</v>
      </c>
      <c r="P137" s="80"/>
    </row>
    <row r="138" spans="1:16" s="7" customFormat="1" ht="24.75" customHeight="1" outlineLevel="1" x14ac:dyDescent="0.25">
      <c r="A138" s="137">
        <v>25</v>
      </c>
      <c r="B138" s="168" t="s">
        <v>2672</v>
      </c>
      <c r="C138" s="169" t="s">
        <v>31</v>
      </c>
      <c r="D138" s="116" t="s">
        <v>2715</v>
      </c>
      <c r="E138" s="116" t="s">
        <v>2702</v>
      </c>
      <c r="F138" s="138">
        <v>44196</v>
      </c>
      <c r="G138" s="165">
        <f t="shared" si="5"/>
        <v>10.5</v>
      </c>
      <c r="H138" s="117" t="s">
        <v>2734</v>
      </c>
      <c r="I138" s="116" t="s">
        <v>1155</v>
      </c>
      <c r="J138" s="116" t="s">
        <v>1035</v>
      </c>
      <c r="K138" s="68">
        <v>703821057</v>
      </c>
      <c r="L138" s="101">
        <f>+IF(AND(K138&gt;0,O138="Ejecución"),(K138/877802)*Tabla28[[#This Row],[% participación]],IF(AND(K138&gt;0,O138&lt;&gt;"Ejecución"),"-",""))</f>
        <v>801.7993317399596</v>
      </c>
      <c r="M138" s="119" t="s">
        <v>1148</v>
      </c>
      <c r="N138" s="174">
        <f t="shared" si="4"/>
        <v>1</v>
      </c>
      <c r="O138" s="170" t="s">
        <v>1150</v>
      </c>
      <c r="P138" s="80"/>
    </row>
    <row r="139" spans="1:16" s="7" customFormat="1" ht="24.75" customHeight="1" outlineLevel="1" x14ac:dyDescent="0.25">
      <c r="A139" s="137">
        <v>26</v>
      </c>
      <c r="B139" s="168" t="s">
        <v>2672</v>
      </c>
      <c r="C139" s="169" t="s">
        <v>31</v>
      </c>
      <c r="D139" s="116" t="s">
        <v>2681</v>
      </c>
      <c r="E139" s="138">
        <v>44166</v>
      </c>
      <c r="F139" s="138">
        <v>44773</v>
      </c>
      <c r="G139" s="165">
        <f t="shared" si="5"/>
        <v>20.233333333333334</v>
      </c>
      <c r="H139" s="64" t="s">
        <v>2682</v>
      </c>
      <c r="I139" s="63" t="s">
        <v>1155</v>
      </c>
      <c r="J139" s="63" t="s">
        <v>1039</v>
      </c>
      <c r="K139" s="68">
        <v>23622362252</v>
      </c>
      <c r="L139" s="101">
        <f>+IF(AND(K139&gt;0,O139="Ejecución"),(K139/877802)*Tabla28[[#This Row],[% participación]],IF(AND(K139&gt;0,O139&lt;&gt;"Ejecución"),"-",""))</f>
        <v>5382.1618661155935</v>
      </c>
      <c r="M139" s="65" t="s">
        <v>26</v>
      </c>
      <c r="N139" s="174">
        <v>0.2</v>
      </c>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HYPERLINK("#Integrante_1!A1","INICIO")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28"/>
      <c r="S177" s="28" t="s">
        <v>2619</v>
      </c>
      <c r="T177" s="19"/>
      <c r="U177" s="19"/>
      <c r="V177" s="19"/>
      <c r="W177" s="19"/>
      <c r="X177" s="19"/>
      <c r="Y177" s="19"/>
      <c r="Z177" s="19"/>
      <c r="AA177" s="19"/>
      <c r="AB177" s="19"/>
    </row>
    <row r="178" spans="1:28" ht="23.25" x14ac:dyDescent="0.25">
      <c r="A178" s="9"/>
      <c r="B178" s="258"/>
      <c r="C178" s="259"/>
      <c r="D178" s="260"/>
      <c r="E178" s="28" t="s">
        <v>2621</v>
      </c>
      <c r="F178" s="28" t="s">
        <v>2622</v>
      </c>
      <c r="G178" s="28" t="s">
        <v>2623</v>
      </c>
      <c r="H178" s="5"/>
      <c r="I178" s="233"/>
      <c r="J178" s="234"/>
      <c r="K178" s="234"/>
      <c r="L178" s="235"/>
      <c r="M178" s="240"/>
      <c r="O178" s="8"/>
      <c r="Q178" s="19"/>
      <c r="R178" s="28" t="s">
        <v>2623</v>
      </c>
      <c r="S178" s="28" t="s">
        <v>2621</v>
      </c>
      <c r="T178" s="19"/>
      <c r="U178" s="19"/>
      <c r="V178" s="19"/>
      <c r="W178" s="19"/>
      <c r="X178" s="19"/>
      <c r="Y178" s="19"/>
      <c r="Z178" s="19"/>
      <c r="AA178" s="19"/>
      <c r="AB178" s="19"/>
    </row>
    <row r="179" spans="1:28" ht="23.25" x14ac:dyDescent="0.25">
      <c r="A179" s="9"/>
      <c r="B179" s="228" t="s">
        <v>2671</v>
      </c>
      <c r="C179" s="228"/>
      <c r="D179" s="228"/>
      <c r="E179" s="24">
        <v>0.02</v>
      </c>
      <c r="F179" s="171">
        <v>0.03</v>
      </c>
      <c r="G179" s="172">
        <f>IF(F179&gt;0,SUM(E179+F179),"")</f>
        <v>0.05</v>
      </c>
      <c r="H179" s="5"/>
      <c r="I179" s="236" t="s">
        <v>2675</v>
      </c>
      <c r="J179" s="237"/>
      <c r="K179" s="237"/>
      <c r="L179" s="238"/>
      <c r="M179" s="171">
        <v>0.04</v>
      </c>
      <c r="O179" s="8"/>
      <c r="Q179" s="19"/>
      <c r="R179" s="172">
        <f>IF(M179&gt;0,SUM(S179+M179),"")</f>
        <v>0.06</v>
      </c>
      <c r="S179" s="24">
        <v>0.02</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0.05</v>
      </c>
      <c r="D185" s="92" t="s">
        <v>2633</v>
      </c>
      <c r="E185" s="95">
        <f>+(C185*SUM(K20:K35))</f>
        <v>66519881.400000006</v>
      </c>
      <c r="F185" s="93"/>
      <c r="G185" s="94"/>
      <c r="H185" s="89"/>
      <c r="I185" s="91" t="s">
        <v>2632</v>
      </c>
      <c r="J185" s="177">
        <f>M179</f>
        <v>0.04</v>
      </c>
      <c r="K185" s="229" t="s">
        <v>2633</v>
      </c>
      <c r="L185" s="229"/>
      <c r="M185" s="95">
        <f>+J185*K20</f>
        <v>53215905.120000005</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26" t="s">
        <v>24</v>
      </c>
      <c r="J192" s="5" t="s">
        <v>2642</v>
      </c>
      <c r="K192" s="5"/>
      <c r="M192" s="5"/>
      <c r="N192" s="5"/>
      <c r="O192" s="8"/>
      <c r="Q192" s="147"/>
      <c r="R192" s="148"/>
      <c r="S192" s="148"/>
      <c r="T192" s="147"/>
    </row>
    <row r="193" spans="1:18" x14ac:dyDescent="0.25">
      <c r="A193" s="9"/>
      <c r="C193" s="192">
        <v>41964</v>
      </c>
      <c r="D193" s="5"/>
      <c r="E193" s="193">
        <v>6710</v>
      </c>
      <c r="F193" s="5"/>
      <c r="G193" s="5"/>
      <c r="H193" s="191" t="s">
        <v>2753</v>
      </c>
      <c r="J193" s="5"/>
      <c r="K193" s="192">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t="s">
        <v>2753</v>
      </c>
      <c r="D211" s="21"/>
      <c r="G211" s="27" t="s">
        <v>2625</v>
      </c>
      <c r="H211" s="190" t="s">
        <v>2754</v>
      </c>
      <c r="J211" s="27" t="s">
        <v>2627</v>
      </c>
      <c r="K211" s="190" t="s">
        <v>2756</v>
      </c>
      <c r="L211" s="21"/>
      <c r="M211" s="21"/>
      <c r="N211" s="21"/>
      <c r="O211" s="8"/>
    </row>
    <row r="212" spans="1:15" x14ac:dyDescent="0.25">
      <c r="A212" s="9"/>
      <c r="B212" s="27" t="s">
        <v>2624</v>
      </c>
      <c r="C212" s="191" t="s">
        <v>2753</v>
      </c>
      <c r="D212" s="21"/>
      <c r="G212" s="27" t="s">
        <v>2626</v>
      </c>
      <c r="H212" s="190" t="s">
        <v>2755</v>
      </c>
      <c r="J212" s="27" t="s">
        <v>2628</v>
      </c>
      <c r="K212" s="191" t="s">
        <v>2757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104: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G44" zoomScale="85" zoomScaleNormal="85" zoomScaleSheetLayoutView="40" zoomScalePageLayoutView="40" workbookViewId="0">
      <selection activeCell="K51" sqref="K5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44194.720185995371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7" t="str">
        <f>HYPERLINK("#Integrante_2!A109","CAPACIDAD RESIDUAL")</f>
        <v>CAPACIDAD RESIDUAL</v>
      </c>
      <c r="F8" s="208"/>
      <c r="G8" s="209"/>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7" t="str">
        <f>HYPERLINK("#Integrante_2!A162","TALENTO HUMANO")</f>
        <v>TALENTO HUMANO</v>
      </c>
      <c r="F9" s="208"/>
      <c r="G9" s="209"/>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7" t="str">
        <f>HYPERLINK("#Integrante_2!F162","INFRAESTRUCTURA")</f>
        <v>INFRAESTRUCTURA</v>
      </c>
      <c r="F10" s="208"/>
      <c r="G10" s="209"/>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2759</v>
      </c>
      <c r="D15" s="35"/>
      <c r="E15" s="35"/>
      <c r="F15" s="5"/>
      <c r="G15" s="32" t="s">
        <v>1168</v>
      </c>
      <c r="H15" s="103" t="s">
        <v>36</v>
      </c>
      <c r="I15" s="32" t="s">
        <v>2629</v>
      </c>
      <c r="J15" s="108" t="s">
        <v>2637</v>
      </c>
      <c r="L15" s="200" t="s">
        <v>8</v>
      </c>
      <c r="M15" s="200"/>
      <c r="N15" s="176">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89">
        <v>900077807</v>
      </c>
      <c r="C20" s="5"/>
      <c r="D20" s="161"/>
      <c r="E20" s="153" t="s">
        <v>2670</v>
      </c>
      <c r="F20" s="187" t="s">
        <v>2752</v>
      </c>
      <c r="G20" s="5"/>
      <c r="H20" s="210"/>
      <c r="I20" s="142" t="s">
        <v>36</v>
      </c>
      <c r="J20" s="143" t="s">
        <v>122</v>
      </c>
      <c r="K20" s="144">
        <v>1330397628</v>
      </c>
      <c r="L20" s="145">
        <v>44194</v>
      </c>
      <c r="M20" s="145">
        <v>44561</v>
      </c>
      <c r="N20" s="128">
        <f>+(M20-L20)/30</f>
        <v>12.233333333333333</v>
      </c>
      <c r="O20" s="131"/>
      <c r="U20" s="127"/>
      <c r="V20" s="105">
        <f ca="1">NOW()</f>
        <v>44194.720185995371</v>
      </c>
      <c r="W20" s="105">
        <f ca="1">NOW()</f>
        <v>44194.720185995371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str">
        <f>VLOOKUP(B20,EAS!A2:B1439,2,0)</f>
        <v>CORPORACIÓN FORJADORES DE AMOR</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t="s">
        <v>2742</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1658</v>
      </c>
      <c r="C48" s="119" t="s">
        <v>32</v>
      </c>
      <c r="D48" s="116" t="s">
        <v>2736</v>
      </c>
      <c r="E48" s="138">
        <v>40193</v>
      </c>
      <c r="F48" s="138">
        <v>40527</v>
      </c>
      <c r="G48" s="165">
        <f>IF(AND(E48&lt;&gt;"",F48&lt;&gt;""),((F48-E48)/30),"")</f>
        <v>11.133333333333333</v>
      </c>
      <c r="H48" s="117" t="s">
        <v>2737</v>
      </c>
      <c r="I48" s="116" t="s">
        <v>36</v>
      </c>
      <c r="J48" s="116" t="s">
        <v>122</v>
      </c>
      <c r="K48" s="118">
        <v>12950000</v>
      </c>
      <c r="L48" s="119" t="s">
        <v>1148</v>
      </c>
      <c r="M48" s="113">
        <v>1</v>
      </c>
      <c r="N48" s="119" t="s">
        <v>27</v>
      </c>
      <c r="O48" s="119" t="s">
        <v>1148</v>
      </c>
      <c r="P48" s="79"/>
    </row>
    <row r="49" spans="1:16" s="6" customFormat="1" ht="24.75" customHeight="1" x14ac:dyDescent="0.25">
      <c r="A49" s="136">
        <v>2</v>
      </c>
      <c r="B49" s="117" t="s">
        <v>1658</v>
      </c>
      <c r="C49" s="119" t="s">
        <v>32</v>
      </c>
      <c r="D49" s="116" t="s">
        <v>2748</v>
      </c>
      <c r="E49" s="138">
        <v>40558</v>
      </c>
      <c r="F49" s="138">
        <v>40897</v>
      </c>
      <c r="G49" s="165">
        <f t="shared" ref="G49:G107" si="1">IF(AND(E49&lt;&gt;"",F49&lt;&gt;""),((F49-E49)/30),"")</f>
        <v>11.3</v>
      </c>
      <c r="H49" s="117" t="s">
        <v>2767</v>
      </c>
      <c r="I49" s="116" t="s">
        <v>36</v>
      </c>
      <c r="J49" s="116" t="s">
        <v>122</v>
      </c>
      <c r="K49" s="118">
        <v>13304000</v>
      </c>
      <c r="L49" s="119" t="s">
        <v>1148</v>
      </c>
      <c r="M49" s="113">
        <v>1</v>
      </c>
      <c r="N49" s="119" t="s">
        <v>27</v>
      </c>
      <c r="O49" s="119" t="s">
        <v>1148</v>
      </c>
      <c r="P49" s="79"/>
    </row>
    <row r="50" spans="1:16" s="6" customFormat="1" ht="24.75" customHeight="1" x14ac:dyDescent="0.25">
      <c r="A50" s="136">
        <v>3</v>
      </c>
      <c r="B50" s="117" t="s">
        <v>1658</v>
      </c>
      <c r="C50" s="119" t="s">
        <v>32</v>
      </c>
      <c r="D50" s="116" t="s">
        <v>2749</v>
      </c>
      <c r="E50" s="138">
        <v>40923</v>
      </c>
      <c r="F50" s="138">
        <v>41263</v>
      </c>
      <c r="G50" s="165">
        <f t="shared" si="1"/>
        <v>11.333333333333334</v>
      </c>
      <c r="H50" s="117" t="s">
        <v>2768</v>
      </c>
      <c r="I50" s="116" t="s">
        <v>36</v>
      </c>
      <c r="J50" s="116" t="s">
        <v>122</v>
      </c>
      <c r="K50" s="118">
        <v>13700000</v>
      </c>
      <c r="L50" s="119" t="s">
        <v>1148</v>
      </c>
      <c r="M50" s="113">
        <v>1</v>
      </c>
      <c r="N50" s="119" t="s">
        <v>27</v>
      </c>
      <c r="O50" s="119" t="s">
        <v>1148</v>
      </c>
      <c r="P50" s="79"/>
    </row>
    <row r="51" spans="1:16" s="6" customFormat="1" ht="24.75" customHeight="1" outlineLevel="1" x14ac:dyDescent="0.25">
      <c r="A51" s="136">
        <v>4</v>
      </c>
      <c r="B51" s="117" t="s">
        <v>1658</v>
      </c>
      <c r="C51" s="119" t="s">
        <v>32</v>
      </c>
      <c r="D51" s="116" t="s">
        <v>2750</v>
      </c>
      <c r="E51" s="138">
        <v>41289</v>
      </c>
      <c r="F51" s="138">
        <v>41623</v>
      </c>
      <c r="G51" s="165">
        <f t="shared" si="1"/>
        <v>11.133333333333333</v>
      </c>
      <c r="H51" s="117" t="s">
        <v>2769</v>
      </c>
      <c r="I51" s="116" t="s">
        <v>36</v>
      </c>
      <c r="J51" s="116" t="s">
        <v>122</v>
      </c>
      <c r="K51" s="118">
        <v>14144537</v>
      </c>
      <c r="L51" s="119" t="s">
        <v>1148</v>
      </c>
      <c r="M51" s="113">
        <v>1</v>
      </c>
      <c r="N51" s="119" t="s">
        <v>27</v>
      </c>
      <c r="O51" s="119" t="s">
        <v>1148</v>
      </c>
      <c r="P51" s="79"/>
    </row>
    <row r="52" spans="1:16" s="7" customFormat="1" ht="24.75" customHeight="1" outlineLevel="1" x14ac:dyDescent="0.25">
      <c r="A52" s="137">
        <v>5</v>
      </c>
      <c r="B52" s="117"/>
      <c r="C52" s="119"/>
      <c r="D52" s="116"/>
      <c r="E52" s="138"/>
      <c r="F52" s="138"/>
      <c r="G52" s="165" t="str">
        <f t="shared" si="1"/>
        <v/>
      </c>
      <c r="H52" s="117"/>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7"/>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8"/>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8"/>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8"/>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2743</v>
      </c>
      <c r="E114" s="188">
        <v>43881</v>
      </c>
      <c r="F114" s="188">
        <v>44196</v>
      </c>
      <c r="G114" s="165">
        <f>IF(AND(E114&lt;&gt;"",F114&lt;&gt;""),((F114-E114)/30),"")</f>
        <v>10.5</v>
      </c>
      <c r="H114" s="115" t="s">
        <v>2745</v>
      </c>
      <c r="I114" s="116" t="s">
        <v>1155</v>
      </c>
      <c r="J114" s="116" t="s">
        <v>1053</v>
      </c>
      <c r="K114" s="68">
        <v>3619688716</v>
      </c>
      <c r="L114" s="101">
        <f>+IF(AND(K114&gt;0,O114="Ejecución"),(K114/877802)*Tabla283[[#This Row],[% participación]],IF(AND(K114&gt;0,O114&lt;&gt;"Ejecución"),"-",""))</f>
        <v>3298.8657724634941</v>
      </c>
      <c r="M114" s="119" t="s">
        <v>26</v>
      </c>
      <c r="N114" s="174">
        <v>0.8</v>
      </c>
      <c r="O114" s="170" t="s">
        <v>1150</v>
      </c>
      <c r="P114" s="79"/>
    </row>
    <row r="115" spans="1:16" s="6" customFormat="1" ht="24.75" customHeight="1" x14ac:dyDescent="0.25">
      <c r="A115" s="136">
        <v>2</v>
      </c>
      <c r="B115" s="168" t="s">
        <v>2672</v>
      </c>
      <c r="C115" s="169" t="s">
        <v>31</v>
      </c>
      <c r="D115" s="116">
        <v>762620291</v>
      </c>
      <c r="E115" s="188">
        <v>43881</v>
      </c>
      <c r="F115" s="188">
        <v>44196</v>
      </c>
      <c r="G115" s="165">
        <f t="shared" ref="G115:G160" si="3">IF(AND(E115&lt;&gt;"",F115&lt;&gt;""),((F115-E115)/30),"")</f>
        <v>10.5</v>
      </c>
      <c r="H115" s="115" t="s">
        <v>2746</v>
      </c>
      <c r="I115" s="116" t="s">
        <v>1155</v>
      </c>
      <c r="J115" s="116" t="s">
        <v>1048</v>
      </c>
      <c r="K115" s="68">
        <v>312181584</v>
      </c>
      <c r="L115" s="101">
        <f>+IF(AND(K115&gt;0,O115="Ejecución"),(K115/877802)*Tabla283[[#This Row],[% participación]],IF(AND(K115&gt;0,O115&lt;&gt;"Ejecución"),"-",""))</f>
        <v>284.51207356556489</v>
      </c>
      <c r="M115" s="119" t="s">
        <v>26</v>
      </c>
      <c r="N115" s="174">
        <v>0.8</v>
      </c>
      <c r="O115" s="170" t="s">
        <v>1150</v>
      </c>
      <c r="P115" s="79"/>
    </row>
    <row r="116" spans="1:16" s="6" customFormat="1" ht="24.75" customHeight="1" x14ac:dyDescent="0.25">
      <c r="A116" s="136">
        <v>3</v>
      </c>
      <c r="B116" s="168" t="s">
        <v>2672</v>
      </c>
      <c r="C116" s="169" t="s">
        <v>31</v>
      </c>
      <c r="D116" s="116">
        <v>762620383</v>
      </c>
      <c r="E116" s="188">
        <v>43886</v>
      </c>
      <c r="F116" s="188">
        <v>44196</v>
      </c>
      <c r="G116" s="165">
        <f t="shared" si="3"/>
        <v>10.333333333333334</v>
      </c>
      <c r="H116" s="115" t="s">
        <v>2745</v>
      </c>
      <c r="I116" s="116" t="s">
        <v>1155</v>
      </c>
      <c r="J116" s="116" t="s">
        <v>1048</v>
      </c>
      <c r="K116" s="68">
        <v>929956820</v>
      </c>
      <c r="L116" s="101">
        <f>+IF(AND(K116&gt;0,O116="Ejecución"),(K116/877802)*Tabla283[[#This Row],[% participación]],IF(AND(K116&gt;0,O116&lt;&gt;"Ejecución"),"-",""))</f>
        <v>847.5321951875253</v>
      </c>
      <c r="M116" s="119" t="s">
        <v>26</v>
      </c>
      <c r="N116" s="174">
        <v>0.8</v>
      </c>
      <c r="O116" s="170" t="s">
        <v>1150</v>
      </c>
      <c r="P116" s="79"/>
    </row>
    <row r="117" spans="1:16" s="6" customFormat="1" ht="24.75" customHeight="1" outlineLevel="1" x14ac:dyDescent="0.25">
      <c r="A117" s="136">
        <v>4</v>
      </c>
      <c r="B117" s="168" t="s">
        <v>2672</v>
      </c>
      <c r="C117" s="169" t="s">
        <v>31</v>
      </c>
      <c r="D117" s="116">
        <v>762620383</v>
      </c>
      <c r="E117" s="188">
        <v>43886</v>
      </c>
      <c r="F117" s="188">
        <v>44196</v>
      </c>
      <c r="G117" s="165">
        <f t="shared" si="3"/>
        <v>10.333333333333334</v>
      </c>
      <c r="H117" s="115" t="s">
        <v>2745</v>
      </c>
      <c r="I117" s="116" t="s">
        <v>1155</v>
      </c>
      <c r="J117" s="116" t="s">
        <v>1051</v>
      </c>
      <c r="K117" s="68">
        <v>431878252</v>
      </c>
      <c r="L117" s="101">
        <f>+IF(AND(K117&gt;0,O117="Ejecución"),(K117/877802)*Tabla283[[#This Row],[% participación]],IF(AND(K117&gt;0,O117&lt;&gt;"Ejecución"),"-",""))</f>
        <v>393.59969742607109</v>
      </c>
      <c r="M117" s="119" t="s">
        <v>26</v>
      </c>
      <c r="N117" s="174">
        <v>0.8</v>
      </c>
      <c r="O117" s="170" t="s">
        <v>1150</v>
      </c>
      <c r="P117" s="79"/>
    </row>
    <row r="118" spans="1:16" s="7" customFormat="1" ht="24.75" customHeight="1" outlineLevel="1" x14ac:dyDescent="0.25">
      <c r="A118" s="137">
        <v>5</v>
      </c>
      <c r="B118" s="168" t="s">
        <v>2672</v>
      </c>
      <c r="C118" s="169" t="s">
        <v>31</v>
      </c>
      <c r="D118" s="116">
        <v>762620383</v>
      </c>
      <c r="E118" s="188">
        <v>43886</v>
      </c>
      <c r="F118" s="188">
        <v>44196</v>
      </c>
      <c r="G118" s="165">
        <f t="shared" si="3"/>
        <v>10.333333333333334</v>
      </c>
      <c r="H118" s="115" t="s">
        <v>2745</v>
      </c>
      <c r="I118" s="116" t="s">
        <v>1155</v>
      </c>
      <c r="J118" s="116" t="s">
        <v>1056</v>
      </c>
      <c r="K118" s="68">
        <v>5174446262.75</v>
      </c>
      <c r="L118" s="101">
        <f>+IF(AND(K118&gt;0,O118="Ejecución"),(K118/877802)*Tabla283[[#This Row],[% participación]],IF(AND(K118&gt;0,O118&lt;&gt;"Ejecución"),"-",""))</f>
        <v>4715.8208914994493</v>
      </c>
      <c r="M118" s="119" t="s">
        <v>26</v>
      </c>
      <c r="N118" s="174">
        <v>0.8</v>
      </c>
      <c r="O118" s="170" t="s">
        <v>1150</v>
      </c>
      <c r="P118" s="80"/>
    </row>
    <row r="119" spans="1:16" s="7" customFormat="1" ht="24.75" customHeight="1" outlineLevel="1" x14ac:dyDescent="0.25">
      <c r="A119" s="137">
        <v>6</v>
      </c>
      <c r="B119" s="168" t="s">
        <v>2672</v>
      </c>
      <c r="C119" s="169" t="s">
        <v>31</v>
      </c>
      <c r="D119" s="116" t="s">
        <v>2744</v>
      </c>
      <c r="E119" s="138">
        <v>44166</v>
      </c>
      <c r="F119" s="138">
        <v>44773</v>
      </c>
      <c r="G119" s="165">
        <f t="shared" si="3"/>
        <v>20.233333333333334</v>
      </c>
      <c r="H119" s="115" t="s">
        <v>2747</v>
      </c>
      <c r="I119" s="116" t="s">
        <v>1155</v>
      </c>
      <c r="J119" s="116" t="s">
        <v>1053</v>
      </c>
      <c r="K119" s="68">
        <v>5323772375</v>
      </c>
      <c r="L119" s="101">
        <f>+IF(AND(K119&gt;0,O119="Ejecución"),(K119/877802)*Tabla283[[#This Row],[% participación]],IF(AND(K119&gt;0,O119&lt;&gt;"Ejecución"),"-",""))</f>
        <v>4851.911820661152</v>
      </c>
      <c r="M119" s="119" t="s">
        <v>26</v>
      </c>
      <c r="N119" s="174">
        <v>0.8</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HYPERLINK("#Integrante_2!A1","INICIO")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57"/>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t="s">
        <v>2622</v>
      </c>
      <c r="O178" s="8"/>
      <c r="Q178" s="19"/>
      <c r="R178" s="19"/>
      <c r="S178" s="157" t="s">
        <v>2623</v>
      </c>
      <c r="T178" s="19"/>
      <c r="U178" s="19"/>
      <c r="V178" s="19"/>
      <c r="W178" s="19"/>
      <c r="X178" s="19"/>
      <c r="Y178" s="19"/>
      <c r="Z178" s="19"/>
      <c r="AA178" s="19"/>
      <c r="AB178" s="19"/>
    </row>
    <row r="179" spans="1:28" ht="23.25" x14ac:dyDescent="0.25">
      <c r="A179" s="9"/>
      <c r="B179" s="228" t="s">
        <v>2671</v>
      </c>
      <c r="C179" s="228"/>
      <c r="D179" s="228"/>
      <c r="E179" s="24">
        <v>0.02</v>
      </c>
      <c r="F179" s="171">
        <v>0.03</v>
      </c>
      <c r="G179" s="172">
        <f>IF(F179&gt;0,SUM(E179+F179),"")</f>
        <v>0.05</v>
      </c>
      <c r="H179" s="5"/>
      <c r="I179" s="219" t="s">
        <v>2675</v>
      </c>
      <c r="J179" s="220"/>
      <c r="K179" s="220"/>
      <c r="L179" s="221"/>
      <c r="M179" s="171">
        <v>0.04</v>
      </c>
      <c r="O179" s="8"/>
      <c r="Q179" s="19"/>
      <c r="R179" s="19"/>
      <c r="S179" s="172">
        <f>IF(M179&gt;0,SUM(L179+M179),"")</f>
        <v>0.04</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66519881.400000006</v>
      </c>
      <c r="F185" s="93"/>
      <c r="G185" s="94"/>
      <c r="H185" s="89"/>
      <c r="I185" s="91" t="s">
        <v>2632</v>
      </c>
      <c r="J185" s="177">
        <f>M179</f>
        <v>0.04</v>
      </c>
      <c r="K185" s="229" t="s">
        <v>2633</v>
      </c>
      <c r="L185" s="229"/>
      <c r="M185" s="95">
        <f>+J185*K20</f>
        <v>53215905.120000005</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50"/>
      <c r="Q192" s="147"/>
      <c r="R192" s="148"/>
      <c r="S192" s="148"/>
      <c r="T192" s="147"/>
    </row>
    <row r="193" spans="1:18" x14ac:dyDescent="0.25">
      <c r="A193" s="9"/>
      <c r="C193" s="121">
        <v>43759</v>
      </c>
      <c r="D193" s="5"/>
      <c r="E193" s="120">
        <v>5698</v>
      </c>
      <c r="F193" s="5"/>
      <c r="G193" s="5"/>
      <c r="H193" s="140" t="s">
        <v>2738</v>
      </c>
      <c r="J193" s="5"/>
      <c r="K193" s="121">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2738</v>
      </c>
      <c r="D211" s="21"/>
      <c r="G211" s="27" t="s">
        <v>2625</v>
      </c>
      <c r="H211" s="141" t="s">
        <v>2751</v>
      </c>
      <c r="J211" s="27" t="s">
        <v>2627</v>
      </c>
      <c r="K211" s="190" t="s">
        <v>2740</v>
      </c>
      <c r="L211" s="21"/>
      <c r="M211" s="21"/>
      <c r="N211" s="21"/>
      <c r="O211" s="8"/>
    </row>
    <row r="212" spans="1:15" x14ac:dyDescent="0.25">
      <c r="A212" s="9"/>
      <c r="B212" s="27" t="s">
        <v>2624</v>
      </c>
      <c r="C212" s="140" t="s">
        <v>2738</v>
      </c>
      <c r="D212" s="21"/>
      <c r="G212" s="27" t="s">
        <v>2626</v>
      </c>
      <c r="H212" s="141" t="s">
        <v>2739</v>
      </c>
      <c r="J212" s="27" t="s">
        <v>2628</v>
      </c>
      <c r="K212" s="191"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44194.720185995371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7" t="str">
        <f>HYPERLINK("#Integrante_3!A109","CAPACIDAD RESIDUAL")</f>
        <v>CAPACIDAD RESIDUAL</v>
      </c>
      <c r="F8" s="208"/>
      <c r="G8" s="209"/>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7" t="str">
        <f>HYPERLINK("#Integrante_3!A162","TALENTO HUMANO")</f>
        <v>TALENTO HUMANO</v>
      </c>
      <c r="F9" s="208"/>
      <c r="G9" s="209"/>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7" t="str">
        <f>HYPERLINK("#Integrante_3!F162","INFRAESTRUCTURA")</f>
        <v>INFRAESTRUCTURA</v>
      </c>
      <c r="F10" s="208"/>
      <c r="G10" s="209"/>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44194.720185995371</v>
      </c>
      <c r="W20" s="105">
        <f ca="1">NOW()</f>
        <v>44194.720185995371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4" t="s">
        <v>2648</v>
      </c>
      <c r="J165" s="255"/>
      <c r="K165" s="255"/>
      <c r="L165" s="255"/>
      <c r="M165" s="255"/>
      <c r="N165" s="255"/>
      <c r="O165" s="256"/>
      <c r="U165" s="51"/>
    </row>
    <row r="166" spans="1:28" x14ac:dyDescent="0.25">
      <c r="A166" s="9"/>
      <c r="B166" s="265" t="s">
        <v>2663</v>
      </c>
      <c r="C166" s="265"/>
      <c r="D166" s="265"/>
      <c r="E166" s="8"/>
      <c r="F166" s="5"/>
      <c r="H166" s="82" t="s">
        <v>2662</v>
      </c>
      <c r="I166" s="254"/>
      <c r="J166" s="255"/>
      <c r="K166" s="255"/>
      <c r="L166" s="255"/>
      <c r="M166" s="255"/>
      <c r="N166" s="255"/>
      <c r="O166" s="256"/>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7"/>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2675</v>
      </c>
      <c r="J174" s="262"/>
      <c r="K174" s="262"/>
      <c r="L174" s="262"/>
      <c r="M174" s="262"/>
      <c r="O174" s="178" t="str">
        <f>HYPERLINK("#Integrante_3!A1","INICIO")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57"/>
      <c r="S175" s="19"/>
      <c r="T175" s="19"/>
      <c r="U175" s="19"/>
      <c r="V175" s="19"/>
      <c r="W175" s="19"/>
      <c r="X175" s="19"/>
      <c r="Y175" s="19"/>
      <c r="Z175" s="19"/>
      <c r="AA175" s="19"/>
      <c r="AB175" s="19"/>
    </row>
    <row r="176" spans="1:28" ht="23.25" x14ac:dyDescent="0.25">
      <c r="A176" s="9"/>
      <c r="B176" s="258"/>
      <c r="C176" s="259"/>
      <c r="D176" s="260"/>
      <c r="E176" s="157" t="s">
        <v>2621</v>
      </c>
      <c r="F176" s="157" t="s">
        <v>2622</v>
      </c>
      <c r="G176" s="157" t="s">
        <v>2623</v>
      </c>
      <c r="H176" s="5"/>
      <c r="I176" s="258"/>
      <c r="J176" s="259"/>
      <c r="K176" s="259"/>
      <c r="L176" s="260"/>
      <c r="M176" s="240"/>
      <c r="O176" s="8"/>
      <c r="Q176" s="19"/>
      <c r="R176" s="157" t="s">
        <v>2623</v>
      </c>
      <c r="S176" s="19"/>
      <c r="T176" s="19"/>
      <c r="U176" s="19"/>
      <c r="V176" s="19"/>
      <c r="W176" s="19"/>
      <c r="X176" s="19"/>
      <c r="Y176" s="19"/>
      <c r="Z176" s="19"/>
      <c r="AA176" s="19"/>
      <c r="AB176" s="19"/>
    </row>
    <row r="177" spans="1:28" ht="23.25" x14ac:dyDescent="0.25">
      <c r="A177" s="9"/>
      <c r="B177" s="228" t="s">
        <v>2671</v>
      </c>
      <c r="C177" s="228"/>
      <c r="D177" s="228"/>
      <c r="E177" s="24">
        <v>0.02</v>
      </c>
      <c r="F177" s="171"/>
      <c r="G177" s="172" t="str">
        <f>IF(F177&gt;0,SUM(E177+F177),"")</f>
        <v/>
      </c>
      <c r="H177" s="5"/>
      <c r="I177" s="219" t="s">
        <v>2675</v>
      </c>
      <c r="J177" s="220"/>
      <c r="K177" s="220"/>
      <c r="L177" s="221"/>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8" t="s">
        <v>1165</v>
      </c>
      <c r="C178" s="228"/>
      <c r="D178" s="228"/>
      <c r="E178" s="24">
        <v>0.02</v>
      </c>
      <c r="F178" s="69"/>
      <c r="G178" s="156" t="str">
        <f>IF(F178&gt;0,SUM(E178+F178),"")</f>
        <v/>
      </c>
      <c r="H178" s="5"/>
      <c r="I178" s="219" t="s">
        <v>1169</v>
      </c>
      <c r="J178" s="220"/>
      <c r="K178" s="22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6" t="str">
        <f>IF(F179&gt;0,SUM(E179+F179),"")</f>
        <v/>
      </c>
      <c r="H179" s="5"/>
      <c r="I179" s="219" t="s">
        <v>1170</v>
      </c>
      <c r="J179" s="220"/>
      <c r="K179" s="22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6" t="str">
        <f>IF(F180&gt;0,SUM(E180+F180),"")</f>
        <v/>
      </c>
      <c r="H180" s="5"/>
      <c r="I180" s="219" t="s">
        <v>1171</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29" t="s">
        <v>2633</v>
      </c>
      <c r="L183" s="229"/>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4" t="s">
        <v>2641</v>
      </c>
      <c r="C190" s="24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44194.720185995371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7" t="str">
        <f>HYPERLINK("#Integrante_4!A109","CAPACIDAD RESIDUAL")</f>
        <v>CAPACIDAD RESIDUAL</v>
      </c>
      <c r="F8" s="208"/>
      <c r="G8" s="209"/>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7" t="str">
        <f>HYPERLINK("#Integrante_4!A162","TALENTO HUMANO")</f>
        <v>TALENTO HUMANO</v>
      </c>
      <c r="F9" s="208"/>
      <c r="G9" s="209"/>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7" t="str">
        <f>HYPERLINK("#Integrante_4!F162","INFRAESTRUCTURA")</f>
        <v>INFRAESTRUCTURA</v>
      </c>
      <c r="F10" s="208"/>
      <c r="G10" s="209"/>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44194.720185995371</v>
      </c>
      <c r="W20" s="105">
        <f ca="1">NOW()</f>
        <v>44194.720185995371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HYPERLINK("#Integrante_4!A1","INICIO")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57"/>
      <c r="S177" s="19"/>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c r="O178" s="8"/>
      <c r="Q178" s="19"/>
      <c r="R178" s="157" t="s">
        <v>2623</v>
      </c>
      <c r="S178" s="19"/>
      <c r="T178" s="19"/>
      <c r="U178" s="19"/>
      <c r="V178" s="19"/>
      <c r="W178" s="19"/>
      <c r="X178" s="19"/>
      <c r="Y178" s="19"/>
      <c r="Z178" s="19"/>
      <c r="AA178" s="19"/>
      <c r="AB178" s="19"/>
    </row>
    <row r="179" spans="1:28" ht="23.25" x14ac:dyDescent="0.25">
      <c r="A179" s="9"/>
      <c r="B179" s="228" t="s">
        <v>2671</v>
      </c>
      <c r="C179" s="228"/>
      <c r="D179" s="228"/>
      <c r="E179" s="24">
        <v>0.02</v>
      </c>
      <c r="F179" s="171"/>
      <c r="G179" s="172" t="str">
        <f>IF(F179&gt;0,SUM(E179+F179),"")</f>
        <v/>
      </c>
      <c r="H179" s="5"/>
      <c r="I179" s="219" t="s">
        <v>2675</v>
      </c>
      <c r="J179" s="220"/>
      <c r="K179" s="220"/>
      <c r="L179" s="221"/>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29" t="s">
        <v>2633</v>
      </c>
      <c r="L185" s="229"/>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44194.720185995371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7" t="str">
        <f>HYPERLINK("#Integrante_5!A109","CAPACIDAD RESIDUAL")</f>
        <v>CAPACIDAD RESIDUAL</v>
      </c>
      <c r="F8" s="208"/>
      <c r="G8" s="209"/>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7" t="str">
        <f>HYPERLINK("#Integrante_5!A162","TALENTO HUMANO")</f>
        <v>TALENTO HUMANO</v>
      </c>
      <c r="F9" s="208"/>
      <c r="G9" s="209"/>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7" t="str">
        <f>HYPERLINK("#Integrante_5!F162","INFRAESTRUCTURA")</f>
        <v>INFRAESTRUCTURA</v>
      </c>
      <c r="F10" s="208"/>
      <c r="G10" s="209"/>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44194.720185995371</v>
      </c>
      <c r="W20" s="105">
        <f ca="1">NOW()</f>
        <v>44194.720185995371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4" t="s">
        <v>2648</v>
      </c>
      <c r="J165" s="255"/>
      <c r="K165" s="255"/>
      <c r="L165" s="255"/>
      <c r="M165" s="255"/>
      <c r="N165" s="255"/>
      <c r="O165" s="256"/>
      <c r="U165" s="51"/>
    </row>
    <row r="166" spans="1:28" x14ac:dyDescent="0.25">
      <c r="A166" s="9"/>
      <c r="B166" s="265" t="s">
        <v>2663</v>
      </c>
      <c r="C166" s="265"/>
      <c r="D166" s="265"/>
      <c r="E166" s="8"/>
      <c r="F166" s="5"/>
      <c r="H166" s="82" t="s">
        <v>2662</v>
      </c>
      <c r="I166" s="254"/>
      <c r="J166" s="255"/>
      <c r="K166" s="255"/>
      <c r="L166" s="255"/>
      <c r="M166" s="255"/>
      <c r="N166" s="255"/>
      <c r="O166" s="256"/>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7"/>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2679</v>
      </c>
      <c r="J174" s="262"/>
      <c r="K174" s="262"/>
      <c r="L174" s="262"/>
      <c r="M174" s="262"/>
      <c r="O174" s="178" t="str">
        <f>HYPERLINK("#Integrante_5!A1","INICIO")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9"/>
      <c r="S175" s="157"/>
      <c r="T175" s="19"/>
      <c r="U175" s="19"/>
      <c r="V175" s="19"/>
      <c r="W175" s="19"/>
      <c r="X175" s="19"/>
      <c r="Y175" s="19"/>
      <c r="Z175" s="19"/>
      <c r="AA175" s="19"/>
      <c r="AB175" s="19"/>
    </row>
    <row r="176" spans="1:28" ht="23.25" x14ac:dyDescent="0.25">
      <c r="A176" s="9"/>
      <c r="B176" s="258"/>
      <c r="C176" s="259"/>
      <c r="D176" s="260"/>
      <c r="E176" s="157" t="s">
        <v>2621</v>
      </c>
      <c r="F176" s="157" t="s">
        <v>2622</v>
      </c>
      <c r="G176" s="157" t="s">
        <v>2623</v>
      </c>
      <c r="H176" s="5"/>
      <c r="I176" s="258"/>
      <c r="J176" s="259"/>
      <c r="K176" s="259"/>
      <c r="L176" s="260"/>
      <c r="M176" s="240"/>
      <c r="O176" s="8"/>
      <c r="Q176" s="19"/>
      <c r="R176" s="19"/>
      <c r="S176" s="157" t="s">
        <v>2623</v>
      </c>
      <c r="T176" s="19"/>
      <c r="U176" s="19"/>
      <c r="V176" s="19"/>
      <c r="W176" s="19"/>
      <c r="X176" s="19"/>
      <c r="Y176" s="19"/>
      <c r="Z176" s="19"/>
      <c r="AA176" s="19"/>
      <c r="AB176" s="19"/>
    </row>
    <row r="177" spans="1:28" ht="23.25" x14ac:dyDescent="0.25">
      <c r="A177" s="9"/>
      <c r="B177" s="228" t="s">
        <v>2671</v>
      </c>
      <c r="C177" s="228"/>
      <c r="D177" s="228"/>
      <c r="E177" s="24">
        <v>0.02</v>
      </c>
      <c r="F177" s="171"/>
      <c r="G177" s="172" t="str">
        <f>IF(F177&gt;0,SUM(E177+F177),"")</f>
        <v/>
      </c>
      <c r="H177" s="5"/>
      <c r="I177" s="219" t="s">
        <v>2673</v>
      </c>
      <c r="J177" s="220"/>
      <c r="K177" s="220"/>
      <c r="L177" s="221"/>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8" t="s">
        <v>1165</v>
      </c>
      <c r="C178" s="228"/>
      <c r="D178" s="228"/>
      <c r="E178" s="24">
        <v>0.02</v>
      </c>
      <c r="F178" s="69"/>
      <c r="G178" s="156" t="str">
        <f>IF(F178&gt;0,SUM(E178+F178),"")</f>
        <v/>
      </c>
      <c r="H178" s="5"/>
      <c r="I178" s="219" t="s">
        <v>1169</v>
      </c>
      <c r="J178" s="220"/>
      <c r="K178" s="22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6" t="str">
        <f>IF(F179&gt;0,SUM(E179+F179),"")</f>
        <v/>
      </c>
      <c r="H179" s="5"/>
      <c r="I179" s="219" t="s">
        <v>1170</v>
      </c>
      <c r="J179" s="220"/>
      <c r="K179" s="22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6" t="str">
        <f>IF(F180&gt;0,SUM(E180+F180),"")</f>
        <v/>
      </c>
      <c r="H180" s="5"/>
      <c r="I180" s="219" t="s">
        <v>1171</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29" t="s">
        <v>2633</v>
      </c>
      <c r="L183" s="229"/>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4" t="s">
        <v>2641</v>
      </c>
      <c r="C190" s="24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4">
        <f ca="1">NOW()</f>
        <v>44194.720185995371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7" t="str">
        <f>HYPERLINK("#Integrante_6!A109","CAPACIDAD RESIDUAL")</f>
        <v>CAPACIDAD RESIDUAL</v>
      </c>
      <c r="F8" s="208"/>
      <c r="G8" s="209"/>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7" t="str">
        <f>HYPERLINK("#Integrante_6!A162","TALENTO HUMANO")</f>
        <v>TALENTO HUMANO</v>
      </c>
      <c r="F9" s="208"/>
      <c r="G9" s="209"/>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7" t="str">
        <f>HYPERLINK("#Integrante_6!F162","INFRAESTRUCTURA")</f>
        <v>INFRAESTRUCTURA</v>
      </c>
      <c r="F10" s="208"/>
      <c r="G10" s="209"/>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0" t="s">
        <v>8</v>
      </c>
      <c r="M15" s="20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0"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0"/>
      <c r="I20" s="142"/>
      <c r="J20" s="143"/>
      <c r="K20" s="144"/>
      <c r="L20" s="145"/>
      <c r="M20" s="145"/>
      <c r="N20" s="128">
        <f>+(M20-L20)/30</f>
        <v>0</v>
      </c>
      <c r="O20" s="131"/>
      <c r="U20" s="127"/>
      <c r="V20" s="105">
        <f ca="1">NOW()</f>
        <v>44194.720185995371</v>
      </c>
      <c r="W20" s="105">
        <f ca="1">NOW()</f>
        <v>44194.720185995371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04" t="e">
        <f>VLOOKUP(B20,EAS!A2:B1439,2,0)</f>
        <v>#N/A</v>
      </c>
      <c r="C38" s="204"/>
      <c r="D38" s="204"/>
      <c r="E38" s="204"/>
      <c r="F38" s="204"/>
      <c r="G38" s="5"/>
      <c r="H38" s="125"/>
      <c r="I38" s="214" t="s">
        <v>7</v>
      </c>
      <c r="J38" s="214"/>
      <c r="K38" s="214"/>
      <c r="L38" s="214"/>
      <c r="M38" s="214"/>
      <c r="N38" s="214"/>
      <c r="O38" s="126"/>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8" t="str">
        <f>HYPERLINK("#Integrante_6!A1","INICIO")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57"/>
      <c r="T177" s="19"/>
      <c r="U177" s="19"/>
      <c r="V177" s="19"/>
      <c r="W177" s="19"/>
      <c r="X177" s="19"/>
      <c r="Y177" s="19"/>
      <c r="Z177" s="19"/>
      <c r="AA177" s="19"/>
      <c r="AB177" s="19"/>
    </row>
    <row r="178" spans="1:28" ht="23.25" x14ac:dyDescent="0.25">
      <c r="A178" s="9"/>
      <c r="B178" s="258"/>
      <c r="C178" s="259"/>
      <c r="D178" s="260"/>
      <c r="E178" s="157" t="s">
        <v>2621</v>
      </c>
      <c r="F178" s="157" t="s">
        <v>2622</v>
      </c>
      <c r="G178" s="157" t="s">
        <v>2623</v>
      </c>
      <c r="H178" s="5"/>
      <c r="I178" s="258"/>
      <c r="J178" s="259"/>
      <c r="K178" s="259"/>
      <c r="L178" s="260"/>
      <c r="M178" s="240"/>
      <c r="O178" s="8"/>
      <c r="Q178" s="19"/>
      <c r="R178" s="19"/>
      <c r="S178" s="157" t="s">
        <v>2623</v>
      </c>
      <c r="T178" s="19"/>
      <c r="U178" s="19"/>
      <c r="V178" s="19"/>
      <c r="W178" s="19"/>
      <c r="X178" s="19"/>
      <c r="Y178" s="19"/>
      <c r="Z178" s="19"/>
      <c r="AA178" s="19"/>
      <c r="AB178" s="19"/>
    </row>
    <row r="179" spans="1:28" ht="23.25" x14ac:dyDescent="0.25">
      <c r="A179" s="9"/>
      <c r="B179" s="228" t="s">
        <v>2671</v>
      </c>
      <c r="C179" s="228"/>
      <c r="D179" s="228"/>
      <c r="E179" s="24">
        <v>0.02</v>
      </c>
      <c r="F179" s="171"/>
      <c r="G179" s="172" t="str">
        <f>IF(F179&gt;0,SUM(E179+F179),"")</f>
        <v/>
      </c>
      <c r="H179" s="5"/>
      <c r="I179" s="219" t="s">
        <v>2673</v>
      </c>
      <c r="J179" s="220"/>
      <c r="K179" s="220"/>
      <c r="L179" s="221"/>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56" t="str">
        <f>IF(F180&gt;0,SUM(E180+F180),"")</f>
        <v/>
      </c>
      <c r="H180" s="5"/>
      <c r="I180" s="219" t="s">
        <v>1169</v>
      </c>
      <c r="J180" s="220"/>
      <c r="K180" s="22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6" t="str">
        <f>IF(F181&gt;0,SUM(E181+F181),"")</f>
        <v/>
      </c>
      <c r="H181" s="5"/>
      <c r="I181" s="219" t="s">
        <v>1170</v>
      </c>
      <c r="J181" s="220"/>
      <c r="K181" s="22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6" t="str">
        <f>IF(F182&gt;0,SUM(E182+F182),"")</f>
        <v/>
      </c>
      <c r="H182" s="5"/>
      <c r="I182" s="219" t="s">
        <v>1171</v>
      </c>
      <c r="J182" s="220"/>
      <c r="K182" s="22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29" t="s">
        <v>2633</v>
      </c>
      <c r="L185" s="229"/>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4" t="s">
        <v>2641</v>
      </c>
      <c r="C192" s="24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DARY REALPE</cp:lastModifiedBy>
  <cp:lastPrinted>2020-12-11T17:12:38Z</cp:lastPrinted>
  <dcterms:created xsi:type="dcterms:W3CDTF">2020-10-14T21:57:42Z</dcterms:created>
  <dcterms:modified xsi:type="dcterms:W3CDTF">2020-12-29T22:17:33Z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